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  <Override PartName="/xl/documenttasks/documenttask5.xml" ContentType="application/vnd.ms-excel.documenttasks+xml"/>
  <Override PartName="/xl/threadedComments/threadedComment5.xml" ContentType="application/vnd.ms-excel.threadedcomments+xml"/>
  <Override PartName="/xl/documenttasks/documenttask6.xml" ContentType="application/vnd.ms-excel.documenttasks+xml"/>
  <Override PartName="/xl/threadedComments/threadedComment6.xml" ContentType="application/vnd.ms-excel.threadedcomments+xml"/>
  <Override PartName="/xl/documenttasks/documenttask7.xml" ContentType="application/vnd.ms-excel.documenttasks+xml"/>
  <Override PartName="/xl/threadedComments/threadedComment7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2992" windowHeight="8592"/>
  </bookViews>
  <sheets>
    <sheet name="Generic" sheetId="4" r:id="rId1"/>
    <sheet name="Apr 2025" sheetId="5" r:id="rId2"/>
    <sheet name="May 2025" sheetId="6" r:id="rId3"/>
    <sheet name="June 2025" sheetId="7" r:id="rId4"/>
    <sheet name="July 2025" sheetId="8" r:id="rId5"/>
    <sheet name="Aug 2025" sheetId="9" r:id="rId6"/>
    <sheet name="Sep 2025" sheetId="11" r:id="rId7"/>
    <sheet name="Oct 2025" sheetId="12" state="hidden" r:id="rId8"/>
    <sheet name="Nov 2025" sheetId="13" r:id="rId9"/>
    <sheet name="Dec 2025" sheetId="14" r:id="rId10"/>
    <sheet name="Jan 2026" sheetId="15" r:id="rId11"/>
    <sheet name="Feb 2026" sheetId="16" state="hidden" r:id="rId12"/>
    <sheet name="Mar 2026" sheetId="17" state="hidden" r:id="rId13"/>
    <sheet name="Comp Revision" sheetId="20" state="hidden" r:id="rId14"/>
  </sheets>
  <definedNames>
    <definedName name="_xlnm._FilterDatabase" localSheetId="9" hidden="1">'Dec 2025'!$A$2:$AZ$36</definedName>
    <definedName name="_xlnm._FilterDatabase" localSheetId="11" hidden="1">'Feb 2026'!$A$2:$AZ$38</definedName>
    <definedName name="_xlnm._FilterDatabase" localSheetId="0" hidden="1">Generic!$A$2:$AZ$41</definedName>
    <definedName name="_xlnm._FilterDatabase" localSheetId="10" hidden="1">'Jan 2026'!$A$2:$AZ$36</definedName>
    <definedName name="_xlnm._FilterDatabase" localSheetId="12" hidden="1">'Mar 2026'!$A$2:$AZ$38</definedName>
    <definedName name="_xlnm._FilterDatabase" localSheetId="8" hidden="1">'Nov 2025'!$A$2:$AZ$36</definedName>
  </definedNames>
  <calcPr calcId="152511"/>
</workbook>
</file>

<file path=xl/calcChain.xml><?xml version="1.0" encoding="utf-8"?>
<calcChain xmlns="http://schemas.openxmlformats.org/spreadsheetml/2006/main">
  <c r="X34" i="20" l="1"/>
  <c r="AF33" i="20"/>
  <c r="AE33" i="20"/>
  <c r="AD33" i="20"/>
  <c r="AB33" i="20"/>
  <c r="AA33" i="20"/>
  <c r="Y33" i="20"/>
  <c r="Z33" i="20" s="1"/>
  <c r="W33" i="20"/>
  <c r="O33" i="20"/>
  <c r="N33" i="20"/>
  <c r="P33" i="20" s="1"/>
  <c r="G33" i="20"/>
  <c r="F33" i="20"/>
  <c r="E33" i="20"/>
  <c r="AY32" i="20"/>
  <c r="AS32" i="20"/>
  <c r="AR32" i="20"/>
  <c r="AL32" i="20"/>
  <c r="AF32" i="20"/>
  <c r="AE32" i="20"/>
  <c r="W32" i="20"/>
  <c r="Y32" i="20" s="1"/>
  <c r="Z32" i="20" s="1"/>
  <c r="P32" i="20"/>
  <c r="O32" i="20"/>
  <c r="N32" i="20"/>
  <c r="AD32" i="20" s="1"/>
  <c r="G32" i="20"/>
  <c r="F32" i="20"/>
  <c r="E32" i="20"/>
  <c r="D32" i="20"/>
  <c r="C32" i="20"/>
  <c r="B32" i="20"/>
  <c r="AY31" i="20"/>
  <c r="AF31" i="20"/>
  <c r="AE31" i="20"/>
  <c r="AD31" i="20"/>
  <c r="AB31" i="20"/>
  <c r="Y31" i="20"/>
  <c r="Z31" i="20" s="1"/>
  <c r="W31" i="20"/>
  <c r="P31" i="20"/>
  <c r="O31" i="20"/>
  <c r="N31" i="20"/>
  <c r="AC31" i="20" s="1"/>
  <c r="G31" i="20"/>
  <c r="F31" i="20"/>
  <c r="E31" i="20"/>
  <c r="D31" i="20"/>
  <c r="C31" i="20"/>
  <c r="B31" i="20"/>
  <c r="AY30" i="20"/>
  <c r="AF30" i="20"/>
  <c r="AE30" i="20"/>
  <c r="AD30" i="20"/>
  <c r="AC30" i="20"/>
  <c r="W30" i="20"/>
  <c r="Y30" i="20" s="1"/>
  <c r="Z30" i="20" s="1"/>
  <c r="O30" i="20"/>
  <c r="N30" i="20"/>
  <c r="G30" i="20"/>
  <c r="F30" i="20"/>
  <c r="E30" i="20"/>
  <c r="D30" i="20"/>
  <c r="C30" i="20"/>
  <c r="B30" i="20"/>
  <c r="AY29" i="20"/>
  <c r="AL29" i="20"/>
  <c r="AR29" i="20" s="1"/>
  <c r="AE29" i="20"/>
  <c r="AC29" i="20"/>
  <c r="AB29" i="20"/>
  <c r="V29" i="20"/>
  <c r="AF29" i="20" s="1"/>
  <c r="U29" i="20"/>
  <c r="W29" i="20" s="1"/>
  <c r="Y29" i="20" s="1"/>
  <c r="Z29" i="20" s="1"/>
  <c r="P29" i="20"/>
  <c r="O29" i="20"/>
  <c r="N29" i="20"/>
  <c r="AA29" i="20" s="1"/>
  <c r="G29" i="20"/>
  <c r="F29" i="20"/>
  <c r="E29" i="20"/>
  <c r="D29" i="20"/>
  <c r="C29" i="20"/>
  <c r="B29" i="20"/>
  <c r="AY28" i="20"/>
  <c r="AL28" i="20"/>
  <c r="AR28" i="20" s="1"/>
  <c r="AF28" i="20"/>
  <c r="AE28" i="20"/>
  <c r="W28" i="20"/>
  <c r="Y28" i="20" s="1"/>
  <c r="Z28" i="20" s="1"/>
  <c r="O28" i="20"/>
  <c r="N28" i="20"/>
  <c r="AD28" i="20" s="1"/>
  <c r="G28" i="20"/>
  <c r="F28" i="20"/>
  <c r="E28" i="20"/>
  <c r="D28" i="20"/>
  <c r="C28" i="20"/>
  <c r="B28" i="20"/>
  <c r="AY27" i="20"/>
  <c r="AF27" i="20"/>
  <c r="AE27" i="20"/>
  <c r="AC27" i="20"/>
  <c r="T27" i="20"/>
  <c r="AD27" i="20" s="1"/>
  <c r="S27" i="20"/>
  <c r="R27" i="20"/>
  <c r="AB27" i="20" s="1"/>
  <c r="P27" i="20"/>
  <c r="O27" i="20"/>
  <c r="N27" i="20"/>
  <c r="AA27" i="20" s="1"/>
  <c r="G27" i="20"/>
  <c r="F27" i="20"/>
  <c r="E27" i="20"/>
  <c r="D27" i="20"/>
  <c r="C27" i="20"/>
  <c r="B27" i="20"/>
  <c r="AY26" i="20"/>
  <c r="AJ26" i="20"/>
  <c r="AF26" i="20"/>
  <c r="AE26" i="20"/>
  <c r="AD26" i="20"/>
  <c r="AB26" i="20"/>
  <c r="AA26" i="20"/>
  <c r="T26" i="20"/>
  <c r="S26" i="20"/>
  <c r="R26" i="20"/>
  <c r="P26" i="20"/>
  <c r="O26" i="20"/>
  <c r="N26" i="20"/>
  <c r="G26" i="20"/>
  <c r="F26" i="20"/>
  <c r="E26" i="20"/>
  <c r="D26" i="20"/>
  <c r="C26" i="20"/>
  <c r="B26" i="20"/>
  <c r="AY25" i="20"/>
  <c r="AS25" i="20"/>
  <c r="AJ25" i="20"/>
  <c r="AF25" i="20"/>
  <c r="AE25" i="20"/>
  <c r="AD25" i="20"/>
  <c r="AA25" i="20"/>
  <c r="AN25" i="20" s="1"/>
  <c r="W25" i="20"/>
  <c r="Y25" i="20" s="1"/>
  <c r="Z25" i="20" s="1"/>
  <c r="T25" i="20"/>
  <c r="S25" i="20"/>
  <c r="AC25" i="20" s="1"/>
  <c r="R25" i="20"/>
  <c r="AB25" i="20" s="1"/>
  <c r="O25" i="20"/>
  <c r="N25" i="20"/>
  <c r="P25" i="20" s="1"/>
  <c r="G25" i="20"/>
  <c r="F25" i="20"/>
  <c r="E25" i="20"/>
  <c r="D25" i="20"/>
  <c r="C25" i="20"/>
  <c r="B25" i="20"/>
  <c r="AY24" i="20"/>
  <c r="AL24" i="20"/>
  <c r="AR24" i="20" s="1"/>
  <c r="AF24" i="20"/>
  <c r="AE24" i="20"/>
  <c r="AA24" i="20"/>
  <c r="Z24" i="20"/>
  <c r="W24" i="20"/>
  <c r="Y24" i="20" s="1"/>
  <c r="O24" i="20"/>
  <c r="N24" i="20"/>
  <c r="P24" i="20" s="1"/>
  <c r="G24" i="20"/>
  <c r="F24" i="20"/>
  <c r="E24" i="20"/>
  <c r="D24" i="20"/>
  <c r="C24" i="20"/>
  <c r="B24" i="20"/>
  <c r="AY23" i="20"/>
  <c r="AF23" i="20"/>
  <c r="AE23" i="20"/>
  <c r="Y23" i="20"/>
  <c r="Z23" i="20" s="1"/>
  <c r="T23" i="20"/>
  <c r="AD23" i="20" s="1"/>
  <c r="S23" i="20"/>
  <c r="AC23" i="20" s="1"/>
  <c r="R23" i="20"/>
  <c r="W23" i="20" s="1"/>
  <c r="O23" i="20"/>
  <c r="N23" i="20"/>
  <c r="G23" i="20"/>
  <c r="F23" i="20"/>
  <c r="E23" i="20"/>
  <c r="D23" i="20"/>
  <c r="C23" i="20"/>
  <c r="B23" i="20"/>
  <c r="AY22" i="20"/>
  <c r="AL22" i="20"/>
  <c r="AR22" i="20" s="1"/>
  <c r="AF22" i="20"/>
  <c r="AE22" i="20"/>
  <c r="AD22" i="20"/>
  <c r="AB22" i="20"/>
  <c r="AA22" i="20"/>
  <c r="T22" i="20"/>
  <c r="S22" i="20"/>
  <c r="W22" i="20" s="1"/>
  <c r="Y22" i="20" s="1"/>
  <c r="Z22" i="20" s="1"/>
  <c r="R22" i="20"/>
  <c r="P22" i="20"/>
  <c r="O22" i="20"/>
  <c r="N22" i="20"/>
  <c r="G22" i="20"/>
  <c r="F22" i="20"/>
  <c r="E22" i="20"/>
  <c r="D22" i="20"/>
  <c r="C22" i="20"/>
  <c r="B22" i="20"/>
  <c r="AY21" i="20"/>
  <c r="AF21" i="20"/>
  <c r="AE21" i="20"/>
  <c r="AC21" i="20"/>
  <c r="Y21" i="20"/>
  <c r="Z21" i="20" s="1"/>
  <c r="O21" i="20"/>
  <c r="N21" i="20"/>
  <c r="AD21" i="20" s="1"/>
  <c r="G21" i="20"/>
  <c r="F21" i="20"/>
  <c r="E21" i="20"/>
  <c r="D21" i="20"/>
  <c r="C21" i="20"/>
  <c r="B21" i="20"/>
  <c r="AY20" i="20"/>
  <c r="AJ20" i="20"/>
  <c r="AD20" i="20"/>
  <c r="AB20" i="20"/>
  <c r="AN20" i="20" s="1"/>
  <c r="AA20" i="20"/>
  <c r="V20" i="20"/>
  <c r="AF20" i="20" s="1"/>
  <c r="U20" i="20"/>
  <c r="AE20" i="20" s="1"/>
  <c r="T20" i="20"/>
  <c r="S20" i="20"/>
  <c r="AC20" i="20" s="1"/>
  <c r="R20" i="20"/>
  <c r="AL20" i="20" s="1"/>
  <c r="AR20" i="20" s="1"/>
  <c r="O20" i="20"/>
  <c r="N20" i="20"/>
  <c r="P20" i="20" s="1"/>
  <c r="G20" i="20"/>
  <c r="F20" i="20"/>
  <c r="E20" i="20"/>
  <c r="D20" i="20"/>
  <c r="C20" i="20"/>
  <c r="B20" i="20"/>
  <c r="AY19" i="20"/>
  <c r="AE19" i="20"/>
  <c r="V19" i="20"/>
  <c r="AF19" i="20" s="1"/>
  <c r="U19" i="20"/>
  <c r="T19" i="20"/>
  <c r="S19" i="20"/>
  <c r="R19" i="20"/>
  <c r="O19" i="20"/>
  <c r="N19" i="20"/>
  <c r="G19" i="20"/>
  <c r="F19" i="20"/>
  <c r="E19" i="20"/>
  <c r="D19" i="20"/>
  <c r="C19" i="20"/>
  <c r="B19" i="20"/>
  <c r="AY18" i="20"/>
  <c r="AD18" i="20"/>
  <c r="AB18" i="20"/>
  <c r="AN18" i="20" s="1"/>
  <c r="AA18" i="20"/>
  <c r="V18" i="20"/>
  <c r="AF18" i="20" s="1"/>
  <c r="U18" i="20"/>
  <c r="AE18" i="20" s="1"/>
  <c r="T18" i="20"/>
  <c r="S18" i="20"/>
  <c r="AC18" i="20" s="1"/>
  <c r="R18" i="20"/>
  <c r="P18" i="20"/>
  <c r="O18" i="20"/>
  <c r="N18" i="20"/>
  <c r="G18" i="20"/>
  <c r="F18" i="20"/>
  <c r="E18" i="20"/>
  <c r="D18" i="20"/>
  <c r="C18" i="20"/>
  <c r="B18" i="20"/>
  <c r="AZ17" i="20"/>
  <c r="AY17" i="20"/>
  <c r="AL17" i="20"/>
  <c r="AR17" i="20" s="1"/>
  <c r="AJ17" i="20"/>
  <c r="AF17" i="20"/>
  <c r="AE17" i="20"/>
  <c r="AD17" i="20"/>
  <c r="AB17" i="20"/>
  <c r="AA17" i="20"/>
  <c r="Y17" i="20"/>
  <c r="Z17" i="20" s="1"/>
  <c r="W17" i="20"/>
  <c r="P17" i="20"/>
  <c r="O17" i="20"/>
  <c r="N17" i="20"/>
  <c r="AC17" i="20" s="1"/>
  <c r="G17" i="20"/>
  <c r="F17" i="20"/>
  <c r="E17" i="20"/>
  <c r="D17" i="20"/>
  <c r="C17" i="20"/>
  <c r="B17" i="20"/>
  <c r="AZ16" i="20"/>
  <c r="AY16" i="20"/>
  <c r="AJ16" i="20"/>
  <c r="AF16" i="20"/>
  <c r="AE16" i="20"/>
  <c r="AA16" i="20"/>
  <c r="V16" i="20"/>
  <c r="S16" i="20"/>
  <c r="AC16" i="20" s="1"/>
  <c r="O16" i="20"/>
  <c r="N16" i="20"/>
  <c r="AD16" i="20" s="1"/>
  <c r="G16" i="20"/>
  <c r="F16" i="20"/>
  <c r="E16" i="20"/>
  <c r="D16" i="20"/>
  <c r="C16" i="20"/>
  <c r="B16" i="20"/>
  <c r="AZ15" i="20"/>
  <c r="AY15" i="20"/>
  <c r="AF15" i="20"/>
  <c r="AD15" i="20"/>
  <c r="AA15" i="20"/>
  <c r="AN15" i="20" s="1"/>
  <c r="W15" i="20"/>
  <c r="Y15" i="20" s="1"/>
  <c r="Z15" i="20" s="1"/>
  <c r="V15" i="20"/>
  <c r="U15" i="20"/>
  <c r="AE15" i="20" s="1"/>
  <c r="S15" i="20"/>
  <c r="AC15" i="20" s="1"/>
  <c r="R15" i="20"/>
  <c r="AB15" i="20" s="1"/>
  <c r="P15" i="20"/>
  <c r="O15" i="20"/>
  <c r="N15" i="20"/>
  <c r="G15" i="20"/>
  <c r="F15" i="20"/>
  <c r="E15" i="20"/>
  <c r="D15" i="20"/>
  <c r="C15" i="20"/>
  <c r="B15" i="20"/>
  <c r="AZ14" i="20"/>
  <c r="AY14" i="20"/>
  <c r="AR14" i="20"/>
  <c r="AL14" i="20"/>
  <c r="AF14" i="20"/>
  <c r="AE14" i="20"/>
  <c r="Z14" i="20"/>
  <c r="W14" i="20"/>
  <c r="Y14" i="20" s="1"/>
  <c r="O14" i="20"/>
  <c r="N14" i="20"/>
  <c r="AC14" i="20" s="1"/>
  <c r="G14" i="20"/>
  <c r="F14" i="20"/>
  <c r="E14" i="20"/>
  <c r="D14" i="20"/>
  <c r="C14" i="20"/>
  <c r="B14" i="20"/>
  <c r="AZ13" i="20"/>
  <c r="AY13" i="20"/>
  <c r="AE13" i="20"/>
  <c r="AC13" i="20"/>
  <c r="AN13" i="20" s="1"/>
  <c r="AB13" i="20"/>
  <c r="AA13" i="20"/>
  <c r="AJ13" i="20" s="1"/>
  <c r="AS13" i="20" s="1"/>
  <c r="V13" i="20"/>
  <c r="AF13" i="20" s="1"/>
  <c r="U13" i="20"/>
  <c r="S13" i="20"/>
  <c r="R13" i="20"/>
  <c r="P13" i="20"/>
  <c r="O13" i="20"/>
  <c r="N13" i="20"/>
  <c r="AD13" i="20" s="1"/>
  <c r="G13" i="20"/>
  <c r="F13" i="20"/>
  <c r="E13" i="20"/>
  <c r="D13" i="20"/>
  <c r="C13" i="20"/>
  <c r="B13" i="20"/>
  <c r="AZ12" i="20"/>
  <c r="AY12" i="20"/>
  <c r="AF12" i="20"/>
  <c r="Y12" i="20"/>
  <c r="Z12" i="20" s="1"/>
  <c r="W12" i="20"/>
  <c r="V12" i="20"/>
  <c r="U12" i="20"/>
  <c r="AE12" i="20" s="1"/>
  <c r="T12" i="20"/>
  <c r="S12" i="20"/>
  <c r="R12" i="20"/>
  <c r="O12" i="20"/>
  <c r="N12" i="20"/>
  <c r="P12" i="20" s="1"/>
  <c r="G12" i="20"/>
  <c r="F12" i="20"/>
  <c r="E12" i="20"/>
  <c r="D12" i="20"/>
  <c r="C12" i="20"/>
  <c r="B12" i="20"/>
  <c r="AZ11" i="20"/>
  <c r="AY11" i="20"/>
  <c r="AF11" i="20"/>
  <c r="AE11" i="20"/>
  <c r="AD11" i="20"/>
  <c r="AC11" i="20"/>
  <c r="AA11" i="20"/>
  <c r="W11" i="20"/>
  <c r="Y11" i="20" s="1"/>
  <c r="Z11" i="20" s="1"/>
  <c r="O11" i="20"/>
  <c r="N11" i="20"/>
  <c r="G11" i="20"/>
  <c r="F11" i="20"/>
  <c r="E11" i="20"/>
  <c r="D11" i="20"/>
  <c r="C11" i="20"/>
  <c r="B11" i="20"/>
  <c r="AZ10" i="20"/>
  <c r="AY10" i="20"/>
  <c r="AR10" i="20"/>
  <c r="AF10" i="20"/>
  <c r="AE10" i="20"/>
  <c r="AC10" i="20"/>
  <c r="AB10" i="20"/>
  <c r="W10" i="20"/>
  <c r="Y10" i="20" s="1"/>
  <c r="Z10" i="20" s="1"/>
  <c r="P10" i="20"/>
  <c r="O10" i="20"/>
  <c r="N10" i="20"/>
  <c r="G10" i="20"/>
  <c r="F10" i="20"/>
  <c r="E10" i="20"/>
  <c r="D10" i="20"/>
  <c r="C10" i="20"/>
  <c r="B10" i="20"/>
  <c r="AZ9" i="20"/>
  <c r="AY9" i="20"/>
  <c r="AE9" i="20"/>
  <c r="AD9" i="20"/>
  <c r="AC9" i="20"/>
  <c r="AK9" i="20" s="1"/>
  <c r="AB9" i="20"/>
  <c r="AA9" i="20"/>
  <c r="AJ9" i="20" s="1"/>
  <c r="AS9" i="20" s="1"/>
  <c r="V9" i="20"/>
  <c r="AF9" i="20" s="1"/>
  <c r="AN9" i="20" s="1"/>
  <c r="U9" i="20"/>
  <c r="S9" i="20"/>
  <c r="R9" i="20"/>
  <c r="P9" i="20"/>
  <c r="O9" i="20"/>
  <c r="N9" i="20"/>
  <c r="G9" i="20"/>
  <c r="F9" i="20"/>
  <c r="E9" i="20"/>
  <c r="D9" i="20"/>
  <c r="C9" i="20"/>
  <c r="B9" i="20"/>
  <c r="AZ8" i="20"/>
  <c r="AY8" i="20"/>
  <c r="AS8" i="20"/>
  <c r="AR8" i="20"/>
  <c r="AL8" i="20"/>
  <c r="AJ8" i="20"/>
  <c r="AF8" i="20"/>
  <c r="AE8" i="20"/>
  <c r="AD8" i="20"/>
  <c r="AB8" i="20"/>
  <c r="AA8" i="20"/>
  <c r="Y8" i="20"/>
  <c r="Z8" i="20" s="1"/>
  <c r="W8" i="20"/>
  <c r="P8" i="20"/>
  <c r="O8" i="20"/>
  <c r="N8" i="20"/>
  <c r="AC8" i="20" s="1"/>
  <c r="G8" i="20"/>
  <c r="F8" i="20"/>
  <c r="E8" i="20"/>
  <c r="D8" i="20"/>
  <c r="C8" i="20"/>
  <c r="B8" i="20"/>
  <c r="AZ7" i="20"/>
  <c r="AH7" i="20"/>
  <c r="AF7" i="20"/>
  <c r="AE7" i="20"/>
  <c r="AD7" i="20"/>
  <c r="AB7" i="20"/>
  <c r="AL7" i="20" s="1"/>
  <c r="AR7" i="20" s="1"/>
  <c r="AA7" i="20"/>
  <c r="AK7" i="20" s="1"/>
  <c r="Y7" i="20"/>
  <c r="Z7" i="20" s="1"/>
  <c r="W7" i="20"/>
  <c r="P7" i="20"/>
  <c r="O7" i="20"/>
  <c r="N7" i="20"/>
  <c r="AC7" i="20" s="1"/>
  <c r="G7" i="20"/>
  <c r="F7" i="20"/>
  <c r="E7" i="20"/>
  <c r="D7" i="20"/>
  <c r="C7" i="20"/>
  <c r="B7" i="20"/>
  <c r="AZ6" i="20"/>
  <c r="AK6" i="20"/>
  <c r="AH6" i="20"/>
  <c r="AF6" i="20"/>
  <c r="AE6" i="20"/>
  <c r="AD6" i="20"/>
  <c r="AB6" i="20"/>
  <c r="AA6" i="20"/>
  <c r="W6" i="20"/>
  <c r="Y6" i="20" s="1"/>
  <c r="Z6" i="20" s="1"/>
  <c r="P6" i="20"/>
  <c r="O6" i="20"/>
  <c r="N6" i="20"/>
  <c r="AC6" i="20" s="1"/>
  <c r="G6" i="20"/>
  <c r="F6" i="20"/>
  <c r="E6" i="20"/>
  <c r="D6" i="20"/>
  <c r="C6" i="20"/>
  <c r="B6" i="20"/>
  <c r="AZ5" i="20"/>
  <c r="AH5" i="20"/>
  <c r="AF5" i="20"/>
  <c r="AE5" i="20"/>
  <c r="AD5" i="20"/>
  <c r="AB5" i="20"/>
  <c r="AA5" i="20"/>
  <c r="AK5" i="20" s="1"/>
  <c r="W5" i="20"/>
  <c r="Y5" i="20" s="1"/>
  <c r="Z5" i="20" s="1"/>
  <c r="P5" i="20"/>
  <c r="O5" i="20"/>
  <c r="N5" i="20"/>
  <c r="AC5" i="20" s="1"/>
  <c r="G5" i="20"/>
  <c r="F5" i="20"/>
  <c r="E5" i="20"/>
  <c r="D5" i="20"/>
  <c r="C5" i="20"/>
  <c r="B5" i="20"/>
  <c r="AZ4" i="20"/>
  <c r="AY4" i="20"/>
  <c r="AR4" i="20"/>
  <c r="AL4" i="20"/>
  <c r="AF4" i="20"/>
  <c r="AD4" i="20"/>
  <c r="AA4" i="20"/>
  <c r="W4" i="20"/>
  <c r="Y4" i="20" s="1"/>
  <c r="Z4" i="20" s="1"/>
  <c r="P4" i="20"/>
  <c r="O4" i="20"/>
  <c r="N4" i="20"/>
  <c r="G4" i="20"/>
  <c r="F4" i="20"/>
  <c r="E4" i="20"/>
  <c r="D4" i="20"/>
  <c r="C4" i="20"/>
  <c r="B4" i="20"/>
  <c r="AZ3" i="20"/>
  <c r="AY3" i="20"/>
  <c r="AL3" i="20"/>
  <c r="AR3" i="20" s="1"/>
  <c r="AF3" i="20"/>
  <c r="AB3" i="20"/>
  <c r="W3" i="20"/>
  <c r="O3" i="20"/>
  <c r="N3" i="20"/>
  <c r="P3" i="20" s="1"/>
  <c r="G3" i="20"/>
  <c r="F3" i="20"/>
  <c r="E3" i="20"/>
  <c r="D3" i="20"/>
  <c r="C3" i="20"/>
  <c r="B3" i="20"/>
  <c r="AV38" i="17"/>
  <c r="AS38" i="17"/>
  <c r="AT38" i="17" s="1"/>
  <c r="AP38" i="17"/>
  <c r="AI38" i="17"/>
  <c r="AO38" i="17" s="1"/>
  <c r="AC38" i="17"/>
  <c r="AB38" i="17"/>
  <c r="W38" i="17"/>
  <c r="G38" i="17"/>
  <c r="F38" i="17"/>
  <c r="E38" i="17"/>
  <c r="C38" i="17"/>
  <c r="B38" i="17"/>
  <c r="AS37" i="17"/>
  <c r="AK37" i="17"/>
  <c r="X37" i="17"/>
  <c r="AM37" i="17" s="1"/>
  <c r="AN37" i="17" s="1"/>
  <c r="W37" i="17"/>
  <c r="P37" i="17"/>
  <c r="G37" i="17"/>
  <c r="F37" i="17"/>
  <c r="E37" i="17"/>
  <c r="C37" i="17"/>
  <c r="B37" i="17"/>
  <c r="AS36" i="17"/>
  <c r="AN36" i="17"/>
  <c r="AM36" i="17"/>
  <c r="AK36" i="17"/>
  <c r="G36" i="17"/>
  <c r="F36" i="17"/>
  <c r="E36" i="17"/>
  <c r="C36" i="17"/>
  <c r="B36" i="17"/>
  <c r="AS35" i="17"/>
  <c r="AL35" i="17"/>
  <c r="W35" i="17"/>
  <c r="G35" i="17"/>
  <c r="F35" i="17"/>
  <c r="E35" i="17"/>
  <c r="C35" i="17"/>
  <c r="B35" i="17"/>
  <c r="AC34" i="17"/>
  <c r="AB34" i="17"/>
  <c r="W34" i="17"/>
  <c r="G34" i="17"/>
  <c r="F34" i="17"/>
  <c r="E34" i="17"/>
  <c r="C34" i="17"/>
  <c r="B34" i="17"/>
  <c r="AC33" i="17"/>
  <c r="AB33" i="17"/>
  <c r="W33" i="17"/>
  <c r="G33" i="17"/>
  <c r="F33" i="17"/>
  <c r="E33" i="17"/>
  <c r="C33" i="17"/>
  <c r="B33" i="17"/>
  <c r="AV32" i="17"/>
  <c r="AP32" i="17"/>
  <c r="AO32" i="17"/>
  <c r="AI32" i="17"/>
  <c r="AC32" i="17"/>
  <c r="AB32" i="17"/>
  <c r="W32" i="17"/>
  <c r="G32" i="17"/>
  <c r="F32" i="17"/>
  <c r="E32" i="17"/>
  <c r="D32" i="17"/>
  <c r="C32" i="17"/>
  <c r="B32" i="17"/>
  <c r="AV31" i="17"/>
  <c r="AC31" i="17"/>
  <c r="AB31" i="17"/>
  <c r="W31" i="17"/>
  <c r="G31" i="17"/>
  <c r="F31" i="17"/>
  <c r="E31" i="17"/>
  <c r="D31" i="17"/>
  <c r="C31" i="17"/>
  <c r="B31" i="17"/>
  <c r="AV30" i="17"/>
  <c r="AC30" i="17"/>
  <c r="AB30" i="17"/>
  <c r="W30" i="17"/>
  <c r="G30" i="17"/>
  <c r="F30" i="17"/>
  <c r="E30" i="17"/>
  <c r="D30" i="17"/>
  <c r="C30" i="17"/>
  <c r="B30" i="17"/>
  <c r="AV29" i="17"/>
  <c r="AO29" i="17"/>
  <c r="AI29" i="17"/>
  <c r="AC29" i="17"/>
  <c r="AB29" i="17"/>
  <c r="W29" i="17"/>
  <c r="G29" i="17"/>
  <c r="F29" i="17"/>
  <c r="E29" i="17"/>
  <c r="D29" i="17"/>
  <c r="C29" i="17"/>
  <c r="B29" i="17"/>
  <c r="AV28" i="17"/>
  <c r="AI28" i="17"/>
  <c r="AO28" i="17" s="1"/>
  <c r="AC28" i="17"/>
  <c r="AB28" i="17"/>
  <c r="W28" i="17"/>
  <c r="G28" i="17"/>
  <c r="F28" i="17"/>
  <c r="E28" i="17"/>
  <c r="D28" i="17"/>
  <c r="C28" i="17"/>
  <c r="B28" i="17"/>
  <c r="AV27" i="17"/>
  <c r="AT27" i="17"/>
  <c r="AO27" i="17"/>
  <c r="AI27" i="17"/>
  <c r="AC27" i="17"/>
  <c r="AB27" i="17"/>
  <c r="W27" i="17"/>
  <c r="G27" i="17"/>
  <c r="F27" i="17"/>
  <c r="E27" i="17"/>
  <c r="D27" i="17"/>
  <c r="C27" i="17"/>
  <c r="B27" i="17"/>
  <c r="AV26" i="17"/>
  <c r="AC26" i="17"/>
  <c r="AB26" i="17"/>
  <c r="W26" i="17"/>
  <c r="G26" i="17"/>
  <c r="F26" i="17"/>
  <c r="E26" i="17"/>
  <c r="D26" i="17"/>
  <c r="C26" i="17"/>
  <c r="B26" i="17"/>
  <c r="AV25" i="17"/>
  <c r="AI25" i="17"/>
  <c r="AO25" i="17" s="1"/>
  <c r="AC25" i="17"/>
  <c r="AB25" i="17"/>
  <c r="W25" i="17"/>
  <c r="G25" i="17"/>
  <c r="F25" i="17"/>
  <c r="E25" i="17"/>
  <c r="D25" i="17"/>
  <c r="C25" i="17"/>
  <c r="B25" i="17"/>
  <c r="AV24" i="17"/>
  <c r="AO24" i="17"/>
  <c r="AI24" i="17"/>
  <c r="AC24" i="17"/>
  <c r="AB24" i="17"/>
  <c r="W24" i="17"/>
  <c r="G24" i="17"/>
  <c r="F24" i="17"/>
  <c r="E24" i="17"/>
  <c r="D24" i="17"/>
  <c r="C24" i="17"/>
  <c r="B24" i="17"/>
  <c r="AV23" i="17"/>
  <c r="AI23" i="17"/>
  <c r="AO23" i="17" s="1"/>
  <c r="AC23" i="17"/>
  <c r="AB23" i="17"/>
  <c r="W23" i="17"/>
  <c r="G23" i="17"/>
  <c r="F23" i="17"/>
  <c r="E23" i="17"/>
  <c r="D23" i="17"/>
  <c r="C23" i="17"/>
  <c r="B23" i="17"/>
  <c r="AV22" i="17"/>
  <c r="AI22" i="17"/>
  <c r="AO22" i="17" s="1"/>
  <c r="AC22" i="17"/>
  <c r="AB22" i="17"/>
  <c r="W22" i="17"/>
  <c r="G22" i="17"/>
  <c r="F22" i="17"/>
  <c r="E22" i="17"/>
  <c r="D22" i="17"/>
  <c r="C22" i="17"/>
  <c r="B22" i="17"/>
  <c r="AS21" i="17"/>
  <c r="K21" i="17"/>
  <c r="G21" i="17"/>
  <c r="F21" i="17"/>
  <c r="E21" i="17"/>
  <c r="D21" i="17"/>
  <c r="C21" i="17"/>
  <c r="B21" i="17"/>
  <c r="AV20" i="17"/>
  <c r="AO20" i="17"/>
  <c r="AI20" i="17"/>
  <c r="AC20" i="17"/>
  <c r="AB20" i="17"/>
  <c r="W20" i="17"/>
  <c r="G20" i="17"/>
  <c r="F20" i="17"/>
  <c r="E20" i="17"/>
  <c r="D20" i="17"/>
  <c r="C20" i="17"/>
  <c r="B20" i="17"/>
  <c r="AV19" i="17"/>
  <c r="AI19" i="17"/>
  <c r="AO19" i="17" s="1"/>
  <c r="AC19" i="17"/>
  <c r="AB19" i="17"/>
  <c r="W19" i="17"/>
  <c r="G19" i="17"/>
  <c r="F19" i="17"/>
  <c r="E19" i="17"/>
  <c r="D19" i="17"/>
  <c r="C19" i="17"/>
  <c r="B19" i="17"/>
  <c r="AV18" i="17"/>
  <c r="AI18" i="17"/>
  <c r="AO18" i="17" s="1"/>
  <c r="AC18" i="17"/>
  <c r="AB18" i="17"/>
  <c r="W18" i="17"/>
  <c r="G18" i="17"/>
  <c r="F18" i="17"/>
  <c r="E18" i="17"/>
  <c r="D18" i="17"/>
  <c r="C18" i="17"/>
  <c r="B18" i="17"/>
  <c r="AW17" i="17"/>
  <c r="AV17" i="17"/>
  <c r="AC17" i="17"/>
  <c r="AB17" i="17"/>
  <c r="T17" i="17"/>
  <c r="S17" i="17"/>
  <c r="R17" i="17"/>
  <c r="K17" i="17"/>
  <c r="N17" i="17" s="1"/>
  <c r="G17" i="17"/>
  <c r="F17" i="17"/>
  <c r="E17" i="17"/>
  <c r="D17" i="17"/>
  <c r="C17" i="17"/>
  <c r="B17" i="17"/>
  <c r="AW16" i="17"/>
  <c r="AV16" i="17"/>
  <c r="AO16" i="17"/>
  <c r="AI16" i="17"/>
  <c r="AC16" i="17"/>
  <c r="AB16" i="17"/>
  <c r="W16" i="17"/>
  <c r="G16" i="17"/>
  <c r="F16" i="17"/>
  <c r="E16" i="17"/>
  <c r="D16" i="17"/>
  <c r="C16" i="17"/>
  <c r="B16" i="17"/>
  <c r="AW15" i="17"/>
  <c r="AV15" i="17"/>
  <c r="AC15" i="17"/>
  <c r="AB15" i="17"/>
  <c r="W15" i="17"/>
  <c r="G15" i="17"/>
  <c r="F15" i="17"/>
  <c r="E15" i="17"/>
  <c r="D15" i="17"/>
  <c r="C15" i="17"/>
  <c r="B15" i="17"/>
  <c r="AW14" i="17"/>
  <c r="AV14" i="17"/>
  <c r="AI14" i="17"/>
  <c r="AO14" i="17" s="1"/>
  <c r="AB14" i="17"/>
  <c r="W14" i="17"/>
  <c r="G14" i="17"/>
  <c r="F14" i="17"/>
  <c r="E14" i="17"/>
  <c r="D14" i="17"/>
  <c r="C14" i="17"/>
  <c r="B14" i="17"/>
  <c r="AW13" i="17"/>
  <c r="AV13" i="17"/>
  <c r="AO13" i="17"/>
  <c r="AI13" i="17"/>
  <c r="AC13" i="17"/>
  <c r="AB13" i="17"/>
  <c r="W13" i="17"/>
  <c r="G13" i="17"/>
  <c r="F13" i="17"/>
  <c r="E13" i="17"/>
  <c r="D13" i="17"/>
  <c r="C13" i="17"/>
  <c r="B13" i="17"/>
  <c r="AW12" i="17"/>
  <c r="AV12" i="17"/>
  <c r="AO12" i="17"/>
  <c r="AI12" i="17"/>
  <c r="AA12" i="17"/>
  <c r="Z12" i="17"/>
  <c r="Y12" i="17"/>
  <c r="X12" i="17"/>
  <c r="AK12" i="17" s="1"/>
  <c r="W12" i="17"/>
  <c r="P12" i="17"/>
  <c r="G12" i="17"/>
  <c r="F12" i="17"/>
  <c r="E12" i="17"/>
  <c r="D12" i="17"/>
  <c r="C12" i="17"/>
  <c r="B12" i="17"/>
  <c r="AW11" i="17"/>
  <c r="AV11" i="17"/>
  <c r="W11" i="17"/>
  <c r="G11" i="17"/>
  <c r="F11" i="17"/>
  <c r="E11" i="17"/>
  <c r="D11" i="17"/>
  <c r="C11" i="17"/>
  <c r="B11" i="17"/>
  <c r="AW10" i="17"/>
  <c r="AV10" i="17"/>
  <c r="AO10" i="17"/>
  <c r="AC10" i="17"/>
  <c r="AB10" i="17"/>
  <c r="W10" i="17"/>
  <c r="G10" i="17"/>
  <c r="F10" i="17"/>
  <c r="E10" i="17"/>
  <c r="D10" i="17"/>
  <c r="C10" i="17"/>
  <c r="B10" i="17"/>
  <c r="AW9" i="17"/>
  <c r="AV9" i="17"/>
  <c r="AC9" i="17"/>
  <c r="AB9" i="17"/>
  <c r="W9" i="17"/>
  <c r="G9" i="17"/>
  <c r="F9" i="17"/>
  <c r="E9" i="17"/>
  <c r="D9" i="17"/>
  <c r="C9" i="17"/>
  <c r="B9" i="17"/>
  <c r="AW8" i="17"/>
  <c r="AV8" i="17"/>
  <c r="AP8" i="17"/>
  <c r="AL8" i="17"/>
  <c r="AK8" i="17"/>
  <c r="AR8" i="17" s="1"/>
  <c r="AI8" i="17"/>
  <c r="AO8" i="17" s="1"/>
  <c r="AC8" i="17"/>
  <c r="AB8" i="17"/>
  <c r="AM8" i="17" s="1"/>
  <c r="AN8" i="17" s="1"/>
  <c r="P8" i="17"/>
  <c r="G8" i="17"/>
  <c r="F8" i="17"/>
  <c r="E8" i="17"/>
  <c r="D8" i="17"/>
  <c r="C8" i="17"/>
  <c r="B8" i="17"/>
  <c r="AW7" i="17"/>
  <c r="AE7" i="17"/>
  <c r="AC7" i="17"/>
  <c r="AB7" i="17"/>
  <c r="W7" i="17"/>
  <c r="G7" i="17"/>
  <c r="F7" i="17"/>
  <c r="E7" i="17"/>
  <c r="D7" i="17"/>
  <c r="C7" i="17"/>
  <c r="B7" i="17"/>
  <c r="AW6" i="17"/>
  <c r="AE6" i="17"/>
  <c r="AC6" i="17"/>
  <c r="AB6" i="17"/>
  <c r="W6" i="17"/>
  <c r="G6" i="17"/>
  <c r="F6" i="17"/>
  <c r="E6" i="17"/>
  <c r="D6" i="17"/>
  <c r="C6" i="17"/>
  <c r="B6" i="17"/>
  <c r="AW5" i="17"/>
  <c r="AE5" i="17"/>
  <c r="AC5" i="17"/>
  <c r="AB5" i="17"/>
  <c r="W5" i="17"/>
  <c r="G5" i="17"/>
  <c r="F5" i="17"/>
  <c r="E5" i="17"/>
  <c r="D5" i="17"/>
  <c r="C5" i="17"/>
  <c r="B5" i="17"/>
  <c r="AW4" i="17"/>
  <c r="AV4" i="17"/>
  <c r="AO4" i="17"/>
  <c r="AI4" i="17"/>
  <c r="AC4" i="17"/>
  <c r="W4" i="17"/>
  <c r="G4" i="17"/>
  <c r="F4" i="17"/>
  <c r="E4" i="17"/>
  <c r="D4" i="17"/>
  <c r="C4" i="17"/>
  <c r="B4" i="17"/>
  <c r="AW3" i="17"/>
  <c r="AV3" i="17"/>
  <c r="AO3" i="17"/>
  <c r="AI3" i="17"/>
  <c r="AC3" i="17"/>
  <c r="W3" i="17"/>
  <c r="G3" i="17"/>
  <c r="F3" i="17"/>
  <c r="E3" i="17"/>
  <c r="D3" i="17"/>
  <c r="C3" i="17"/>
  <c r="B3" i="17"/>
  <c r="AV38" i="16"/>
  <c r="AT38" i="16"/>
  <c r="AS38" i="16"/>
  <c r="AP38" i="16"/>
  <c r="AI38" i="16"/>
  <c r="AO38" i="16" s="1"/>
  <c r="AC38" i="16"/>
  <c r="AB38" i="16"/>
  <c r="X38" i="16"/>
  <c r="W38" i="16"/>
  <c r="O38" i="16"/>
  <c r="K38" i="17" s="1"/>
  <c r="N38" i="16"/>
  <c r="Z38" i="16" s="1"/>
  <c r="G38" i="16"/>
  <c r="F38" i="16"/>
  <c r="E38" i="16"/>
  <c r="C38" i="16"/>
  <c r="B38" i="16"/>
  <c r="AS37" i="16"/>
  <c r="AM37" i="16"/>
  <c r="AN37" i="16" s="1"/>
  <c r="X37" i="16"/>
  <c r="W37" i="16"/>
  <c r="P37" i="16"/>
  <c r="O37" i="16"/>
  <c r="K37" i="17" s="1"/>
  <c r="O37" i="17" s="1"/>
  <c r="G37" i="16"/>
  <c r="F37" i="16"/>
  <c r="E37" i="16"/>
  <c r="C37" i="16"/>
  <c r="B37" i="16"/>
  <c r="AS36" i="16"/>
  <c r="AM36" i="16"/>
  <c r="AN36" i="16" s="1"/>
  <c r="O36" i="16"/>
  <c r="K36" i="17" s="1"/>
  <c r="O36" i="17" s="1"/>
  <c r="K36" i="16"/>
  <c r="G36" i="16"/>
  <c r="F36" i="16"/>
  <c r="E36" i="16"/>
  <c r="C36" i="16"/>
  <c r="B36" i="16"/>
  <c r="AS35" i="16"/>
  <c r="AL35" i="16"/>
  <c r="W35" i="16"/>
  <c r="G35" i="16"/>
  <c r="F35" i="16"/>
  <c r="E35" i="16"/>
  <c r="C35" i="16"/>
  <c r="B35" i="16"/>
  <c r="AC34" i="16"/>
  <c r="AB34" i="16"/>
  <c r="W34" i="16"/>
  <c r="G34" i="16"/>
  <c r="F34" i="16"/>
  <c r="E34" i="16"/>
  <c r="C34" i="16"/>
  <c r="B34" i="16"/>
  <c r="W33" i="16"/>
  <c r="G33" i="16"/>
  <c r="F33" i="16"/>
  <c r="E33" i="16"/>
  <c r="C33" i="16"/>
  <c r="B33" i="16"/>
  <c r="AV32" i="16"/>
  <c r="AP32" i="16"/>
  <c r="AO32" i="16"/>
  <c r="AI32" i="16"/>
  <c r="AC32" i="16"/>
  <c r="AB32" i="16"/>
  <c r="W32" i="16"/>
  <c r="G32" i="16"/>
  <c r="F32" i="16"/>
  <c r="E32" i="16"/>
  <c r="D32" i="16"/>
  <c r="C32" i="16"/>
  <c r="B32" i="16"/>
  <c r="AV31" i="16"/>
  <c r="W31" i="16"/>
  <c r="G31" i="16"/>
  <c r="F31" i="16"/>
  <c r="E31" i="16"/>
  <c r="D31" i="16"/>
  <c r="C31" i="16"/>
  <c r="B31" i="16"/>
  <c r="AV30" i="16"/>
  <c r="AT30" i="16"/>
  <c r="AS30" i="17" s="1"/>
  <c r="AT30" i="17" s="1"/>
  <c r="W30" i="16"/>
  <c r="G30" i="16"/>
  <c r="F30" i="16"/>
  <c r="E30" i="16"/>
  <c r="D30" i="16"/>
  <c r="C30" i="16"/>
  <c r="B30" i="16"/>
  <c r="AV29" i="16"/>
  <c r="AI29" i="16"/>
  <c r="AO29" i="16" s="1"/>
  <c r="AC29" i="16"/>
  <c r="AB29" i="16"/>
  <c r="W29" i="16"/>
  <c r="G29" i="16"/>
  <c r="F29" i="16"/>
  <c r="E29" i="16"/>
  <c r="D29" i="16"/>
  <c r="C29" i="16"/>
  <c r="B29" i="16"/>
  <c r="AV28" i="16"/>
  <c r="AO28" i="16"/>
  <c r="AI28" i="16"/>
  <c r="AC28" i="16"/>
  <c r="AB28" i="16"/>
  <c r="W28" i="16"/>
  <c r="G28" i="16"/>
  <c r="F28" i="16"/>
  <c r="E28" i="16"/>
  <c r="D28" i="16"/>
  <c r="C28" i="16"/>
  <c r="B28" i="16"/>
  <c r="AV27" i="16"/>
  <c r="AI27" i="16"/>
  <c r="AO27" i="16" s="1"/>
  <c r="AC27" i="16"/>
  <c r="AB27" i="16"/>
  <c r="W27" i="16"/>
  <c r="G27" i="16"/>
  <c r="F27" i="16"/>
  <c r="E27" i="16"/>
  <c r="D27" i="16"/>
  <c r="C27" i="16"/>
  <c r="B27" i="16"/>
  <c r="AV26" i="16"/>
  <c r="W26" i="16"/>
  <c r="G26" i="16"/>
  <c r="F26" i="16"/>
  <c r="E26" i="16"/>
  <c r="D26" i="16"/>
  <c r="C26" i="16"/>
  <c r="B26" i="16"/>
  <c r="AV25" i="16"/>
  <c r="AO25" i="16"/>
  <c r="AI25" i="16"/>
  <c r="AC25" i="16"/>
  <c r="AB25" i="16"/>
  <c r="W25" i="16"/>
  <c r="G25" i="16"/>
  <c r="F25" i="16"/>
  <c r="E25" i="16"/>
  <c r="D25" i="16"/>
  <c r="C25" i="16"/>
  <c r="B25" i="16"/>
  <c r="AV24" i="16"/>
  <c r="AI24" i="16"/>
  <c r="AO24" i="16" s="1"/>
  <c r="AC24" i="16"/>
  <c r="AB24" i="16"/>
  <c r="W24" i="16"/>
  <c r="G24" i="16"/>
  <c r="F24" i="16"/>
  <c r="E24" i="16"/>
  <c r="D24" i="16"/>
  <c r="C24" i="16"/>
  <c r="B24" i="16"/>
  <c r="AV23" i="16"/>
  <c r="AO23" i="16"/>
  <c r="AI23" i="16"/>
  <c r="AC23" i="16"/>
  <c r="AB23" i="16"/>
  <c r="W23" i="16"/>
  <c r="G23" i="16"/>
  <c r="F23" i="16"/>
  <c r="E23" i="16"/>
  <c r="D23" i="16"/>
  <c r="C23" i="16"/>
  <c r="B23" i="16"/>
  <c r="AV22" i="16"/>
  <c r="AI22" i="16"/>
  <c r="AO22" i="16" s="1"/>
  <c r="AC22" i="16"/>
  <c r="AB22" i="16"/>
  <c r="W22" i="16"/>
  <c r="G22" i="16"/>
  <c r="F22" i="16"/>
  <c r="E22" i="16"/>
  <c r="D22" i="16"/>
  <c r="C22" i="16"/>
  <c r="B22" i="16"/>
  <c r="AS21" i="16"/>
  <c r="K21" i="16"/>
  <c r="G21" i="16"/>
  <c r="F21" i="16"/>
  <c r="E21" i="16"/>
  <c r="D21" i="16"/>
  <c r="C21" i="16"/>
  <c r="B21" i="16"/>
  <c r="AV20" i="16"/>
  <c r="AO20" i="16"/>
  <c r="AI20" i="16"/>
  <c r="AC20" i="16"/>
  <c r="AB20" i="16"/>
  <c r="W20" i="16"/>
  <c r="G20" i="16"/>
  <c r="F20" i="16"/>
  <c r="E20" i="16"/>
  <c r="D20" i="16"/>
  <c r="C20" i="16"/>
  <c r="B20" i="16"/>
  <c r="AV19" i="16"/>
  <c r="AI19" i="16"/>
  <c r="AO19" i="16" s="1"/>
  <c r="AC19" i="16"/>
  <c r="AB19" i="16"/>
  <c r="W19" i="16"/>
  <c r="G19" i="16"/>
  <c r="F19" i="16"/>
  <c r="E19" i="16"/>
  <c r="D19" i="16"/>
  <c r="C19" i="16"/>
  <c r="B19" i="16"/>
  <c r="AV18" i="16"/>
  <c r="AO18" i="16"/>
  <c r="AI18" i="16"/>
  <c r="AC18" i="16"/>
  <c r="AB18" i="16"/>
  <c r="W18" i="16"/>
  <c r="G18" i="16"/>
  <c r="F18" i="16"/>
  <c r="E18" i="16"/>
  <c r="D18" i="16"/>
  <c r="C18" i="16"/>
  <c r="B18" i="16"/>
  <c r="AW17" i="16"/>
  <c r="AV17" i="16"/>
  <c r="AC17" i="16"/>
  <c r="AB17" i="16"/>
  <c r="T17" i="16"/>
  <c r="AA17" i="16" s="1"/>
  <c r="S17" i="16"/>
  <c r="Z17" i="16" s="1"/>
  <c r="R17" i="16"/>
  <c r="W17" i="16" s="1"/>
  <c r="P17" i="16"/>
  <c r="N17" i="16"/>
  <c r="X17" i="16" s="1"/>
  <c r="K17" i="16"/>
  <c r="G17" i="16"/>
  <c r="F17" i="16"/>
  <c r="E17" i="16"/>
  <c r="D17" i="16"/>
  <c r="C17" i="16"/>
  <c r="B17" i="16"/>
  <c r="AW16" i="16"/>
  <c r="AV16" i="16"/>
  <c r="AO16" i="16"/>
  <c r="AI16" i="16"/>
  <c r="AB16" i="16"/>
  <c r="W16" i="16"/>
  <c r="G16" i="16"/>
  <c r="F16" i="16"/>
  <c r="E16" i="16"/>
  <c r="D16" i="16"/>
  <c r="C16" i="16"/>
  <c r="B16" i="16"/>
  <c r="AW15" i="16"/>
  <c r="AV15" i="16"/>
  <c r="AC15" i="16"/>
  <c r="AB15" i="16"/>
  <c r="W15" i="16"/>
  <c r="G15" i="16"/>
  <c r="F15" i="16"/>
  <c r="E15" i="16"/>
  <c r="D15" i="16"/>
  <c r="C15" i="16"/>
  <c r="B15" i="16"/>
  <c r="AW14" i="16"/>
  <c r="AV14" i="16"/>
  <c r="AI14" i="16"/>
  <c r="AO14" i="16" s="1"/>
  <c r="AC14" i="16"/>
  <c r="AB14" i="16"/>
  <c r="W14" i="16"/>
  <c r="G14" i="16"/>
  <c r="F14" i="16"/>
  <c r="E14" i="16"/>
  <c r="D14" i="16"/>
  <c r="C14" i="16"/>
  <c r="B14" i="16"/>
  <c r="AW13" i="16"/>
  <c r="AV13" i="16"/>
  <c r="AI13" i="16"/>
  <c r="AO13" i="16" s="1"/>
  <c r="AC13" i="16"/>
  <c r="AB13" i="16"/>
  <c r="W13" i="16"/>
  <c r="G13" i="16"/>
  <c r="F13" i="16"/>
  <c r="E13" i="16"/>
  <c r="D13" i="16"/>
  <c r="C13" i="16"/>
  <c r="B13" i="16"/>
  <c r="AW12" i="16"/>
  <c r="AV12" i="16"/>
  <c r="AI12" i="16"/>
  <c r="AO12" i="16" s="1"/>
  <c r="AH12" i="16"/>
  <c r="AG12" i="16"/>
  <c r="AP12" i="16" s="1"/>
  <c r="AC12" i="16"/>
  <c r="AB12" i="16"/>
  <c r="AA12" i="16"/>
  <c r="Z12" i="16"/>
  <c r="Y12" i="16"/>
  <c r="X12" i="16"/>
  <c r="AK12" i="16" s="1"/>
  <c r="AR12" i="16" s="1"/>
  <c r="W12" i="16"/>
  <c r="P12" i="16"/>
  <c r="G12" i="16"/>
  <c r="F12" i="16"/>
  <c r="E12" i="16"/>
  <c r="D12" i="16"/>
  <c r="C12" i="16"/>
  <c r="B12" i="16"/>
  <c r="AW11" i="16"/>
  <c r="AV11" i="16"/>
  <c r="W11" i="16"/>
  <c r="G11" i="16"/>
  <c r="F11" i="16"/>
  <c r="E11" i="16"/>
  <c r="D11" i="16"/>
  <c r="C11" i="16"/>
  <c r="B11" i="16"/>
  <c r="AW10" i="16"/>
  <c r="AV10" i="16"/>
  <c r="AO10" i="16"/>
  <c r="AC10" i="16"/>
  <c r="AB10" i="16"/>
  <c r="W10" i="16"/>
  <c r="G10" i="16"/>
  <c r="F10" i="16"/>
  <c r="E10" i="16"/>
  <c r="D10" i="16"/>
  <c r="C10" i="16"/>
  <c r="B10" i="16"/>
  <c r="AW9" i="16"/>
  <c r="AV9" i="16"/>
  <c r="W9" i="16"/>
  <c r="G9" i="16"/>
  <c r="F9" i="16"/>
  <c r="E9" i="16"/>
  <c r="D9" i="16"/>
  <c r="C9" i="16"/>
  <c r="B9" i="16"/>
  <c r="AW8" i="16"/>
  <c r="AV8" i="16"/>
  <c r="AP8" i="16"/>
  <c r="AO8" i="16"/>
  <c r="AR8" i="16" s="1"/>
  <c r="AN8" i="16"/>
  <c r="AM8" i="16"/>
  <c r="AL8" i="16"/>
  <c r="AK8" i="16"/>
  <c r="AI8" i="16"/>
  <c r="P8" i="16"/>
  <c r="G8" i="16"/>
  <c r="F8" i="16"/>
  <c r="E8" i="16"/>
  <c r="D8" i="16"/>
  <c r="C8" i="16"/>
  <c r="B8" i="16"/>
  <c r="AW7" i="16"/>
  <c r="W7" i="16"/>
  <c r="G7" i="16"/>
  <c r="F7" i="16"/>
  <c r="E7" i="16"/>
  <c r="D7" i="16"/>
  <c r="C7" i="16"/>
  <c r="B7" i="16"/>
  <c r="AW6" i="16"/>
  <c r="W6" i="16"/>
  <c r="G6" i="16"/>
  <c r="F6" i="16"/>
  <c r="E6" i="16"/>
  <c r="D6" i="16"/>
  <c r="C6" i="16"/>
  <c r="B6" i="16"/>
  <c r="AW5" i="16"/>
  <c r="W5" i="16"/>
  <c r="G5" i="16"/>
  <c r="F5" i="16"/>
  <c r="E5" i="16"/>
  <c r="D5" i="16"/>
  <c r="C5" i="16"/>
  <c r="B5" i="16"/>
  <c r="AW4" i="16"/>
  <c r="AV4" i="16"/>
  <c r="AO4" i="16"/>
  <c r="AI4" i="16"/>
  <c r="AC4" i="16"/>
  <c r="W4" i="16"/>
  <c r="G4" i="16"/>
  <c r="F4" i="16"/>
  <c r="E4" i="16"/>
  <c r="D4" i="16"/>
  <c r="C4" i="16"/>
  <c r="B4" i="16"/>
  <c r="AW3" i="16"/>
  <c r="AV3" i="16"/>
  <c r="AO3" i="16"/>
  <c r="AI3" i="16"/>
  <c r="AC3" i="16"/>
  <c r="W3" i="16"/>
  <c r="G3" i="16"/>
  <c r="F3" i="16"/>
  <c r="E3" i="16"/>
  <c r="D3" i="16"/>
  <c r="C3" i="16"/>
  <c r="B3" i="16"/>
  <c r="AN36" i="15"/>
  <c r="AM36" i="15"/>
  <c r="G36" i="15"/>
  <c r="F36" i="15"/>
  <c r="E36" i="15"/>
  <c r="C36" i="15"/>
  <c r="B36" i="15"/>
  <c r="AS35" i="15"/>
  <c r="AL35" i="15"/>
  <c r="W35" i="15"/>
  <c r="L35" i="15"/>
  <c r="G35" i="15"/>
  <c r="F35" i="15"/>
  <c r="E35" i="15"/>
  <c r="C35" i="15"/>
  <c r="B35" i="15"/>
  <c r="AT34" i="15"/>
  <c r="AS34" i="16" s="1"/>
  <c r="AT34" i="16" s="1"/>
  <c r="AS34" i="17" s="1"/>
  <c r="AT34" i="17" s="1"/>
  <c r="AS34" i="15"/>
  <c r="AC34" i="15"/>
  <c r="AB34" i="15"/>
  <c r="W34" i="15"/>
  <c r="G34" i="15"/>
  <c r="F34" i="15"/>
  <c r="E34" i="15"/>
  <c r="C34" i="15"/>
  <c r="B34" i="15"/>
  <c r="W33" i="15"/>
  <c r="G33" i="15"/>
  <c r="F33" i="15"/>
  <c r="E33" i="15"/>
  <c r="C33" i="15"/>
  <c r="B33" i="15"/>
  <c r="AV32" i="15"/>
  <c r="AP32" i="15"/>
  <c r="AO32" i="15"/>
  <c r="AI32" i="15"/>
  <c r="AC32" i="15"/>
  <c r="AB32" i="15"/>
  <c r="W32" i="15"/>
  <c r="O32" i="15"/>
  <c r="K32" i="16" s="1"/>
  <c r="N32" i="15"/>
  <c r="G32" i="15"/>
  <c r="F32" i="15"/>
  <c r="E32" i="15"/>
  <c r="D32" i="15"/>
  <c r="C32" i="15"/>
  <c r="B32" i="15"/>
  <c r="AV31" i="15"/>
  <c r="W31" i="15"/>
  <c r="G31" i="15"/>
  <c r="F31" i="15"/>
  <c r="E31" i="15"/>
  <c r="D31" i="15"/>
  <c r="C31" i="15"/>
  <c r="B31" i="15"/>
  <c r="AV30" i="15"/>
  <c r="W30" i="15"/>
  <c r="G30" i="15"/>
  <c r="F30" i="15"/>
  <c r="E30" i="15"/>
  <c r="D30" i="15"/>
  <c r="C30" i="15"/>
  <c r="B30" i="15"/>
  <c r="AV29" i="15"/>
  <c r="AO29" i="15"/>
  <c r="AI29" i="15"/>
  <c r="AC29" i="15"/>
  <c r="AB29" i="15"/>
  <c r="Y29" i="15"/>
  <c r="X29" i="15"/>
  <c r="W29" i="15"/>
  <c r="O29" i="15"/>
  <c r="K29" i="16" s="1"/>
  <c r="N29" i="15"/>
  <c r="P29" i="15" s="1"/>
  <c r="L29" i="15"/>
  <c r="G29" i="15"/>
  <c r="F29" i="15"/>
  <c r="E29" i="15"/>
  <c r="D29" i="15"/>
  <c r="C29" i="15"/>
  <c r="B29" i="15"/>
  <c r="AV28" i="15"/>
  <c r="AO28" i="15"/>
  <c r="AI28" i="15"/>
  <c r="AC28" i="15"/>
  <c r="AB28" i="15"/>
  <c r="W28" i="15"/>
  <c r="L28" i="15"/>
  <c r="G28" i="15"/>
  <c r="F28" i="15"/>
  <c r="E28" i="15"/>
  <c r="D28" i="15"/>
  <c r="C28" i="15"/>
  <c r="B28" i="15"/>
  <c r="AV27" i="15"/>
  <c r="AO27" i="15"/>
  <c r="AI27" i="15"/>
  <c r="AC27" i="15"/>
  <c r="AB27" i="15"/>
  <c r="W27" i="15"/>
  <c r="G27" i="15"/>
  <c r="F27" i="15"/>
  <c r="E27" i="15"/>
  <c r="D27" i="15"/>
  <c r="C27" i="15"/>
  <c r="B27" i="15"/>
  <c r="AV26" i="15"/>
  <c r="W26" i="15"/>
  <c r="L26" i="15"/>
  <c r="G26" i="15"/>
  <c r="F26" i="15"/>
  <c r="E26" i="15"/>
  <c r="D26" i="15"/>
  <c r="C26" i="15"/>
  <c r="B26" i="15"/>
  <c r="AV25" i="15"/>
  <c r="AO25" i="15"/>
  <c r="AI25" i="15"/>
  <c r="AC25" i="15"/>
  <c r="AB25" i="15"/>
  <c r="W25" i="15"/>
  <c r="G25" i="15"/>
  <c r="F25" i="15"/>
  <c r="E25" i="15"/>
  <c r="D25" i="15"/>
  <c r="C25" i="15"/>
  <c r="B25" i="15"/>
  <c r="AV24" i="15"/>
  <c r="AO24" i="15"/>
  <c r="AI24" i="15"/>
  <c r="AC24" i="15"/>
  <c r="AB24" i="15"/>
  <c r="W24" i="15"/>
  <c r="L24" i="15"/>
  <c r="G24" i="15"/>
  <c r="F24" i="15"/>
  <c r="E24" i="15"/>
  <c r="D24" i="15"/>
  <c r="C24" i="15"/>
  <c r="B24" i="15"/>
  <c r="AV23" i="15"/>
  <c r="AO23" i="15"/>
  <c r="AI23" i="15"/>
  <c r="AC23" i="15"/>
  <c r="AB23" i="15"/>
  <c r="W23" i="15"/>
  <c r="G23" i="15"/>
  <c r="F23" i="15"/>
  <c r="E23" i="15"/>
  <c r="D23" i="15"/>
  <c r="C23" i="15"/>
  <c r="B23" i="15"/>
  <c r="AV22" i="15"/>
  <c r="AI22" i="15"/>
  <c r="AO22" i="15" s="1"/>
  <c r="AC22" i="15"/>
  <c r="AB22" i="15"/>
  <c r="W22" i="15"/>
  <c r="L22" i="15"/>
  <c r="G22" i="15"/>
  <c r="F22" i="15"/>
  <c r="E22" i="15"/>
  <c r="D22" i="15"/>
  <c r="C22" i="15"/>
  <c r="B22" i="15"/>
  <c r="AS21" i="15"/>
  <c r="K21" i="15"/>
  <c r="G21" i="15"/>
  <c r="F21" i="15"/>
  <c r="E21" i="15"/>
  <c r="D21" i="15"/>
  <c r="C21" i="15"/>
  <c r="B21" i="15"/>
  <c r="AV20" i="15"/>
  <c r="AI20" i="15"/>
  <c r="AO20" i="15" s="1"/>
  <c r="AC20" i="15"/>
  <c r="AB20" i="15"/>
  <c r="W20" i="15"/>
  <c r="G20" i="15"/>
  <c r="F20" i="15"/>
  <c r="E20" i="15"/>
  <c r="D20" i="15"/>
  <c r="C20" i="15"/>
  <c r="B20" i="15"/>
  <c r="AV19" i="15"/>
  <c r="AO19" i="15"/>
  <c r="AI19" i="15"/>
  <c r="AC19" i="15"/>
  <c r="AB19" i="15"/>
  <c r="W19" i="15"/>
  <c r="G19" i="15"/>
  <c r="F19" i="15"/>
  <c r="E19" i="15"/>
  <c r="D19" i="15"/>
  <c r="C19" i="15"/>
  <c r="B19" i="15"/>
  <c r="AV18" i="15"/>
  <c r="AO18" i="15"/>
  <c r="AI18" i="15"/>
  <c r="AC18" i="15"/>
  <c r="AB18" i="15"/>
  <c r="W18" i="15"/>
  <c r="G18" i="15"/>
  <c r="F18" i="15"/>
  <c r="E18" i="15"/>
  <c r="D18" i="15"/>
  <c r="C18" i="15"/>
  <c r="B18" i="15"/>
  <c r="AW17" i="15"/>
  <c r="AV17" i="15"/>
  <c r="AC17" i="15"/>
  <c r="AB17" i="15"/>
  <c r="AA17" i="15"/>
  <c r="T17" i="15"/>
  <c r="S17" i="15"/>
  <c r="R17" i="15"/>
  <c r="W17" i="15" s="1"/>
  <c r="P17" i="15"/>
  <c r="N17" i="15"/>
  <c r="Z17" i="15" s="1"/>
  <c r="G17" i="15"/>
  <c r="F17" i="15"/>
  <c r="E17" i="15"/>
  <c r="D17" i="15"/>
  <c r="C17" i="15"/>
  <c r="B17" i="15"/>
  <c r="AW16" i="15"/>
  <c r="AV16" i="15"/>
  <c r="AO16" i="15"/>
  <c r="AI16" i="15"/>
  <c r="AB16" i="15"/>
  <c r="W16" i="15"/>
  <c r="G16" i="15"/>
  <c r="F16" i="15"/>
  <c r="E16" i="15"/>
  <c r="D16" i="15"/>
  <c r="C16" i="15"/>
  <c r="B16" i="15"/>
  <c r="AW15" i="15"/>
  <c r="AV15" i="15"/>
  <c r="AC15" i="15"/>
  <c r="AB15" i="15"/>
  <c r="W15" i="15"/>
  <c r="G15" i="15"/>
  <c r="F15" i="15"/>
  <c r="E15" i="15"/>
  <c r="D15" i="15"/>
  <c r="C15" i="15"/>
  <c r="B15" i="15"/>
  <c r="AW14" i="15"/>
  <c r="AV14" i="15"/>
  <c r="AO14" i="15"/>
  <c r="AI14" i="15"/>
  <c r="AC14" i="15"/>
  <c r="AB14" i="15"/>
  <c r="W14" i="15"/>
  <c r="G14" i="15"/>
  <c r="F14" i="15"/>
  <c r="E14" i="15"/>
  <c r="D14" i="15"/>
  <c r="C14" i="15"/>
  <c r="B14" i="15"/>
  <c r="AW13" i="15"/>
  <c r="AV13" i="15"/>
  <c r="AI13" i="15"/>
  <c r="AO13" i="15" s="1"/>
  <c r="AC13" i="15"/>
  <c r="AB13" i="15"/>
  <c r="W13" i="15"/>
  <c r="L13" i="15"/>
  <c r="G13" i="15"/>
  <c r="F13" i="15"/>
  <c r="E13" i="15"/>
  <c r="D13" i="15"/>
  <c r="C13" i="15"/>
  <c r="B13" i="15"/>
  <c r="AW12" i="15"/>
  <c r="AV12" i="15"/>
  <c r="AO12" i="15"/>
  <c r="AI12" i="15"/>
  <c r="AC12" i="15"/>
  <c r="AB12" i="15"/>
  <c r="W12" i="15"/>
  <c r="L12" i="15"/>
  <c r="G12" i="15"/>
  <c r="F12" i="15"/>
  <c r="E12" i="15"/>
  <c r="D12" i="15"/>
  <c r="C12" i="15"/>
  <c r="B12" i="15"/>
  <c r="AW11" i="15"/>
  <c r="AV11" i="15"/>
  <c r="W11" i="15"/>
  <c r="G11" i="15"/>
  <c r="F11" i="15"/>
  <c r="E11" i="15"/>
  <c r="D11" i="15"/>
  <c r="C11" i="15"/>
  <c r="B11" i="15"/>
  <c r="AW10" i="15"/>
  <c r="AV10" i="15"/>
  <c r="AO10" i="15"/>
  <c r="AC10" i="15"/>
  <c r="AB10" i="15"/>
  <c r="W10" i="15"/>
  <c r="L10" i="15"/>
  <c r="G10" i="15"/>
  <c r="F10" i="15"/>
  <c r="E10" i="15"/>
  <c r="D10" i="15"/>
  <c r="C10" i="15"/>
  <c r="B10" i="15"/>
  <c r="AW9" i="15"/>
  <c r="AV9" i="15"/>
  <c r="W9" i="15"/>
  <c r="G9" i="15"/>
  <c r="F9" i="15"/>
  <c r="E9" i="15"/>
  <c r="D9" i="15"/>
  <c r="C9" i="15"/>
  <c r="B9" i="15"/>
  <c r="AW8" i="15"/>
  <c r="AV8" i="15"/>
  <c r="AP8" i="15"/>
  <c r="AO8" i="15"/>
  <c r="AK8" i="15"/>
  <c r="AI8" i="15"/>
  <c r="AL8" i="15" s="1"/>
  <c r="P8" i="15"/>
  <c r="G8" i="15"/>
  <c r="F8" i="15"/>
  <c r="E8" i="15"/>
  <c r="D8" i="15"/>
  <c r="C8" i="15"/>
  <c r="B8" i="15"/>
  <c r="AW7" i="15"/>
  <c r="W7" i="15"/>
  <c r="G7" i="15"/>
  <c r="F7" i="15"/>
  <c r="E7" i="15"/>
  <c r="D7" i="15"/>
  <c r="C7" i="15"/>
  <c r="B7" i="15"/>
  <c r="AW6" i="15"/>
  <c r="W6" i="15"/>
  <c r="G6" i="15"/>
  <c r="F6" i="15"/>
  <c r="E6" i="15"/>
  <c r="D6" i="15"/>
  <c r="C6" i="15"/>
  <c r="B6" i="15"/>
  <c r="AW5" i="15"/>
  <c r="W5" i="15"/>
  <c r="L5" i="15"/>
  <c r="G5" i="15"/>
  <c r="F5" i="15"/>
  <c r="E5" i="15"/>
  <c r="D5" i="15"/>
  <c r="C5" i="15"/>
  <c r="B5" i="15"/>
  <c r="AW4" i="15"/>
  <c r="AV4" i="15"/>
  <c r="AI4" i="15"/>
  <c r="AO4" i="15" s="1"/>
  <c r="AC4" i="15"/>
  <c r="W4" i="15"/>
  <c r="G4" i="15"/>
  <c r="F4" i="15"/>
  <c r="E4" i="15"/>
  <c r="D4" i="15"/>
  <c r="C4" i="15"/>
  <c r="B4" i="15"/>
  <c r="AW3" i="15"/>
  <c r="AV3" i="15"/>
  <c r="AI3" i="15"/>
  <c r="AO3" i="15" s="1"/>
  <c r="AC3" i="15"/>
  <c r="W3" i="15"/>
  <c r="G3" i="15"/>
  <c r="F3" i="15"/>
  <c r="E3" i="15"/>
  <c r="D3" i="15"/>
  <c r="C3" i="15"/>
  <c r="B3" i="15"/>
  <c r="AS36" i="14"/>
  <c r="AL36" i="14"/>
  <c r="W36" i="14"/>
  <c r="G36" i="14"/>
  <c r="F36" i="14"/>
  <c r="E36" i="14"/>
  <c r="C36" i="14"/>
  <c r="B36" i="14"/>
  <c r="AS35" i="14"/>
  <c r="AL35" i="14"/>
  <c r="AA35" i="14"/>
  <c r="Z35" i="14"/>
  <c r="W35" i="14"/>
  <c r="P35" i="14"/>
  <c r="O35" i="14"/>
  <c r="K35" i="15" s="1"/>
  <c r="N35" i="14"/>
  <c r="Y35" i="14" s="1"/>
  <c r="G35" i="14"/>
  <c r="F35" i="14"/>
  <c r="E35" i="14"/>
  <c r="C35" i="14"/>
  <c r="B35" i="14"/>
  <c r="AS34" i="14"/>
  <c r="AT34" i="14" s="1"/>
  <c r="AP34" i="14"/>
  <c r="AO34" i="14"/>
  <c r="AC34" i="14"/>
  <c r="AB34" i="14"/>
  <c r="W34" i="14"/>
  <c r="G34" i="14"/>
  <c r="F34" i="14"/>
  <c r="E34" i="14"/>
  <c r="C34" i="14"/>
  <c r="B34" i="14"/>
  <c r="AC33" i="14"/>
  <c r="AB33" i="14"/>
  <c r="W33" i="14"/>
  <c r="G33" i="14"/>
  <c r="F33" i="14"/>
  <c r="E33" i="14"/>
  <c r="C33" i="14"/>
  <c r="B33" i="14"/>
  <c r="AV32" i="14"/>
  <c r="AP32" i="14"/>
  <c r="AI32" i="14"/>
  <c r="AO32" i="14" s="1"/>
  <c r="AC32" i="14"/>
  <c r="AB32" i="14"/>
  <c r="W32" i="14"/>
  <c r="G32" i="14"/>
  <c r="F32" i="14"/>
  <c r="E32" i="14"/>
  <c r="D32" i="14"/>
  <c r="C32" i="14"/>
  <c r="B32" i="14"/>
  <c r="AV31" i="14"/>
  <c r="AC31" i="14"/>
  <c r="AB31" i="14"/>
  <c r="W31" i="14"/>
  <c r="G31" i="14"/>
  <c r="F31" i="14"/>
  <c r="E31" i="14"/>
  <c r="D31" i="14"/>
  <c r="C31" i="14"/>
  <c r="B31" i="14"/>
  <c r="AV30" i="14"/>
  <c r="AC30" i="14"/>
  <c r="AB30" i="14"/>
  <c r="W30" i="14"/>
  <c r="G30" i="14"/>
  <c r="F30" i="14"/>
  <c r="E30" i="14"/>
  <c r="D30" i="14"/>
  <c r="C30" i="14"/>
  <c r="B30" i="14"/>
  <c r="AV29" i="14"/>
  <c r="AI29" i="14"/>
  <c r="AO29" i="14" s="1"/>
  <c r="AC29" i="14"/>
  <c r="AB29" i="14"/>
  <c r="W29" i="14"/>
  <c r="G29" i="14"/>
  <c r="F29" i="14"/>
  <c r="E29" i="14"/>
  <c r="D29" i="14"/>
  <c r="C29" i="14"/>
  <c r="B29" i="14"/>
  <c r="AV28" i="14"/>
  <c r="AO28" i="14"/>
  <c r="AI28" i="14"/>
  <c r="AC28" i="14"/>
  <c r="AB28" i="14"/>
  <c r="W28" i="14"/>
  <c r="G28" i="14"/>
  <c r="F28" i="14"/>
  <c r="E28" i="14"/>
  <c r="D28" i="14"/>
  <c r="C28" i="14"/>
  <c r="B28" i="14"/>
  <c r="AV27" i="14"/>
  <c r="AO27" i="14"/>
  <c r="AI27" i="14"/>
  <c r="AC27" i="14"/>
  <c r="AB27" i="14"/>
  <c r="W27" i="14"/>
  <c r="G27" i="14"/>
  <c r="F27" i="14"/>
  <c r="E27" i="14"/>
  <c r="D27" i="14"/>
  <c r="C27" i="14"/>
  <c r="B27" i="14"/>
  <c r="AV26" i="14"/>
  <c r="AC26" i="14"/>
  <c r="AB26" i="14"/>
  <c r="W26" i="14"/>
  <c r="G26" i="14"/>
  <c r="F26" i="14"/>
  <c r="E26" i="14"/>
  <c r="D26" i="14"/>
  <c r="C26" i="14"/>
  <c r="B26" i="14"/>
  <c r="AV25" i="14"/>
  <c r="AI25" i="14"/>
  <c r="AO25" i="14" s="1"/>
  <c r="AC25" i="14"/>
  <c r="AB25" i="14"/>
  <c r="W25" i="14"/>
  <c r="G25" i="14"/>
  <c r="F25" i="14"/>
  <c r="E25" i="14"/>
  <c r="D25" i="14"/>
  <c r="C25" i="14"/>
  <c r="B25" i="14"/>
  <c r="AV24" i="14"/>
  <c r="AI24" i="14"/>
  <c r="AO24" i="14" s="1"/>
  <c r="AC24" i="14"/>
  <c r="AB24" i="14"/>
  <c r="AA24" i="14"/>
  <c r="Z24" i="14"/>
  <c r="Y24" i="14"/>
  <c r="X24" i="14"/>
  <c r="W24" i="14"/>
  <c r="P24" i="14"/>
  <c r="G24" i="14"/>
  <c r="F24" i="14"/>
  <c r="E24" i="14"/>
  <c r="D24" i="14"/>
  <c r="C24" i="14"/>
  <c r="B24" i="14"/>
  <c r="AV23" i="14"/>
  <c r="AO23" i="14"/>
  <c r="AI23" i="14"/>
  <c r="AC23" i="14"/>
  <c r="AB23" i="14"/>
  <c r="W23" i="14"/>
  <c r="G23" i="14"/>
  <c r="F23" i="14"/>
  <c r="E23" i="14"/>
  <c r="D23" i="14"/>
  <c r="C23" i="14"/>
  <c r="B23" i="14"/>
  <c r="AV22" i="14"/>
  <c r="AI22" i="14"/>
  <c r="AO22" i="14" s="1"/>
  <c r="AC22" i="14"/>
  <c r="AB22" i="14"/>
  <c r="W22" i="14"/>
  <c r="G22" i="14"/>
  <c r="F22" i="14"/>
  <c r="E22" i="14"/>
  <c r="D22" i="14"/>
  <c r="C22" i="14"/>
  <c r="B22" i="14"/>
  <c r="AS21" i="14"/>
  <c r="K21" i="14"/>
  <c r="G21" i="14"/>
  <c r="F21" i="14"/>
  <c r="E21" i="14"/>
  <c r="D21" i="14"/>
  <c r="C21" i="14"/>
  <c r="B21" i="14"/>
  <c r="AV20" i="14"/>
  <c r="AI20" i="14"/>
  <c r="AO20" i="14" s="1"/>
  <c r="AC20" i="14"/>
  <c r="AB20" i="14"/>
  <c r="W20" i="14"/>
  <c r="G20" i="14"/>
  <c r="F20" i="14"/>
  <c r="E20" i="14"/>
  <c r="D20" i="14"/>
  <c r="C20" i="14"/>
  <c r="B20" i="14"/>
  <c r="AV19" i="14"/>
  <c r="AI19" i="14"/>
  <c r="AO19" i="14" s="1"/>
  <c r="AC19" i="14"/>
  <c r="AB19" i="14"/>
  <c r="W19" i="14"/>
  <c r="G19" i="14"/>
  <c r="F19" i="14"/>
  <c r="E19" i="14"/>
  <c r="D19" i="14"/>
  <c r="C19" i="14"/>
  <c r="B19" i="14"/>
  <c r="AV18" i="14"/>
  <c r="AO18" i="14"/>
  <c r="AI18" i="14"/>
  <c r="AC18" i="14"/>
  <c r="AB18" i="14"/>
  <c r="W18" i="14"/>
  <c r="G18" i="14"/>
  <c r="F18" i="14"/>
  <c r="E18" i="14"/>
  <c r="D18" i="14"/>
  <c r="C18" i="14"/>
  <c r="B18" i="14"/>
  <c r="AW17" i="14"/>
  <c r="AV17" i="14"/>
  <c r="AI17" i="14"/>
  <c r="AO17" i="14" s="1"/>
  <c r="AC17" i="14"/>
  <c r="AB17" i="14"/>
  <c r="T17" i="14"/>
  <c r="S17" i="14"/>
  <c r="R17" i="14"/>
  <c r="W17" i="14" s="1"/>
  <c r="G17" i="14"/>
  <c r="F17" i="14"/>
  <c r="E17" i="14"/>
  <c r="D17" i="14"/>
  <c r="C17" i="14"/>
  <c r="B17" i="14"/>
  <c r="AW16" i="14"/>
  <c r="AV16" i="14"/>
  <c r="AO16" i="14"/>
  <c r="AI16" i="14"/>
  <c r="AB16" i="14"/>
  <c r="W16" i="14"/>
  <c r="G16" i="14"/>
  <c r="F16" i="14"/>
  <c r="E16" i="14"/>
  <c r="D16" i="14"/>
  <c r="C16" i="14"/>
  <c r="B16" i="14"/>
  <c r="AW15" i="14"/>
  <c r="AV15" i="14"/>
  <c r="AC15" i="14"/>
  <c r="AB15" i="14"/>
  <c r="W15" i="14"/>
  <c r="G15" i="14"/>
  <c r="F15" i="14"/>
  <c r="E15" i="14"/>
  <c r="D15" i="14"/>
  <c r="C15" i="14"/>
  <c r="B15" i="14"/>
  <c r="AW14" i="14"/>
  <c r="AV14" i="14"/>
  <c r="AO14" i="14"/>
  <c r="AI14" i="14"/>
  <c r="W14" i="14"/>
  <c r="G14" i="14"/>
  <c r="F14" i="14"/>
  <c r="E14" i="14"/>
  <c r="D14" i="14"/>
  <c r="C14" i="14"/>
  <c r="B14" i="14"/>
  <c r="AW13" i="14"/>
  <c r="AV13" i="14"/>
  <c r="AO13" i="14"/>
  <c r="AI13" i="14"/>
  <c r="AC13" i="14"/>
  <c r="AB13" i="14"/>
  <c r="W13" i="14"/>
  <c r="G13" i="14"/>
  <c r="F13" i="14"/>
  <c r="E13" i="14"/>
  <c r="D13" i="14"/>
  <c r="C13" i="14"/>
  <c r="B13" i="14"/>
  <c r="AW12" i="14"/>
  <c r="AV12" i="14"/>
  <c r="AO12" i="14"/>
  <c r="AI12" i="14"/>
  <c r="AC12" i="14"/>
  <c r="AB12" i="14"/>
  <c r="Y12" i="14"/>
  <c r="W12" i="14"/>
  <c r="O12" i="14"/>
  <c r="K12" i="15" s="1"/>
  <c r="N12" i="15" s="1"/>
  <c r="N12" i="14"/>
  <c r="X12" i="14" s="1"/>
  <c r="G12" i="14"/>
  <c r="F12" i="14"/>
  <c r="E12" i="14"/>
  <c r="D12" i="14"/>
  <c r="C12" i="14"/>
  <c r="B12" i="14"/>
  <c r="AW11" i="14"/>
  <c r="AV11" i="14"/>
  <c r="W11" i="14"/>
  <c r="G11" i="14"/>
  <c r="F11" i="14"/>
  <c r="E11" i="14"/>
  <c r="D11" i="14"/>
  <c r="C11" i="14"/>
  <c r="B11" i="14"/>
  <c r="AW10" i="14"/>
  <c r="AV10" i="14"/>
  <c r="AO10" i="14"/>
  <c r="AC10" i="14"/>
  <c r="AB10" i="14"/>
  <c r="W10" i="14"/>
  <c r="G10" i="14"/>
  <c r="F10" i="14"/>
  <c r="E10" i="14"/>
  <c r="D10" i="14"/>
  <c r="C10" i="14"/>
  <c r="B10" i="14"/>
  <c r="AW9" i="14"/>
  <c r="AV9" i="14"/>
  <c r="AC9" i="14"/>
  <c r="AB9" i="14"/>
  <c r="W9" i="14"/>
  <c r="G9" i="14"/>
  <c r="F9" i="14"/>
  <c r="E9" i="14"/>
  <c r="D9" i="14"/>
  <c r="C9" i="14"/>
  <c r="B9" i="14"/>
  <c r="AW8" i="14"/>
  <c r="AV8" i="14"/>
  <c r="AP8" i="14"/>
  <c r="AK8" i="14"/>
  <c r="AI8" i="14"/>
  <c r="P8" i="14"/>
  <c r="O8" i="14"/>
  <c r="K8" i="15" s="1"/>
  <c r="O8" i="15" s="1"/>
  <c r="K8" i="16" s="1"/>
  <c r="O8" i="16" s="1"/>
  <c r="K8" i="17" s="1"/>
  <c r="O8" i="17" s="1"/>
  <c r="G8" i="14"/>
  <c r="F8" i="14"/>
  <c r="E8" i="14"/>
  <c r="D8" i="14"/>
  <c r="C8" i="14"/>
  <c r="B8" i="14"/>
  <c r="AW7" i="14"/>
  <c r="AE7" i="14"/>
  <c r="AC7" i="14"/>
  <c r="AB7" i="14"/>
  <c r="W7" i="14"/>
  <c r="G7" i="14"/>
  <c r="F7" i="14"/>
  <c r="E7" i="14"/>
  <c r="D7" i="14"/>
  <c r="C7" i="14"/>
  <c r="B7" i="14"/>
  <c r="AW6" i="14"/>
  <c r="AE6" i="14"/>
  <c r="AC6" i="14"/>
  <c r="AB6" i="14"/>
  <c r="W6" i="14"/>
  <c r="G6" i="14"/>
  <c r="F6" i="14"/>
  <c r="E6" i="14"/>
  <c r="D6" i="14"/>
  <c r="C6" i="14"/>
  <c r="B6" i="14"/>
  <c r="AW5" i="14"/>
  <c r="AE5" i="14"/>
  <c r="AC5" i="14"/>
  <c r="AB5" i="14"/>
  <c r="W5" i="14"/>
  <c r="G5" i="14"/>
  <c r="F5" i="14"/>
  <c r="E5" i="14"/>
  <c r="D5" i="14"/>
  <c r="C5" i="14"/>
  <c r="B5" i="14"/>
  <c r="AW4" i="14"/>
  <c r="AV4" i="14"/>
  <c r="AO4" i="14"/>
  <c r="AI4" i="14"/>
  <c r="AC4" i="14"/>
  <c r="W4" i="14"/>
  <c r="G4" i="14"/>
  <c r="F4" i="14"/>
  <c r="E4" i="14"/>
  <c r="D4" i="14"/>
  <c r="C4" i="14"/>
  <c r="B4" i="14"/>
  <c r="AW3" i="14"/>
  <c r="AV3" i="14"/>
  <c r="AI3" i="14"/>
  <c r="AO3" i="14" s="1"/>
  <c r="AC3" i="14"/>
  <c r="W3" i="14"/>
  <c r="G3" i="14"/>
  <c r="F3" i="14"/>
  <c r="E3" i="14"/>
  <c r="D3" i="14"/>
  <c r="C3" i="14"/>
  <c r="B3" i="14"/>
  <c r="AS36" i="13"/>
  <c r="AM36" i="13"/>
  <c r="AN36" i="13" s="1"/>
  <c r="AL36" i="13"/>
  <c r="AA36" i="13"/>
  <c r="Z36" i="13"/>
  <c r="Y36" i="13"/>
  <c r="X36" i="13"/>
  <c r="AK36" i="13" s="1"/>
  <c r="W36" i="13"/>
  <c r="P36" i="13"/>
  <c r="O36" i="13"/>
  <c r="K36" i="14" s="1"/>
  <c r="N36" i="13"/>
  <c r="G36" i="13"/>
  <c r="F36" i="13"/>
  <c r="E36" i="13"/>
  <c r="C36" i="13"/>
  <c r="B36" i="13"/>
  <c r="AS35" i="13"/>
  <c r="AL35" i="13"/>
  <c r="W35" i="13"/>
  <c r="O35" i="13"/>
  <c r="N35" i="13"/>
  <c r="G35" i="13"/>
  <c r="F35" i="13"/>
  <c r="E35" i="13"/>
  <c r="C35" i="13"/>
  <c r="B35" i="13"/>
  <c r="AS34" i="13"/>
  <c r="AL34" i="13"/>
  <c r="W34" i="13"/>
  <c r="G34" i="13"/>
  <c r="F34" i="13"/>
  <c r="E34" i="13"/>
  <c r="C34" i="13"/>
  <c r="B34" i="13"/>
  <c r="W33" i="13"/>
  <c r="G33" i="13"/>
  <c r="F33" i="13"/>
  <c r="E33" i="13"/>
  <c r="C33" i="13"/>
  <c r="B33" i="13"/>
  <c r="AV32" i="13"/>
  <c r="AP32" i="13"/>
  <c r="AO32" i="13"/>
  <c r="AI32" i="13"/>
  <c r="AC32" i="13"/>
  <c r="AB32" i="13"/>
  <c r="W32" i="13"/>
  <c r="G32" i="13"/>
  <c r="F32" i="13"/>
  <c r="E32" i="13"/>
  <c r="D32" i="13"/>
  <c r="C32" i="13"/>
  <c r="B32" i="13"/>
  <c r="AV31" i="13"/>
  <c r="W31" i="13"/>
  <c r="G31" i="13"/>
  <c r="F31" i="13"/>
  <c r="E31" i="13"/>
  <c r="D31" i="13"/>
  <c r="C31" i="13"/>
  <c r="B31" i="13"/>
  <c r="AV30" i="13"/>
  <c r="W30" i="13"/>
  <c r="G30" i="13"/>
  <c r="F30" i="13"/>
  <c r="E30" i="13"/>
  <c r="D30" i="13"/>
  <c r="C30" i="13"/>
  <c r="B30" i="13"/>
  <c r="AV29" i="13"/>
  <c r="AO29" i="13"/>
  <c r="AI29" i="13"/>
  <c r="AC29" i="13"/>
  <c r="AB29" i="13"/>
  <c r="W29" i="13"/>
  <c r="G29" i="13"/>
  <c r="F29" i="13"/>
  <c r="E29" i="13"/>
  <c r="D29" i="13"/>
  <c r="C29" i="13"/>
  <c r="B29" i="13"/>
  <c r="AV28" i="13"/>
  <c r="AI28" i="13"/>
  <c r="AO28" i="13" s="1"/>
  <c r="AC28" i="13"/>
  <c r="AB28" i="13"/>
  <c r="W28" i="13"/>
  <c r="G28" i="13"/>
  <c r="F28" i="13"/>
  <c r="E28" i="13"/>
  <c r="D28" i="13"/>
  <c r="C28" i="13"/>
  <c r="B28" i="13"/>
  <c r="AV27" i="13"/>
  <c r="AO27" i="13"/>
  <c r="AI27" i="13"/>
  <c r="AC27" i="13"/>
  <c r="AB27" i="13"/>
  <c r="W27" i="13"/>
  <c r="G27" i="13"/>
  <c r="F27" i="13"/>
  <c r="E27" i="13"/>
  <c r="D27" i="13"/>
  <c r="C27" i="13"/>
  <c r="B27" i="13"/>
  <c r="AV26" i="13"/>
  <c r="W26" i="13"/>
  <c r="G26" i="13"/>
  <c r="F26" i="13"/>
  <c r="E26" i="13"/>
  <c r="D26" i="13"/>
  <c r="C26" i="13"/>
  <c r="B26" i="13"/>
  <c r="AV25" i="13"/>
  <c r="AI25" i="13"/>
  <c r="AO25" i="13" s="1"/>
  <c r="AC25" i="13"/>
  <c r="AB25" i="13"/>
  <c r="W25" i="13"/>
  <c r="G25" i="13"/>
  <c r="F25" i="13"/>
  <c r="E25" i="13"/>
  <c r="D25" i="13"/>
  <c r="C25" i="13"/>
  <c r="B25" i="13"/>
  <c r="AV24" i="13"/>
  <c r="AP24" i="13"/>
  <c r="AO24" i="13"/>
  <c r="AI24" i="13"/>
  <c r="AG24" i="13"/>
  <c r="AC24" i="13"/>
  <c r="AB24" i="13"/>
  <c r="AA24" i="13"/>
  <c r="Z24" i="13"/>
  <c r="Y24" i="13"/>
  <c r="X24" i="13"/>
  <c r="W24" i="13"/>
  <c r="P24" i="13"/>
  <c r="G24" i="13"/>
  <c r="F24" i="13"/>
  <c r="E24" i="13"/>
  <c r="D24" i="13"/>
  <c r="C24" i="13"/>
  <c r="B24" i="13"/>
  <c r="AV23" i="13"/>
  <c r="AO23" i="13"/>
  <c r="AI23" i="13"/>
  <c r="AC23" i="13"/>
  <c r="AB23" i="13"/>
  <c r="W23" i="13"/>
  <c r="G23" i="13"/>
  <c r="F23" i="13"/>
  <c r="E23" i="13"/>
  <c r="D23" i="13"/>
  <c r="C23" i="13"/>
  <c r="B23" i="13"/>
  <c r="AV22" i="13"/>
  <c r="AI22" i="13"/>
  <c r="AO22" i="13" s="1"/>
  <c r="AC22" i="13"/>
  <c r="AB22" i="13"/>
  <c r="W22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AV20" i="13"/>
  <c r="AI20" i="13"/>
  <c r="AO20" i="13" s="1"/>
  <c r="AC20" i="13"/>
  <c r="AB20" i="13"/>
  <c r="W20" i="13"/>
  <c r="G20" i="13"/>
  <c r="F20" i="13"/>
  <c r="E20" i="13"/>
  <c r="D20" i="13"/>
  <c r="C20" i="13"/>
  <c r="B20" i="13"/>
  <c r="AV19" i="13"/>
  <c r="AO19" i="13"/>
  <c r="AI19" i="13"/>
  <c r="AC19" i="13"/>
  <c r="AB19" i="13"/>
  <c r="W19" i="13"/>
  <c r="G19" i="13"/>
  <c r="F19" i="13"/>
  <c r="E19" i="13"/>
  <c r="D19" i="13"/>
  <c r="C19" i="13"/>
  <c r="B19" i="13"/>
  <c r="AV18" i="13"/>
  <c r="AO18" i="13"/>
  <c r="AI18" i="13"/>
  <c r="AC18" i="13"/>
  <c r="AB18" i="13"/>
  <c r="W18" i="13"/>
  <c r="G18" i="13"/>
  <c r="F18" i="13"/>
  <c r="E18" i="13"/>
  <c r="D18" i="13"/>
  <c r="C18" i="13"/>
  <c r="B18" i="13"/>
  <c r="AW17" i="13"/>
  <c r="AV17" i="13"/>
  <c r="AC17" i="13"/>
  <c r="AB17" i="13"/>
  <c r="T17" i="13"/>
  <c r="S17" i="13"/>
  <c r="R17" i="13"/>
  <c r="G17" i="13"/>
  <c r="F17" i="13"/>
  <c r="E17" i="13"/>
  <c r="D17" i="13"/>
  <c r="C17" i="13"/>
  <c r="B17" i="13"/>
  <c r="AW16" i="13"/>
  <c r="AV16" i="13"/>
  <c r="AI16" i="13"/>
  <c r="AO16" i="13" s="1"/>
  <c r="AB16" i="13"/>
  <c r="W16" i="13"/>
  <c r="G16" i="13"/>
  <c r="F16" i="13"/>
  <c r="E16" i="13"/>
  <c r="D16" i="13"/>
  <c r="C16" i="13"/>
  <c r="B16" i="13"/>
  <c r="AW15" i="13"/>
  <c r="AV15" i="13"/>
  <c r="AC15" i="13"/>
  <c r="AB15" i="13"/>
  <c r="W15" i="13"/>
  <c r="G15" i="13"/>
  <c r="F15" i="13"/>
  <c r="E15" i="13"/>
  <c r="D15" i="13"/>
  <c r="C15" i="13"/>
  <c r="B15" i="13"/>
  <c r="AW14" i="13"/>
  <c r="AV14" i="13"/>
  <c r="AO14" i="13"/>
  <c r="AI14" i="13"/>
  <c r="W14" i="13"/>
  <c r="G14" i="13"/>
  <c r="F14" i="13"/>
  <c r="E14" i="13"/>
  <c r="D14" i="13"/>
  <c r="C14" i="13"/>
  <c r="B14" i="13"/>
  <c r="AW13" i="13"/>
  <c r="AV13" i="13"/>
  <c r="AI13" i="13"/>
  <c r="AO13" i="13" s="1"/>
  <c r="AC13" i="13"/>
  <c r="AB13" i="13"/>
  <c r="W13" i="13"/>
  <c r="G13" i="13"/>
  <c r="F13" i="13"/>
  <c r="E13" i="13"/>
  <c r="D13" i="13"/>
  <c r="C13" i="13"/>
  <c r="B13" i="13"/>
  <c r="AW12" i="13"/>
  <c r="AV12" i="13"/>
  <c r="AI12" i="13"/>
  <c r="AO12" i="13" s="1"/>
  <c r="AC12" i="13"/>
  <c r="AB12" i="13"/>
  <c r="AA12" i="13"/>
  <c r="Z12" i="13"/>
  <c r="Y12" i="13"/>
  <c r="X12" i="13"/>
  <c r="AK12" i="13" s="1"/>
  <c r="W12" i="13"/>
  <c r="P12" i="13"/>
  <c r="G12" i="13"/>
  <c r="F12" i="13"/>
  <c r="E12" i="13"/>
  <c r="D12" i="13"/>
  <c r="C12" i="13"/>
  <c r="B12" i="13"/>
  <c r="AW11" i="13"/>
  <c r="AV11" i="13"/>
  <c r="W11" i="13"/>
  <c r="G11" i="13"/>
  <c r="F11" i="13"/>
  <c r="E11" i="13"/>
  <c r="D11" i="13"/>
  <c r="C11" i="13"/>
  <c r="B11" i="13"/>
  <c r="AW10" i="13"/>
  <c r="AV10" i="13"/>
  <c r="AO10" i="13"/>
  <c r="AC10" i="13"/>
  <c r="AB10" i="13"/>
  <c r="W10" i="13"/>
  <c r="G10" i="13"/>
  <c r="F10" i="13"/>
  <c r="E10" i="13"/>
  <c r="D10" i="13"/>
  <c r="C10" i="13"/>
  <c r="B10" i="13"/>
  <c r="AW9" i="13"/>
  <c r="AV9" i="13"/>
  <c r="W9" i="13"/>
  <c r="G9" i="13"/>
  <c r="F9" i="13"/>
  <c r="E9" i="13"/>
  <c r="D9" i="13"/>
  <c r="C9" i="13"/>
  <c r="B9" i="13"/>
  <c r="AW8" i="13"/>
  <c r="AV8" i="13"/>
  <c r="AO8" i="13"/>
  <c r="AI8" i="13"/>
  <c r="W8" i="13"/>
  <c r="G8" i="13"/>
  <c r="F8" i="13"/>
  <c r="E8" i="13"/>
  <c r="D8" i="13"/>
  <c r="C8" i="13"/>
  <c r="B8" i="13"/>
  <c r="AW7" i="13"/>
  <c r="W7" i="13"/>
  <c r="G7" i="13"/>
  <c r="F7" i="13"/>
  <c r="E7" i="13"/>
  <c r="D7" i="13"/>
  <c r="C7" i="13"/>
  <c r="B7" i="13"/>
  <c r="AW6" i="13"/>
  <c r="W6" i="13"/>
  <c r="G6" i="13"/>
  <c r="F6" i="13"/>
  <c r="E6" i="13"/>
  <c r="D6" i="13"/>
  <c r="C6" i="13"/>
  <c r="B6" i="13"/>
  <c r="AW5" i="13"/>
  <c r="W5" i="13"/>
  <c r="G5" i="13"/>
  <c r="F5" i="13"/>
  <c r="E5" i="13"/>
  <c r="D5" i="13"/>
  <c r="C5" i="13"/>
  <c r="B5" i="13"/>
  <c r="AW4" i="13"/>
  <c r="AV4" i="13"/>
  <c r="AO4" i="13"/>
  <c r="AI4" i="13"/>
  <c r="AC4" i="13"/>
  <c r="W4" i="13"/>
  <c r="G4" i="13"/>
  <c r="F4" i="13"/>
  <c r="E4" i="13"/>
  <c r="D4" i="13"/>
  <c r="C4" i="13"/>
  <c r="B4" i="13"/>
  <c r="AW3" i="13"/>
  <c r="AV3" i="13"/>
  <c r="AO3" i="13"/>
  <c r="AI3" i="13"/>
  <c r="AC3" i="13"/>
  <c r="W3" i="13"/>
  <c r="G3" i="13"/>
  <c r="F3" i="13"/>
  <c r="E3" i="13"/>
  <c r="D3" i="13"/>
  <c r="C3" i="13"/>
  <c r="B3" i="13"/>
  <c r="AS34" i="12"/>
  <c r="AL34" i="12"/>
  <c r="W34" i="12"/>
  <c r="W33" i="12"/>
  <c r="G33" i="12"/>
  <c r="F33" i="12"/>
  <c r="E33" i="12"/>
  <c r="AV32" i="12"/>
  <c r="AP32" i="12"/>
  <c r="AI32" i="12"/>
  <c r="AO32" i="12" s="1"/>
  <c r="AC32" i="12"/>
  <c r="AB32" i="12"/>
  <c r="W32" i="12"/>
  <c r="G32" i="12"/>
  <c r="F32" i="12"/>
  <c r="E32" i="12"/>
  <c r="D32" i="12"/>
  <c r="C32" i="12"/>
  <c r="B32" i="12"/>
  <c r="AV31" i="12"/>
  <c r="W31" i="12"/>
  <c r="G31" i="12"/>
  <c r="F31" i="12"/>
  <c r="E31" i="12"/>
  <c r="D31" i="12"/>
  <c r="C31" i="12"/>
  <c r="B31" i="12"/>
  <c r="AV30" i="12"/>
  <c r="W30" i="12"/>
  <c r="G30" i="12"/>
  <c r="F30" i="12"/>
  <c r="E30" i="12"/>
  <c r="D30" i="12"/>
  <c r="C30" i="12"/>
  <c r="B30" i="12"/>
  <c r="AV29" i="12"/>
  <c r="AI29" i="12"/>
  <c r="AO29" i="12" s="1"/>
  <c r="AC29" i="12"/>
  <c r="AB29" i="12"/>
  <c r="W29" i="12"/>
  <c r="G29" i="12"/>
  <c r="F29" i="12"/>
  <c r="E29" i="12"/>
  <c r="D29" i="12"/>
  <c r="C29" i="12"/>
  <c r="B29" i="12"/>
  <c r="AV28" i="12"/>
  <c r="AI28" i="12"/>
  <c r="AO28" i="12" s="1"/>
  <c r="AC28" i="12"/>
  <c r="AB28" i="12"/>
  <c r="W28" i="12"/>
  <c r="G28" i="12"/>
  <c r="F28" i="12"/>
  <c r="E28" i="12"/>
  <c r="D28" i="12"/>
  <c r="C28" i="12"/>
  <c r="B28" i="12"/>
  <c r="AV27" i="12"/>
  <c r="AI27" i="12"/>
  <c r="AO27" i="12" s="1"/>
  <c r="AC27" i="12"/>
  <c r="AB27" i="12"/>
  <c r="W27" i="12"/>
  <c r="G27" i="12"/>
  <c r="F27" i="12"/>
  <c r="E27" i="12"/>
  <c r="D27" i="12"/>
  <c r="C27" i="12"/>
  <c r="B27" i="12"/>
  <c r="AV26" i="12"/>
  <c r="W26" i="12"/>
  <c r="G26" i="12"/>
  <c r="F26" i="12"/>
  <c r="E26" i="12"/>
  <c r="D26" i="12"/>
  <c r="C26" i="12"/>
  <c r="B26" i="12"/>
  <c r="AV25" i="12"/>
  <c r="AI25" i="12"/>
  <c r="AO25" i="12" s="1"/>
  <c r="AC25" i="12"/>
  <c r="AB25" i="12"/>
  <c r="W25" i="12"/>
  <c r="G25" i="12"/>
  <c r="F25" i="12"/>
  <c r="E25" i="12"/>
  <c r="D25" i="12"/>
  <c r="C25" i="12"/>
  <c r="B25" i="12"/>
  <c r="AV24" i="12"/>
  <c r="AI24" i="12"/>
  <c r="AO24" i="12" s="1"/>
  <c r="AH24" i="12"/>
  <c r="AG24" i="12"/>
  <c r="AP24" i="12" s="1"/>
  <c r="AC24" i="12"/>
  <c r="AB24" i="12"/>
  <c r="AA24" i="12"/>
  <c r="Z24" i="12"/>
  <c r="Y24" i="12"/>
  <c r="AK24" i="12" s="1"/>
  <c r="X24" i="12"/>
  <c r="AM24" i="12" s="1"/>
  <c r="AN24" i="12" s="1"/>
  <c r="W24" i="12"/>
  <c r="P24" i="12"/>
  <c r="G24" i="12"/>
  <c r="F24" i="12"/>
  <c r="E24" i="12"/>
  <c r="D24" i="12"/>
  <c r="C24" i="12"/>
  <c r="B24" i="12"/>
  <c r="AV23" i="12"/>
  <c r="AO23" i="12"/>
  <c r="AI23" i="12"/>
  <c r="AC23" i="12"/>
  <c r="AB23" i="12"/>
  <c r="W23" i="12"/>
  <c r="G23" i="12"/>
  <c r="F23" i="12"/>
  <c r="E23" i="12"/>
  <c r="D23" i="12"/>
  <c r="C23" i="12"/>
  <c r="B23" i="12"/>
  <c r="AV22" i="12"/>
  <c r="AI22" i="12"/>
  <c r="AO22" i="12" s="1"/>
  <c r="AC22" i="12"/>
  <c r="AB22" i="12"/>
  <c r="W22" i="12"/>
  <c r="G22" i="12"/>
  <c r="F22" i="12"/>
  <c r="E22" i="12"/>
  <c r="D22" i="12"/>
  <c r="C22" i="12"/>
  <c r="B22" i="12"/>
  <c r="AV21" i="12"/>
  <c r="AC21" i="12"/>
  <c r="AB21" i="12"/>
  <c r="Z21" i="12"/>
  <c r="Y21" i="12"/>
  <c r="X21" i="12"/>
  <c r="AK21" i="12" s="1"/>
  <c r="W21" i="12"/>
  <c r="P21" i="12"/>
  <c r="O21" i="12"/>
  <c r="N21" i="12"/>
  <c r="AA21" i="12" s="1"/>
  <c r="G21" i="12"/>
  <c r="F21" i="12"/>
  <c r="E21" i="12"/>
  <c r="D21" i="12"/>
  <c r="C21" i="12"/>
  <c r="B21" i="12"/>
  <c r="AV20" i="12"/>
  <c r="AO20" i="12"/>
  <c r="AI20" i="12"/>
  <c r="AC20" i="12"/>
  <c r="AB20" i="12"/>
  <c r="W20" i="12"/>
  <c r="G20" i="12"/>
  <c r="F20" i="12"/>
  <c r="E20" i="12"/>
  <c r="D20" i="12"/>
  <c r="C20" i="12"/>
  <c r="B20" i="12"/>
  <c r="AV19" i="12"/>
  <c r="AI19" i="12"/>
  <c r="AO19" i="12" s="1"/>
  <c r="AC19" i="12"/>
  <c r="AB19" i="12"/>
  <c r="W19" i="12"/>
  <c r="G19" i="12"/>
  <c r="F19" i="12"/>
  <c r="E19" i="12"/>
  <c r="D19" i="12"/>
  <c r="C19" i="12"/>
  <c r="B19" i="12"/>
  <c r="AV18" i="12"/>
  <c r="AI18" i="12"/>
  <c r="AO18" i="12" s="1"/>
  <c r="AC18" i="12"/>
  <c r="AB18" i="12"/>
  <c r="W18" i="12"/>
  <c r="G18" i="12"/>
  <c r="F18" i="12"/>
  <c r="E18" i="12"/>
  <c r="D18" i="12"/>
  <c r="C18" i="12"/>
  <c r="B18" i="12"/>
  <c r="AW17" i="12"/>
  <c r="AV17" i="12"/>
  <c r="AI17" i="12"/>
  <c r="AO17" i="12" s="1"/>
  <c r="AC17" i="12"/>
  <c r="AB17" i="12"/>
  <c r="W17" i="12"/>
  <c r="T17" i="12"/>
  <c r="S17" i="12"/>
  <c r="R17" i="12"/>
  <c r="G17" i="12"/>
  <c r="F17" i="12"/>
  <c r="E17" i="12"/>
  <c r="D17" i="12"/>
  <c r="C17" i="12"/>
  <c r="B17" i="12"/>
  <c r="AW16" i="12"/>
  <c r="AV16" i="12"/>
  <c r="AI16" i="12"/>
  <c r="AO16" i="12" s="1"/>
  <c r="AB16" i="12"/>
  <c r="W16" i="12"/>
  <c r="G16" i="12"/>
  <c r="F16" i="12"/>
  <c r="E16" i="12"/>
  <c r="D16" i="12"/>
  <c r="C16" i="12"/>
  <c r="B16" i="12"/>
  <c r="AW15" i="12"/>
  <c r="AV15" i="12"/>
  <c r="AC15" i="12"/>
  <c r="AB15" i="12"/>
  <c r="W15" i="12"/>
  <c r="G15" i="12"/>
  <c r="F15" i="12"/>
  <c r="E15" i="12"/>
  <c r="D15" i="12"/>
  <c r="C15" i="12"/>
  <c r="B15" i="12"/>
  <c r="AW14" i="12"/>
  <c r="AV14" i="12"/>
  <c r="AO14" i="12"/>
  <c r="AI14" i="12"/>
  <c r="AC14" i="12"/>
  <c r="AB14" i="12"/>
  <c r="W14" i="12"/>
  <c r="G14" i="12"/>
  <c r="F14" i="12"/>
  <c r="E14" i="12"/>
  <c r="D14" i="12"/>
  <c r="C14" i="12"/>
  <c r="B14" i="12"/>
  <c r="AW13" i="12"/>
  <c r="AV13" i="12"/>
  <c r="AO13" i="12"/>
  <c r="AI13" i="12"/>
  <c r="AC13" i="12"/>
  <c r="AB13" i="12"/>
  <c r="W13" i="12"/>
  <c r="G13" i="12"/>
  <c r="F13" i="12"/>
  <c r="E13" i="12"/>
  <c r="D13" i="12"/>
  <c r="C13" i="12"/>
  <c r="B13" i="12"/>
  <c r="AW12" i="12"/>
  <c r="AV12" i="12"/>
  <c r="AI12" i="12"/>
  <c r="AO12" i="12" s="1"/>
  <c r="AC12" i="12"/>
  <c r="AB12" i="12"/>
  <c r="W12" i="12"/>
  <c r="G12" i="12"/>
  <c r="F12" i="12"/>
  <c r="E12" i="12"/>
  <c r="D12" i="12"/>
  <c r="C12" i="12"/>
  <c r="B12" i="12"/>
  <c r="AW11" i="12"/>
  <c r="AV11" i="12"/>
  <c r="W11" i="12"/>
  <c r="G11" i="12"/>
  <c r="F11" i="12"/>
  <c r="E11" i="12"/>
  <c r="D11" i="12"/>
  <c r="C11" i="12"/>
  <c r="B11" i="12"/>
  <c r="AW10" i="12"/>
  <c r="AV10" i="12"/>
  <c r="AO10" i="12"/>
  <c r="AC10" i="12"/>
  <c r="AB10" i="12"/>
  <c r="W10" i="12"/>
  <c r="G10" i="12"/>
  <c r="F10" i="12"/>
  <c r="E10" i="12"/>
  <c r="D10" i="12"/>
  <c r="C10" i="12"/>
  <c r="B10" i="12"/>
  <c r="AW9" i="12"/>
  <c r="AV9" i="12"/>
  <c r="W9" i="12"/>
  <c r="G9" i="12"/>
  <c r="F9" i="12"/>
  <c r="E9" i="12"/>
  <c r="D9" i="12"/>
  <c r="C9" i="12"/>
  <c r="B9" i="12"/>
  <c r="AW8" i="12"/>
  <c r="AV8" i="12"/>
  <c r="AI8" i="12"/>
  <c r="AO8" i="12" s="1"/>
  <c r="W8" i="12"/>
  <c r="G8" i="12"/>
  <c r="F8" i="12"/>
  <c r="E8" i="12"/>
  <c r="D8" i="12"/>
  <c r="C8" i="12"/>
  <c r="B8" i="12"/>
  <c r="AW7" i="12"/>
  <c r="W7" i="12"/>
  <c r="G7" i="12"/>
  <c r="F7" i="12"/>
  <c r="E7" i="12"/>
  <c r="D7" i="12"/>
  <c r="C7" i="12"/>
  <c r="B7" i="12"/>
  <c r="AW6" i="12"/>
  <c r="W6" i="12"/>
  <c r="G6" i="12"/>
  <c r="F6" i="12"/>
  <c r="E6" i="12"/>
  <c r="D6" i="12"/>
  <c r="C6" i="12"/>
  <c r="B6" i="12"/>
  <c r="AW5" i="12"/>
  <c r="W5" i="12"/>
  <c r="G5" i="12"/>
  <c r="F5" i="12"/>
  <c r="E5" i="12"/>
  <c r="D5" i="12"/>
  <c r="C5" i="12"/>
  <c r="B5" i="12"/>
  <c r="AW4" i="12"/>
  <c r="AV4" i="12"/>
  <c r="AO4" i="12"/>
  <c r="AI4" i="12"/>
  <c r="AC4" i="12"/>
  <c r="W4" i="12"/>
  <c r="G4" i="12"/>
  <c r="F4" i="12"/>
  <c r="E4" i="12"/>
  <c r="D4" i="12"/>
  <c r="C4" i="12"/>
  <c r="B4" i="12"/>
  <c r="AW3" i="12"/>
  <c r="AV3" i="12"/>
  <c r="AI3" i="12"/>
  <c r="AO3" i="12" s="1"/>
  <c r="AC3" i="12"/>
  <c r="W3" i="12"/>
  <c r="G3" i="12"/>
  <c r="F3" i="12"/>
  <c r="E3" i="12"/>
  <c r="D3" i="12"/>
  <c r="C3" i="12"/>
  <c r="B3" i="12"/>
  <c r="AS34" i="11"/>
  <c r="AL34" i="11"/>
  <c r="W34" i="11"/>
  <c r="AC33" i="11"/>
  <c r="AB33" i="11"/>
  <c r="W33" i="11"/>
  <c r="G33" i="11"/>
  <c r="F33" i="11"/>
  <c r="E33" i="11"/>
  <c r="AV32" i="11"/>
  <c r="AP32" i="11"/>
  <c r="AI32" i="11"/>
  <c r="AO32" i="11" s="1"/>
  <c r="AC32" i="11"/>
  <c r="AB32" i="11"/>
  <c r="W32" i="11"/>
  <c r="G32" i="11"/>
  <c r="F32" i="11"/>
  <c r="E32" i="11"/>
  <c r="D32" i="11"/>
  <c r="C32" i="11"/>
  <c r="B32" i="11"/>
  <c r="AV31" i="11"/>
  <c r="AC31" i="11"/>
  <c r="AB31" i="11"/>
  <c r="W31" i="11"/>
  <c r="G31" i="11"/>
  <c r="F31" i="11"/>
  <c r="E31" i="11"/>
  <c r="D31" i="11"/>
  <c r="C31" i="11"/>
  <c r="B31" i="11"/>
  <c r="AV30" i="11"/>
  <c r="AC30" i="11"/>
  <c r="AB30" i="11"/>
  <c r="W30" i="11"/>
  <c r="G30" i="11"/>
  <c r="F30" i="11"/>
  <c r="E30" i="11"/>
  <c r="D30" i="11"/>
  <c r="C30" i="11"/>
  <c r="B30" i="11"/>
  <c r="AV29" i="11"/>
  <c r="AI29" i="11"/>
  <c r="AO29" i="11" s="1"/>
  <c r="AC29" i="11"/>
  <c r="AB29" i="11"/>
  <c r="W29" i="11"/>
  <c r="G29" i="11"/>
  <c r="F29" i="11"/>
  <c r="E29" i="11"/>
  <c r="D29" i="11"/>
  <c r="C29" i="11"/>
  <c r="B29" i="11"/>
  <c r="AV28" i="11"/>
  <c r="AO28" i="11"/>
  <c r="AI28" i="11"/>
  <c r="AC28" i="11"/>
  <c r="AB28" i="11"/>
  <c r="W28" i="11"/>
  <c r="G28" i="11"/>
  <c r="F28" i="11"/>
  <c r="E28" i="11"/>
  <c r="D28" i="11"/>
  <c r="C28" i="11"/>
  <c r="B28" i="11"/>
  <c r="AV27" i="11"/>
  <c r="AI27" i="11"/>
  <c r="AO27" i="11" s="1"/>
  <c r="AC27" i="11"/>
  <c r="AB27" i="11"/>
  <c r="W27" i="11"/>
  <c r="G27" i="11"/>
  <c r="F27" i="11"/>
  <c r="E27" i="11"/>
  <c r="D27" i="11"/>
  <c r="C27" i="11"/>
  <c r="B27" i="11"/>
  <c r="AV26" i="11"/>
  <c r="AC26" i="11"/>
  <c r="AB26" i="11"/>
  <c r="W26" i="11"/>
  <c r="G26" i="11"/>
  <c r="F26" i="11"/>
  <c r="E26" i="11"/>
  <c r="D26" i="11"/>
  <c r="C26" i="11"/>
  <c r="B26" i="11"/>
  <c r="AV25" i="11"/>
  <c r="AI25" i="11"/>
  <c r="AO25" i="11" s="1"/>
  <c r="AC25" i="11"/>
  <c r="AB25" i="11"/>
  <c r="W25" i="11"/>
  <c r="G25" i="11"/>
  <c r="F25" i="11"/>
  <c r="E25" i="11"/>
  <c r="D25" i="11"/>
  <c r="C25" i="11"/>
  <c r="B25" i="11"/>
  <c r="AV24" i="11"/>
  <c r="AI24" i="11"/>
  <c r="AO24" i="11" s="1"/>
  <c r="AC24" i="11"/>
  <c r="AB24" i="11"/>
  <c r="AA24" i="11"/>
  <c r="Z24" i="11"/>
  <c r="Y24" i="11"/>
  <c r="AK24" i="11" s="1"/>
  <c r="X24" i="11"/>
  <c r="W24" i="11"/>
  <c r="P24" i="11"/>
  <c r="O24" i="11"/>
  <c r="K24" i="12" s="1"/>
  <c r="O24" i="12" s="1"/>
  <c r="K24" i="13" s="1"/>
  <c r="O24" i="13" s="1"/>
  <c r="K24" i="14" s="1"/>
  <c r="O24" i="14" s="1"/>
  <c r="K24" i="15" s="1"/>
  <c r="G24" i="11"/>
  <c r="F24" i="11"/>
  <c r="E24" i="11"/>
  <c r="D24" i="11"/>
  <c r="C24" i="11"/>
  <c r="B24" i="11"/>
  <c r="AV23" i="11"/>
  <c r="AO23" i="11"/>
  <c r="AI23" i="11"/>
  <c r="AC23" i="11"/>
  <c r="AB23" i="11"/>
  <c r="W23" i="11"/>
  <c r="G23" i="11"/>
  <c r="F23" i="11"/>
  <c r="E23" i="11"/>
  <c r="D23" i="11"/>
  <c r="C23" i="11"/>
  <c r="B23" i="11"/>
  <c r="AV22" i="11"/>
  <c r="AI22" i="11"/>
  <c r="AO22" i="11" s="1"/>
  <c r="AC22" i="11"/>
  <c r="AB22" i="11"/>
  <c r="W22" i="11"/>
  <c r="G22" i="11"/>
  <c r="F22" i="11"/>
  <c r="E22" i="11"/>
  <c r="D22" i="11"/>
  <c r="C22" i="11"/>
  <c r="B22" i="11"/>
  <c r="AV21" i="11"/>
  <c r="AC21" i="11"/>
  <c r="AB21" i="11"/>
  <c r="W21" i="11"/>
  <c r="G21" i="11"/>
  <c r="F21" i="11"/>
  <c r="E21" i="11"/>
  <c r="D21" i="11"/>
  <c r="C21" i="11"/>
  <c r="B21" i="11"/>
  <c r="AV20" i="11"/>
  <c r="AI20" i="11"/>
  <c r="AO20" i="11" s="1"/>
  <c r="AC20" i="11"/>
  <c r="AB20" i="11"/>
  <c r="W20" i="11"/>
  <c r="G20" i="11"/>
  <c r="F20" i="11"/>
  <c r="E20" i="11"/>
  <c r="D20" i="11"/>
  <c r="C20" i="11"/>
  <c r="B20" i="11"/>
  <c r="AV19" i="11"/>
  <c r="AO19" i="11"/>
  <c r="AI19" i="11"/>
  <c r="AC19" i="11"/>
  <c r="AB19" i="11"/>
  <c r="W19" i="11"/>
  <c r="G19" i="11"/>
  <c r="F19" i="11"/>
  <c r="E19" i="11"/>
  <c r="D19" i="11"/>
  <c r="C19" i="11"/>
  <c r="B19" i="11"/>
  <c r="AV18" i="11"/>
  <c r="AI18" i="11"/>
  <c r="AO18" i="11" s="1"/>
  <c r="AC18" i="11"/>
  <c r="AB18" i="11"/>
  <c r="W18" i="11"/>
  <c r="G18" i="11"/>
  <c r="F18" i="11"/>
  <c r="E18" i="11"/>
  <c r="D18" i="11"/>
  <c r="C18" i="11"/>
  <c r="B18" i="11"/>
  <c r="AW17" i="11"/>
  <c r="AV17" i="11"/>
  <c r="AC17" i="11"/>
  <c r="AB17" i="11"/>
  <c r="W17" i="11"/>
  <c r="T17" i="11"/>
  <c r="S17" i="11"/>
  <c r="R17" i="11"/>
  <c r="AI17" i="11" s="1"/>
  <c r="AO17" i="11" s="1"/>
  <c r="G17" i="11"/>
  <c r="F17" i="11"/>
  <c r="E17" i="11"/>
  <c r="D17" i="11"/>
  <c r="C17" i="11"/>
  <c r="B17" i="11"/>
  <c r="AW16" i="11"/>
  <c r="AV16" i="11"/>
  <c r="AO16" i="11"/>
  <c r="AI16" i="11"/>
  <c r="AB16" i="11"/>
  <c r="W16" i="11"/>
  <c r="G16" i="11"/>
  <c r="F16" i="11"/>
  <c r="E16" i="11"/>
  <c r="D16" i="11"/>
  <c r="C16" i="11"/>
  <c r="B16" i="11"/>
  <c r="AW15" i="11"/>
  <c r="AV15" i="11"/>
  <c r="AC15" i="11"/>
  <c r="AB15" i="11"/>
  <c r="W15" i="11"/>
  <c r="G15" i="11"/>
  <c r="F15" i="11"/>
  <c r="E15" i="11"/>
  <c r="D15" i="11"/>
  <c r="C15" i="11"/>
  <c r="B15" i="11"/>
  <c r="AW14" i="11"/>
  <c r="AV14" i="11"/>
  <c r="AI14" i="11"/>
  <c r="AO14" i="11" s="1"/>
  <c r="AC14" i="11"/>
  <c r="AB14" i="11"/>
  <c r="W14" i="11"/>
  <c r="G14" i="11"/>
  <c r="F14" i="11"/>
  <c r="E14" i="11"/>
  <c r="D14" i="11"/>
  <c r="C14" i="11"/>
  <c r="B14" i="11"/>
  <c r="AW13" i="11"/>
  <c r="AV13" i="11"/>
  <c r="AP13" i="11"/>
  <c r="AO13" i="11"/>
  <c r="AI13" i="11"/>
  <c r="AG13" i="11"/>
  <c r="AC13" i="11"/>
  <c r="AB13" i="11"/>
  <c r="AA13" i="11"/>
  <c r="X13" i="11"/>
  <c r="W13" i="11"/>
  <c r="P13" i="11"/>
  <c r="O13" i="11"/>
  <c r="K13" i="12" s="1"/>
  <c r="N13" i="11"/>
  <c r="Z13" i="11" s="1"/>
  <c r="G13" i="11"/>
  <c r="F13" i="11"/>
  <c r="E13" i="11"/>
  <c r="D13" i="11"/>
  <c r="C13" i="11"/>
  <c r="B13" i="11"/>
  <c r="AW12" i="11"/>
  <c r="AV12" i="11"/>
  <c r="AO12" i="11"/>
  <c r="AI12" i="11"/>
  <c r="AC12" i="11"/>
  <c r="AB12" i="11"/>
  <c r="W12" i="11"/>
  <c r="G12" i="11"/>
  <c r="F12" i="11"/>
  <c r="E12" i="11"/>
  <c r="D12" i="11"/>
  <c r="C12" i="11"/>
  <c r="B12" i="11"/>
  <c r="AW11" i="11"/>
  <c r="AV11" i="11"/>
  <c r="W11" i="11"/>
  <c r="G11" i="11"/>
  <c r="F11" i="11"/>
  <c r="E11" i="11"/>
  <c r="D11" i="11"/>
  <c r="C11" i="11"/>
  <c r="B11" i="11"/>
  <c r="AW10" i="11"/>
  <c r="AV10" i="11"/>
  <c r="AO10" i="11"/>
  <c r="AC10" i="11"/>
  <c r="AB10" i="11"/>
  <c r="W10" i="11"/>
  <c r="G10" i="11"/>
  <c r="F10" i="11"/>
  <c r="E10" i="11"/>
  <c r="D10" i="11"/>
  <c r="C10" i="11"/>
  <c r="B10" i="11"/>
  <c r="AW9" i="11"/>
  <c r="AV9" i="11"/>
  <c r="AC9" i="11"/>
  <c r="AB9" i="11"/>
  <c r="W9" i="11"/>
  <c r="G9" i="11"/>
  <c r="F9" i="11"/>
  <c r="E9" i="11"/>
  <c r="D9" i="11"/>
  <c r="C9" i="11"/>
  <c r="B9" i="11"/>
  <c r="AW8" i="11"/>
  <c r="AV8" i="11"/>
  <c r="AO8" i="11"/>
  <c r="AI8" i="11"/>
  <c r="AC8" i="11"/>
  <c r="AB8" i="11"/>
  <c r="W8" i="11"/>
  <c r="G8" i="11"/>
  <c r="F8" i="11"/>
  <c r="E8" i="11"/>
  <c r="D8" i="11"/>
  <c r="C8" i="11"/>
  <c r="B8" i="11"/>
  <c r="AW7" i="11"/>
  <c r="AE7" i="11"/>
  <c r="AC7" i="11"/>
  <c r="AB7" i="11"/>
  <c r="W7" i="11"/>
  <c r="G7" i="11"/>
  <c r="F7" i="11"/>
  <c r="E7" i="11"/>
  <c r="D7" i="11"/>
  <c r="C7" i="11"/>
  <c r="B7" i="11"/>
  <c r="AW6" i="11"/>
  <c r="AE6" i="11"/>
  <c r="AC6" i="11"/>
  <c r="AB6" i="11"/>
  <c r="W6" i="11"/>
  <c r="G6" i="11"/>
  <c r="F6" i="11"/>
  <c r="E6" i="11"/>
  <c r="D6" i="11"/>
  <c r="C6" i="11"/>
  <c r="B6" i="11"/>
  <c r="AW5" i="11"/>
  <c r="AE5" i="11"/>
  <c r="AC5" i="11"/>
  <c r="AB5" i="11"/>
  <c r="AA5" i="11"/>
  <c r="Z5" i="11"/>
  <c r="Y5" i="11"/>
  <c r="W5" i="11"/>
  <c r="O5" i="11"/>
  <c r="K5" i="12" s="1"/>
  <c r="N5" i="11"/>
  <c r="X5" i="11" s="1"/>
  <c r="G5" i="11"/>
  <c r="F5" i="11"/>
  <c r="E5" i="11"/>
  <c r="D5" i="11"/>
  <c r="C5" i="11"/>
  <c r="B5" i="11"/>
  <c r="AW4" i="11"/>
  <c r="AV4" i="11"/>
  <c r="AI4" i="11"/>
  <c r="AO4" i="11" s="1"/>
  <c r="AC4" i="11"/>
  <c r="W4" i="11"/>
  <c r="G4" i="11"/>
  <c r="F4" i="11"/>
  <c r="E4" i="11"/>
  <c r="D4" i="11"/>
  <c r="C4" i="11"/>
  <c r="B4" i="11"/>
  <c r="AW3" i="11"/>
  <c r="AV3" i="11"/>
  <c r="AO3" i="11"/>
  <c r="AI3" i="11"/>
  <c r="AC3" i="11"/>
  <c r="W3" i="11"/>
  <c r="G3" i="11"/>
  <c r="F3" i="11"/>
  <c r="E3" i="11"/>
  <c r="D3" i="11"/>
  <c r="C3" i="11"/>
  <c r="B3" i="11"/>
  <c r="AL34" i="9"/>
  <c r="W34" i="9"/>
  <c r="K34" i="9"/>
  <c r="O34" i="9" s="1"/>
  <c r="K34" i="11" s="1"/>
  <c r="W33" i="9"/>
  <c r="G33" i="9"/>
  <c r="F33" i="9"/>
  <c r="E33" i="9"/>
  <c r="AV32" i="9"/>
  <c r="AP32" i="9"/>
  <c r="AO32" i="9"/>
  <c r="AI32" i="9"/>
  <c r="AC32" i="9"/>
  <c r="AB32" i="9"/>
  <c r="W32" i="9"/>
  <c r="G32" i="9"/>
  <c r="F32" i="9"/>
  <c r="E32" i="9"/>
  <c r="D32" i="9"/>
  <c r="C32" i="9"/>
  <c r="B32" i="9"/>
  <c r="AV31" i="9"/>
  <c r="W31" i="9"/>
  <c r="G31" i="9"/>
  <c r="F31" i="9"/>
  <c r="E31" i="9"/>
  <c r="D31" i="9"/>
  <c r="C31" i="9"/>
  <c r="B31" i="9"/>
  <c r="AV30" i="9"/>
  <c r="W30" i="9"/>
  <c r="G30" i="9"/>
  <c r="F30" i="9"/>
  <c r="E30" i="9"/>
  <c r="D30" i="9"/>
  <c r="C30" i="9"/>
  <c r="B30" i="9"/>
  <c r="AV29" i="9"/>
  <c r="AO29" i="9"/>
  <c r="AI29" i="9"/>
  <c r="AC29" i="9"/>
  <c r="AB29" i="9"/>
  <c r="W29" i="9"/>
  <c r="G29" i="9"/>
  <c r="F29" i="9"/>
  <c r="E29" i="9"/>
  <c r="D29" i="9"/>
  <c r="C29" i="9"/>
  <c r="B29" i="9"/>
  <c r="AV28" i="9"/>
  <c r="AI28" i="9"/>
  <c r="AO28" i="9" s="1"/>
  <c r="AC28" i="9"/>
  <c r="AB28" i="9"/>
  <c r="W28" i="9"/>
  <c r="G28" i="9"/>
  <c r="F28" i="9"/>
  <c r="E28" i="9"/>
  <c r="D28" i="9"/>
  <c r="C28" i="9"/>
  <c r="B28" i="9"/>
  <c r="AV27" i="9"/>
  <c r="AO27" i="9"/>
  <c r="AI27" i="9"/>
  <c r="AC27" i="9"/>
  <c r="AB27" i="9"/>
  <c r="W27" i="9"/>
  <c r="G27" i="9"/>
  <c r="F27" i="9"/>
  <c r="E27" i="9"/>
  <c r="D27" i="9"/>
  <c r="C27" i="9"/>
  <c r="B27" i="9"/>
  <c r="AV26" i="9"/>
  <c r="W26" i="9"/>
  <c r="G26" i="9"/>
  <c r="F26" i="9"/>
  <c r="E26" i="9"/>
  <c r="D26" i="9"/>
  <c r="C26" i="9"/>
  <c r="B26" i="9"/>
  <c r="AV25" i="9"/>
  <c r="AI25" i="9"/>
  <c r="AO25" i="9" s="1"/>
  <c r="AC25" i="9"/>
  <c r="AB25" i="9"/>
  <c r="W25" i="9"/>
  <c r="G25" i="9"/>
  <c r="F25" i="9"/>
  <c r="E25" i="9"/>
  <c r="D25" i="9"/>
  <c r="C25" i="9"/>
  <c r="B25" i="9"/>
  <c r="AV24" i="9"/>
  <c r="AT24" i="9"/>
  <c r="AS24" i="11" s="1"/>
  <c r="AT24" i="11" s="1"/>
  <c r="AS24" i="12" s="1"/>
  <c r="AT24" i="12" s="1"/>
  <c r="AS24" i="13" s="1"/>
  <c r="AT24" i="13" s="1"/>
  <c r="AS24" i="14" s="1"/>
  <c r="AT24" i="14" s="1"/>
  <c r="AS24" i="15" s="1"/>
  <c r="AT24" i="15" s="1"/>
  <c r="AS24" i="16" s="1"/>
  <c r="AT24" i="16" s="1"/>
  <c r="AS24" i="17" s="1"/>
  <c r="AT24" i="17" s="1"/>
  <c r="AO24" i="9"/>
  <c r="AI24" i="9"/>
  <c r="AC24" i="9"/>
  <c r="AB24" i="9"/>
  <c r="W24" i="9"/>
  <c r="G24" i="9"/>
  <c r="F24" i="9"/>
  <c r="E24" i="9"/>
  <c r="D24" i="9"/>
  <c r="C24" i="9"/>
  <c r="B24" i="9"/>
  <c r="AV23" i="9"/>
  <c r="AI23" i="9"/>
  <c r="AO23" i="9" s="1"/>
  <c r="AC23" i="9"/>
  <c r="AB23" i="9"/>
  <c r="W23" i="9"/>
  <c r="G23" i="9"/>
  <c r="F23" i="9"/>
  <c r="E23" i="9"/>
  <c r="D23" i="9"/>
  <c r="C23" i="9"/>
  <c r="B23" i="9"/>
  <c r="AV22" i="9"/>
  <c r="AI22" i="9"/>
  <c r="AO22" i="9" s="1"/>
  <c r="AC22" i="9"/>
  <c r="AB22" i="9"/>
  <c r="W22" i="9"/>
  <c r="G22" i="9"/>
  <c r="F22" i="9"/>
  <c r="E22" i="9"/>
  <c r="D22" i="9"/>
  <c r="C22" i="9"/>
  <c r="B22" i="9"/>
  <c r="AV21" i="9"/>
  <c r="AC21" i="9"/>
  <c r="AB21" i="9"/>
  <c r="W21" i="9"/>
  <c r="G21" i="9"/>
  <c r="F21" i="9"/>
  <c r="E21" i="9"/>
  <c r="D21" i="9"/>
  <c r="C21" i="9"/>
  <c r="B21" i="9"/>
  <c r="AV20" i="9"/>
  <c r="AO20" i="9"/>
  <c r="AI20" i="9"/>
  <c r="AC20" i="9"/>
  <c r="AB20" i="9"/>
  <c r="W20" i="9"/>
  <c r="G20" i="9"/>
  <c r="F20" i="9"/>
  <c r="E20" i="9"/>
  <c r="D20" i="9"/>
  <c r="C20" i="9"/>
  <c r="B20" i="9"/>
  <c r="AV19" i="9"/>
  <c r="AI19" i="9"/>
  <c r="AO19" i="9" s="1"/>
  <c r="AC19" i="9"/>
  <c r="AB19" i="9"/>
  <c r="W19" i="9"/>
  <c r="G19" i="9"/>
  <c r="F19" i="9"/>
  <c r="E19" i="9"/>
  <c r="D19" i="9"/>
  <c r="C19" i="9"/>
  <c r="B19" i="9"/>
  <c r="AV18" i="9"/>
  <c r="AI18" i="9"/>
  <c r="AO18" i="9" s="1"/>
  <c r="AC18" i="9"/>
  <c r="AB18" i="9"/>
  <c r="W18" i="9"/>
  <c r="G18" i="9"/>
  <c r="F18" i="9"/>
  <c r="E18" i="9"/>
  <c r="D18" i="9"/>
  <c r="C18" i="9"/>
  <c r="B18" i="9"/>
  <c r="AW17" i="9"/>
  <c r="AV17" i="9"/>
  <c r="AI17" i="9"/>
  <c r="AO17" i="9" s="1"/>
  <c r="AC17" i="9"/>
  <c r="AB17" i="9"/>
  <c r="T17" i="9"/>
  <c r="S17" i="9"/>
  <c r="R17" i="9"/>
  <c r="G17" i="9"/>
  <c r="F17" i="9"/>
  <c r="E17" i="9"/>
  <c r="D17" i="9"/>
  <c r="C17" i="9"/>
  <c r="B17" i="9"/>
  <c r="AW16" i="9"/>
  <c r="AV16" i="9"/>
  <c r="AO16" i="9"/>
  <c r="AI16" i="9"/>
  <c r="AC16" i="9"/>
  <c r="AB16" i="9"/>
  <c r="W16" i="9"/>
  <c r="G16" i="9"/>
  <c r="F16" i="9"/>
  <c r="E16" i="9"/>
  <c r="D16" i="9"/>
  <c r="C16" i="9"/>
  <c r="B16" i="9"/>
  <c r="AW15" i="9"/>
  <c r="AV15" i="9"/>
  <c r="AC15" i="9"/>
  <c r="AB15" i="9"/>
  <c r="W15" i="9"/>
  <c r="G15" i="9"/>
  <c r="F15" i="9"/>
  <c r="E15" i="9"/>
  <c r="D15" i="9"/>
  <c r="C15" i="9"/>
  <c r="B15" i="9"/>
  <c r="AW14" i="9"/>
  <c r="AV14" i="9"/>
  <c r="AO14" i="9"/>
  <c r="AI14" i="9"/>
  <c r="AC14" i="9"/>
  <c r="AB14" i="9"/>
  <c r="W14" i="9"/>
  <c r="G14" i="9"/>
  <c r="F14" i="9"/>
  <c r="E14" i="9"/>
  <c r="D14" i="9"/>
  <c r="C14" i="9"/>
  <c r="B14" i="9"/>
  <c r="AW13" i="9"/>
  <c r="AV13" i="9"/>
  <c r="AO13" i="9"/>
  <c r="AI13" i="9"/>
  <c r="AC13" i="9"/>
  <c r="AB13" i="9"/>
  <c r="W13" i="9"/>
  <c r="G13" i="9"/>
  <c r="F13" i="9"/>
  <c r="E13" i="9"/>
  <c r="D13" i="9"/>
  <c r="C13" i="9"/>
  <c r="B13" i="9"/>
  <c r="AW12" i="9"/>
  <c r="AV12" i="9"/>
  <c r="AO12" i="9"/>
  <c r="AI12" i="9"/>
  <c r="AC12" i="9"/>
  <c r="AB12" i="9"/>
  <c r="W12" i="9"/>
  <c r="G12" i="9"/>
  <c r="F12" i="9"/>
  <c r="E12" i="9"/>
  <c r="D12" i="9"/>
  <c r="C12" i="9"/>
  <c r="B12" i="9"/>
  <c r="AW11" i="9"/>
  <c r="AV11" i="9"/>
  <c r="W11" i="9"/>
  <c r="G11" i="9"/>
  <c r="F11" i="9"/>
  <c r="E11" i="9"/>
  <c r="D11" i="9"/>
  <c r="C11" i="9"/>
  <c r="B11" i="9"/>
  <c r="AW10" i="9"/>
  <c r="AV10" i="9"/>
  <c r="AO10" i="9"/>
  <c r="AC10" i="9"/>
  <c r="AB10" i="9"/>
  <c r="W10" i="9"/>
  <c r="G10" i="9"/>
  <c r="F10" i="9"/>
  <c r="E10" i="9"/>
  <c r="D10" i="9"/>
  <c r="C10" i="9"/>
  <c r="B10" i="9"/>
  <c r="AW9" i="9"/>
  <c r="AV9" i="9"/>
  <c r="W9" i="9"/>
  <c r="G9" i="9"/>
  <c r="F9" i="9"/>
  <c r="E9" i="9"/>
  <c r="D9" i="9"/>
  <c r="C9" i="9"/>
  <c r="B9" i="9"/>
  <c r="AW8" i="9"/>
  <c r="AV8" i="9"/>
  <c r="AI8" i="9"/>
  <c r="AO8" i="9" s="1"/>
  <c r="AC8" i="9"/>
  <c r="AB8" i="9"/>
  <c r="W8" i="9"/>
  <c r="G8" i="9"/>
  <c r="F8" i="9"/>
  <c r="E8" i="9"/>
  <c r="D8" i="9"/>
  <c r="C8" i="9"/>
  <c r="B8" i="9"/>
  <c r="AW7" i="9"/>
  <c r="W7" i="9"/>
  <c r="G7" i="9"/>
  <c r="F7" i="9"/>
  <c r="E7" i="9"/>
  <c r="D7" i="9"/>
  <c r="C7" i="9"/>
  <c r="B7" i="9"/>
  <c r="AW6" i="9"/>
  <c r="W6" i="9"/>
  <c r="G6" i="9"/>
  <c r="F6" i="9"/>
  <c r="E6" i="9"/>
  <c r="D6" i="9"/>
  <c r="C6" i="9"/>
  <c r="B6" i="9"/>
  <c r="AW5" i="9"/>
  <c r="W5" i="9"/>
  <c r="G5" i="9"/>
  <c r="F5" i="9"/>
  <c r="E5" i="9"/>
  <c r="D5" i="9"/>
  <c r="C5" i="9"/>
  <c r="B5" i="9"/>
  <c r="AW4" i="9"/>
  <c r="AV4" i="9"/>
  <c r="AO4" i="9"/>
  <c r="AI4" i="9"/>
  <c r="AC4" i="9"/>
  <c r="W4" i="9"/>
  <c r="G4" i="9"/>
  <c r="F4" i="9"/>
  <c r="E4" i="9"/>
  <c r="D4" i="9"/>
  <c r="C4" i="9"/>
  <c r="B4" i="9"/>
  <c r="AW3" i="9"/>
  <c r="AV3" i="9"/>
  <c r="AO3" i="9"/>
  <c r="AI3" i="9"/>
  <c r="AC3" i="9"/>
  <c r="W3" i="9"/>
  <c r="G3" i="9"/>
  <c r="F3" i="9"/>
  <c r="E3" i="9"/>
  <c r="D3" i="9"/>
  <c r="C3" i="9"/>
  <c r="B3" i="9"/>
  <c r="AT33" i="8"/>
  <c r="AS33" i="9" s="1"/>
  <c r="AT33" i="9" s="1"/>
  <c r="AS33" i="11" s="1"/>
  <c r="AT33" i="11" s="1"/>
  <c r="AS33" i="12" s="1"/>
  <c r="AT33" i="12" s="1"/>
  <c r="AS33" i="13" s="1"/>
  <c r="AT33" i="13" s="1"/>
  <c r="AS33" i="14" s="1"/>
  <c r="AT33" i="14" s="1"/>
  <c r="AS33" i="15" s="1"/>
  <c r="AT33" i="15" s="1"/>
  <c r="AS33" i="16" s="1"/>
  <c r="AT33" i="16" s="1"/>
  <c r="AS33" i="17" s="1"/>
  <c r="AT33" i="17" s="1"/>
  <c r="W33" i="8"/>
  <c r="G33" i="8"/>
  <c r="F33" i="8"/>
  <c r="E33" i="8"/>
  <c r="AV32" i="8"/>
  <c r="AP32" i="8"/>
  <c r="AI32" i="8"/>
  <c r="AO32" i="8" s="1"/>
  <c r="AC32" i="8"/>
  <c r="AB32" i="8"/>
  <c r="W32" i="8"/>
  <c r="G32" i="8"/>
  <c r="F32" i="8"/>
  <c r="E32" i="8"/>
  <c r="D32" i="8"/>
  <c r="C32" i="8"/>
  <c r="B32" i="8"/>
  <c r="AV31" i="8"/>
  <c r="W31" i="8"/>
  <c r="G31" i="8"/>
  <c r="F31" i="8"/>
  <c r="E31" i="8"/>
  <c r="D31" i="8"/>
  <c r="C31" i="8"/>
  <c r="B31" i="8"/>
  <c r="AV30" i="8"/>
  <c r="W30" i="8"/>
  <c r="G30" i="8"/>
  <c r="F30" i="8"/>
  <c r="E30" i="8"/>
  <c r="D30" i="8"/>
  <c r="C30" i="8"/>
  <c r="B30" i="8"/>
  <c r="AV29" i="8"/>
  <c r="AO29" i="8"/>
  <c r="AI29" i="8"/>
  <c r="AC29" i="8"/>
  <c r="AB29" i="8"/>
  <c r="W29" i="8"/>
  <c r="G29" i="8"/>
  <c r="F29" i="8"/>
  <c r="E29" i="8"/>
  <c r="D29" i="8"/>
  <c r="C29" i="8"/>
  <c r="B29" i="8"/>
  <c r="AV28" i="8"/>
  <c r="AO28" i="8"/>
  <c r="AI28" i="8"/>
  <c r="AC28" i="8"/>
  <c r="AB28" i="8"/>
  <c r="W28" i="8"/>
  <c r="G28" i="8"/>
  <c r="F28" i="8"/>
  <c r="E28" i="8"/>
  <c r="D28" i="8"/>
  <c r="C28" i="8"/>
  <c r="B28" i="8"/>
  <c r="AV27" i="8"/>
  <c r="AI27" i="8"/>
  <c r="AO27" i="8" s="1"/>
  <c r="AC27" i="8"/>
  <c r="AB27" i="8"/>
  <c r="W27" i="8"/>
  <c r="G27" i="8"/>
  <c r="F27" i="8"/>
  <c r="E27" i="8"/>
  <c r="D27" i="8"/>
  <c r="C27" i="8"/>
  <c r="B27" i="8"/>
  <c r="AV26" i="8"/>
  <c r="W26" i="8"/>
  <c r="G26" i="8"/>
  <c r="F26" i="8"/>
  <c r="E26" i="8"/>
  <c r="D26" i="8"/>
  <c r="C26" i="8"/>
  <c r="B26" i="8"/>
  <c r="AV25" i="8"/>
  <c r="AI25" i="8"/>
  <c r="AO25" i="8" s="1"/>
  <c r="AC25" i="8"/>
  <c r="AB25" i="8"/>
  <c r="W25" i="8"/>
  <c r="G25" i="8"/>
  <c r="F25" i="8"/>
  <c r="E25" i="8"/>
  <c r="D25" i="8"/>
  <c r="C25" i="8"/>
  <c r="B25" i="8"/>
  <c r="AV24" i="8"/>
  <c r="AI24" i="8"/>
  <c r="AO24" i="8" s="1"/>
  <c r="AC24" i="8"/>
  <c r="AB24" i="8"/>
  <c r="W24" i="8"/>
  <c r="G24" i="8"/>
  <c r="F24" i="8"/>
  <c r="E24" i="8"/>
  <c r="D24" i="8"/>
  <c r="C24" i="8"/>
  <c r="B24" i="8"/>
  <c r="AV23" i="8"/>
  <c r="AO23" i="8"/>
  <c r="AI23" i="8"/>
  <c r="AC23" i="8"/>
  <c r="AB23" i="8"/>
  <c r="W23" i="8"/>
  <c r="G23" i="8"/>
  <c r="F23" i="8"/>
  <c r="E23" i="8"/>
  <c r="D23" i="8"/>
  <c r="C23" i="8"/>
  <c r="B23" i="8"/>
  <c r="AV22" i="8"/>
  <c r="AI22" i="8"/>
  <c r="AO22" i="8" s="1"/>
  <c r="AC22" i="8"/>
  <c r="AB22" i="8"/>
  <c r="W22" i="8"/>
  <c r="G22" i="8"/>
  <c r="F22" i="8"/>
  <c r="E22" i="8"/>
  <c r="D22" i="8"/>
  <c r="C22" i="8"/>
  <c r="B22" i="8"/>
  <c r="AV21" i="8"/>
  <c r="AC21" i="8"/>
  <c r="AB21" i="8"/>
  <c r="W21" i="8"/>
  <c r="G21" i="8"/>
  <c r="F21" i="8"/>
  <c r="E21" i="8"/>
  <c r="D21" i="8"/>
  <c r="C21" i="8"/>
  <c r="B21" i="8"/>
  <c r="AV20" i="8"/>
  <c r="AI20" i="8"/>
  <c r="AO20" i="8" s="1"/>
  <c r="AC20" i="8"/>
  <c r="AB20" i="8"/>
  <c r="W20" i="8"/>
  <c r="G20" i="8"/>
  <c r="F20" i="8"/>
  <c r="E20" i="8"/>
  <c r="D20" i="8"/>
  <c r="C20" i="8"/>
  <c r="B20" i="8"/>
  <c r="AV19" i="8"/>
  <c r="AO19" i="8"/>
  <c r="AI19" i="8"/>
  <c r="AC19" i="8"/>
  <c r="AB19" i="8"/>
  <c r="W19" i="8"/>
  <c r="G19" i="8"/>
  <c r="F19" i="8"/>
  <c r="E19" i="8"/>
  <c r="D19" i="8"/>
  <c r="C19" i="8"/>
  <c r="B19" i="8"/>
  <c r="AV18" i="8"/>
  <c r="AO18" i="8"/>
  <c r="AI18" i="8"/>
  <c r="AC18" i="8"/>
  <c r="AB18" i="8"/>
  <c r="W18" i="8"/>
  <c r="G18" i="8"/>
  <c r="F18" i="8"/>
  <c r="E18" i="8"/>
  <c r="D18" i="8"/>
  <c r="C18" i="8"/>
  <c r="B18" i="8"/>
  <c r="AW17" i="8"/>
  <c r="AV17" i="8"/>
  <c r="AI17" i="8"/>
  <c r="AO17" i="8" s="1"/>
  <c r="AC17" i="8"/>
  <c r="AB17" i="8"/>
  <c r="T17" i="8"/>
  <c r="S17" i="8"/>
  <c r="R17" i="8"/>
  <c r="G17" i="8"/>
  <c r="F17" i="8"/>
  <c r="E17" i="8"/>
  <c r="D17" i="8"/>
  <c r="C17" i="8"/>
  <c r="B17" i="8"/>
  <c r="AW16" i="8"/>
  <c r="AV16" i="8"/>
  <c r="AO16" i="8"/>
  <c r="AI16" i="8"/>
  <c r="AC16" i="8"/>
  <c r="AB16" i="8"/>
  <c r="W16" i="8"/>
  <c r="G16" i="8"/>
  <c r="F16" i="8"/>
  <c r="E16" i="8"/>
  <c r="D16" i="8"/>
  <c r="C16" i="8"/>
  <c r="B16" i="8"/>
  <c r="AW15" i="8"/>
  <c r="AV15" i="8"/>
  <c r="AC15" i="8"/>
  <c r="AB15" i="8"/>
  <c r="W15" i="8"/>
  <c r="G15" i="8"/>
  <c r="F15" i="8"/>
  <c r="E15" i="8"/>
  <c r="D15" i="8"/>
  <c r="C15" i="8"/>
  <c r="B15" i="8"/>
  <c r="AW14" i="8"/>
  <c r="AV14" i="8"/>
  <c r="AI14" i="8"/>
  <c r="AO14" i="8" s="1"/>
  <c r="AC14" i="8"/>
  <c r="AB14" i="8"/>
  <c r="W14" i="8"/>
  <c r="G14" i="8"/>
  <c r="F14" i="8"/>
  <c r="E14" i="8"/>
  <c r="D14" i="8"/>
  <c r="C14" i="8"/>
  <c r="B14" i="8"/>
  <c r="AW13" i="8"/>
  <c r="AV13" i="8"/>
  <c r="AO13" i="8"/>
  <c r="AI13" i="8"/>
  <c r="AC13" i="8"/>
  <c r="AB13" i="8"/>
  <c r="W13" i="8"/>
  <c r="G13" i="8"/>
  <c r="F13" i="8"/>
  <c r="E13" i="8"/>
  <c r="D13" i="8"/>
  <c r="C13" i="8"/>
  <c r="B13" i="8"/>
  <c r="AW12" i="8"/>
  <c r="AV12" i="8"/>
  <c r="AI12" i="8"/>
  <c r="AO12" i="8" s="1"/>
  <c r="AC12" i="8"/>
  <c r="AB12" i="8"/>
  <c r="W12" i="8"/>
  <c r="G12" i="8"/>
  <c r="F12" i="8"/>
  <c r="E12" i="8"/>
  <c r="D12" i="8"/>
  <c r="C12" i="8"/>
  <c r="B12" i="8"/>
  <c r="AW11" i="8"/>
  <c r="AV11" i="8"/>
  <c r="W11" i="8"/>
  <c r="G11" i="8"/>
  <c r="F11" i="8"/>
  <c r="E11" i="8"/>
  <c r="D11" i="8"/>
  <c r="C11" i="8"/>
  <c r="B11" i="8"/>
  <c r="AW10" i="8"/>
  <c r="AV10" i="8"/>
  <c r="AO10" i="8"/>
  <c r="AC10" i="8"/>
  <c r="AB10" i="8"/>
  <c r="W10" i="8"/>
  <c r="G10" i="8"/>
  <c r="F10" i="8"/>
  <c r="E10" i="8"/>
  <c r="D10" i="8"/>
  <c r="C10" i="8"/>
  <c r="B10" i="8"/>
  <c r="AW9" i="8"/>
  <c r="AV9" i="8"/>
  <c r="W9" i="8"/>
  <c r="G9" i="8"/>
  <c r="F9" i="8"/>
  <c r="E9" i="8"/>
  <c r="D9" i="8"/>
  <c r="C9" i="8"/>
  <c r="B9" i="8"/>
  <c r="AW8" i="8"/>
  <c r="AV8" i="8"/>
  <c r="AI8" i="8"/>
  <c r="AO8" i="8" s="1"/>
  <c r="AC8" i="8"/>
  <c r="AB8" i="8"/>
  <c r="W8" i="8"/>
  <c r="G8" i="8"/>
  <c r="F8" i="8"/>
  <c r="E8" i="8"/>
  <c r="D8" i="8"/>
  <c r="C8" i="8"/>
  <c r="B8" i="8"/>
  <c r="AW7" i="8"/>
  <c r="W7" i="8"/>
  <c r="G7" i="8"/>
  <c r="F7" i="8"/>
  <c r="E7" i="8"/>
  <c r="D7" i="8"/>
  <c r="C7" i="8"/>
  <c r="B7" i="8"/>
  <c r="AW6" i="8"/>
  <c r="W6" i="8"/>
  <c r="G6" i="8"/>
  <c r="F6" i="8"/>
  <c r="E6" i="8"/>
  <c r="D6" i="8"/>
  <c r="C6" i="8"/>
  <c r="B6" i="8"/>
  <c r="AW5" i="8"/>
  <c r="W5" i="8"/>
  <c r="G5" i="8"/>
  <c r="F5" i="8"/>
  <c r="E5" i="8"/>
  <c r="D5" i="8"/>
  <c r="C5" i="8"/>
  <c r="B5" i="8"/>
  <c r="AW4" i="8"/>
  <c r="AV4" i="8"/>
  <c r="AI4" i="8"/>
  <c r="AO4" i="8" s="1"/>
  <c r="AC4" i="8"/>
  <c r="W4" i="8"/>
  <c r="G4" i="8"/>
  <c r="F4" i="8"/>
  <c r="E4" i="8"/>
  <c r="D4" i="8"/>
  <c r="C4" i="8"/>
  <c r="B4" i="8"/>
  <c r="AW3" i="8"/>
  <c r="AV3" i="8"/>
  <c r="AI3" i="8"/>
  <c r="AO3" i="8" s="1"/>
  <c r="AC3" i="8"/>
  <c r="W3" i="8"/>
  <c r="G3" i="8"/>
  <c r="F3" i="8"/>
  <c r="E3" i="8"/>
  <c r="D3" i="8"/>
  <c r="C3" i="8"/>
  <c r="B3" i="8"/>
  <c r="AC33" i="7"/>
  <c r="AB33" i="7"/>
  <c r="W33" i="7"/>
  <c r="G33" i="7"/>
  <c r="F33" i="7"/>
  <c r="E33" i="7"/>
  <c r="AV32" i="7"/>
  <c r="AP32" i="7"/>
  <c r="AI32" i="7"/>
  <c r="AO32" i="7" s="1"/>
  <c r="AC32" i="7"/>
  <c r="AB32" i="7"/>
  <c r="W32" i="7"/>
  <c r="G32" i="7"/>
  <c r="F32" i="7"/>
  <c r="E32" i="7"/>
  <c r="D32" i="7"/>
  <c r="C32" i="7"/>
  <c r="B32" i="7"/>
  <c r="AV31" i="7"/>
  <c r="AC31" i="7"/>
  <c r="AB31" i="7"/>
  <c r="W31" i="7"/>
  <c r="G31" i="7"/>
  <c r="F31" i="7"/>
  <c r="E31" i="7"/>
  <c r="D31" i="7"/>
  <c r="C31" i="7"/>
  <c r="B31" i="7"/>
  <c r="AV30" i="7"/>
  <c r="AC30" i="7"/>
  <c r="AB30" i="7"/>
  <c r="W30" i="7"/>
  <c r="G30" i="7"/>
  <c r="F30" i="7"/>
  <c r="E30" i="7"/>
  <c r="D30" i="7"/>
  <c r="C30" i="7"/>
  <c r="B30" i="7"/>
  <c r="AV29" i="7"/>
  <c r="AC29" i="7"/>
  <c r="AB29" i="7"/>
  <c r="W29" i="7"/>
  <c r="G29" i="7"/>
  <c r="F29" i="7"/>
  <c r="E29" i="7"/>
  <c r="D29" i="7"/>
  <c r="C29" i="7"/>
  <c r="B29" i="7"/>
  <c r="AV28" i="7"/>
  <c r="AO28" i="7"/>
  <c r="AI28" i="7"/>
  <c r="AC28" i="7"/>
  <c r="AB28" i="7"/>
  <c r="W28" i="7"/>
  <c r="G28" i="7"/>
  <c r="F28" i="7"/>
  <c r="E28" i="7"/>
  <c r="D28" i="7"/>
  <c r="C28" i="7"/>
  <c r="B28" i="7"/>
  <c r="AV27" i="7"/>
  <c r="AC27" i="7"/>
  <c r="AB27" i="7"/>
  <c r="W27" i="7"/>
  <c r="G27" i="7"/>
  <c r="F27" i="7"/>
  <c r="E27" i="7"/>
  <c r="D27" i="7"/>
  <c r="C27" i="7"/>
  <c r="B27" i="7"/>
  <c r="AV26" i="7"/>
  <c r="AC26" i="7"/>
  <c r="AB26" i="7"/>
  <c r="W26" i="7"/>
  <c r="G26" i="7"/>
  <c r="F26" i="7"/>
  <c r="E26" i="7"/>
  <c r="D26" i="7"/>
  <c r="C26" i="7"/>
  <c r="B26" i="7"/>
  <c r="AV25" i="7"/>
  <c r="AC25" i="7"/>
  <c r="AB25" i="7"/>
  <c r="W25" i="7"/>
  <c r="G25" i="7"/>
  <c r="F25" i="7"/>
  <c r="E25" i="7"/>
  <c r="D25" i="7"/>
  <c r="C25" i="7"/>
  <c r="B25" i="7"/>
  <c r="AV24" i="7"/>
  <c r="AO24" i="7"/>
  <c r="AI24" i="7"/>
  <c r="AC24" i="7"/>
  <c r="AB24" i="7"/>
  <c r="W24" i="7"/>
  <c r="G24" i="7"/>
  <c r="F24" i="7"/>
  <c r="E24" i="7"/>
  <c r="D24" i="7"/>
  <c r="C24" i="7"/>
  <c r="B24" i="7"/>
  <c r="AV23" i="7"/>
  <c r="AC23" i="7"/>
  <c r="AB23" i="7"/>
  <c r="W23" i="7"/>
  <c r="G23" i="7"/>
  <c r="F23" i="7"/>
  <c r="E23" i="7"/>
  <c r="D23" i="7"/>
  <c r="C23" i="7"/>
  <c r="B23" i="7"/>
  <c r="AV22" i="7"/>
  <c r="AC22" i="7"/>
  <c r="AB22" i="7"/>
  <c r="W22" i="7"/>
  <c r="G22" i="7"/>
  <c r="F22" i="7"/>
  <c r="E22" i="7"/>
  <c r="D22" i="7"/>
  <c r="C22" i="7"/>
  <c r="B22" i="7"/>
  <c r="AV21" i="7"/>
  <c r="AC21" i="7"/>
  <c r="AB21" i="7"/>
  <c r="W21" i="7"/>
  <c r="G21" i="7"/>
  <c r="F21" i="7"/>
  <c r="E21" i="7"/>
  <c r="D21" i="7"/>
  <c r="C21" i="7"/>
  <c r="B21" i="7"/>
  <c r="AV20" i="7"/>
  <c r="AC20" i="7"/>
  <c r="AB20" i="7"/>
  <c r="W20" i="7"/>
  <c r="G20" i="7"/>
  <c r="F20" i="7"/>
  <c r="E20" i="7"/>
  <c r="D20" i="7"/>
  <c r="C20" i="7"/>
  <c r="B20" i="7"/>
  <c r="AV19" i="7"/>
  <c r="AC19" i="7"/>
  <c r="AB19" i="7"/>
  <c r="W19" i="7"/>
  <c r="G19" i="7"/>
  <c r="F19" i="7"/>
  <c r="E19" i="7"/>
  <c r="D19" i="7"/>
  <c r="C19" i="7"/>
  <c r="B19" i="7"/>
  <c r="AV18" i="7"/>
  <c r="AC18" i="7"/>
  <c r="AB18" i="7"/>
  <c r="W18" i="7"/>
  <c r="G18" i="7"/>
  <c r="F18" i="7"/>
  <c r="E18" i="7"/>
  <c r="D18" i="7"/>
  <c r="C18" i="7"/>
  <c r="B18" i="7"/>
  <c r="AW17" i="7"/>
  <c r="AV17" i="7"/>
  <c r="AI17" i="7"/>
  <c r="AO17" i="7" s="1"/>
  <c r="AC17" i="7"/>
  <c r="V17" i="7"/>
  <c r="U17" i="7"/>
  <c r="AB17" i="7" s="1"/>
  <c r="T17" i="7"/>
  <c r="S17" i="7"/>
  <c r="R17" i="7"/>
  <c r="W17" i="7" s="1"/>
  <c r="G17" i="7"/>
  <c r="F17" i="7"/>
  <c r="E17" i="7"/>
  <c r="D17" i="7"/>
  <c r="C17" i="7"/>
  <c r="B17" i="7"/>
  <c r="AW16" i="7"/>
  <c r="AV16" i="7"/>
  <c r="AO16" i="7"/>
  <c r="AI16" i="7"/>
  <c r="AC16" i="7"/>
  <c r="AB16" i="7"/>
  <c r="W16" i="7"/>
  <c r="G16" i="7"/>
  <c r="F16" i="7"/>
  <c r="E16" i="7"/>
  <c r="D16" i="7"/>
  <c r="C16" i="7"/>
  <c r="B16" i="7"/>
  <c r="AW15" i="7"/>
  <c r="AV15" i="7"/>
  <c r="AC15" i="7"/>
  <c r="AB15" i="7"/>
  <c r="W15" i="7"/>
  <c r="G15" i="7"/>
  <c r="F15" i="7"/>
  <c r="E15" i="7"/>
  <c r="D15" i="7"/>
  <c r="C15" i="7"/>
  <c r="B15" i="7"/>
  <c r="AW14" i="7"/>
  <c r="AV14" i="7"/>
  <c r="AO14" i="7"/>
  <c r="AI14" i="7"/>
  <c r="AC14" i="7"/>
  <c r="AB14" i="7"/>
  <c r="W14" i="7"/>
  <c r="G14" i="7"/>
  <c r="F14" i="7"/>
  <c r="E14" i="7"/>
  <c r="D14" i="7"/>
  <c r="C14" i="7"/>
  <c r="B14" i="7"/>
  <c r="AW13" i="7"/>
  <c r="AV13" i="7"/>
  <c r="AC13" i="7"/>
  <c r="AB13" i="7"/>
  <c r="W13" i="7"/>
  <c r="G13" i="7"/>
  <c r="F13" i="7"/>
  <c r="E13" i="7"/>
  <c r="D13" i="7"/>
  <c r="C13" i="7"/>
  <c r="B13" i="7"/>
  <c r="AW12" i="7"/>
  <c r="AV12" i="7"/>
  <c r="AC12" i="7"/>
  <c r="AB12" i="7"/>
  <c r="W12" i="7"/>
  <c r="G12" i="7"/>
  <c r="F12" i="7"/>
  <c r="E12" i="7"/>
  <c r="D12" i="7"/>
  <c r="C12" i="7"/>
  <c r="B12" i="7"/>
  <c r="AW11" i="7"/>
  <c r="AV11" i="7"/>
  <c r="AC11" i="7"/>
  <c r="AB11" i="7"/>
  <c r="W11" i="7"/>
  <c r="G11" i="7"/>
  <c r="F11" i="7"/>
  <c r="E11" i="7"/>
  <c r="D11" i="7"/>
  <c r="C11" i="7"/>
  <c r="B11" i="7"/>
  <c r="AW10" i="7"/>
  <c r="AV10" i="7"/>
  <c r="AO10" i="7"/>
  <c r="AC10" i="7"/>
  <c r="AB10" i="7"/>
  <c r="W10" i="7"/>
  <c r="G10" i="7"/>
  <c r="F10" i="7"/>
  <c r="E10" i="7"/>
  <c r="D10" i="7"/>
  <c r="C10" i="7"/>
  <c r="B10" i="7"/>
  <c r="AW9" i="7"/>
  <c r="AV9" i="7"/>
  <c r="AC9" i="7"/>
  <c r="AB9" i="7"/>
  <c r="W9" i="7"/>
  <c r="G9" i="7"/>
  <c r="F9" i="7"/>
  <c r="E9" i="7"/>
  <c r="D9" i="7"/>
  <c r="C9" i="7"/>
  <c r="B9" i="7"/>
  <c r="AW8" i="7"/>
  <c r="AV8" i="7"/>
  <c r="AO8" i="7"/>
  <c r="AI8" i="7"/>
  <c r="AC8" i="7"/>
  <c r="AB8" i="7"/>
  <c r="W8" i="7"/>
  <c r="G8" i="7"/>
  <c r="F8" i="7"/>
  <c r="E8" i="7"/>
  <c r="D8" i="7"/>
  <c r="C8" i="7"/>
  <c r="B8" i="7"/>
  <c r="AW7" i="7"/>
  <c r="AE7" i="7"/>
  <c r="AC7" i="7"/>
  <c r="AB7" i="7"/>
  <c r="W7" i="7"/>
  <c r="G7" i="7"/>
  <c r="F7" i="7"/>
  <c r="E7" i="7"/>
  <c r="D7" i="7"/>
  <c r="C7" i="7"/>
  <c r="B7" i="7"/>
  <c r="AW6" i="7"/>
  <c r="AE6" i="7"/>
  <c r="AC6" i="7"/>
  <c r="AB6" i="7"/>
  <c r="W6" i="7"/>
  <c r="K6" i="7"/>
  <c r="O6" i="7" s="1"/>
  <c r="K6" i="8" s="1"/>
  <c r="G6" i="7"/>
  <c r="F6" i="7"/>
  <c r="E6" i="7"/>
  <c r="D6" i="7"/>
  <c r="C6" i="7"/>
  <c r="B6" i="7"/>
  <c r="AW5" i="7"/>
  <c r="AE5" i="7"/>
  <c r="AC5" i="7"/>
  <c r="AB5" i="7"/>
  <c r="W5" i="7"/>
  <c r="G5" i="7"/>
  <c r="F5" i="7"/>
  <c r="E5" i="7"/>
  <c r="D5" i="7"/>
  <c r="C5" i="7"/>
  <c r="B5" i="7"/>
  <c r="AW4" i="7"/>
  <c r="AV4" i="7"/>
  <c r="AO4" i="7"/>
  <c r="AI4" i="7"/>
  <c r="AC4" i="7"/>
  <c r="W4" i="7"/>
  <c r="G4" i="7"/>
  <c r="F4" i="7"/>
  <c r="E4" i="7"/>
  <c r="D4" i="7"/>
  <c r="C4" i="7"/>
  <c r="B4" i="7"/>
  <c r="AW3" i="7"/>
  <c r="AV3" i="7"/>
  <c r="AO3" i="7"/>
  <c r="AI3" i="7"/>
  <c r="AC3" i="7"/>
  <c r="W3" i="7"/>
  <c r="G3" i="7"/>
  <c r="F3" i="7"/>
  <c r="E3" i="7"/>
  <c r="D3" i="7"/>
  <c r="C3" i="7"/>
  <c r="B3" i="7"/>
  <c r="AT33" i="6"/>
  <c r="AS33" i="6"/>
  <c r="W33" i="6"/>
  <c r="K33" i="6"/>
  <c r="O33" i="6" s="1"/>
  <c r="K33" i="7" s="1"/>
  <c r="G33" i="6"/>
  <c r="F33" i="6"/>
  <c r="E33" i="6"/>
  <c r="AV32" i="6"/>
  <c r="AS32" i="6"/>
  <c r="AT32" i="6" s="1"/>
  <c r="AP32" i="6"/>
  <c r="AI32" i="6"/>
  <c r="AO32" i="6" s="1"/>
  <c r="AC32" i="6"/>
  <c r="AB32" i="6"/>
  <c r="W32" i="6"/>
  <c r="K32" i="6"/>
  <c r="N32" i="6" s="1"/>
  <c r="G32" i="6"/>
  <c r="F32" i="6"/>
  <c r="E32" i="6"/>
  <c r="D32" i="6"/>
  <c r="C32" i="6"/>
  <c r="B32" i="6"/>
  <c r="AV31" i="6"/>
  <c r="AT31" i="6"/>
  <c r="AS31" i="6"/>
  <c r="Z31" i="6"/>
  <c r="W31" i="6"/>
  <c r="N31" i="6"/>
  <c r="X31" i="6" s="1"/>
  <c r="K31" i="6"/>
  <c r="O31" i="6" s="1"/>
  <c r="K31" i="7" s="1"/>
  <c r="G31" i="6"/>
  <c r="F31" i="6"/>
  <c r="E31" i="6"/>
  <c r="D31" i="6"/>
  <c r="C31" i="6"/>
  <c r="B31" i="6"/>
  <c r="AV30" i="6"/>
  <c r="AS30" i="6"/>
  <c r="AT30" i="6" s="1"/>
  <c r="W30" i="6"/>
  <c r="K30" i="6"/>
  <c r="N30" i="6" s="1"/>
  <c r="G30" i="6"/>
  <c r="F30" i="6"/>
  <c r="E30" i="6"/>
  <c r="D30" i="6"/>
  <c r="C30" i="6"/>
  <c r="B30" i="6"/>
  <c r="AV29" i="6"/>
  <c r="AT29" i="6"/>
  <c r="AS29" i="6"/>
  <c r="Z29" i="6"/>
  <c r="W29" i="6"/>
  <c r="N29" i="6"/>
  <c r="X29" i="6" s="1"/>
  <c r="K29" i="6"/>
  <c r="O29" i="6" s="1"/>
  <c r="K29" i="7" s="1"/>
  <c r="G29" i="6"/>
  <c r="F29" i="6"/>
  <c r="E29" i="6"/>
  <c r="D29" i="6"/>
  <c r="C29" i="6"/>
  <c r="B29" i="6"/>
  <c r="AV28" i="6"/>
  <c r="AT28" i="6"/>
  <c r="AI28" i="6"/>
  <c r="AO28" i="6" s="1"/>
  <c r="AC28" i="6"/>
  <c r="AB28" i="6"/>
  <c r="Y28" i="6"/>
  <c r="W28" i="6"/>
  <c r="N28" i="6"/>
  <c r="AA28" i="6" s="1"/>
  <c r="K28" i="6"/>
  <c r="O28" i="6" s="1"/>
  <c r="K28" i="7" s="1"/>
  <c r="G28" i="6"/>
  <c r="F28" i="6"/>
  <c r="E28" i="6"/>
  <c r="D28" i="6"/>
  <c r="C28" i="6"/>
  <c r="B28" i="6"/>
  <c r="AV27" i="6"/>
  <c r="AT27" i="6"/>
  <c r="AS27" i="6"/>
  <c r="W27" i="6"/>
  <c r="K27" i="6"/>
  <c r="O27" i="6" s="1"/>
  <c r="K27" i="7" s="1"/>
  <c r="G27" i="6"/>
  <c r="F27" i="6"/>
  <c r="E27" i="6"/>
  <c r="D27" i="6"/>
  <c r="C27" i="6"/>
  <c r="B27" i="6"/>
  <c r="AV26" i="6"/>
  <c r="AT26" i="6"/>
  <c r="AS26" i="6"/>
  <c r="Y26" i="6"/>
  <c r="W26" i="6"/>
  <c r="N26" i="6"/>
  <c r="AA26" i="6" s="1"/>
  <c r="K26" i="6"/>
  <c r="O26" i="6" s="1"/>
  <c r="K26" i="7" s="1"/>
  <c r="G26" i="6"/>
  <c r="F26" i="6"/>
  <c r="E26" i="6"/>
  <c r="D26" i="6"/>
  <c r="C26" i="6"/>
  <c r="B26" i="6"/>
  <c r="AV25" i="6"/>
  <c r="AT25" i="6"/>
  <c r="AS25" i="6"/>
  <c r="W25" i="6"/>
  <c r="K25" i="6"/>
  <c r="O25" i="6" s="1"/>
  <c r="K25" i="7" s="1"/>
  <c r="G25" i="6"/>
  <c r="F25" i="6"/>
  <c r="E25" i="6"/>
  <c r="D25" i="6"/>
  <c r="C25" i="6"/>
  <c r="B25" i="6"/>
  <c r="AV24" i="6"/>
  <c r="AT24" i="6"/>
  <c r="AS24" i="6"/>
  <c r="AO24" i="6"/>
  <c r="AI24" i="6"/>
  <c r="AC24" i="6"/>
  <c r="AB24" i="6"/>
  <c r="W24" i="6"/>
  <c r="K24" i="6"/>
  <c r="O24" i="6" s="1"/>
  <c r="K24" i="7" s="1"/>
  <c r="G24" i="6"/>
  <c r="F24" i="6"/>
  <c r="E24" i="6"/>
  <c r="D24" i="6"/>
  <c r="C24" i="6"/>
  <c r="B24" i="6"/>
  <c r="AV23" i="6"/>
  <c r="AT23" i="6"/>
  <c r="AS23" i="6"/>
  <c r="Z23" i="6"/>
  <c r="Y23" i="6"/>
  <c r="W23" i="6"/>
  <c r="O23" i="6"/>
  <c r="K23" i="7" s="1"/>
  <c r="N23" i="6"/>
  <c r="AA23" i="6" s="1"/>
  <c r="K23" i="6"/>
  <c r="G23" i="6"/>
  <c r="F23" i="6"/>
  <c r="E23" i="6"/>
  <c r="D23" i="6"/>
  <c r="C23" i="6"/>
  <c r="B23" i="6"/>
  <c r="AV22" i="6"/>
  <c r="AS22" i="6"/>
  <c r="AT22" i="6" s="1"/>
  <c r="W22" i="6"/>
  <c r="K22" i="6"/>
  <c r="O22" i="6" s="1"/>
  <c r="K22" i="7" s="1"/>
  <c r="G22" i="6"/>
  <c r="F22" i="6"/>
  <c r="E22" i="6"/>
  <c r="D22" i="6"/>
  <c r="C22" i="6"/>
  <c r="B22" i="6"/>
  <c r="AV21" i="6"/>
  <c r="AT21" i="6"/>
  <c r="AS21" i="6"/>
  <c r="Z21" i="6"/>
  <c r="Y21" i="6"/>
  <c r="W21" i="6"/>
  <c r="O21" i="6"/>
  <c r="K21" i="7" s="1"/>
  <c r="N21" i="6"/>
  <c r="AA21" i="6" s="1"/>
  <c r="K21" i="6"/>
  <c r="G21" i="6"/>
  <c r="F21" i="6"/>
  <c r="E21" i="6"/>
  <c r="D21" i="6"/>
  <c r="C21" i="6"/>
  <c r="B21" i="6"/>
  <c r="AV20" i="6"/>
  <c r="AS20" i="6"/>
  <c r="AT20" i="6" s="1"/>
  <c r="W20" i="6"/>
  <c r="K20" i="6"/>
  <c r="O20" i="6" s="1"/>
  <c r="K20" i="7" s="1"/>
  <c r="G20" i="6"/>
  <c r="F20" i="6"/>
  <c r="E20" i="6"/>
  <c r="D20" i="6"/>
  <c r="C20" i="6"/>
  <c r="B20" i="6"/>
  <c r="AV19" i="6"/>
  <c r="AT19" i="6"/>
  <c r="AS19" i="6"/>
  <c r="Z19" i="6"/>
  <c r="Y19" i="6"/>
  <c r="W19" i="6"/>
  <c r="O19" i="6"/>
  <c r="K19" i="7" s="1"/>
  <c r="N19" i="6"/>
  <c r="AA19" i="6" s="1"/>
  <c r="K19" i="6"/>
  <c r="G19" i="6"/>
  <c r="F19" i="6"/>
  <c r="E19" i="6"/>
  <c r="D19" i="6"/>
  <c r="C19" i="6"/>
  <c r="B19" i="6"/>
  <c r="AV18" i="6"/>
  <c r="AS18" i="6"/>
  <c r="AT18" i="6" s="1"/>
  <c r="W18" i="6"/>
  <c r="K18" i="6"/>
  <c r="O18" i="6" s="1"/>
  <c r="K18" i="7" s="1"/>
  <c r="G18" i="6"/>
  <c r="F18" i="6"/>
  <c r="E18" i="6"/>
  <c r="D18" i="6"/>
  <c r="C18" i="6"/>
  <c r="B18" i="6"/>
  <c r="AW17" i="6"/>
  <c r="AV17" i="6"/>
  <c r="AS17" i="6"/>
  <c r="AT17" i="6" s="1"/>
  <c r="AI17" i="6"/>
  <c r="AO17" i="6" s="1"/>
  <c r="AC17" i="6"/>
  <c r="Z17" i="6"/>
  <c r="X17" i="6"/>
  <c r="AG17" i="6" s="1"/>
  <c r="V17" i="6"/>
  <c r="U17" i="6"/>
  <c r="AB17" i="6" s="1"/>
  <c r="T17" i="6"/>
  <c r="AA17" i="6" s="1"/>
  <c r="S17" i="6"/>
  <c r="R17" i="6"/>
  <c r="Y17" i="6" s="1"/>
  <c r="O17" i="6"/>
  <c r="K17" i="7" s="1"/>
  <c r="N17" i="6"/>
  <c r="P17" i="6" s="1"/>
  <c r="K17" i="6"/>
  <c r="G17" i="6"/>
  <c r="F17" i="6"/>
  <c r="E17" i="6"/>
  <c r="D17" i="6"/>
  <c r="C17" i="6"/>
  <c r="B17" i="6"/>
  <c r="AW16" i="6"/>
  <c r="AV16" i="6"/>
  <c r="AT16" i="6"/>
  <c r="AS16" i="6"/>
  <c r="AI16" i="6"/>
  <c r="AO16" i="6" s="1"/>
  <c r="AC16" i="6"/>
  <c r="AB16" i="6"/>
  <c r="W16" i="6"/>
  <c r="N16" i="6"/>
  <c r="Z16" i="6" s="1"/>
  <c r="K16" i="6"/>
  <c r="O16" i="6" s="1"/>
  <c r="K16" i="7" s="1"/>
  <c r="G16" i="6"/>
  <c r="F16" i="6"/>
  <c r="E16" i="6"/>
  <c r="D16" i="6"/>
  <c r="C16" i="6"/>
  <c r="B16" i="6"/>
  <c r="AW15" i="6"/>
  <c r="AV15" i="6"/>
  <c r="AS15" i="6"/>
  <c r="AT15" i="6" s="1"/>
  <c r="AC15" i="6"/>
  <c r="AB15" i="6"/>
  <c r="W15" i="6"/>
  <c r="K15" i="6"/>
  <c r="O15" i="6" s="1"/>
  <c r="K15" i="7" s="1"/>
  <c r="G15" i="6"/>
  <c r="F15" i="6"/>
  <c r="E15" i="6"/>
  <c r="D15" i="6"/>
  <c r="C15" i="6"/>
  <c r="B15" i="6"/>
  <c r="AW14" i="6"/>
  <c r="AV14" i="6"/>
  <c r="AS14" i="6"/>
  <c r="AT14" i="6" s="1"/>
  <c r="AI14" i="6"/>
  <c r="AO14" i="6" s="1"/>
  <c r="AC14" i="6"/>
  <c r="AB14" i="6"/>
  <c r="Z14" i="6"/>
  <c r="X14" i="6"/>
  <c r="AG14" i="6" s="1"/>
  <c r="W14" i="6"/>
  <c r="O14" i="6"/>
  <c r="K14" i="7" s="1"/>
  <c r="O14" i="7" s="1"/>
  <c r="K14" i="8" s="1"/>
  <c r="N14" i="6"/>
  <c r="P14" i="6" s="1"/>
  <c r="K14" i="6"/>
  <c r="G14" i="6"/>
  <c r="F14" i="6"/>
  <c r="E14" i="6"/>
  <c r="D14" i="6"/>
  <c r="C14" i="6"/>
  <c r="B14" i="6"/>
  <c r="AW13" i="6"/>
  <c r="AV13" i="6"/>
  <c r="AT13" i="6"/>
  <c r="AV13" i="20" s="1"/>
  <c r="AW13" i="20" s="1"/>
  <c r="AS13" i="6"/>
  <c r="Z13" i="6"/>
  <c r="Y13" i="6"/>
  <c r="W13" i="6"/>
  <c r="O13" i="6"/>
  <c r="K13" i="7" s="1"/>
  <c r="N13" i="6"/>
  <c r="AA13" i="6" s="1"/>
  <c r="K13" i="6"/>
  <c r="G13" i="6"/>
  <c r="F13" i="6"/>
  <c r="E13" i="6"/>
  <c r="D13" i="6"/>
  <c r="C13" i="6"/>
  <c r="B13" i="6"/>
  <c r="AW12" i="6"/>
  <c r="AV12" i="6"/>
  <c r="AS12" i="6"/>
  <c r="AT12" i="6" s="1"/>
  <c r="Z12" i="6"/>
  <c r="W12" i="6"/>
  <c r="N12" i="6"/>
  <c r="X12" i="6" s="1"/>
  <c r="K12" i="6"/>
  <c r="O12" i="6" s="1"/>
  <c r="K12" i="7" s="1"/>
  <c r="G12" i="6"/>
  <c r="F12" i="6"/>
  <c r="E12" i="6"/>
  <c r="D12" i="6"/>
  <c r="C12" i="6"/>
  <c r="B12" i="6"/>
  <c r="AW11" i="6"/>
  <c r="AV11" i="6"/>
  <c r="AT11" i="6"/>
  <c r="AS11" i="6"/>
  <c r="W11" i="6"/>
  <c r="K11" i="6"/>
  <c r="O11" i="6" s="1"/>
  <c r="K11" i="7" s="1"/>
  <c r="G11" i="6"/>
  <c r="F11" i="6"/>
  <c r="E11" i="6"/>
  <c r="D11" i="6"/>
  <c r="C11" i="6"/>
  <c r="B11" i="6"/>
  <c r="AW10" i="6"/>
  <c r="AV10" i="6"/>
  <c r="AS10" i="6"/>
  <c r="AT10" i="6" s="1"/>
  <c r="AO10" i="6"/>
  <c r="AC10" i="6"/>
  <c r="AB10" i="6"/>
  <c r="Z10" i="6"/>
  <c r="Y10" i="6"/>
  <c r="W10" i="6"/>
  <c r="O10" i="6"/>
  <c r="K10" i="7" s="1"/>
  <c r="N10" i="6"/>
  <c r="AA10" i="6" s="1"/>
  <c r="K10" i="6"/>
  <c r="G10" i="6"/>
  <c r="F10" i="6"/>
  <c r="E10" i="6"/>
  <c r="D10" i="6"/>
  <c r="C10" i="6"/>
  <c r="B10" i="6"/>
  <c r="AW9" i="6"/>
  <c r="AV9" i="6"/>
  <c r="AS9" i="6"/>
  <c r="AT9" i="6" s="1"/>
  <c r="Z9" i="6"/>
  <c r="W9" i="6"/>
  <c r="N9" i="6"/>
  <c r="X9" i="6" s="1"/>
  <c r="K9" i="6"/>
  <c r="O9" i="6" s="1"/>
  <c r="K9" i="7" s="1"/>
  <c r="G9" i="6"/>
  <c r="F9" i="6"/>
  <c r="E9" i="6"/>
  <c r="D9" i="6"/>
  <c r="C9" i="6"/>
  <c r="B9" i="6"/>
  <c r="AW8" i="6"/>
  <c r="AV8" i="6"/>
  <c r="AT8" i="6"/>
  <c r="AS8" i="6"/>
  <c r="AO8" i="6"/>
  <c r="AI8" i="6"/>
  <c r="AC8" i="6"/>
  <c r="AB8" i="6"/>
  <c r="W8" i="6"/>
  <c r="O8" i="6"/>
  <c r="K8" i="7" s="1"/>
  <c r="N8" i="7" s="1"/>
  <c r="Z8" i="7" s="1"/>
  <c r="K8" i="6"/>
  <c r="N8" i="6" s="1"/>
  <c r="G8" i="6"/>
  <c r="F8" i="6"/>
  <c r="E8" i="6"/>
  <c r="D8" i="6"/>
  <c r="C8" i="6"/>
  <c r="B8" i="6"/>
  <c r="AW7" i="6"/>
  <c r="AT7" i="6"/>
  <c r="AV7" i="20" s="1"/>
  <c r="AW7" i="20" s="1"/>
  <c r="AS7" i="6"/>
  <c r="Z7" i="6"/>
  <c r="Y7" i="6"/>
  <c r="W7" i="6"/>
  <c r="O7" i="6"/>
  <c r="K7" i="7" s="1"/>
  <c r="O7" i="7" s="1"/>
  <c r="K7" i="8" s="1"/>
  <c r="N7" i="6"/>
  <c r="AA7" i="6" s="1"/>
  <c r="K7" i="6"/>
  <c r="G7" i="6"/>
  <c r="F7" i="6"/>
  <c r="E7" i="6"/>
  <c r="D7" i="6"/>
  <c r="C7" i="6"/>
  <c r="B7" i="6"/>
  <c r="AW6" i="6"/>
  <c r="AS6" i="6"/>
  <c r="AT6" i="6" s="1"/>
  <c r="W6" i="6"/>
  <c r="O6" i="6"/>
  <c r="K6" i="6"/>
  <c r="N6" i="6" s="1"/>
  <c r="G6" i="6"/>
  <c r="F6" i="6"/>
  <c r="E6" i="6"/>
  <c r="D6" i="6"/>
  <c r="C6" i="6"/>
  <c r="B6" i="6"/>
  <c r="AW5" i="6"/>
  <c r="AT5" i="6"/>
  <c r="AS5" i="6"/>
  <c r="Z5" i="6"/>
  <c r="Y5" i="6"/>
  <c r="W5" i="6"/>
  <c r="O5" i="6"/>
  <c r="K5" i="7" s="1"/>
  <c r="N5" i="6"/>
  <c r="AA5" i="6" s="1"/>
  <c r="K5" i="6"/>
  <c r="G5" i="6"/>
  <c r="F5" i="6"/>
  <c r="E5" i="6"/>
  <c r="D5" i="6"/>
  <c r="C5" i="6"/>
  <c r="B5" i="6"/>
  <c r="AW4" i="6"/>
  <c r="AV4" i="6"/>
  <c r="AS4" i="6"/>
  <c r="AT4" i="6" s="1"/>
  <c r="AI4" i="6"/>
  <c r="AO4" i="6" s="1"/>
  <c r="AC4" i="6"/>
  <c r="W4" i="6"/>
  <c r="K4" i="6"/>
  <c r="O4" i="6" s="1"/>
  <c r="K4" i="7" s="1"/>
  <c r="G4" i="6"/>
  <c r="F4" i="6"/>
  <c r="E4" i="6"/>
  <c r="D4" i="6"/>
  <c r="C4" i="6"/>
  <c r="B4" i="6"/>
  <c r="AW3" i="6"/>
  <c r="AV3" i="6"/>
  <c r="AT3" i="6"/>
  <c r="AS3" i="6"/>
  <c r="AO3" i="6"/>
  <c r="AI3" i="6"/>
  <c r="AC3" i="6"/>
  <c r="W3" i="6"/>
  <c r="O3" i="6"/>
  <c r="K3" i="7" s="1"/>
  <c r="K3" i="6"/>
  <c r="N3" i="6" s="1"/>
  <c r="G3" i="6"/>
  <c r="F3" i="6"/>
  <c r="E3" i="6"/>
  <c r="D3" i="6"/>
  <c r="C3" i="6"/>
  <c r="B3" i="6"/>
  <c r="O4" i="7" l="1"/>
  <c r="K4" i="8" s="1"/>
  <c r="N4" i="7"/>
  <c r="O3" i="7"/>
  <c r="K3" i="8" s="1"/>
  <c r="N3" i="7"/>
  <c r="O7" i="8"/>
  <c r="K7" i="9" s="1"/>
  <c r="N7" i="8"/>
  <c r="O13" i="7"/>
  <c r="K13" i="8" s="1"/>
  <c r="N13" i="7"/>
  <c r="O14" i="8"/>
  <c r="K14" i="9" s="1"/>
  <c r="N14" i="8"/>
  <c r="N15" i="7"/>
  <c r="O15" i="7"/>
  <c r="K15" i="8" s="1"/>
  <c r="AV32" i="20"/>
  <c r="AW32" i="20" s="1"/>
  <c r="AS32" i="7"/>
  <c r="AT32" i="7" s="1"/>
  <c r="N12" i="7"/>
  <c r="O12" i="7"/>
  <c r="K12" i="8" s="1"/>
  <c r="AV17" i="20"/>
  <c r="AW17" i="20" s="1"/>
  <c r="AS17" i="7"/>
  <c r="AT17" i="7" s="1"/>
  <c r="AS17" i="8" s="1"/>
  <c r="AT17" i="8" s="1"/>
  <c r="AS17" i="9" s="1"/>
  <c r="AT17" i="9" s="1"/>
  <c r="AS17" i="11" s="1"/>
  <c r="AT17" i="11" s="1"/>
  <c r="AS17" i="12" s="1"/>
  <c r="AT17" i="12" s="1"/>
  <c r="AS17" i="13" s="1"/>
  <c r="AT17" i="13" s="1"/>
  <c r="AS17" i="14" s="1"/>
  <c r="AT17" i="14" s="1"/>
  <c r="AS17" i="15" s="1"/>
  <c r="AT17" i="15" s="1"/>
  <c r="AS17" i="16" s="1"/>
  <c r="AT17" i="16" s="1"/>
  <c r="AS17" i="17" s="1"/>
  <c r="AT17" i="17" s="1"/>
  <c r="AV9" i="20"/>
  <c r="AW9" i="20" s="1"/>
  <c r="AS9" i="7"/>
  <c r="AT9" i="7" s="1"/>
  <c r="AS9" i="8" s="1"/>
  <c r="AT9" i="8" s="1"/>
  <c r="AS9" i="9" s="1"/>
  <c r="AT9" i="9" s="1"/>
  <c r="AS9" i="11" s="1"/>
  <c r="AT9" i="11" s="1"/>
  <c r="AS9" i="12" s="1"/>
  <c r="AT9" i="12" s="1"/>
  <c r="AS9" i="13" s="1"/>
  <c r="AT9" i="13" s="1"/>
  <c r="AS9" i="14" s="1"/>
  <c r="AT9" i="14" s="1"/>
  <c r="AS9" i="15" s="1"/>
  <c r="AT9" i="15" s="1"/>
  <c r="AS9" i="16" s="1"/>
  <c r="AT9" i="16" s="1"/>
  <c r="AS9" i="17" s="1"/>
  <c r="AT9" i="17" s="1"/>
  <c r="AG12" i="6"/>
  <c r="AP14" i="6"/>
  <c r="O18" i="7"/>
  <c r="K18" i="8" s="1"/>
  <c r="N18" i="7"/>
  <c r="AA32" i="6"/>
  <c r="Z32" i="6"/>
  <c r="Y32" i="6"/>
  <c r="X32" i="6"/>
  <c r="P32" i="6"/>
  <c r="O6" i="8"/>
  <c r="K6" i="9" s="1"/>
  <c r="N6" i="8"/>
  <c r="AV4" i="20"/>
  <c r="AW4" i="20" s="1"/>
  <c r="AS4" i="12"/>
  <c r="AT4" i="12" s="1"/>
  <c r="AS4" i="13" s="1"/>
  <c r="AT4" i="13" s="1"/>
  <c r="AS4" i="9"/>
  <c r="AT4" i="9" s="1"/>
  <c r="AS4" i="8"/>
  <c r="AT4" i="8" s="1"/>
  <c r="AS4" i="11"/>
  <c r="AT4" i="11" s="1"/>
  <c r="AS4" i="7"/>
  <c r="AT4" i="7" s="1"/>
  <c r="P6" i="6"/>
  <c r="Y6" i="6"/>
  <c r="AA6" i="6"/>
  <c r="Z6" i="6"/>
  <c r="X6" i="6"/>
  <c r="O20" i="7"/>
  <c r="K20" i="8" s="1"/>
  <c r="N20" i="7"/>
  <c r="AA30" i="6"/>
  <c r="Z30" i="6"/>
  <c r="Y30" i="6"/>
  <c r="X30" i="6"/>
  <c r="P30" i="6"/>
  <c r="AV10" i="20"/>
  <c r="AW10" i="20" s="1"/>
  <c r="AS10" i="7"/>
  <c r="AT10" i="7" s="1"/>
  <c r="AS10" i="8" s="1"/>
  <c r="AT10" i="8" s="1"/>
  <c r="AS10" i="9" s="1"/>
  <c r="AT10" i="9" s="1"/>
  <c r="AS10" i="11" s="1"/>
  <c r="AT10" i="11" s="1"/>
  <c r="AS10" i="12" s="1"/>
  <c r="AT10" i="12" s="1"/>
  <c r="AS10" i="13" s="1"/>
  <c r="AT10" i="13" s="1"/>
  <c r="AS10" i="14" s="1"/>
  <c r="AT10" i="14" s="1"/>
  <c r="AS10" i="15" s="1"/>
  <c r="AT10" i="15" s="1"/>
  <c r="AS10" i="16" s="1"/>
  <c r="AT10" i="16" s="1"/>
  <c r="AS10" i="17" s="1"/>
  <c r="AT10" i="17" s="1"/>
  <c r="AV15" i="20"/>
  <c r="AW15" i="20" s="1"/>
  <c r="AS15" i="7"/>
  <c r="AT15" i="7" s="1"/>
  <c r="AS15" i="8" s="1"/>
  <c r="AT15" i="8" s="1"/>
  <c r="AS15" i="9" s="1"/>
  <c r="AT15" i="9" s="1"/>
  <c r="AS15" i="11" s="1"/>
  <c r="AT15" i="11" s="1"/>
  <c r="AS15" i="12" s="1"/>
  <c r="AT15" i="12" s="1"/>
  <c r="AS15" i="13" s="1"/>
  <c r="AT15" i="13" s="1"/>
  <c r="AS15" i="14" s="1"/>
  <c r="AT15" i="14" s="1"/>
  <c r="AS15" i="15" s="1"/>
  <c r="AT15" i="15" s="1"/>
  <c r="AS15" i="16" s="1"/>
  <c r="AT15" i="16" s="1"/>
  <c r="AS15" i="17" s="1"/>
  <c r="AT15" i="17" s="1"/>
  <c r="AV18" i="20"/>
  <c r="AW18" i="20" s="1"/>
  <c r="AS18" i="7"/>
  <c r="AT18" i="7" s="1"/>
  <c r="AS18" i="8" s="1"/>
  <c r="AT18" i="8" s="1"/>
  <c r="AS18" i="9" s="1"/>
  <c r="AT18" i="9" s="1"/>
  <c r="AS18" i="11" s="1"/>
  <c r="AT18" i="11" s="1"/>
  <c r="AS18" i="12" s="1"/>
  <c r="AT18" i="12" s="1"/>
  <c r="AS18" i="13" s="1"/>
  <c r="AT18" i="13" s="1"/>
  <c r="AS18" i="14" s="1"/>
  <c r="AT18" i="14" s="1"/>
  <c r="AS18" i="15" s="1"/>
  <c r="AT18" i="15" s="1"/>
  <c r="AS18" i="16" s="1"/>
  <c r="AT18" i="16" s="1"/>
  <c r="AS18" i="17" s="1"/>
  <c r="AT18" i="17" s="1"/>
  <c r="O22" i="7"/>
  <c r="K22" i="8" s="1"/>
  <c r="N22" i="7"/>
  <c r="O25" i="7"/>
  <c r="K25" i="8" s="1"/>
  <c r="N25" i="7"/>
  <c r="O27" i="7"/>
  <c r="K27" i="8" s="1"/>
  <c r="N27" i="7"/>
  <c r="P8" i="6"/>
  <c r="AA8" i="6"/>
  <c r="Z8" i="6"/>
  <c r="X8" i="6"/>
  <c r="Y8" i="6"/>
  <c r="O10" i="7"/>
  <c r="K10" i="8" s="1"/>
  <c r="N10" i="7"/>
  <c r="N11" i="7"/>
  <c r="O11" i="7"/>
  <c r="K11" i="8" s="1"/>
  <c r="AV12" i="20"/>
  <c r="AW12" i="20" s="1"/>
  <c r="AS12" i="7"/>
  <c r="AT12" i="7" s="1"/>
  <c r="AS12" i="8" s="1"/>
  <c r="AT12" i="8" s="1"/>
  <c r="AS12" i="9" s="1"/>
  <c r="AT12" i="9" s="1"/>
  <c r="AS12" i="11" s="1"/>
  <c r="AT12" i="11" s="1"/>
  <c r="AS12" i="12" s="1"/>
  <c r="AT12" i="12" s="1"/>
  <c r="AS12" i="13" s="1"/>
  <c r="AT12" i="13" s="1"/>
  <c r="AS12" i="14" s="1"/>
  <c r="AT12" i="14" s="1"/>
  <c r="AS12" i="15" s="1"/>
  <c r="AT12" i="15" s="1"/>
  <c r="AS12" i="16" s="1"/>
  <c r="AT12" i="16" s="1"/>
  <c r="AS12" i="17" s="1"/>
  <c r="AT12" i="17" s="1"/>
  <c r="O16" i="7"/>
  <c r="K16" i="8" s="1"/>
  <c r="N16" i="7"/>
  <c r="AP17" i="6"/>
  <c r="AV20" i="20"/>
  <c r="AW20" i="20" s="1"/>
  <c r="AS20" i="7"/>
  <c r="AT20" i="7" s="1"/>
  <c r="AS20" i="8" s="1"/>
  <c r="AT20" i="8" s="1"/>
  <c r="AS20" i="9" s="1"/>
  <c r="AT20" i="9" s="1"/>
  <c r="AS20" i="11" s="1"/>
  <c r="AT20" i="11" s="1"/>
  <c r="AS20" i="12" s="1"/>
  <c r="AT20" i="12" s="1"/>
  <c r="AS20" i="13" s="1"/>
  <c r="AT20" i="13" s="1"/>
  <c r="AS20" i="14" s="1"/>
  <c r="AT20" i="14" s="1"/>
  <c r="AS20" i="15" s="1"/>
  <c r="AT20" i="15" s="1"/>
  <c r="AS20" i="16" s="1"/>
  <c r="AT20" i="16" s="1"/>
  <c r="AS20" i="17" s="1"/>
  <c r="AT20" i="17" s="1"/>
  <c r="O24" i="7"/>
  <c r="K24" i="8" s="1"/>
  <c r="N24" i="7"/>
  <c r="AV30" i="20"/>
  <c r="AW30" i="20" s="1"/>
  <c r="AS30" i="7"/>
  <c r="AT30" i="7" s="1"/>
  <c r="AS30" i="8" s="1"/>
  <c r="AT30" i="8" s="1"/>
  <c r="AS30" i="9" s="1"/>
  <c r="AT30" i="9" s="1"/>
  <c r="AS30" i="11" s="1"/>
  <c r="AT30" i="11" s="1"/>
  <c r="AS30" i="12" s="1"/>
  <c r="AT30" i="12" s="1"/>
  <c r="AS30" i="13" s="1"/>
  <c r="AT30" i="13" s="1"/>
  <c r="AS30" i="14" s="1"/>
  <c r="AT30" i="14" s="1"/>
  <c r="AS30" i="15" s="1"/>
  <c r="AT30" i="15" s="1"/>
  <c r="O31" i="7"/>
  <c r="K31" i="8" s="1"/>
  <c r="N31" i="7"/>
  <c r="O33" i="7"/>
  <c r="K33" i="8" s="1"/>
  <c r="N33" i="7"/>
  <c r="N5" i="7"/>
  <c r="O5" i="7"/>
  <c r="K5" i="8" s="1"/>
  <c r="AV6" i="20"/>
  <c r="AW6" i="20" s="1"/>
  <c r="AS6" i="7"/>
  <c r="AT6" i="7" s="1"/>
  <c r="AS6" i="8" s="1"/>
  <c r="AT6" i="8" s="1"/>
  <c r="AS6" i="9" s="1"/>
  <c r="AT6" i="9" s="1"/>
  <c r="AS6" i="11" s="1"/>
  <c r="AT6" i="11" s="1"/>
  <c r="AS6" i="12" s="1"/>
  <c r="AT6" i="12" s="1"/>
  <c r="AS6" i="13" s="1"/>
  <c r="AT6" i="13" s="1"/>
  <c r="AS6" i="14" s="1"/>
  <c r="AT6" i="14" s="1"/>
  <c r="AS6" i="15" s="1"/>
  <c r="AT6" i="15" s="1"/>
  <c r="AS6" i="16" s="1"/>
  <c r="AT6" i="16" s="1"/>
  <c r="AS6" i="17" s="1"/>
  <c r="AT6" i="17" s="1"/>
  <c r="O9" i="7"/>
  <c r="K9" i="8" s="1"/>
  <c r="N9" i="7"/>
  <c r="AV22" i="20"/>
  <c r="AW22" i="20" s="1"/>
  <c r="AS22" i="7"/>
  <c r="AT22" i="7" s="1"/>
  <c r="AS22" i="8" s="1"/>
  <c r="AT22" i="8" s="1"/>
  <c r="AS22" i="9" s="1"/>
  <c r="AT22" i="9" s="1"/>
  <c r="AS22" i="11" s="1"/>
  <c r="AT22" i="11" s="1"/>
  <c r="AS22" i="12" s="1"/>
  <c r="AT22" i="12" s="1"/>
  <c r="AS22" i="13" s="1"/>
  <c r="AT22" i="13" s="1"/>
  <c r="AS22" i="14" s="1"/>
  <c r="AT22" i="14" s="1"/>
  <c r="AS22" i="15" s="1"/>
  <c r="AT22" i="15" s="1"/>
  <c r="AS22" i="16" s="1"/>
  <c r="AT22" i="16" s="1"/>
  <c r="AS22" i="17" s="1"/>
  <c r="AT22" i="17" s="1"/>
  <c r="O29" i="7"/>
  <c r="K29" i="8" s="1"/>
  <c r="N29" i="7"/>
  <c r="AG31" i="6"/>
  <c r="P3" i="6"/>
  <c r="AA3" i="6"/>
  <c r="Z3" i="6"/>
  <c r="Y3" i="6"/>
  <c r="X3" i="6"/>
  <c r="AG9" i="6"/>
  <c r="AV14" i="20"/>
  <c r="AW14" i="20" s="1"/>
  <c r="AS14" i="7"/>
  <c r="AT14" i="7" s="1"/>
  <c r="AS14" i="8" s="1"/>
  <c r="AT14" i="8" s="1"/>
  <c r="AS14" i="9" s="1"/>
  <c r="AT14" i="9" s="1"/>
  <c r="AS14" i="11" s="1"/>
  <c r="AT14" i="11" s="1"/>
  <c r="AS14" i="12" s="1"/>
  <c r="AT14" i="12" s="1"/>
  <c r="AS14" i="13" s="1"/>
  <c r="AT14" i="13" s="1"/>
  <c r="AS14" i="14" s="1"/>
  <c r="AT14" i="14" s="1"/>
  <c r="AS14" i="15" s="1"/>
  <c r="AT14" i="15" s="1"/>
  <c r="AS14" i="16" s="1"/>
  <c r="AT14" i="16" s="1"/>
  <c r="AS14" i="17" s="1"/>
  <c r="AT14" i="17" s="1"/>
  <c r="O26" i="7"/>
  <c r="K26" i="8" s="1"/>
  <c r="N26" i="7"/>
  <c r="O28" i="7"/>
  <c r="K28" i="8" s="1"/>
  <c r="N28" i="7"/>
  <c r="AG29" i="6"/>
  <c r="AV3" i="20"/>
  <c r="AW3" i="20" s="1"/>
  <c r="AS3" i="11"/>
  <c r="AT3" i="11" s="1"/>
  <c r="AS3" i="12"/>
  <c r="AT3" i="12" s="1"/>
  <c r="AS3" i="13" s="1"/>
  <c r="AT3" i="13" s="1"/>
  <c r="AS3" i="9"/>
  <c r="AT3" i="9" s="1"/>
  <c r="AS3" i="8"/>
  <c r="AT3" i="8" s="1"/>
  <c r="Y9" i="6"/>
  <c r="AK9" i="6" s="1"/>
  <c r="Y12" i="6"/>
  <c r="AA16" i="6"/>
  <c r="W17" i="6"/>
  <c r="AH17" i="6"/>
  <c r="AL17" i="6" s="1"/>
  <c r="P26" i="6"/>
  <c r="P28" i="6"/>
  <c r="Y29" i="6"/>
  <c r="O30" i="6"/>
  <c r="K30" i="7" s="1"/>
  <c r="Y31" i="6"/>
  <c r="AI31" i="6" s="1"/>
  <c r="AO31" i="6" s="1"/>
  <c r="O32" i="6"/>
  <c r="K32" i="7" s="1"/>
  <c r="O21" i="7"/>
  <c r="K21" i="8" s="1"/>
  <c r="N21" i="7"/>
  <c r="O23" i="7"/>
  <c r="K23" i="8" s="1"/>
  <c r="N23" i="7"/>
  <c r="O17" i="7"/>
  <c r="K17" i="8" s="1"/>
  <c r="N17" i="7"/>
  <c r="O19" i="7"/>
  <c r="K19" i="8" s="1"/>
  <c r="N19" i="7"/>
  <c r="AV24" i="20"/>
  <c r="AW24" i="20" s="1"/>
  <c r="AS24" i="7"/>
  <c r="AT24" i="7" s="1"/>
  <c r="AS24" i="8" s="1"/>
  <c r="AT24" i="8" s="1"/>
  <c r="AV26" i="20"/>
  <c r="AW26" i="20" s="1"/>
  <c r="AS26" i="7"/>
  <c r="AT26" i="7" s="1"/>
  <c r="AS26" i="8" s="1"/>
  <c r="AT26" i="8" s="1"/>
  <c r="AS26" i="9" s="1"/>
  <c r="AT26" i="9" s="1"/>
  <c r="AS26" i="11" s="1"/>
  <c r="AT26" i="11" s="1"/>
  <c r="AS26" i="12" s="1"/>
  <c r="AT26" i="12" s="1"/>
  <c r="AS26" i="13" s="1"/>
  <c r="AT26" i="13" s="1"/>
  <c r="AS26" i="14" s="1"/>
  <c r="AT26" i="14" s="1"/>
  <c r="AS26" i="15" s="1"/>
  <c r="AT26" i="15" s="1"/>
  <c r="AS26" i="16" s="1"/>
  <c r="AT26" i="16" s="1"/>
  <c r="AS26" i="17" s="1"/>
  <c r="AT26" i="17" s="1"/>
  <c r="N4" i="6"/>
  <c r="P5" i="6"/>
  <c r="P7" i="6"/>
  <c r="AA9" i="6"/>
  <c r="AI9" i="6" s="1"/>
  <c r="AO9" i="6" s="1"/>
  <c r="P10" i="6"/>
  <c r="AA12" i="6"/>
  <c r="P13" i="6"/>
  <c r="Y14" i="6"/>
  <c r="AH14" i="6" s="1"/>
  <c r="AL14" i="6" s="1"/>
  <c r="AK17" i="6"/>
  <c r="AR17" i="6" s="1"/>
  <c r="P19" i="6"/>
  <c r="P21" i="6"/>
  <c r="P23" i="6"/>
  <c r="N25" i="6"/>
  <c r="X26" i="6"/>
  <c r="N27" i="6"/>
  <c r="X28" i="6"/>
  <c r="AV28" i="20"/>
  <c r="AW28" i="20" s="1"/>
  <c r="AS28" i="7"/>
  <c r="AT28" i="7" s="1"/>
  <c r="AS28" i="8" s="1"/>
  <c r="AT28" i="8" s="1"/>
  <c r="AS28" i="9" s="1"/>
  <c r="AT28" i="9" s="1"/>
  <c r="AS28" i="11" s="1"/>
  <c r="AT28" i="11" s="1"/>
  <c r="AS28" i="12" s="1"/>
  <c r="AT28" i="12" s="1"/>
  <c r="AS28" i="13" s="1"/>
  <c r="AT28" i="13" s="1"/>
  <c r="AS28" i="14" s="1"/>
  <c r="AT28" i="14" s="1"/>
  <c r="AS28" i="15" s="1"/>
  <c r="AT28" i="15" s="1"/>
  <c r="AS28" i="16" s="1"/>
  <c r="AT28" i="16" s="1"/>
  <c r="AS28" i="17" s="1"/>
  <c r="AT28" i="17" s="1"/>
  <c r="AA29" i="6"/>
  <c r="AA31" i="6"/>
  <c r="N33" i="6"/>
  <c r="N6" i="7"/>
  <c r="AS13" i="7"/>
  <c r="AT13" i="7" s="1"/>
  <c r="AS13" i="8" s="1"/>
  <c r="AT13" i="8" s="1"/>
  <c r="AS13" i="9" s="1"/>
  <c r="AT13" i="9" s="1"/>
  <c r="AS13" i="11" s="1"/>
  <c r="AT13" i="11" s="1"/>
  <c r="AS13" i="12" s="1"/>
  <c r="AT13" i="12" s="1"/>
  <c r="AS13" i="13" s="1"/>
  <c r="AT13" i="13" s="1"/>
  <c r="AS13" i="14" s="1"/>
  <c r="AT13" i="14" s="1"/>
  <c r="AS13" i="15" s="1"/>
  <c r="AT13" i="15" s="1"/>
  <c r="AS13" i="16" s="1"/>
  <c r="AT13" i="16" s="1"/>
  <c r="AS13" i="17" s="1"/>
  <c r="AT13" i="17" s="1"/>
  <c r="AV8" i="20"/>
  <c r="AW8" i="20" s="1"/>
  <c r="AS8" i="7"/>
  <c r="AT8" i="7" s="1"/>
  <c r="AS8" i="8" s="1"/>
  <c r="AT8" i="8" s="1"/>
  <c r="AS8" i="9" s="1"/>
  <c r="AT8" i="9" s="1"/>
  <c r="AS8" i="11" s="1"/>
  <c r="AT8" i="11" s="1"/>
  <c r="AS8" i="12" s="1"/>
  <c r="AT8" i="12" s="1"/>
  <c r="AS8" i="13" s="1"/>
  <c r="AT8" i="13" s="1"/>
  <c r="AS8" i="14" s="1"/>
  <c r="AT8" i="14" s="1"/>
  <c r="AS8" i="15" s="1"/>
  <c r="AT8" i="15" s="1"/>
  <c r="AS8" i="16" s="1"/>
  <c r="AT8" i="16" s="1"/>
  <c r="AS8" i="17" s="1"/>
  <c r="AT8" i="17" s="1"/>
  <c r="P16" i="6"/>
  <c r="AV19" i="20"/>
  <c r="AW19" i="20" s="1"/>
  <c r="AS19" i="7"/>
  <c r="AT19" i="7" s="1"/>
  <c r="AS19" i="8" s="1"/>
  <c r="AT19" i="8" s="1"/>
  <c r="AS19" i="9" s="1"/>
  <c r="AT19" i="9" s="1"/>
  <c r="AS19" i="11" s="1"/>
  <c r="AT19" i="11" s="1"/>
  <c r="AS19" i="12" s="1"/>
  <c r="AT19" i="12" s="1"/>
  <c r="AS19" i="13" s="1"/>
  <c r="AT19" i="13" s="1"/>
  <c r="AS19" i="14" s="1"/>
  <c r="AT19" i="14" s="1"/>
  <c r="AS19" i="15" s="1"/>
  <c r="AT19" i="15" s="1"/>
  <c r="AS19" i="16" s="1"/>
  <c r="AT19" i="16" s="1"/>
  <c r="AS19" i="17" s="1"/>
  <c r="AT19" i="17" s="1"/>
  <c r="AV21" i="20"/>
  <c r="AW21" i="20" s="1"/>
  <c r="AS21" i="7"/>
  <c r="AT21" i="7" s="1"/>
  <c r="AS21" i="8" s="1"/>
  <c r="AT21" i="8" s="1"/>
  <c r="AS21" i="9" s="1"/>
  <c r="AT21" i="9" s="1"/>
  <c r="AS21" i="11" s="1"/>
  <c r="AT21" i="11" s="1"/>
  <c r="AS21" i="12" s="1"/>
  <c r="AT21" i="12" s="1"/>
  <c r="AV23" i="20"/>
  <c r="AW23" i="20" s="1"/>
  <c r="AS23" i="7"/>
  <c r="AT23" i="7" s="1"/>
  <c r="AS23" i="8" s="1"/>
  <c r="AT23" i="8" s="1"/>
  <c r="AS23" i="9" s="1"/>
  <c r="AT23" i="9" s="1"/>
  <c r="AS23" i="11" s="1"/>
  <c r="AT23" i="11" s="1"/>
  <c r="AS23" i="12" s="1"/>
  <c r="AT23" i="12" s="1"/>
  <c r="AS23" i="13" s="1"/>
  <c r="AT23" i="13" s="1"/>
  <c r="AS23" i="14" s="1"/>
  <c r="AT23" i="14" s="1"/>
  <c r="AS23" i="15" s="1"/>
  <c r="AT23" i="15" s="1"/>
  <c r="AS23" i="16" s="1"/>
  <c r="AT23" i="16" s="1"/>
  <c r="AS23" i="17" s="1"/>
  <c r="AT23" i="17" s="1"/>
  <c r="AV33" i="20"/>
  <c r="AW33" i="20" s="1"/>
  <c r="AS33" i="7"/>
  <c r="AT33" i="7" s="1"/>
  <c r="N7" i="7"/>
  <c r="AS7" i="7"/>
  <c r="AT7" i="7" s="1"/>
  <c r="AS7" i="8" s="1"/>
  <c r="AT7" i="8" s="1"/>
  <c r="AS7" i="9" s="1"/>
  <c r="AT7" i="9" s="1"/>
  <c r="AS7" i="11" s="1"/>
  <c r="AT7" i="11" s="1"/>
  <c r="AS7" i="12" s="1"/>
  <c r="AT7" i="12" s="1"/>
  <c r="AS7" i="13" s="1"/>
  <c r="AT7" i="13" s="1"/>
  <c r="AS7" i="14" s="1"/>
  <c r="AT7" i="14" s="1"/>
  <c r="AS7" i="15" s="1"/>
  <c r="AT7" i="15" s="1"/>
  <c r="AS7" i="16" s="1"/>
  <c r="AT7" i="16" s="1"/>
  <c r="AS7" i="17" s="1"/>
  <c r="AT7" i="17" s="1"/>
  <c r="N14" i="7"/>
  <c r="AV5" i="20"/>
  <c r="AW5" i="20" s="1"/>
  <c r="AS5" i="7"/>
  <c r="AT5" i="7" s="1"/>
  <c r="AS5" i="8" s="1"/>
  <c r="AT5" i="8" s="1"/>
  <c r="AS5" i="9" s="1"/>
  <c r="AT5" i="9" s="1"/>
  <c r="AS5" i="11" s="1"/>
  <c r="AT5" i="11" s="1"/>
  <c r="AS5" i="12" s="1"/>
  <c r="AT5" i="12" s="1"/>
  <c r="AS5" i="13" s="1"/>
  <c r="AT5" i="13" s="1"/>
  <c r="AS5" i="14" s="1"/>
  <c r="AT5" i="14" s="1"/>
  <c r="AS5" i="15" s="1"/>
  <c r="AT5" i="15" s="1"/>
  <c r="AS5" i="16" s="1"/>
  <c r="AT5" i="16" s="1"/>
  <c r="AS5" i="17" s="1"/>
  <c r="AT5" i="17" s="1"/>
  <c r="X5" i="6"/>
  <c r="X7" i="6"/>
  <c r="X10" i="6"/>
  <c r="X13" i="6"/>
  <c r="AA14" i="6"/>
  <c r="N15" i="6"/>
  <c r="N18" i="6"/>
  <c r="X19" i="6"/>
  <c r="N20" i="6"/>
  <c r="X21" i="6"/>
  <c r="N22" i="6"/>
  <c r="X23" i="6"/>
  <c r="N24" i="6"/>
  <c r="Z26" i="6"/>
  <c r="Z28" i="6"/>
  <c r="O8" i="7"/>
  <c r="K8" i="8" s="1"/>
  <c r="AV11" i="20"/>
  <c r="AW11" i="20" s="1"/>
  <c r="AS11" i="7"/>
  <c r="AT11" i="7" s="1"/>
  <c r="AS11" i="8" s="1"/>
  <c r="AT11" i="8" s="1"/>
  <c r="AS11" i="9" s="1"/>
  <c r="AT11" i="9" s="1"/>
  <c r="AS11" i="11" s="1"/>
  <c r="AT11" i="11" s="1"/>
  <c r="AS11" i="12" s="1"/>
  <c r="AT11" i="12" s="1"/>
  <c r="AS11" i="13" s="1"/>
  <c r="AT11" i="13" s="1"/>
  <c r="AS11" i="14" s="1"/>
  <c r="AT11" i="14" s="1"/>
  <c r="AS11" i="15" s="1"/>
  <c r="AT11" i="15" s="1"/>
  <c r="AS11" i="16" s="1"/>
  <c r="AT11" i="16" s="1"/>
  <c r="AS11" i="17" s="1"/>
  <c r="AT11" i="17" s="1"/>
  <c r="AA8" i="7"/>
  <c r="X8" i="7"/>
  <c r="P9" i="6"/>
  <c r="P12" i="6"/>
  <c r="X16" i="6"/>
  <c r="AV25" i="20"/>
  <c r="AW25" i="20" s="1"/>
  <c r="AS25" i="7"/>
  <c r="AT25" i="7" s="1"/>
  <c r="AS25" i="8" s="1"/>
  <c r="AT25" i="8" s="1"/>
  <c r="AS25" i="9" s="1"/>
  <c r="AT25" i="9" s="1"/>
  <c r="AS25" i="11" s="1"/>
  <c r="AT25" i="11" s="1"/>
  <c r="AS25" i="12" s="1"/>
  <c r="AT25" i="12" s="1"/>
  <c r="AS25" i="13" s="1"/>
  <c r="AT25" i="13" s="1"/>
  <c r="AS25" i="14" s="1"/>
  <c r="AT25" i="14" s="1"/>
  <c r="AS25" i="15" s="1"/>
  <c r="AT25" i="15" s="1"/>
  <c r="AS25" i="16" s="1"/>
  <c r="AT25" i="16" s="1"/>
  <c r="AS25" i="17" s="1"/>
  <c r="AT25" i="17" s="1"/>
  <c r="AV27" i="20"/>
  <c r="AW27" i="20" s="1"/>
  <c r="AS27" i="7"/>
  <c r="AT27" i="7" s="1"/>
  <c r="AS27" i="8" s="1"/>
  <c r="AT27" i="8" s="1"/>
  <c r="AS27" i="9" s="1"/>
  <c r="AT27" i="9" s="1"/>
  <c r="AS27" i="11" s="1"/>
  <c r="AT27" i="11" s="1"/>
  <c r="AS27" i="12" s="1"/>
  <c r="AT27" i="12" s="1"/>
  <c r="AS27" i="13" s="1"/>
  <c r="AT27" i="13" s="1"/>
  <c r="AS27" i="14" s="1"/>
  <c r="AT27" i="14" s="1"/>
  <c r="AS27" i="15" s="1"/>
  <c r="AT27" i="15" s="1"/>
  <c r="AS27" i="16" s="1"/>
  <c r="AT27" i="16" s="1"/>
  <c r="P29" i="6"/>
  <c r="P31" i="6"/>
  <c r="P8" i="7"/>
  <c r="AA17" i="7"/>
  <c r="N11" i="6"/>
  <c r="Y16" i="6"/>
  <c r="AV16" i="20"/>
  <c r="AW16" i="20" s="1"/>
  <c r="AS16" i="7"/>
  <c r="AT16" i="7" s="1"/>
  <c r="AS16" i="8" s="1"/>
  <c r="AT16" i="8" s="1"/>
  <c r="AS16" i="9" s="1"/>
  <c r="AT16" i="9" s="1"/>
  <c r="AS16" i="11" s="1"/>
  <c r="AT16" i="11" s="1"/>
  <c r="AS16" i="12" s="1"/>
  <c r="AT16" i="12" s="1"/>
  <c r="AS16" i="13" s="1"/>
  <c r="AT16" i="13" s="1"/>
  <c r="AS16" i="14" s="1"/>
  <c r="AT16" i="14" s="1"/>
  <c r="AS16" i="15" s="1"/>
  <c r="AT16" i="15" s="1"/>
  <c r="AS16" i="16" s="1"/>
  <c r="AT16" i="16" s="1"/>
  <c r="AS16" i="17" s="1"/>
  <c r="AT16" i="17" s="1"/>
  <c r="AV29" i="20"/>
  <c r="AW29" i="20" s="1"/>
  <c r="AS29" i="7"/>
  <c r="AT29" i="7" s="1"/>
  <c r="AS29" i="8" s="1"/>
  <c r="AT29" i="8" s="1"/>
  <c r="AS29" i="9" s="1"/>
  <c r="AT29" i="9" s="1"/>
  <c r="AS29" i="11" s="1"/>
  <c r="AT29" i="11" s="1"/>
  <c r="AS29" i="12" s="1"/>
  <c r="AT29" i="12" s="1"/>
  <c r="AS29" i="13" s="1"/>
  <c r="AT29" i="13" s="1"/>
  <c r="AS29" i="14" s="1"/>
  <c r="AT29" i="14" s="1"/>
  <c r="AS29" i="15" s="1"/>
  <c r="AT29" i="15" s="1"/>
  <c r="AS29" i="16" s="1"/>
  <c r="AT29" i="16" s="1"/>
  <c r="AS29" i="17" s="1"/>
  <c r="AT29" i="17" s="1"/>
  <c r="AV31" i="20"/>
  <c r="AW31" i="20" s="1"/>
  <c r="AS31" i="7"/>
  <c r="AT31" i="7" s="1"/>
  <c r="AS31" i="8" s="1"/>
  <c r="AT31" i="8" s="1"/>
  <c r="AS31" i="9" s="1"/>
  <c r="AT31" i="9" s="1"/>
  <c r="AS31" i="11" s="1"/>
  <c r="AT31" i="11" s="1"/>
  <c r="AS31" i="12" s="1"/>
  <c r="AT31" i="12" s="1"/>
  <c r="AS31" i="13" s="1"/>
  <c r="AT31" i="13" s="1"/>
  <c r="AS31" i="14" s="1"/>
  <c r="AT31" i="14" s="1"/>
  <c r="AS31" i="15" s="1"/>
  <c r="AT31" i="15" s="1"/>
  <c r="AS31" i="16" s="1"/>
  <c r="AT31" i="16" s="1"/>
  <c r="AS31" i="17" s="1"/>
  <c r="AT31" i="17" s="1"/>
  <c r="AS3" i="7"/>
  <c r="AT3" i="7" s="1"/>
  <c r="Y8" i="7"/>
  <c r="N34" i="11"/>
  <c r="O34" i="11"/>
  <c r="K34" i="12" s="1"/>
  <c r="W17" i="8"/>
  <c r="AI5" i="11"/>
  <c r="AO5" i="11" s="1"/>
  <c r="AH5" i="11"/>
  <c r="AM5" i="11" s="1"/>
  <c r="AN5" i="11" s="1"/>
  <c r="AG5" i="11"/>
  <c r="O5" i="12"/>
  <c r="K5" i="13" s="1"/>
  <c r="N5" i="12"/>
  <c r="AK5" i="11"/>
  <c r="Y13" i="11"/>
  <c r="P5" i="11"/>
  <c r="O24" i="15"/>
  <c r="K24" i="16" s="1"/>
  <c r="N24" i="15"/>
  <c r="AG24" i="11"/>
  <c r="N34" i="9"/>
  <c r="AH24" i="11"/>
  <c r="AM24" i="11" s="1"/>
  <c r="AN24" i="11" s="1"/>
  <c r="W17" i="9"/>
  <c r="O13" i="12"/>
  <c r="K13" i="13" s="1"/>
  <c r="N13" i="12"/>
  <c r="AR24" i="12"/>
  <c r="AL24" i="12"/>
  <c r="AH24" i="13"/>
  <c r="AL24" i="13" s="1"/>
  <c r="AK24" i="13"/>
  <c r="AR24" i="13" s="1"/>
  <c r="AO8" i="14"/>
  <c r="AR8" i="14" s="1"/>
  <c r="AM8" i="14"/>
  <c r="AN8" i="14" s="1"/>
  <c r="AL8" i="14"/>
  <c r="AG12" i="14"/>
  <c r="AM24" i="14"/>
  <c r="AN24" i="14" s="1"/>
  <c r="AH24" i="14"/>
  <c r="AG24" i="14"/>
  <c r="AK24" i="14"/>
  <c r="AG21" i="12"/>
  <c r="AG12" i="13"/>
  <c r="AA35" i="13"/>
  <c r="Z35" i="13"/>
  <c r="Y35" i="13"/>
  <c r="X35" i="13"/>
  <c r="P35" i="13"/>
  <c r="AH21" i="12"/>
  <c r="AH12" i="13"/>
  <c r="AI21" i="12"/>
  <c r="AO21" i="12" s="1"/>
  <c r="W17" i="13"/>
  <c r="AI17" i="13"/>
  <c r="AO17" i="13" s="1"/>
  <c r="N36" i="14"/>
  <c r="O36" i="14"/>
  <c r="Z12" i="14"/>
  <c r="AR8" i="15"/>
  <c r="AA12" i="14"/>
  <c r="O12" i="15"/>
  <c r="K12" i="16" s="1"/>
  <c r="O12" i="16" s="1"/>
  <c r="Y12" i="15"/>
  <c r="P12" i="15"/>
  <c r="AA12" i="15"/>
  <c r="Z12" i="15"/>
  <c r="X12" i="15"/>
  <c r="P12" i="14"/>
  <c r="O35" i="15"/>
  <c r="K35" i="16" s="1"/>
  <c r="N35" i="15"/>
  <c r="N5" i="15"/>
  <c r="O5" i="15"/>
  <c r="K5" i="16" s="1"/>
  <c r="P32" i="15"/>
  <c r="AA32" i="15"/>
  <c r="Z32" i="15"/>
  <c r="Y32" i="15"/>
  <c r="X32" i="15"/>
  <c r="X35" i="14"/>
  <c r="AM8" i="15"/>
  <c r="AN8" i="15" s="1"/>
  <c r="X17" i="15"/>
  <c r="AI17" i="15"/>
  <c r="AO17" i="15" s="1"/>
  <c r="O29" i="16"/>
  <c r="K29" i="17" s="1"/>
  <c r="N29" i="16"/>
  <c r="Y17" i="15"/>
  <c r="AH17" i="16"/>
  <c r="AG17" i="16"/>
  <c r="AM17" i="16" s="1"/>
  <c r="AN17" i="16" s="1"/>
  <c r="AK17" i="16"/>
  <c r="AA29" i="15"/>
  <c r="Z29" i="15"/>
  <c r="AK29" i="15" s="1"/>
  <c r="AG29" i="15"/>
  <c r="O32" i="16"/>
  <c r="K32" i="17" s="1"/>
  <c r="N32" i="16"/>
  <c r="AL12" i="16"/>
  <c r="AI17" i="16"/>
  <c r="AO17" i="16" s="1"/>
  <c r="AM12" i="16"/>
  <c r="AN12" i="16" s="1"/>
  <c r="Y17" i="16"/>
  <c r="X17" i="17"/>
  <c r="P17" i="17"/>
  <c r="AA17" i="17"/>
  <c r="Y17" i="17"/>
  <c r="AM38" i="16"/>
  <c r="AK38" i="16"/>
  <c r="Z17" i="17"/>
  <c r="AA38" i="16"/>
  <c r="AI17" i="17"/>
  <c r="AO17" i="17" s="1"/>
  <c r="W17" i="17"/>
  <c r="N38" i="17"/>
  <c r="O38" i="17"/>
  <c r="P38" i="16"/>
  <c r="Y38" i="16"/>
  <c r="AH12" i="17"/>
  <c r="AG12" i="17"/>
  <c r="AN4" i="20"/>
  <c r="AJ4" i="20"/>
  <c r="AU20" i="20"/>
  <c r="AN33" i="20"/>
  <c r="AU33" i="20" s="1"/>
  <c r="AU9" i="20"/>
  <c r="Y3" i="20"/>
  <c r="AB4" i="20"/>
  <c r="AK4" i="20" s="1"/>
  <c r="AC4" i="20"/>
  <c r="AN5" i="20"/>
  <c r="AJ5" i="20"/>
  <c r="AL5" i="20"/>
  <c r="AR5" i="20" s="1"/>
  <c r="AN22" i="20"/>
  <c r="AA19" i="20"/>
  <c r="P19" i="20"/>
  <c r="AC19" i="20"/>
  <c r="AJ29" i="20"/>
  <c r="AO9" i="20"/>
  <c r="AA12" i="20"/>
  <c r="AB14" i="20"/>
  <c r="AJ15" i="20"/>
  <c r="AL16" i="20"/>
  <c r="AR16" i="20" s="1"/>
  <c r="W18" i="20"/>
  <c r="Y18" i="20" s="1"/>
  <c r="Z18" i="20" s="1"/>
  <c r="W26" i="20"/>
  <c r="Y26" i="20" s="1"/>
  <c r="Z26" i="20" s="1"/>
  <c r="AA3" i="20"/>
  <c r="AB12" i="20"/>
  <c r="AD12" i="20"/>
  <c r="W16" i="20"/>
  <c r="Y16" i="20" s="1"/>
  <c r="Z16" i="20" s="1"/>
  <c r="AJ18" i="20"/>
  <c r="AB19" i="20"/>
  <c r="AC26" i="20"/>
  <c r="AN26" i="20" s="1"/>
  <c r="AC28" i="20"/>
  <c r="AB11" i="20"/>
  <c r="AL11" i="20" s="1"/>
  <c r="AR11" i="20" s="1"/>
  <c r="P11" i="20"/>
  <c r="AC12" i="20"/>
  <c r="AN17" i="20"/>
  <c r="AU17" i="20" s="1"/>
  <c r="AK17" i="20"/>
  <c r="AP17" i="20" s="1"/>
  <c r="AQ17" i="20" s="1"/>
  <c r="AL18" i="20"/>
  <c r="AR18" i="20" s="1"/>
  <c r="AS20" i="20"/>
  <c r="AJ22" i="20"/>
  <c r="AB23" i="20"/>
  <c r="P23" i="20"/>
  <c r="AA23" i="20"/>
  <c r="AJ24" i="20"/>
  <c r="AK27" i="20"/>
  <c r="AJ27" i="20"/>
  <c r="AP27" i="20"/>
  <c r="AQ27" i="20" s="1"/>
  <c r="AB30" i="20"/>
  <c r="AA30" i="20"/>
  <c r="P30" i="20"/>
  <c r="AC3" i="20"/>
  <c r="AL6" i="20"/>
  <c r="AR6" i="20" s="1"/>
  <c r="AA14" i="20"/>
  <c r="AD14" i="20"/>
  <c r="AN16" i="20"/>
  <c r="AU16" i="20" s="1"/>
  <c r="AS16" i="20"/>
  <c r="AS17" i="20"/>
  <c r="AD19" i="20"/>
  <c r="AD3" i="20"/>
  <c r="AN6" i="20"/>
  <c r="AJ6" i="20"/>
  <c r="AL9" i="20"/>
  <c r="AR9" i="20" s="1"/>
  <c r="W9" i="20"/>
  <c r="Y9" i="20" s="1"/>
  <c r="Z9" i="20" s="1"/>
  <c r="AA10" i="20"/>
  <c r="AD10" i="20"/>
  <c r="AL12" i="20"/>
  <c r="AR12" i="20" s="1"/>
  <c r="AL13" i="20"/>
  <c r="AR13" i="20" s="1"/>
  <c r="AU13" i="20" s="1"/>
  <c r="W13" i="20"/>
  <c r="Y13" i="20" s="1"/>
  <c r="Z13" i="20" s="1"/>
  <c r="AK20" i="20"/>
  <c r="AP20" i="20" s="1"/>
  <c r="AQ20" i="20" s="1"/>
  <c r="AB21" i="20"/>
  <c r="AA21" i="20"/>
  <c r="P21" i="20"/>
  <c r="AN27" i="20"/>
  <c r="AN11" i="20"/>
  <c r="AJ11" i="20"/>
  <c r="AK13" i="20"/>
  <c r="P14" i="20"/>
  <c r="AK15" i="20"/>
  <c r="AP15" i="20" s="1"/>
  <c r="AQ15" i="20" s="1"/>
  <c r="P16" i="20"/>
  <c r="AB16" i="20"/>
  <c r="AL27" i="20"/>
  <c r="AR27" i="20" s="1"/>
  <c r="W27" i="20"/>
  <c r="Y27" i="20" s="1"/>
  <c r="Z27" i="20" s="1"/>
  <c r="AN7" i="20"/>
  <c r="AJ7" i="20"/>
  <c r="AP7" i="20" s="1"/>
  <c r="AQ7" i="20" s="1"/>
  <c r="AN8" i="20"/>
  <c r="AU8" i="20" s="1"/>
  <c r="AK8" i="20"/>
  <c r="AO8" i="20" s="1"/>
  <c r="AK18" i="20"/>
  <c r="W19" i="20"/>
  <c r="Y19" i="20" s="1"/>
  <c r="Z19" i="20" s="1"/>
  <c r="W20" i="20"/>
  <c r="Y20" i="20" s="1"/>
  <c r="Z20" i="20" s="1"/>
  <c r="AB28" i="20"/>
  <c r="AA28" i="20"/>
  <c r="P28" i="20"/>
  <c r="AK33" i="20"/>
  <c r="AJ33" i="20"/>
  <c r="AP9" i="20"/>
  <c r="AQ9" i="20" s="1"/>
  <c r="AC22" i="20"/>
  <c r="AL23" i="20"/>
  <c r="AR23" i="20" s="1"/>
  <c r="AB24" i="20"/>
  <c r="AN24" i="20" s="1"/>
  <c r="AK25" i="20"/>
  <c r="AO25" i="20" s="1"/>
  <c r="AD29" i="20"/>
  <c r="AK29" i="20" s="1"/>
  <c r="AC33" i="20"/>
  <c r="AL33" i="20" s="1"/>
  <c r="AC24" i="20"/>
  <c r="AL25" i="20"/>
  <c r="AR25" i="20" s="1"/>
  <c r="AU25" i="20" s="1"/>
  <c r="AS26" i="20"/>
  <c r="AL19" i="20"/>
  <c r="AR19" i="20" s="1"/>
  <c r="AD24" i="20"/>
  <c r="AA32" i="20"/>
  <c r="AA31" i="20"/>
  <c r="AB32" i="20"/>
  <c r="AC32" i="20"/>
  <c r="AU24" i="20" l="1"/>
  <c r="AP22" i="20"/>
  <c r="AQ22" i="20" s="1"/>
  <c r="AU18" i="20"/>
  <c r="AP8" i="20"/>
  <c r="AQ8" i="20" s="1"/>
  <c r="AO17" i="20"/>
  <c r="P20" i="6"/>
  <c r="AA20" i="6"/>
  <c r="Z20" i="6"/>
  <c r="X20" i="6"/>
  <c r="Y20" i="6"/>
  <c r="AS5" i="20"/>
  <c r="AO5" i="20"/>
  <c r="AO13" i="20"/>
  <c r="AN21" i="20"/>
  <c r="AL21" i="20"/>
  <c r="AR21" i="20" s="1"/>
  <c r="AK21" i="20"/>
  <c r="AJ21" i="20"/>
  <c r="AP21" i="20"/>
  <c r="AQ21" i="20" s="1"/>
  <c r="AN10" i="20"/>
  <c r="AJ10" i="20"/>
  <c r="AP10" i="20" s="1"/>
  <c r="AQ10" i="20" s="1"/>
  <c r="AK10" i="20"/>
  <c r="AP25" i="20"/>
  <c r="AQ25" i="20" s="1"/>
  <c r="AS22" i="20"/>
  <c r="AO22" i="20"/>
  <c r="AS15" i="20"/>
  <c r="AU15" i="20" s="1"/>
  <c r="AO15" i="20"/>
  <c r="AO20" i="20"/>
  <c r="AO4" i="20"/>
  <c r="AS4" i="20"/>
  <c r="AP29" i="15"/>
  <c r="AL12" i="13"/>
  <c r="AP12" i="13"/>
  <c r="AR12" i="13" s="1"/>
  <c r="AP12" i="14"/>
  <c r="AL12" i="14"/>
  <c r="AM12" i="13"/>
  <c r="AN12" i="13" s="1"/>
  <c r="AK12" i="14"/>
  <c r="O34" i="12"/>
  <c r="K34" i="13" s="1"/>
  <c r="N34" i="12"/>
  <c r="AM17" i="6"/>
  <c r="AN17" i="6" s="1"/>
  <c r="AM28" i="6"/>
  <c r="AN28" i="6" s="1"/>
  <c r="AK28" i="6"/>
  <c r="AH28" i="6"/>
  <c r="AG28" i="6"/>
  <c r="AK14" i="6"/>
  <c r="AR14" i="6" s="1"/>
  <c r="Y4" i="6"/>
  <c r="X4" i="6"/>
  <c r="P4" i="6"/>
  <c r="AA4" i="6"/>
  <c r="Z4" i="6"/>
  <c r="N17" i="8"/>
  <c r="O17" i="8"/>
  <c r="K17" i="9" s="1"/>
  <c r="O30" i="7"/>
  <c r="K30" i="8" s="1"/>
  <c r="N30" i="7"/>
  <c r="AP29" i="6"/>
  <c r="AK31" i="6"/>
  <c r="O16" i="8"/>
  <c r="K16" i="9" s="1"/>
  <c r="N16" i="8"/>
  <c r="AH8" i="6"/>
  <c r="AM8" i="6" s="1"/>
  <c r="AN8" i="6" s="1"/>
  <c r="AG8" i="6"/>
  <c r="AK8" i="6"/>
  <c r="P22" i="7"/>
  <c r="AA22" i="7"/>
  <c r="Z22" i="7"/>
  <c r="Y22" i="7"/>
  <c r="X22" i="7"/>
  <c r="AS4" i="17"/>
  <c r="AT4" i="17" s="1"/>
  <c r="AS4" i="16"/>
  <c r="AT4" i="16" s="1"/>
  <c r="AS4" i="15"/>
  <c r="AT4" i="15" s="1"/>
  <c r="AS4" i="14"/>
  <c r="AT4" i="14" s="1"/>
  <c r="AP12" i="6"/>
  <c r="O12" i="8"/>
  <c r="K12" i="9" s="1"/>
  <c r="N12" i="8"/>
  <c r="Z13" i="7"/>
  <c r="Y13" i="7"/>
  <c r="P13" i="7"/>
  <c r="X13" i="7"/>
  <c r="AA13" i="7"/>
  <c r="AN31" i="20"/>
  <c r="AL31" i="20"/>
  <c r="AR31" i="20" s="1"/>
  <c r="AK31" i="20"/>
  <c r="AJ31" i="20"/>
  <c r="AU6" i="20"/>
  <c r="AA11" i="6"/>
  <c r="Z11" i="6"/>
  <c r="Y11" i="6"/>
  <c r="X11" i="6"/>
  <c r="P11" i="6"/>
  <c r="AJ14" i="20"/>
  <c r="AN14" i="20"/>
  <c r="AK14" i="20"/>
  <c r="AP14" i="20" s="1"/>
  <c r="AQ14" i="20" s="1"/>
  <c r="AO18" i="20"/>
  <c r="AS18" i="20"/>
  <c r="AP13" i="20"/>
  <c r="AQ13" i="20" s="1"/>
  <c r="AP4" i="20"/>
  <c r="AQ4" i="20" s="1"/>
  <c r="AK17" i="17"/>
  <c r="AG17" i="17"/>
  <c r="AM17" i="17"/>
  <c r="AN17" i="17" s="1"/>
  <c r="AR29" i="15"/>
  <c r="Z29" i="16"/>
  <c r="Y29" i="16"/>
  <c r="P29" i="16"/>
  <c r="AA29" i="16"/>
  <c r="X29" i="16"/>
  <c r="AH29" i="15"/>
  <c r="AL29" i="15" s="1"/>
  <c r="AL21" i="12"/>
  <c r="AP21" i="12"/>
  <c r="AR21" i="12" s="1"/>
  <c r="AH12" i="14"/>
  <c r="AM12" i="14" s="1"/>
  <c r="AN12" i="14" s="1"/>
  <c r="Y24" i="15"/>
  <c r="X24" i="15"/>
  <c r="Z24" i="15"/>
  <c r="P24" i="15"/>
  <c r="AA24" i="15"/>
  <c r="Z5" i="12"/>
  <c r="X5" i="12"/>
  <c r="AA5" i="12"/>
  <c r="Y5" i="12"/>
  <c r="P5" i="12"/>
  <c r="Z34" i="11"/>
  <c r="X34" i="11"/>
  <c r="AA34" i="11"/>
  <c r="Y34" i="11"/>
  <c r="P34" i="11"/>
  <c r="AH8" i="7"/>
  <c r="AM8" i="7"/>
  <c r="AN8" i="7" s="1"/>
  <c r="AK8" i="7"/>
  <c r="AG8" i="7"/>
  <c r="P24" i="6"/>
  <c r="AA24" i="6"/>
  <c r="Z24" i="6"/>
  <c r="Y24" i="6"/>
  <c r="X24" i="6"/>
  <c r="P15" i="6"/>
  <c r="AA15" i="6"/>
  <c r="Z15" i="6"/>
  <c r="Y15" i="6"/>
  <c r="X15" i="6"/>
  <c r="Y27" i="6"/>
  <c r="X27" i="6"/>
  <c r="P27" i="6"/>
  <c r="AA27" i="6"/>
  <c r="Z27" i="6"/>
  <c r="AH29" i="6"/>
  <c r="AA29" i="7"/>
  <c r="Z29" i="7"/>
  <c r="Y29" i="7"/>
  <c r="X29" i="7"/>
  <c r="P29" i="7"/>
  <c r="O5" i="8"/>
  <c r="K5" i="9" s="1"/>
  <c r="N5" i="8"/>
  <c r="AA24" i="7"/>
  <c r="Z24" i="7"/>
  <c r="Y24" i="7"/>
  <c r="X24" i="7"/>
  <c r="P24" i="7"/>
  <c r="O22" i="8"/>
  <c r="K22" i="9" s="1"/>
  <c r="N22" i="8"/>
  <c r="AG30" i="6"/>
  <c r="AM30" i="6" s="1"/>
  <c r="AN30" i="6" s="1"/>
  <c r="AK30" i="6"/>
  <c r="AI30" i="6"/>
  <c r="AO30" i="6" s="1"/>
  <c r="AH30" i="6"/>
  <c r="AH12" i="6"/>
  <c r="AM12" i="6" s="1"/>
  <c r="AN12" i="6" s="1"/>
  <c r="Y12" i="7"/>
  <c r="X12" i="7"/>
  <c r="AA12" i="7"/>
  <c r="Z12" i="7"/>
  <c r="P12" i="7"/>
  <c r="O13" i="8"/>
  <c r="K13" i="9" s="1"/>
  <c r="N13" i="8"/>
  <c r="AP23" i="20"/>
  <c r="AQ23" i="20" s="1"/>
  <c r="AN23" i="20"/>
  <c r="AK23" i="20"/>
  <c r="AJ23" i="20"/>
  <c r="AP32" i="20"/>
  <c r="AN32" i="20"/>
  <c r="AH13" i="11"/>
  <c r="AL13" i="11" s="1"/>
  <c r="AK24" i="20"/>
  <c r="AS7" i="20"/>
  <c r="AO7" i="20"/>
  <c r="AS27" i="20"/>
  <c r="AU27" i="20" s="1"/>
  <c r="AO27" i="20"/>
  <c r="AP18" i="20"/>
  <c r="AQ18" i="20" s="1"/>
  <c r="AS11" i="20"/>
  <c r="AK22" i="20"/>
  <c r="AK11" i="20"/>
  <c r="AP11" i="20" s="1"/>
  <c r="AQ11" i="20" s="1"/>
  <c r="AP24" i="20"/>
  <c r="AQ24" i="20" s="1"/>
  <c r="AN3" i="20"/>
  <c r="AK3" i="20"/>
  <c r="AJ3" i="20"/>
  <c r="AN12" i="20"/>
  <c r="AK12" i="20"/>
  <c r="AJ12" i="20"/>
  <c r="Y34" i="20"/>
  <c r="Z34" i="20" s="1"/>
  <c r="Z3" i="20"/>
  <c r="O29" i="17"/>
  <c r="N29" i="17"/>
  <c r="AK12" i="15"/>
  <c r="AH12" i="15"/>
  <c r="AG12" i="15"/>
  <c r="AM12" i="15"/>
  <c r="AN12" i="15" s="1"/>
  <c r="AM21" i="12"/>
  <c r="AN21" i="12" s="1"/>
  <c r="P13" i="12"/>
  <c r="AA13" i="12"/>
  <c r="Z13" i="12"/>
  <c r="Y13" i="12"/>
  <c r="X13" i="12"/>
  <c r="O24" i="16"/>
  <c r="K24" i="17" s="1"/>
  <c r="N24" i="16"/>
  <c r="O5" i="13"/>
  <c r="K5" i="14" s="1"/>
  <c r="N5" i="13"/>
  <c r="AK13" i="11"/>
  <c r="AR13" i="11" s="1"/>
  <c r="AK23" i="6"/>
  <c r="AI23" i="6"/>
  <c r="AO23" i="6" s="1"/>
  <c r="AH23" i="6"/>
  <c r="AG23" i="6"/>
  <c r="AM23" i="6" s="1"/>
  <c r="AN23" i="6" s="1"/>
  <c r="AM14" i="6"/>
  <c r="AN14" i="6" s="1"/>
  <c r="P14" i="7"/>
  <c r="AA14" i="7"/>
  <c r="Z14" i="7"/>
  <c r="Y14" i="7"/>
  <c r="X14" i="7"/>
  <c r="Z6" i="7"/>
  <c r="P6" i="7"/>
  <c r="AA6" i="7"/>
  <c r="Y6" i="7"/>
  <c r="X6" i="7"/>
  <c r="AH26" i="6"/>
  <c r="AG26" i="6"/>
  <c r="AK26" i="6"/>
  <c r="AI26" i="6"/>
  <c r="AO26" i="6" s="1"/>
  <c r="Y23" i="7"/>
  <c r="X23" i="7"/>
  <c r="P23" i="7"/>
  <c r="AA23" i="7"/>
  <c r="Z23" i="7"/>
  <c r="AI29" i="6"/>
  <c r="AO29" i="6" s="1"/>
  <c r="O29" i="8"/>
  <c r="K29" i="9" s="1"/>
  <c r="N29" i="8"/>
  <c r="Y5" i="7"/>
  <c r="AA5" i="7"/>
  <c r="Z5" i="7"/>
  <c r="X5" i="7"/>
  <c r="P5" i="7"/>
  <c r="O24" i="8"/>
  <c r="K24" i="9" s="1"/>
  <c r="N24" i="8"/>
  <c r="AI12" i="6"/>
  <c r="AO12" i="6" s="1"/>
  <c r="AS32" i="9"/>
  <c r="AT32" i="9" s="1"/>
  <c r="AS32" i="11" s="1"/>
  <c r="AT32" i="11" s="1"/>
  <c r="AS32" i="12" s="1"/>
  <c r="AT32" i="12" s="1"/>
  <c r="AS32" i="13" s="1"/>
  <c r="AT32" i="13" s="1"/>
  <c r="AS32" i="14" s="1"/>
  <c r="AT32" i="14" s="1"/>
  <c r="AS32" i="15" s="1"/>
  <c r="AT32" i="15" s="1"/>
  <c r="AS32" i="16" s="1"/>
  <c r="AT32" i="16" s="1"/>
  <c r="AS32" i="17" s="1"/>
  <c r="AT32" i="17" s="1"/>
  <c r="AS32" i="8"/>
  <c r="AT32" i="8" s="1"/>
  <c r="Y7" i="8"/>
  <c r="X7" i="8"/>
  <c r="P7" i="8"/>
  <c r="AA7" i="8"/>
  <c r="Z7" i="8"/>
  <c r="AO33" i="20"/>
  <c r="AP26" i="20"/>
  <c r="AQ26" i="20" s="1"/>
  <c r="AP29" i="20"/>
  <c r="AQ29" i="20" s="1"/>
  <c r="Y36" i="14"/>
  <c r="P36" i="14"/>
  <c r="AA36" i="14"/>
  <c r="Z36" i="14"/>
  <c r="X36" i="14"/>
  <c r="AP33" i="20"/>
  <c r="AQ33" i="20" s="1"/>
  <c r="AU11" i="20"/>
  <c r="AS6" i="20"/>
  <c r="AO6" i="20"/>
  <c r="AK16" i="20"/>
  <c r="AO16" i="20" s="1"/>
  <c r="AN30" i="20"/>
  <c r="AL30" i="20"/>
  <c r="AR30" i="20" s="1"/>
  <c r="AK30" i="20"/>
  <c r="AP30" i="20" s="1"/>
  <c r="AQ30" i="20" s="1"/>
  <c r="AJ30" i="20"/>
  <c r="AS24" i="20"/>
  <c r="AO24" i="20"/>
  <c r="AL26" i="20"/>
  <c r="AR26" i="20" s="1"/>
  <c r="AU26" i="20" s="1"/>
  <c r="AN29" i="20"/>
  <c r="AP19" i="20"/>
  <c r="AQ19" i="20" s="1"/>
  <c r="AN19" i="20"/>
  <c r="AK19" i="20"/>
  <c r="AJ19" i="20"/>
  <c r="AU22" i="20"/>
  <c r="W34" i="20"/>
  <c r="AU4" i="20"/>
  <c r="AL24" i="14"/>
  <c r="AP24" i="14"/>
  <c r="AR24" i="14" s="1"/>
  <c r="O13" i="13"/>
  <c r="K13" i="14" s="1"/>
  <c r="N13" i="13"/>
  <c r="AP5" i="11"/>
  <c r="AR5" i="11" s="1"/>
  <c r="AL5" i="11"/>
  <c r="P22" i="6"/>
  <c r="AA22" i="6"/>
  <c r="Z22" i="6"/>
  <c r="Y22" i="6"/>
  <c r="X22" i="6"/>
  <c r="Y33" i="6"/>
  <c r="X33" i="6"/>
  <c r="P33" i="6"/>
  <c r="AA33" i="6"/>
  <c r="Z33" i="6"/>
  <c r="Y25" i="6"/>
  <c r="X25" i="6"/>
  <c r="P25" i="6"/>
  <c r="AA25" i="6"/>
  <c r="Z25" i="6"/>
  <c r="O23" i="8"/>
  <c r="K23" i="9" s="1"/>
  <c r="N23" i="8"/>
  <c r="AK29" i="6"/>
  <c r="AP9" i="6"/>
  <c r="AR9" i="6" s="1"/>
  <c r="X33" i="7"/>
  <c r="P33" i="7"/>
  <c r="AA33" i="7"/>
  <c r="Z33" i="7"/>
  <c r="Y33" i="7"/>
  <c r="O11" i="8"/>
  <c r="K11" i="9" s="1"/>
  <c r="N11" i="8"/>
  <c r="P18" i="7"/>
  <c r="AA18" i="7"/>
  <c r="Z18" i="7"/>
  <c r="Y18" i="7"/>
  <c r="X18" i="7"/>
  <c r="AK12" i="6"/>
  <c r="O7" i="9"/>
  <c r="K7" i="11" s="1"/>
  <c r="N7" i="9"/>
  <c r="AR38" i="16"/>
  <c r="AU38" i="16"/>
  <c r="AH17" i="15"/>
  <c r="AK17" i="15"/>
  <c r="AG17" i="15"/>
  <c r="AM17" i="15" s="1"/>
  <c r="AN17" i="15" s="1"/>
  <c r="O5" i="16"/>
  <c r="K5" i="17" s="1"/>
  <c r="N5" i="16"/>
  <c r="AM35" i="13"/>
  <c r="AN35" i="13" s="1"/>
  <c r="AK35" i="13"/>
  <c r="AM21" i="6"/>
  <c r="AN21" i="6" s="1"/>
  <c r="AK21" i="6"/>
  <c r="AI21" i="6"/>
  <c r="AO21" i="6" s="1"/>
  <c r="AH21" i="6"/>
  <c r="AG21" i="6"/>
  <c r="AH13" i="6"/>
  <c r="AM13" i="6"/>
  <c r="AN13" i="6" s="1"/>
  <c r="AK13" i="6"/>
  <c r="AI13" i="6"/>
  <c r="AO13" i="6" s="1"/>
  <c r="AG13" i="6"/>
  <c r="AA7" i="7"/>
  <c r="X7" i="7"/>
  <c r="P7" i="7"/>
  <c r="Z7" i="7"/>
  <c r="Y7" i="7"/>
  <c r="AA21" i="7"/>
  <c r="Z21" i="7"/>
  <c r="Y21" i="7"/>
  <c r="X21" i="7"/>
  <c r="P21" i="7"/>
  <c r="AS3" i="17"/>
  <c r="AT3" i="17" s="1"/>
  <c r="AS3" i="16"/>
  <c r="AT3" i="16" s="1"/>
  <c r="AS3" i="15"/>
  <c r="AT3" i="15" s="1"/>
  <c r="AS3" i="14"/>
  <c r="AT3" i="14" s="1"/>
  <c r="AA28" i="7"/>
  <c r="Z28" i="7"/>
  <c r="Y28" i="7"/>
  <c r="X28" i="7"/>
  <c r="P28" i="7"/>
  <c r="AH9" i="6"/>
  <c r="AM9" i="6" s="1"/>
  <c r="AN9" i="6" s="1"/>
  <c r="O33" i="8"/>
  <c r="K33" i="9" s="1"/>
  <c r="N33" i="8"/>
  <c r="AA11" i="7"/>
  <c r="X11" i="7"/>
  <c r="Y11" i="7"/>
  <c r="P11" i="7"/>
  <c r="Z11" i="7"/>
  <c r="Y27" i="7"/>
  <c r="X27" i="7"/>
  <c r="P27" i="7"/>
  <c r="AA27" i="7"/>
  <c r="Z27" i="7"/>
  <c r="AA6" i="8"/>
  <c r="Z6" i="8"/>
  <c r="Y6" i="8"/>
  <c r="X6" i="8"/>
  <c r="P6" i="8"/>
  <c r="O18" i="8"/>
  <c r="K18" i="9" s="1"/>
  <c r="N18" i="8"/>
  <c r="O15" i="8"/>
  <c r="K15" i="9" s="1"/>
  <c r="N15" i="8"/>
  <c r="X3" i="7"/>
  <c r="P3" i="7"/>
  <c r="AA3" i="7"/>
  <c r="Z3" i="7"/>
  <c r="Y3" i="7"/>
  <c r="O28" i="8"/>
  <c r="K28" i="9" s="1"/>
  <c r="N28" i="8"/>
  <c r="AP31" i="6"/>
  <c r="X9" i="7"/>
  <c r="Y9" i="7"/>
  <c r="AA9" i="7"/>
  <c r="Z9" i="7"/>
  <c r="P9" i="7"/>
  <c r="Y31" i="7"/>
  <c r="X31" i="7"/>
  <c r="P31" i="7"/>
  <c r="AA31" i="7"/>
  <c r="Z31" i="7"/>
  <c r="Y10" i="7"/>
  <c r="P10" i="7"/>
  <c r="Z10" i="7"/>
  <c r="AA10" i="7"/>
  <c r="X10" i="7"/>
  <c r="O27" i="8"/>
  <c r="K27" i="9" s="1"/>
  <c r="N27" i="8"/>
  <c r="AA20" i="7"/>
  <c r="Z20" i="7"/>
  <c r="Y20" i="7"/>
  <c r="X20" i="7"/>
  <c r="P20" i="7"/>
  <c r="O6" i="9"/>
  <c r="K6" i="11" s="1"/>
  <c r="N6" i="9"/>
  <c r="AA15" i="7"/>
  <c r="X15" i="7"/>
  <c r="Z15" i="7"/>
  <c r="Y15" i="7"/>
  <c r="P15" i="7"/>
  <c r="O3" i="8"/>
  <c r="K3" i="9" s="1"/>
  <c r="N3" i="8"/>
  <c r="AS29" i="20"/>
  <c r="AO29" i="20"/>
  <c r="AP17" i="16"/>
  <c r="AR17" i="16" s="1"/>
  <c r="AL17" i="16"/>
  <c r="AM10" i="6"/>
  <c r="AN10" i="6" s="1"/>
  <c r="AK10" i="6"/>
  <c r="AH10" i="6"/>
  <c r="AG10" i="6"/>
  <c r="Y19" i="7"/>
  <c r="X19" i="7"/>
  <c r="P19" i="7"/>
  <c r="AA19" i="7"/>
  <c r="Z19" i="7"/>
  <c r="AK26" i="20"/>
  <c r="AP6" i="20"/>
  <c r="AQ6" i="20" s="1"/>
  <c r="Z32" i="16"/>
  <c r="Y32" i="16"/>
  <c r="X32" i="16"/>
  <c r="P32" i="16"/>
  <c r="AA32" i="16"/>
  <c r="Z35" i="15"/>
  <c r="Y35" i="15"/>
  <c r="P35" i="15"/>
  <c r="AA35" i="15"/>
  <c r="X35" i="15"/>
  <c r="X34" i="9"/>
  <c r="AA34" i="9"/>
  <c r="Z34" i="9"/>
  <c r="Y34" i="9"/>
  <c r="P34" i="9"/>
  <c r="AK16" i="6"/>
  <c r="AH16" i="6"/>
  <c r="AG16" i="6"/>
  <c r="AM16" i="6"/>
  <c r="AN16" i="6" s="1"/>
  <c r="O8" i="8"/>
  <c r="K8" i="9" s="1"/>
  <c r="N8" i="8"/>
  <c r="AM19" i="6"/>
  <c r="AN19" i="6" s="1"/>
  <c r="AK19" i="6"/>
  <c r="AI19" i="6"/>
  <c r="AO19" i="6" s="1"/>
  <c r="AH19" i="6"/>
  <c r="AG19" i="6"/>
  <c r="AH7" i="6"/>
  <c r="AM7" i="6"/>
  <c r="AN7" i="6" s="1"/>
  <c r="AK7" i="6"/>
  <c r="AI7" i="6"/>
  <c r="AO7" i="6" s="1"/>
  <c r="AG7" i="6"/>
  <c r="N19" i="8"/>
  <c r="O19" i="8"/>
  <c r="K19" i="9" s="1"/>
  <c r="O32" i="7"/>
  <c r="K32" i="8" s="1"/>
  <c r="N32" i="7"/>
  <c r="P26" i="7"/>
  <c r="AA26" i="7"/>
  <c r="Z26" i="7"/>
  <c r="Y26" i="7"/>
  <c r="X26" i="7"/>
  <c r="AH31" i="6"/>
  <c r="AM31" i="6" s="1"/>
  <c r="AN31" i="6" s="1"/>
  <c r="O9" i="8"/>
  <c r="K9" i="9" s="1"/>
  <c r="N9" i="8"/>
  <c r="O31" i="8"/>
  <c r="K31" i="9" s="1"/>
  <c r="N31" i="8"/>
  <c r="O10" i="8"/>
  <c r="K10" i="9" s="1"/>
  <c r="N10" i="8"/>
  <c r="AA25" i="7"/>
  <c r="Z25" i="7"/>
  <c r="Y25" i="7"/>
  <c r="X25" i="7"/>
  <c r="P25" i="7"/>
  <c r="O20" i="8"/>
  <c r="K20" i="9" s="1"/>
  <c r="N20" i="8"/>
  <c r="X14" i="8"/>
  <c r="P14" i="8"/>
  <c r="AA14" i="8"/>
  <c r="Z14" i="8"/>
  <c r="Y14" i="8"/>
  <c r="Z4" i="7"/>
  <c r="Y4" i="7"/>
  <c r="X4" i="7"/>
  <c r="P4" i="7"/>
  <c r="AA4" i="7"/>
  <c r="AP5" i="20"/>
  <c r="AQ5" i="20" s="1"/>
  <c r="AA38" i="17"/>
  <c r="Y38" i="17"/>
  <c r="Z38" i="17"/>
  <c r="P38" i="17"/>
  <c r="X38" i="17"/>
  <c r="Z5" i="15"/>
  <c r="Y5" i="15"/>
  <c r="P5" i="15"/>
  <c r="AA5" i="15"/>
  <c r="X5" i="15"/>
  <c r="O21" i="8"/>
  <c r="K21" i="9" s="1"/>
  <c r="N21" i="8"/>
  <c r="AP12" i="17"/>
  <c r="AR12" i="17" s="1"/>
  <c r="AM12" i="17"/>
  <c r="AN12" i="17" s="1"/>
  <c r="AL12" i="17"/>
  <c r="AK35" i="14"/>
  <c r="AM35" i="14"/>
  <c r="AN35" i="14" s="1"/>
  <c r="AN28" i="20"/>
  <c r="AK28" i="20"/>
  <c r="AP28" i="20" s="1"/>
  <c r="AQ28" i="20" s="1"/>
  <c r="AJ28" i="20"/>
  <c r="AU7" i="20"/>
  <c r="AU5" i="20"/>
  <c r="O32" i="17"/>
  <c r="N32" i="17"/>
  <c r="AM29" i="15"/>
  <c r="AN29" i="15" s="1"/>
  <c r="AM32" i="15"/>
  <c r="AK32" i="15"/>
  <c r="O35" i="16"/>
  <c r="K35" i="17" s="1"/>
  <c r="N35" i="16"/>
  <c r="K12" i="17"/>
  <c r="O12" i="17" s="1"/>
  <c r="AM24" i="13"/>
  <c r="AN24" i="13" s="1"/>
  <c r="AL24" i="11"/>
  <c r="AP24" i="11"/>
  <c r="AR24" i="11" s="1"/>
  <c r="P18" i="6"/>
  <c r="AA18" i="6"/>
  <c r="Z18" i="6"/>
  <c r="Y18" i="6"/>
  <c r="X18" i="6"/>
  <c r="AM5" i="6"/>
  <c r="AN5" i="6" s="1"/>
  <c r="AK5" i="6"/>
  <c r="AH5" i="6"/>
  <c r="AI5" i="6"/>
  <c r="AO5" i="6" s="1"/>
  <c r="AG5" i="6"/>
  <c r="Z17" i="7"/>
  <c r="Y17" i="7"/>
  <c r="P17" i="7"/>
  <c r="X17" i="7"/>
  <c r="O26" i="8"/>
  <c r="K26" i="9" s="1"/>
  <c r="N26" i="8"/>
  <c r="AH3" i="6"/>
  <c r="AG3" i="6"/>
  <c r="AM3" i="6"/>
  <c r="AN3" i="6" s="1"/>
  <c r="AK3" i="6"/>
  <c r="Z16" i="7"/>
  <c r="Y16" i="7"/>
  <c r="X16" i="7"/>
  <c r="P16" i="7"/>
  <c r="AA16" i="7"/>
  <c r="O25" i="8"/>
  <c r="K25" i="9" s="1"/>
  <c r="N25" i="8"/>
  <c r="AK6" i="6"/>
  <c r="AI6" i="6"/>
  <c r="AO6" i="6" s="1"/>
  <c r="AH6" i="6"/>
  <c r="AM6" i="6" s="1"/>
  <c r="AN6" i="6" s="1"/>
  <c r="AG6" i="6"/>
  <c r="AM32" i="6"/>
  <c r="AK32" i="6"/>
  <c r="O14" i="9"/>
  <c r="K14" i="11" s="1"/>
  <c r="N14" i="9"/>
  <c r="O4" i="8"/>
  <c r="K4" i="9" s="1"/>
  <c r="N4" i="8"/>
  <c r="P4" i="8" l="1"/>
  <c r="AA4" i="8"/>
  <c r="Z4" i="8"/>
  <c r="Y4" i="8"/>
  <c r="X4" i="8"/>
  <c r="O21" i="9"/>
  <c r="K21" i="11" s="1"/>
  <c r="N21" i="9"/>
  <c r="O8" i="9"/>
  <c r="K8" i="11" s="1"/>
  <c r="N8" i="9"/>
  <c r="AK18" i="6"/>
  <c r="AI18" i="6"/>
  <c r="AO18" i="6" s="1"/>
  <c r="AH18" i="6"/>
  <c r="AG18" i="6"/>
  <c r="AM18" i="6"/>
  <c r="AN18" i="6" s="1"/>
  <c r="AA32" i="7"/>
  <c r="Z32" i="7"/>
  <c r="Y32" i="7"/>
  <c r="X32" i="7"/>
  <c r="P32" i="7"/>
  <c r="AM32" i="16"/>
  <c r="AK32" i="16"/>
  <c r="AI9" i="7"/>
  <c r="AO9" i="7" s="1"/>
  <c r="AK9" i="7"/>
  <c r="AM9" i="7"/>
  <c r="AN9" i="7" s="1"/>
  <c r="AH9" i="7"/>
  <c r="AG9" i="7"/>
  <c r="Y5" i="16"/>
  <c r="AA5" i="16"/>
  <c r="Z5" i="16"/>
  <c r="P5" i="16"/>
  <c r="X5" i="16"/>
  <c r="O32" i="8"/>
  <c r="K32" i="9" s="1"/>
  <c r="N32" i="8"/>
  <c r="AK3" i="7"/>
  <c r="AH3" i="7"/>
  <c r="AG3" i="7"/>
  <c r="AM3" i="7" s="1"/>
  <c r="AN3" i="7" s="1"/>
  <c r="O5" i="17"/>
  <c r="N5" i="17"/>
  <c r="O19" i="9"/>
  <c r="K19" i="11" s="1"/>
  <c r="N19" i="9"/>
  <c r="AA3" i="8"/>
  <c r="Z3" i="8"/>
  <c r="Y3" i="8"/>
  <c r="X3" i="8"/>
  <c r="P3" i="8"/>
  <c r="AK31" i="7"/>
  <c r="AI31" i="7"/>
  <c r="AO31" i="7" s="1"/>
  <c r="AH31" i="7"/>
  <c r="AG31" i="7"/>
  <c r="AL31" i="6"/>
  <c r="AG7" i="7"/>
  <c r="AK7" i="7"/>
  <c r="AI7" i="7"/>
  <c r="AO7" i="7" s="1"/>
  <c r="AH7" i="7"/>
  <c r="Y7" i="9"/>
  <c r="AA7" i="9"/>
  <c r="Z7" i="9"/>
  <c r="P7" i="9"/>
  <c r="X7" i="9"/>
  <c r="AL9" i="6"/>
  <c r="AU32" i="6"/>
  <c r="AR32" i="6"/>
  <c r="O25" i="9"/>
  <c r="K25" i="11" s="1"/>
  <c r="N25" i="9"/>
  <c r="AP3" i="6"/>
  <c r="AL3" i="6"/>
  <c r="AL5" i="6"/>
  <c r="AP5" i="6"/>
  <c r="N35" i="17"/>
  <c r="O35" i="17"/>
  <c r="AH26" i="7"/>
  <c r="AG26" i="7"/>
  <c r="AM26" i="7" s="1"/>
  <c r="AN26" i="7" s="1"/>
  <c r="AK26" i="7"/>
  <c r="AI26" i="7"/>
  <c r="AO26" i="7" s="1"/>
  <c r="AA19" i="8"/>
  <c r="Z19" i="8"/>
  <c r="Y19" i="8"/>
  <c r="X19" i="8"/>
  <c r="P19" i="8"/>
  <c r="O3" i="9"/>
  <c r="K3" i="11" s="1"/>
  <c r="N3" i="9"/>
  <c r="AA28" i="8"/>
  <c r="Z28" i="8"/>
  <c r="Y28" i="8"/>
  <c r="X28" i="8"/>
  <c r="P28" i="8"/>
  <c r="O15" i="9"/>
  <c r="K15" i="11" s="1"/>
  <c r="N15" i="9"/>
  <c r="AI11" i="7"/>
  <c r="AO11" i="7" s="1"/>
  <c r="AH11" i="7"/>
  <c r="AM11" i="7" s="1"/>
  <c r="AN11" i="7" s="1"/>
  <c r="AK11" i="7"/>
  <c r="AG11" i="7"/>
  <c r="AK21" i="7"/>
  <c r="AI21" i="7"/>
  <c r="AO21" i="7" s="1"/>
  <c r="AH21" i="7"/>
  <c r="AG21" i="7"/>
  <c r="AM21" i="7" s="1"/>
  <c r="AN21" i="7" s="1"/>
  <c r="O7" i="11"/>
  <c r="K7" i="12" s="1"/>
  <c r="N7" i="11"/>
  <c r="O11" i="9"/>
  <c r="K11" i="11" s="1"/>
  <c r="N11" i="9"/>
  <c r="AR29" i="6"/>
  <c r="AK7" i="8"/>
  <c r="AI7" i="8"/>
  <c r="AO7" i="8" s="1"/>
  <c r="AH7" i="8"/>
  <c r="AM7" i="8" s="1"/>
  <c r="AN7" i="8" s="1"/>
  <c r="AG7" i="8"/>
  <c r="AI5" i="7"/>
  <c r="AO5" i="7" s="1"/>
  <c r="AK5" i="7"/>
  <c r="AH5" i="7"/>
  <c r="AG5" i="7"/>
  <c r="AP26" i="6"/>
  <c r="AR26" i="6" s="1"/>
  <c r="AL26" i="6"/>
  <c r="AL8" i="7"/>
  <c r="AP8" i="7"/>
  <c r="AR8" i="7" s="1"/>
  <c r="AS14" i="20"/>
  <c r="AO14" i="20"/>
  <c r="AO31" i="20"/>
  <c r="AS31" i="20"/>
  <c r="AU31" i="20" s="1"/>
  <c r="AR8" i="6"/>
  <c r="P30" i="7"/>
  <c r="AA30" i="7"/>
  <c r="Z30" i="7"/>
  <c r="Y30" i="7"/>
  <c r="X30" i="7"/>
  <c r="O34" i="13"/>
  <c r="K34" i="14" s="1"/>
  <c r="N34" i="13"/>
  <c r="Y32" i="17"/>
  <c r="X32" i="17"/>
  <c r="P32" i="17"/>
  <c r="Z32" i="17"/>
  <c r="AA32" i="17"/>
  <c r="O4" i="9"/>
  <c r="K4" i="11" s="1"/>
  <c r="N4" i="9"/>
  <c r="AG5" i="15"/>
  <c r="AM5" i="15"/>
  <c r="AN5" i="15" s="1"/>
  <c r="AK5" i="15"/>
  <c r="AI5" i="15"/>
  <c r="AO5" i="15" s="1"/>
  <c r="AH5" i="15"/>
  <c r="P9" i="8"/>
  <c r="AA9" i="8"/>
  <c r="Z9" i="8"/>
  <c r="Y9" i="8"/>
  <c r="X9" i="8"/>
  <c r="AK34" i="9"/>
  <c r="AM34" i="9"/>
  <c r="AN34" i="9" s="1"/>
  <c r="Z27" i="8"/>
  <c r="Y27" i="8"/>
  <c r="X27" i="8"/>
  <c r="P27" i="8"/>
  <c r="AA27" i="8"/>
  <c r="AR3" i="6"/>
  <c r="O9" i="9"/>
  <c r="K9" i="11" s="1"/>
  <c r="N9" i="9"/>
  <c r="AM35" i="15"/>
  <c r="AN35" i="15" s="1"/>
  <c r="AK35" i="15"/>
  <c r="O27" i="9"/>
  <c r="K27" i="11" s="1"/>
  <c r="N27" i="9"/>
  <c r="AK28" i="7"/>
  <c r="AH28" i="7"/>
  <c r="AG28" i="7"/>
  <c r="AU30" i="20"/>
  <c r="O14" i="11"/>
  <c r="K14" i="12" s="1"/>
  <c r="N14" i="11"/>
  <c r="Z35" i="16"/>
  <c r="Y35" i="16"/>
  <c r="P35" i="16"/>
  <c r="AA35" i="16"/>
  <c r="X35" i="16"/>
  <c r="AP10" i="6"/>
  <c r="AL10" i="6"/>
  <c r="AG10" i="7"/>
  <c r="AM10" i="7"/>
  <c r="AN10" i="7" s="1"/>
  <c r="AK10" i="7"/>
  <c r="AH10" i="7"/>
  <c r="Y15" i="8"/>
  <c r="X15" i="8"/>
  <c r="P15" i="8"/>
  <c r="AA15" i="8"/>
  <c r="Z15" i="8"/>
  <c r="AA11" i="8"/>
  <c r="Z11" i="8"/>
  <c r="Y11" i="8"/>
  <c r="X11" i="8"/>
  <c r="P11" i="8"/>
  <c r="AN32" i="6"/>
  <c r="AR32" i="15"/>
  <c r="AU32" i="15"/>
  <c r="AH14" i="8"/>
  <c r="AG14" i="8"/>
  <c r="AM14" i="8" s="1"/>
  <c r="AN14" i="8" s="1"/>
  <c r="AK14" i="8"/>
  <c r="Y10" i="8"/>
  <c r="X10" i="8"/>
  <c r="P10" i="8"/>
  <c r="AA10" i="8"/>
  <c r="Z10" i="8"/>
  <c r="AL7" i="6"/>
  <c r="AP7" i="6"/>
  <c r="AO26" i="20"/>
  <c r="AR10" i="6"/>
  <c r="AK20" i="7"/>
  <c r="AI20" i="7"/>
  <c r="AO20" i="7" s="1"/>
  <c r="AH20" i="7"/>
  <c r="AG20" i="7"/>
  <c r="O28" i="9"/>
  <c r="K28" i="11" s="1"/>
  <c r="N28" i="9"/>
  <c r="Z18" i="8"/>
  <c r="Y18" i="8"/>
  <c r="X18" i="8"/>
  <c r="P18" i="8"/>
  <c r="AA18" i="8"/>
  <c r="AL13" i="6"/>
  <c r="AP13" i="6"/>
  <c r="AR13" i="6" s="1"/>
  <c r="AR17" i="15"/>
  <c r="AR12" i="6"/>
  <c r="AA23" i="8"/>
  <c r="Z23" i="8"/>
  <c r="Y23" i="8"/>
  <c r="X23" i="8"/>
  <c r="P23" i="8"/>
  <c r="AR12" i="15"/>
  <c r="AO11" i="20"/>
  <c r="AM13" i="11"/>
  <c r="AN13" i="11" s="1"/>
  <c r="AO23" i="20"/>
  <c r="AS23" i="20"/>
  <c r="AP30" i="6"/>
  <c r="AR30" i="6" s="1"/>
  <c r="AL30" i="6"/>
  <c r="Y5" i="8"/>
  <c r="X5" i="8"/>
  <c r="P5" i="8"/>
  <c r="AA5" i="8"/>
  <c r="Z5" i="8"/>
  <c r="AK24" i="15"/>
  <c r="AH24" i="15"/>
  <c r="AM24" i="15" s="1"/>
  <c r="AN24" i="15" s="1"/>
  <c r="AG24" i="15"/>
  <c r="P12" i="8"/>
  <c r="AA12" i="8"/>
  <c r="Z12" i="8"/>
  <c r="Y12" i="8"/>
  <c r="X12" i="8"/>
  <c r="AP8" i="6"/>
  <c r="AL8" i="6"/>
  <c r="N30" i="8"/>
  <c r="O30" i="8"/>
  <c r="K30" i="9" s="1"/>
  <c r="O10" i="9"/>
  <c r="K10" i="11" s="1"/>
  <c r="N10" i="9"/>
  <c r="O18" i="9"/>
  <c r="K18" i="11" s="1"/>
  <c r="N18" i="9"/>
  <c r="Y33" i="8"/>
  <c r="Z33" i="8"/>
  <c r="X33" i="8"/>
  <c r="P33" i="8"/>
  <c r="AA33" i="8"/>
  <c r="AH18" i="7"/>
  <c r="AG18" i="7"/>
  <c r="AK18" i="7"/>
  <c r="AI18" i="7"/>
  <c r="AO18" i="7" s="1"/>
  <c r="O23" i="9"/>
  <c r="K23" i="11" s="1"/>
  <c r="N23" i="9"/>
  <c r="AS19" i="20"/>
  <c r="AO19" i="20"/>
  <c r="AK6" i="7"/>
  <c r="AI6" i="7"/>
  <c r="AO6" i="7" s="1"/>
  <c r="AH6" i="7"/>
  <c r="AM6" i="7" s="1"/>
  <c r="AN6" i="7" s="1"/>
  <c r="AG6" i="7"/>
  <c r="Y29" i="17"/>
  <c r="X29" i="17"/>
  <c r="P29" i="17"/>
  <c r="AA29" i="17"/>
  <c r="Z29" i="17"/>
  <c r="AS3" i="20"/>
  <c r="AU3" i="20" s="1"/>
  <c r="AO3" i="20"/>
  <c r="AK12" i="7"/>
  <c r="AI12" i="7"/>
  <c r="AO12" i="7" s="1"/>
  <c r="AM12" i="7"/>
  <c r="AN12" i="7" s="1"/>
  <c r="AH12" i="7"/>
  <c r="AG12" i="7"/>
  <c r="Y22" i="8"/>
  <c r="X22" i="8"/>
  <c r="P22" i="8"/>
  <c r="AA22" i="8"/>
  <c r="Z22" i="8"/>
  <c r="O5" i="9"/>
  <c r="N5" i="9"/>
  <c r="AH11" i="6"/>
  <c r="AG11" i="6"/>
  <c r="AI11" i="6"/>
  <c r="AO11" i="6" s="1"/>
  <c r="AK11" i="6"/>
  <c r="O12" i="9"/>
  <c r="K12" i="11" s="1"/>
  <c r="N12" i="9"/>
  <c r="AH22" i="7"/>
  <c r="AG22" i="7"/>
  <c r="AK22" i="7"/>
  <c r="AI22" i="7"/>
  <c r="AO22" i="7" s="1"/>
  <c r="O17" i="9"/>
  <c r="K17" i="11" s="1"/>
  <c r="N17" i="9"/>
  <c r="AL28" i="6"/>
  <c r="AP28" i="6"/>
  <c r="AR12" i="14"/>
  <c r="Y26" i="8"/>
  <c r="AA26" i="8"/>
  <c r="Z26" i="8"/>
  <c r="X26" i="8"/>
  <c r="P26" i="8"/>
  <c r="AN32" i="15"/>
  <c r="AM38" i="17"/>
  <c r="AK38" i="17"/>
  <c r="AM4" i="7"/>
  <c r="AN4" i="7" s="1"/>
  <c r="AK4" i="7"/>
  <c r="AH4" i="7"/>
  <c r="AG4" i="7"/>
  <c r="AA20" i="8"/>
  <c r="Z20" i="8"/>
  <c r="Y20" i="8"/>
  <c r="X20" i="8"/>
  <c r="P20" i="8"/>
  <c r="AP6" i="6"/>
  <c r="AR6" i="6" s="1"/>
  <c r="AL6" i="6"/>
  <c r="AK16" i="7"/>
  <c r="AH16" i="7"/>
  <c r="AG16" i="7"/>
  <c r="AM16" i="7"/>
  <c r="AN16" i="7" s="1"/>
  <c r="N26" i="9"/>
  <c r="O26" i="9"/>
  <c r="K26" i="11" s="1"/>
  <c r="AR5" i="6"/>
  <c r="AS28" i="20"/>
  <c r="AO28" i="20"/>
  <c r="P21" i="8"/>
  <c r="AA21" i="8"/>
  <c r="Z21" i="8"/>
  <c r="Y21" i="8"/>
  <c r="X21" i="8"/>
  <c r="N20" i="9"/>
  <c r="O20" i="9"/>
  <c r="K20" i="11" s="1"/>
  <c r="P31" i="8"/>
  <c r="AA31" i="8"/>
  <c r="Z31" i="8"/>
  <c r="Y31" i="8"/>
  <c r="X31" i="8"/>
  <c r="AR7" i="6"/>
  <c r="AA8" i="8"/>
  <c r="Z8" i="8"/>
  <c r="Y8" i="8"/>
  <c r="X8" i="8"/>
  <c r="P8" i="8"/>
  <c r="AK27" i="7"/>
  <c r="AI27" i="7"/>
  <c r="AO27" i="7" s="1"/>
  <c r="AH27" i="7"/>
  <c r="AG27" i="7"/>
  <c r="O33" i="9"/>
  <c r="K33" i="11" s="1"/>
  <c r="N33" i="9"/>
  <c r="AW38" i="16"/>
  <c r="AL38" i="16"/>
  <c r="AM33" i="6"/>
  <c r="AN33" i="6" s="1"/>
  <c r="AK33" i="6"/>
  <c r="AR33" i="6" s="1"/>
  <c r="AI33" i="6"/>
  <c r="AH33" i="6"/>
  <c r="AG33" i="6"/>
  <c r="AL33" i="6" s="1"/>
  <c r="AS30" i="20"/>
  <c r="AO30" i="20"/>
  <c r="AK23" i="7"/>
  <c r="AI23" i="7"/>
  <c r="AO23" i="7" s="1"/>
  <c r="AH23" i="7"/>
  <c r="AG23" i="7"/>
  <c r="AM23" i="7"/>
  <c r="AN23" i="7" s="1"/>
  <c r="Y5" i="13"/>
  <c r="X5" i="13"/>
  <c r="P5" i="13"/>
  <c r="AA5" i="13"/>
  <c r="Z5" i="13"/>
  <c r="AP3" i="20"/>
  <c r="AQ3" i="20" s="1"/>
  <c r="AN38" i="16"/>
  <c r="AU23" i="20"/>
  <c r="O22" i="9"/>
  <c r="K22" i="11" s="1"/>
  <c r="N22" i="9"/>
  <c r="AH24" i="6"/>
  <c r="AG24" i="6"/>
  <c r="AM24" i="6"/>
  <c r="AN24" i="6" s="1"/>
  <c r="AK24" i="6"/>
  <c r="AA16" i="8"/>
  <c r="Z16" i="8"/>
  <c r="Y16" i="8"/>
  <c r="X16" i="8"/>
  <c r="P16" i="8"/>
  <c r="X17" i="8"/>
  <c r="AA17" i="8"/>
  <c r="P17" i="8"/>
  <c r="Y17" i="8"/>
  <c r="Z17" i="8"/>
  <c r="O31" i="9"/>
  <c r="K31" i="11" s="1"/>
  <c r="N31" i="9"/>
  <c r="AH15" i="7"/>
  <c r="AK15" i="7"/>
  <c r="AG15" i="7"/>
  <c r="AM15" i="7"/>
  <c r="AN15" i="7" s="1"/>
  <c r="AH6" i="8"/>
  <c r="AG6" i="8"/>
  <c r="AM6" i="8"/>
  <c r="AN6" i="8" s="1"/>
  <c r="AK6" i="8"/>
  <c r="AI6" i="8"/>
  <c r="AO6" i="8" s="1"/>
  <c r="AA13" i="13"/>
  <c r="Z13" i="13"/>
  <c r="Y13" i="13"/>
  <c r="X13" i="13"/>
  <c r="P13" i="13"/>
  <c r="AU19" i="20"/>
  <c r="AK36" i="14"/>
  <c r="AM36" i="14"/>
  <c r="AN36" i="14" s="1"/>
  <c r="Y29" i="8"/>
  <c r="Z29" i="8"/>
  <c r="X29" i="8"/>
  <c r="P29" i="8"/>
  <c r="AA29" i="8"/>
  <c r="O5" i="14"/>
  <c r="N5" i="14"/>
  <c r="AK29" i="7"/>
  <c r="AI29" i="7"/>
  <c r="AO29" i="7" s="1"/>
  <c r="AH29" i="7"/>
  <c r="AG29" i="7"/>
  <c r="AM27" i="6"/>
  <c r="AN27" i="6" s="1"/>
  <c r="AK27" i="6"/>
  <c r="AI27" i="6"/>
  <c r="AO27" i="6" s="1"/>
  <c r="AH27" i="6"/>
  <c r="AG27" i="6"/>
  <c r="AH5" i="12"/>
  <c r="AK5" i="12"/>
  <c r="AI5" i="12"/>
  <c r="AO5" i="12" s="1"/>
  <c r="AG5" i="12"/>
  <c r="AM5" i="12"/>
  <c r="AN5" i="12" s="1"/>
  <c r="AL12" i="6"/>
  <c r="N16" i="9"/>
  <c r="O16" i="9"/>
  <c r="K16" i="11" s="1"/>
  <c r="AR28" i="6"/>
  <c r="AS10" i="20"/>
  <c r="AO10" i="20"/>
  <c r="AP16" i="20"/>
  <c r="AQ16" i="20" s="1"/>
  <c r="AG17" i="7"/>
  <c r="AK17" i="7"/>
  <c r="AH17" i="7"/>
  <c r="AU28" i="20"/>
  <c r="AK25" i="7"/>
  <c r="AI25" i="7"/>
  <c r="AO25" i="7" s="1"/>
  <c r="AH25" i="7"/>
  <c r="AM25" i="7" s="1"/>
  <c r="AN25" i="7" s="1"/>
  <c r="AG25" i="7"/>
  <c r="AI33" i="7"/>
  <c r="AH33" i="7"/>
  <c r="AG33" i="7"/>
  <c r="AL33" i="7" s="1"/>
  <c r="AM33" i="7"/>
  <c r="AN33" i="7" s="1"/>
  <c r="AK33" i="7"/>
  <c r="AR33" i="7" s="1"/>
  <c r="AK22" i="6"/>
  <c r="AI22" i="6"/>
  <c r="AO22" i="6" s="1"/>
  <c r="AH22" i="6"/>
  <c r="AG22" i="6"/>
  <c r="O13" i="14"/>
  <c r="K13" i="15" s="1"/>
  <c r="N13" i="14"/>
  <c r="AA24" i="8"/>
  <c r="Z24" i="8"/>
  <c r="Y24" i="8"/>
  <c r="X24" i="8"/>
  <c r="P24" i="8"/>
  <c r="N29" i="9"/>
  <c r="O29" i="9"/>
  <c r="K29" i="11" s="1"/>
  <c r="AL23" i="6"/>
  <c r="AP23" i="6"/>
  <c r="AR23" i="6" s="1"/>
  <c r="P24" i="16"/>
  <c r="Z24" i="16"/>
  <c r="Y24" i="16"/>
  <c r="X24" i="16"/>
  <c r="AA24" i="16"/>
  <c r="P13" i="8"/>
  <c r="AA13" i="8"/>
  <c r="Z13" i="8"/>
  <c r="Y13" i="8"/>
  <c r="X13" i="8"/>
  <c r="AK24" i="7"/>
  <c r="AH24" i="7"/>
  <c r="AG24" i="7"/>
  <c r="AK13" i="7"/>
  <c r="AG13" i="7"/>
  <c r="AI13" i="7"/>
  <c r="AO13" i="7" s="1"/>
  <c r="AH13" i="7"/>
  <c r="AM13" i="7" s="1"/>
  <c r="AN13" i="7" s="1"/>
  <c r="AR31" i="6"/>
  <c r="AU10" i="20"/>
  <c r="N24" i="9"/>
  <c r="O24" i="9"/>
  <c r="N24" i="17"/>
  <c r="O24" i="17"/>
  <c r="AO12" i="20"/>
  <c r="AS12" i="20"/>
  <c r="AU12" i="20" s="1"/>
  <c r="AX32" i="20"/>
  <c r="AU32" i="20"/>
  <c r="N13" i="9"/>
  <c r="O13" i="9"/>
  <c r="AH15" i="6"/>
  <c r="AG15" i="6"/>
  <c r="AM15" i="6"/>
  <c r="AN15" i="6" s="1"/>
  <c r="AK15" i="6"/>
  <c r="AP17" i="17"/>
  <c r="AR17" i="17" s="1"/>
  <c r="AL17" i="17"/>
  <c r="AU14" i="20"/>
  <c r="AK19" i="7"/>
  <c r="AI19" i="7"/>
  <c r="AO19" i="7" s="1"/>
  <c r="AH19" i="7"/>
  <c r="AG19" i="7"/>
  <c r="AM19" i="7"/>
  <c r="AN19" i="7" s="1"/>
  <c r="X14" i="9"/>
  <c r="AA14" i="9"/>
  <c r="Z14" i="9"/>
  <c r="Y14" i="9"/>
  <c r="P14" i="9"/>
  <c r="AL19" i="6"/>
  <c r="AP19" i="6"/>
  <c r="AR19" i="6" s="1"/>
  <c r="AL16" i="6"/>
  <c r="AP16" i="6"/>
  <c r="AR16" i="6" s="1"/>
  <c r="Y6" i="9"/>
  <c r="P6" i="9"/>
  <c r="Z6" i="9"/>
  <c r="X6" i="9"/>
  <c r="AA6" i="9"/>
  <c r="AL21" i="6"/>
  <c r="AP21" i="6"/>
  <c r="AR21" i="6" s="1"/>
  <c r="AK25" i="6"/>
  <c r="AI25" i="6"/>
  <c r="AO25" i="6" s="1"/>
  <c r="AH25" i="6"/>
  <c r="AG25" i="6"/>
  <c r="AU29" i="20"/>
  <c r="X25" i="8"/>
  <c r="P25" i="8"/>
  <c r="AA25" i="8"/>
  <c r="Z25" i="8"/>
  <c r="Y25" i="8"/>
  <c r="O6" i="11"/>
  <c r="K6" i="12" s="1"/>
  <c r="N6" i="11"/>
  <c r="AL17" i="15"/>
  <c r="AP17" i="15"/>
  <c r="AM26" i="6"/>
  <c r="AN26" i="6" s="1"/>
  <c r="AG14" i="7"/>
  <c r="AH14" i="7"/>
  <c r="AM14" i="7" s="1"/>
  <c r="AN14" i="7" s="1"/>
  <c r="AK14" i="7"/>
  <c r="AG13" i="12"/>
  <c r="AK13" i="12"/>
  <c r="AH13" i="12"/>
  <c r="AM13" i="12" s="1"/>
  <c r="AN13" i="12" s="1"/>
  <c r="AP12" i="15"/>
  <c r="AL12" i="15"/>
  <c r="AP12" i="20"/>
  <c r="AQ12" i="20" s="1"/>
  <c r="AM34" i="11"/>
  <c r="AN34" i="11" s="1"/>
  <c r="AK34" i="11"/>
  <c r="AK29" i="16"/>
  <c r="AG29" i="16"/>
  <c r="AH29" i="16"/>
  <c r="AM29" i="16" s="1"/>
  <c r="AN29" i="16" s="1"/>
  <c r="AP31" i="20"/>
  <c r="AQ31" i="20" s="1"/>
  <c r="AL29" i="6"/>
  <c r="AK4" i="6"/>
  <c r="AH4" i="6"/>
  <c r="AM4" i="6" s="1"/>
  <c r="AN4" i="6" s="1"/>
  <c r="AG4" i="6"/>
  <c r="Y34" i="12"/>
  <c r="X34" i="12"/>
  <c r="P34" i="12"/>
  <c r="AA34" i="12"/>
  <c r="Z34" i="12"/>
  <c r="AS21" i="20"/>
  <c r="AU21" i="20" s="1"/>
  <c r="AO21" i="20"/>
  <c r="AK20" i="6"/>
  <c r="AI20" i="6"/>
  <c r="AO20" i="6" s="1"/>
  <c r="AH20" i="6"/>
  <c r="AG20" i="6"/>
  <c r="AM20" i="6"/>
  <c r="AN20" i="6" s="1"/>
  <c r="AM29" i="6"/>
  <c r="AN29" i="6" s="1"/>
  <c r="AM14" i="9" l="1"/>
  <c r="AN14" i="9" s="1"/>
  <c r="AK14" i="9"/>
  <c r="AH14" i="9"/>
  <c r="AG14" i="9"/>
  <c r="AA35" i="17"/>
  <c r="Z35" i="17"/>
  <c r="Y35" i="17"/>
  <c r="X35" i="17"/>
  <c r="P35" i="17"/>
  <c r="O32" i="9"/>
  <c r="K32" i="11" s="1"/>
  <c r="N32" i="9"/>
  <c r="AH25" i="8"/>
  <c r="AG25" i="8"/>
  <c r="AE25" i="8"/>
  <c r="AM25" i="8"/>
  <c r="AN25" i="8" s="1"/>
  <c r="AK25" i="8"/>
  <c r="AP6" i="8"/>
  <c r="AL6" i="8"/>
  <c r="AA13" i="9"/>
  <c r="Z13" i="9"/>
  <c r="Y13" i="9"/>
  <c r="X13" i="9"/>
  <c r="P13" i="9"/>
  <c r="AA24" i="9"/>
  <c r="Z24" i="9"/>
  <c r="Y24" i="9"/>
  <c r="X24" i="9"/>
  <c r="P24" i="9"/>
  <c r="O22" i="11"/>
  <c r="K22" i="12" s="1"/>
  <c r="N22" i="11"/>
  <c r="N26" i="11"/>
  <c r="O26" i="11"/>
  <c r="K26" i="12" s="1"/>
  <c r="AM11" i="6"/>
  <c r="AN11" i="6" s="1"/>
  <c r="AM35" i="16"/>
  <c r="AN35" i="16" s="1"/>
  <c r="AK35" i="16"/>
  <c r="Z34" i="13"/>
  <c r="Y34" i="13"/>
  <c r="X34" i="13"/>
  <c r="P34" i="13"/>
  <c r="AA34" i="13"/>
  <c r="Y21" i="9"/>
  <c r="P21" i="9"/>
  <c r="AA21" i="9"/>
  <c r="Z21" i="9"/>
  <c r="X21" i="9"/>
  <c r="AZ32" i="20"/>
  <c r="AO32" i="20"/>
  <c r="AK13" i="13"/>
  <c r="AH13" i="13"/>
  <c r="AG13" i="13"/>
  <c r="AM13" i="13" s="1"/>
  <c r="AN13" i="13" s="1"/>
  <c r="O9" i="11"/>
  <c r="K9" i="12" s="1"/>
  <c r="N9" i="11"/>
  <c r="AP5" i="7"/>
  <c r="AL5" i="7"/>
  <c r="AH7" i="9"/>
  <c r="AM7" i="9" s="1"/>
  <c r="AN7" i="9" s="1"/>
  <c r="AK7" i="9"/>
  <c r="AI7" i="9"/>
  <c r="AO7" i="9" s="1"/>
  <c r="AG7" i="9"/>
  <c r="Z6" i="11"/>
  <c r="Y6" i="11"/>
  <c r="X6" i="11"/>
  <c r="P6" i="11"/>
  <c r="AA6" i="11"/>
  <c r="AP22" i="7"/>
  <c r="AL22" i="7"/>
  <c r="AP12" i="7"/>
  <c r="AL12" i="7"/>
  <c r="AR6" i="7"/>
  <c r="AP18" i="7"/>
  <c r="AR18" i="7" s="1"/>
  <c r="AL18" i="7"/>
  <c r="O18" i="11"/>
  <c r="K18" i="12" s="1"/>
  <c r="N18" i="11"/>
  <c r="AK23" i="8"/>
  <c r="AH23" i="8"/>
  <c r="AG23" i="8"/>
  <c r="AM23" i="8" s="1"/>
  <c r="AN23" i="8" s="1"/>
  <c r="AL20" i="7"/>
  <c r="AP20" i="7"/>
  <c r="AR20" i="7" s="1"/>
  <c r="AK27" i="8"/>
  <c r="AH27" i="8"/>
  <c r="AG27" i="8"/>
  <c r="AM27" i="8"/>
  <c r="AN27" i="8" s="1"/>
  <c r="O4" i="11"/>
  <c r="K4" i="12" s="1"/>
  <c r="N4" i="11"/>
  <c r="AH30" i="7"/>
  <c r="AM30" i="7" s="1"/>
  <c r="AN30" i="7" s="1"/>
  <c r="AG30" i="7"/>
  <c r="AK30" i="7"/>
  <c r="AI30" i="7"/>
  <c r="AO30" i="7" s="1"/>
  <c r="Y15" i="9"/>
  <c r="P15" i="9"/>
  <c r="AA15" i="9"/>
  <c r="Z15" i="9"/>
  <c r="X15" i="9"/>
  <c r="N3" i="11"/>
  <c r="O3" i="11"/>
  <c r="K3" i="12" s="1"/>
  <c r="AL7" i="7"/>
  <c r="AP7" i="7"/>
  <c r="AG3" i="8"/>
  <c r="AK3" i="8"/>
  <c r="AH3" i="8"/>
  <c r="AR32" i="16"/>
  <c r="AU32" i="16"/>
  <c r="AP18" i="6"/>
  <c r="AL18" i="6"/>
  <c r="AH4" i="8"/>
  <c r="AG4" i="8"/>
  <c r="AM4" i="8" s="1"/>
  <c r="AN4" i="8" s="1"/>
  <c r="AK4" i="8"/>
  <c r="O31" i="11"/>
  <c r="K31" i="12" s="1"/>
  <c r="N31" i="11"/>
  <c r="AP27" i="7"/>
  <c r="AR27" i="7" s="1"/>
  <c r="AL27" i="7"/>
  <c r="AK10" i="8"/>
  <c r="AH10" i="8"/>
  <c r="AG10" i="8"/>
  <c r="AM10" i="8"/>
  <c r="AN10" i="8" s="1"/>
  <c r="N8" i="11"/>
  <c r="O8" i="11"/>
  <c r="K8" i="12" s="1"/>
  <c r="AR22" i="7"/>
  <c r="AL28" i="7"/>
  <c r="AP28" i="7"/>
  <c r="AR28" i="7" s="1"/>
  <c r="AH5" i="16"/>
  <c r="AG5" i="16"/>
  <c r="AK5" i="16"/>
  <c r="AI5" i="16"/>
  <c r="AO5" i="16" s="1"/>
  <c r="AP19" i="7"/>
  <c r="AR19" i="7" s="1"/>
  <c r="AL19" i="7"/>
  <c r="AL29" i="7"/>
  <c r="AP29" i="7"/>
  <c r="AI31" i="8"/>
  <c r="AO31" i="8" s="1"/>
  <c r="AK31" i="8"/>
  <c r="AH31" i="8"/>
  <c r="AG31" i="8"/>
  <c r="O28" i="11"/>
  <c r="K28" i="12" s="1"/>
  <c r="N28" i="11"/>
  <c r="AA4" i="9"/>
  <c r="Y4" i="9"/>
  <c r="X4" i="9"/>
  <c r="P4" i="9"/>
  <c r="Z4" i="9"/>
  <c r="AK29" i="8"/>
  <c r="AH29" i="8"/>
  <c r="AG29" i="8"/>
  <c r="AE29" i="8"/>
  <c r="AM29" i="8" s="1"/>
  <c r="AN29" i="8" s="1"/>
  <c r="Y5" i="9"/>
  <c r="AA5" i="9"/>
  <c r="Z5" i="9"/>
  <c r="X5" i="9"/>
  <c r="P5" i="9"/>
  <c r="Y10" i="9"/>
  <c r="P10" i="9"/>
  <c r="AA10" i="9"/>
  <c r="Z10" i="9"/>
  <c r="X10" i="9"/>
  <c r="AP14" i="8"/>
  <c r="AR14" i="8" s="1"/>
  <c r="AL14" i="8"/>
  <c r="AM28" i="7"/>
  <c r="AN28" i="7" s="1"/>
  <c r="AR5" i="7"/>
  <c r="AR21" i="7"/>
  <c r="O15" i="11"/>
  <c r="K15" i="12" s="1"/>
  <c r="N15" i="11"/>
  <c r="AP3" i="7"/>
  <c r="AL3" i="7"/>
  <c r="AN32" i="16"/>
  <c r="AL24" i="7"/>
  <c r="AP24" i="7"/>
  <c r="AR24" i="7" s="1"/>
  <c r="AL5" i="12"/>
  <c r="AP5" i="12"/>
  <c r="AK22" i="8"/>
  <c r="AH22" i="8"/>
  <c r="AG22" i="8"/>
  <c r="AM22" i="8"/>
  <c r="AN22" i="8" s="1"/>
  <c r="AK15" i="8"/>
  <c r="AH15" i="8"/>
  <c r="AM15" i="8" s="1"/>
  <c r="AN15" i="8" s="1"/>
  <c r="AG15" i="8"/>
  <c r="AE15" i="8"/>
  <c r="AR38" i="17"/>
  <c r="AU38" i="17"/>
  <c r="AP11" i="6"/>
  <c r="AR11" i="6" s="1"/>
  <c r="AL11" i="6"/>
  <c r="AA18" i="9"/>
  <c r="X18" i="9"/>
  <c r="P18" i="9"/>
  <c r="Z18" i="9"/>
  <c r="Y18" i="9"/>
  <c r="AR7" i="7"/>
  <c r="AP20" i="6"/>
  <c r="AR20" i="6" s="1"/>
  <c r="AL20" i="6"/>
  <c r="AH6" i="9"/>
  <c r="AK6" i="9"/>
  <c r="AI6" i="9"/>
  <c r="AO6" i="9" s="1"/>
  <c r="AG6" i="9"/>
  <c r="Y13" i="14"/>
  <c r="X13" i="14"/>
  <c r="P13" i="14"/>
  <c r="AA13" i="14"/>
  <c r="Z13" i="14"/>
  <c r="N13" i="15"/>
  <c r="O13" i="15"/>
  <c r="K13" i="16" s="1"/>
  <c r="AP15" i="7"/>
  <c r="AL15" i="7"/>
  <c r="AR24" i="6"/>
  <c r="AK17" i="8"/>
  <c r="AH17" i="8"/>
  <c r="AG17" i="8"/>
  <c r="AM17" i="8"/>
  <c r="AN17" i="8" s="1"/>
  <c r="AP23" i="7"/>
  <c r="AR23" i="7" s="1"/>
  <c r="AL23" i="7"/>
  <c r="O10" i="11"/>
  <c r="K10" i="12" s="1"/>
  <c r="N10" i="11"/>
  <c r="X27" i="9"/>
  <c r="AA27" i="9"/>
  <c r="Z27" i="9"/>
  <c r="Y27" i="9"/>
  <c r="P27" i="9"/>
  <c r="AM5" i="7"/>
  <c r="AN5" i="7" s="1"/>
  <c r="AA11" i="9"/>
  <c r="X11" i="9"/>
  <c r="Z11" i="9"/>
  <c r="Y11" i="9"/>
  <c r="P11" i="9"/>
  <c r="AP26" i="7"/>
  <c r="AR26" i="7" s="1"/>
  <c r="AL26" i="7"/>
  <c r="Z25" i="9"/>
  <c r="P25" i="9"/>
  <c r="AA25" i="9"/>
  <c r="Y25" i="9"/>
  <c r="X25" i="9"/>
  <c r="AM31" i="7"/>
  <c r="AN31" i="7" s="1"/>
  <c r="AP17" i="7"/>
  <c r="AL17" i="7"/>
  <c r="AA22" i="9"/>
  <c r="X22" i="9"/>
  <c r="P22" i="9"/>
  <c r="Z22" i="9"/>
  <c r="Y22" i="9"/>
  <c r="O7" i="12"/>
  <c r="K7" i="13" s="1"/>
  <c r="N7" i="12"/>
  <c r="AW32" i="6"/>
  <c r="AL32" i="6"/>
  <c r="Z28" i="9"/>
  <c r="P28" i="9"/>
  <c r="AA28" i="9"/>
  <c r="Y28" i="9"/>
  <c r="X28" i="9"/>
  <c r="Y5" i="17"/>
  <c r="X5" i="17"/>
  <c r="Z5" i="17"/>
  <c r="AA5" i="17"/>
  <c r="P5" i="17"/>
  <c r="AK5" i="13"/>
  <c r="AI5" i="13"/>
  <c r="AO5" i="13" s="1"/>
  <c r="AH5" i="13"/>
  <c r="AG5" i="13"/>
  <c r="AM20" i="8"/>
  <c r="AN20" i="8" s="1"/>
  <c r="AK20" i="8"/>
  <c r="AH20" i="8"/>
  <c r="AG20" i="8"/>
  <c r="AM18" i="7"/>
  <c r="AN18" i="7" s="1"/>
  <c r="O34" i="14"/>
  <c r="K34" i="15" s="1"/>
  <c r="N34" i="14"/>
  <c r="Y3" i="9"/>
  <c r="AA3" i="9"/>
  <c r="Z3" i="9"/>
  <c r="X3" i="9"/>
  <c r="P3" i="9"/>
  <c r="O21" i="11"/>
  <c r="N21" i="11"/>
  <c r="AR5" i="12"/>
  <c r="N6" i="12"/>
  <c r="O6" i="12"/>
  <c r="K6" i="13" s="1"/>
  <c r="AP15" i="6"/>
  <c r="AR15" i="6" s="1"/>
  <c r="AL15" i="6"/>
  <c r="AL27" i="6"/>
  <c r="AP27" i="6"/>
  <c r="AR27" i="6" s="1"/>
  <c r="AA33" i="9"/>
  <c r="X33" i="9"/>
  <c r="P33" i="9"/>
  <c r="Z33" i="9"/>
  <c r="Y33" i="9"/>
  <c r="AG24" i="16"/>
  <c r="AK24" i="16"/>
  <c r="AH24" i="16"/>
  <c r="AM24" i="16"/>
  <c r="AN24" i="16" s="1"/>
  <c r="AP22" i="6"/>
  <c r="AR22" i="6" s="1"/>
  <c r="AL22" i="6"/>
  <c r="Y16" i="9"/>
  <c r="X16" i="9"/>
  <c r="P16" i="9"/>
  <c r="AA16" i="9"/>
  <c r="Z16" i="9"/>
  <c r="AM29" i="7"/>
  <c r="AN29" i="7" s="1"/>
  <c r="AP24" i="6"/>
  <c r="AL24" i="6"/>
  <c r="O33" i="11"/>
  <c r="K33" i="12" s="1"/>
  <c r="N33" i="11"/>
  <c r="AG26" i="8"/>
  <c r="AK26" i="8"/>
  <c r="AI26" i="8"/>
  <c r="AO26" i="8" s="1"/>
  <c r="AH26" i="8"/>
  <c r="O30" i="9"/>
  <c r="K30" i="11" s="1"/>
  <c r="N30" i="9"/>
  <c r="AL10" i="7"/>
  <c r="AP10" i="7"/>
  <c r="AR10" i="7" s="1"/>
  <c r="O11" i="11"/>
  <c r="K11" i="12" s="1"/>
  <c r="N11" i="11"/>
  <c r="AP11" i="7"/>
  <c r="AL11" i="7"/>
  <c r="AH28" i="8"/>
  <c r="AK28" i="8"/>
  <c r="AG28" i="8"/>
  <c r="AH19" i="8"/>
  <c r="AG19" i="8"/>
  <c r="AE19" i="8"/>
  <c r="AM19" i="8" s="1"/>
  <c r="AN19" i="8" s="1"/>
  <c r="O25" i="11"/>
  <c r="K25" i="12" s="1"/>
  <c r="N25" i="11"/>
  <c r="AP31" i="7"/>
  <c r="AR31" i="7" s="1"/>
  <c r="AL31" i="7"/>
  <c r="AR3" i="7"/>
  <c r="AP9" i="7"/>
  <c r="AR9" i="7" s="1"/>
  <c r="AL9" i="7"/>
  <c r="AM32" i="7"/>
  <c r="AK32" i="7"/>
  <c r="AR18" i="6"/>
  <c r="AA20" i="9"/>
  <c r="Z20" i="9"/>
  <c r="Y20" i="9"/>
  <c r="X20" i="9"/>
  <c r="P20" i="9"/>
  <c r="AI9" i="8"/>
  <c r="AO9" i="8" s="1"/>
  <c r="AH9" i="8"/>
  <c r="AG9" i="8"/>
  <c r="AK9" i="8"/>
  <c r="N19" i="11"/>
  <c r="O19" i="11"/>
  <c r="K19" i="12" s="1"/>
  <c r="AH21" i="8"/>
  <c r="AG21" i="8"/>
  <c r="AM21" i="8" s="1"/>
  <c r="AN21" i="8" s="1"/>
  <c r="AK21" i="8"/>
  <c r="AI21" i="8"/>
  <c r="AO21" i="8" s="1"/>
  <c r="P9" i="9"/>
  <c r="Z9" i="9"/>
  <c r="X9" i="9"/>
  <c r="AA9" i="9"/>
  <c r="Y9" i="9"/>
  <c r="AP5" i="15"/>
  <c r="AL5" i="15"/>
  <c r="AL21" i="7"/>
  <c r="AP21" i="7"/>
  <c r="AR25" i="7"/>
  <c r="Y26" i="9"/>
  <c r="X26" i="9"/>
  <c r="P26" i="9"/>
  <c r="AA26" i="9"/>
  <c r="Z26" i="9"/>
  <c r="AM22" i="7"/>
  <c r="AN22" i="7" s="1"/>
  <c r="AG12" i="8"/>
  <c r="AK12" i="8"/>
  <c r="AH12" i="8"/>
  <c r="AM12" i="8" s="1"/>
  <c r="AN12" i="8" s="1"/>
  <c r="AK11" i="8"/>
  <c r="AI11" i="8"/>
  <c r="AO11" i="8" s="1"/>
  <c r="AH11" i="8"/>
  <c r="AG11" i="8"/>
  <c r="AP13" i="12"/>
  <c r="AR13" i="12" s="1"/>
  <c r="AL13" i="12"/>
  <c r="AL25" i="6"/>
  <c r="AP25" i="6"/>
  <c r="AM34" i="12"/>
  <c r="AN34" i="12" s="1"/>
  <c r="AK34" i="12"/>
  <c r="AQ32" i="20"/>
  <c r="AM24" i="7"/>
  <c r="AN24" i="7" s="1"/>
  <c r="O29" i="11"/>
  <c r="K29" i="12" s="1"/>
  <c r="N29" i="11"/>
  <c r="AL16" i="7"/>
  <c r="AP16" i="7"/>
  <c r="AR16" i="7" s="1"/>
  <c r="AH13" i="8"/>
  <c r="AG13" i="8"/>
  <c r="AM13" i="8" s="1"/>
  <c r="AN13" i="8" s="1"/>
  <c r="AK13" i="8"/>
  <c r="Y29" i="9"/>
  <c r="X29" i="9"/>
  <c r="P29" i="9"/>
  <c r="AA29" i="9"/>
  <c r="Z29" i="9"/>
  <c r="AM22" i="6"/>
  <c r="AN22" i="6" s="1"/>
  <c r="O16" i="11"/>
  <c r="K16" i="12" s="1"/>
  <c r="N16" i="11"/>
  <c r="AR29" i="7"/>
  <c r="AR15" i="7"/>
  <c r="AK8" i="8"/>
  <c r="AH8" i="8"/>
  <c r="AG8" i="8"/>
  <c r="AM8" i="8" s="1"/>
  <c r="AN8" i="8" s="1"/>
  <c r="P12" i="9"/>
  <c r="AA12" i="9"/>
  <c r="Z12" i="9"/>
  <c r="Y12" i="9"/>
  <c r="X12" i="9"/>
  <c r="AK29" i="17"/>
  <c r="AG29" i="17"/>
  <c r="AR25" i="6"/>
  <c r="Z24" i="17"/>
  <c r="Y24" i="17"/>
  <c r="X24" i="17"/>
  <c r="AA24" i="17"/>
  <c r="P24" i="17"/>
  <c r="AR17" i="7"/>
  <c r="AL4" i="7"/>
  <c r="AP4" i="7"/>
  <c r="AR4" i="7" s="1"/>
  <c r="AA17" i="9"/>
  <c r="P17" i="9"/>
  <c r="Y17" i="9"/>
  <c r="X17" i="9"/>
  <c r="Z17" i="9"/>
  <c r="O12" i="11"/>
  <c r="K12" i="12" s="1"/>
  <c r="N12" i="11"/>
  <c r="Z23" i="9"/>
  <c r="Y23" i="9"/>
  <c r="X23" i="9"/>
  <c r="P23" i="9"/>
  <c r="AA23" i="9"/>
  <c r="AK18" i="8"/>
  <c r="AH18" i="8"/>
  <c r="AG18" i="8"/>
  <c r="AM18" i="8" s="1"/>
  <c r="AN18" i="8" s="1"/>
  <c r="AL32" i="15"/>
  <c r="Y14" i="11"/>
  <c r="X14" i="11"/>
  <c r="P14" i="11"/>
  <c r="AA14" i="11"/>
  <c r="Z14" i="11"/>
  <c r="O27" i="11"/>
  <c r="K27" i="12" s="1"/>
  <c r="N27" i="11"/>
  <c r="AL4" i="6"/>
  <c r="AP4" i="6"/>
  <c r="AR4" i="6" s="1"/>
  <c r="AL29" i="16"/>
  <c r="AP29" i="16"/>
  <c r="AR29" i="16" s="1"/>
  <c r="AP14" i="7"/>
  <c r="AR14" i="7" s="1"/>
  <c r="AL14" i="7"/>
  <c r="AM25" i="6"/>
  <c r="AN25" i="6" s="1"/>
  <c r="AL13" i="7"/>
  <c r="AP13" i="7"/>
  <c r="AR13" i="7" s="1"/>
  <c r="AM24" i="8"/>
  <c r="AN24" i="8" s="1"/>
  <c r="AK24" i="8"/>
  <c r="AH24" i="8"/>
  <c r="AG24" i="8"/>
  <c r="AL25" i="7"/>
  <c r="AP25" i="7"/>
  <c r="AM17" i="7"/>
  <c r="AN17" i="7" s="1"/>
  <c r="Y5" i="14"/>
  <c r="X5" i="14"/>
  <c r="P5" i="14"/>
  <c r="AA5" i="14"/>
  <c r="Z5" i="14"/>
  <c r="AR6" i="8"/>
  <c r="Z31" i="9"/>
  <c r="P31" i="9"/>
  <c r="AA31" i="9"/>
  <c r="X31" i="9"/>
  <c r="Y31" i="9"/>
  <c r="AM16" i="8"/>
  <c r="AN16" i="8" s="1"/>
  <c r="AK16" i="8"/>
  <c r="AH16" i="8"/>
  <c r="AG16" i="8"/>
  <c r="AM27" i="7"/>
  <c r="AN27" i="7" s="1"/>
  <c r="O20" i="11"/>
  <c r="K20" i="12" s="1"/>
  <c r="N20" i="11"/>
  <c r="N17" i="11"/>
  <c r="O17" i="11"/>
  <c r="K17" i="12" s="1"/>
  <c r="AR12" i="7"/>
  <c r="AL6" i="7"/>
  <c r="AP6" i="7"/>
  <c r="N23" i="11"/>
  <c r="O23" i="11"/>
  <c r="K23" i="12" s="1"/>
  <c r="AM33" i="8"/>
  <c r="AN33" i="8" s="1"/>
  <c r="AK33" i="8"/>
  <c r="AR33" i="8" s="1"/>
  <c r="AI33" i="8"/>
  <c r="AH33" i="8"/>
  <c r="AG33" i="8"/>
  <c r="Z30" i="8"/>
  <c r="AA30" i="8"/>
  <c r="Y30" i="8"/>
  <c r="X30" i="8"/>
  <c r="P30" i="8"/>
  <c r="AL24" i="15"/>
  <c r="AP24" i="15"/>
  <c r="AR24" i="15" s="1"/>
  <c r="AK5" i="8"/>
  <c r="AI5" i="8"/>
  <c r="AO5" i="8" s="1"/>
  <c r="AH5" i="8"/>
  <c r="AG5" i="8"/>
  <c r="AM5" i="8" s="1"/>
  <c r="AN5" i="8" s="1"/>
  <c r="AM20" i="7"/>
  <c r="AN20" i="7" s="1"/>
  <c r="O14" i="12"/>
  <c r="K14" i="13" s="1"/>
  <c r="N14" i="12"/>
  <c r="AR5" i="15"/>
  <c r="AM32" i="17"/>
  <c r="AK32" i="17"/>
  <c r="AL7" i="8"/>
  <c r="AP7" i="8"/>
  <c r="AR7" i="8" s="1"/>
  <c r="P7" i="11"/>
  <c r="AA7" i="11"/>
  <c r="Z7" i="11"/>
  <c r="Y7" i="11"/>
  <c r="X7" i="11"/>
  <c r="AR11" i="7"/>
  <c r="AM7" i="7"/>
  <c r="AN7" i="7" s="1"/>
  <c r="Z19" i="9"/>
  <c r="Y19" i="9"/>
  <c r="X19" i="9"/>
  <c r="P19" i="9"/>
  <c r="AA19" i="9"/>
  <c r="Z32" i="8"/>
  <c r="Y32" i="8"/>
  <c r="X32" i="8"/>
  <c r="P32" i="8"/>
  <c r="AA32" i="8"/>
  <c r="Y8" i="9"/>
  <c r="P8" i="9"/>
  <c r="AA8" i="9"/>
  <c r="Z8" i="9"/>
  <c r="X8" i="9"/>
  <c r="AA17" i="11" l="1"/>
  <c r="P17" i="11"/>
  <c r="Y17" i="11"/>
  <c r="X17" i="11"/>
  <c r="Z17" i="11"/>
  <c r="AK31" i="9"/>
  <c r="AI31" i="9"/>
  <c r="AO31" i="9" s="1"/>
  <c r="AH31" i="9"/>
  <c r="AM31" i="9" s="1"/>
  <c r="AN31" i="9" s="1"/>
  <c r="AG31" i="9"/>
  <c r="AK11" i="9"/>
  <c r="AI11" i="9"/>
  <c r="AO11" i="9" s="1"/>
  <c r="AH11" i="9"/>
  <c r="AG11" i="9"/>
  <c r="AM11" i="9"/>
  <c r="AN11" i="9" s="1"/>
  <c r="AG10" i="9"/>
  <c r="AK10" i="9"/>
  <c r="AH10" i="9"/>
  <c r="AK23" i="9"/>
  <c r="AH23" i="9"/>
  <c r="AG23" i="9"/>
  <c r="AM23" i="9"/>
  <c r="AN23" i="9" s="1"/>
  <c r="O19" i="12"/>
  <c r="K19" i="13" s="1"/>
  <c r="N19" i="12"/>
  <c r="O4" i="12"/>
  <c r="K4" i="13" s="1"/>
  <c r="N4" i="12"/>
  <c r="P27" i="11"/>
  <c r="AA27" i="11"/>
  <c r="Z27" i="11"/>
  <c r="Y27" i="11"/>
  <c r="X27" i="11"/>
  <c r="AG12" i="9"/>
  <c r="AM12" i="9"/>
  <c r="AN12" i="9" s="1"/>
  <c r="AK12" i="9"/>
  <c r="AH12" i="9"/>
  <c r="AL11" i="8"/>
  <c r="AP11" i="8"/>
  <c r="AP12" i="8"/>
  <c r="AL12" i="8"/>
  <c r="P19" i="11"/>
  <c r="AA19" i="11"/>
  <c r="Z19" i="11"/>
  <c r="Y19" i="11"/>
  <c r="X19" i="11"/>
  <c r="AK19" i="8"/>
  <c r="AA11" i="11"/>
  <c r="Z11" i="11"/>
  <c r="X11" i="11"/>
  <c r="P11" i="11"/>
  <c r="Y11" i="11"/>
  <c r="AK33" i="9"/>
  <c r="AR33" i="9" s="1"/>
  <c r="AI33" i="9"/>
  <c r="AH33" i="9"/>
  <c r="AM33" i="9" s="1"/>
  <c r="AN33" i="9" s="1"/>
  <c r="AG33" i="9"/>
  <c r="X34" i="14"/>
  <c r="Z34" i="14"/>
  <c r="Y34" i="14"/>
  <c r="AA34" i="14"/>
  <c r="P34" i="14"/>
  <c r="AL5" i="13"/>
  <c r="AP5" i="13"/>
  <c r="AI5" i="17"/>
  <c r="AO5" i="17" s="1"/>
  <c r="AH5" i="17"/>
  <c r="AG5" i="17"/>
  <c r="AM5" i="17" s="1"/>
  <c r="AN5" i="17" s="1"/>
  <c r="AK5" i="17"/>
  <c r="AP6" i="9"/>
  <c r="AL6" i="9"/>
  <c r="AL38" i="17"/>
  <c r="AW38" i="17"/>
  <c r="AP22" i="8"/>
  <c r="AL22" i="8"/>
  <c r="O8" i="12"/>
  <c r="K8" i="13" s="1"/>
  <c r="N8" i="12"/>
  <c r="P31" i="11"/>
  <c r="Y31" i="11"/>
  <c r="X31" i="11"/>
  <c r="AA31" i="11"/>
  <c r="Z31" i="11"/>
  <c r="AK6" i="11"/>
  <c r="AI6" i="11"/>
  <c r="AO6" i="11" s="1"/>
  <c r="AH6" i="11"/>
  <c r="AG6" i="11"/>
  <c r="AM6" i="11" s="1"/>
  <c r="AN6" i="11" s="1"/>
  <c r="Y20" i="11"/>
  <c r="X20" i="11"/>
  <c r="P20" i="11"/>
  <c r="AA20" i="11"/>
  <c r="Z20" i="11"/>
  <c r="AL19" i="8"/>
  <c r="AP19" i="8"/>
  <c r="AK13" i="14"/>
  <c r="AH13" i="14"/>
  <c r="AM13" i="14" s="1"/>
  <c r="AN13" i="14" s="1"/>
  <c r="AG13" i="14"/>
  <c r="P23" i="11"/>
  <c r="AA23" i="11"/>
  <c r="Z23" i="11"/>
  <c r="Y23" i="11"/>
  <c r="X23" i="11"/>
  <c r="AR29" i="17"/>
  <c r="AP31" i="8"/>
  <c r="AL31" i="8"/>
  <c r="AR13" i="13"/>
  <c r="AK7" i="11"/>
  <c r="AI7" i="11"/>
  <c r="AO7" i="11" s="1"/>
  <c r="AH7" i="11"/>
  <c r="AG7" i="11"/>
  <c r="AM7" i="11"/>
  <c r="AN7" i="11" s="1"/>
  <c r="AK19" i="9"/>
  <c r="AH19" i="9"/>
  <c r="AM19" i="9" s="1"/>
  <c r="AN19" i="9" s="1"/>
  <c r="AG19" i="9"/>
  <c r="AL33" i="8"/>
  <c r="AL16" i="8"/>
  <c r="AP16" i="8"/>
  <c r="AR16" i="8" s="1"/>
  <c r="O27" i="12"/>
  <c r="K27" i="13" s="1"/>
  <c r="N27" i="12"/>
  <c r="AK29" i="9"/>
  <c r="AH29" i="9"/>
  <c r="AG29" i="9"/>
  <c r="AM29" i="9"/>
  <c r="AN29" i="9" s="1"/>
  <c r="O11" i="12"/>
  <c r="K11" i="13" s="1"/>
  <c r="N11" i="12"/>
  <c r="AA21" i="11"/>
  <c r="Z21" i="11"/>
  <c r="X21" i="11"/>
  <c r="P21" i="11"/>
  <c r="Y21" i="11"/>
  <c r="O34" i="15"/>
  <c r="K34" i="16" s="1"/>
  <c r="N34" i="15"/>
  <c r="O13" i="16"/>
  <c r="K13" i="17" s="1"/>
  <c r="N13" i="16"/>
  <c r="AR31" i="8"/>
  <c r="AA8" i="11"/>
  <c r="Z8" i="11"/>
  <c r="Y8" i="11"/>
  <c r="X8" i="11"/>
  <c r="P8" i="11"/>
  <c r="O31" i="12"/>
  <c r="K31" i="13" s="1"/>
  <c r="N31" i="12"/>
  <c r="AL32" i="16"/>
  <c r="AL27" i="8"/>
  <c r="AP27" i="8"/>
  <c r="AR23" i="8"/>
  <c r="O26" i="12"/>
  <c r="K26" i="13" s="1"/>
  <c r="N26" i="12"/>
  <c r="AP25" i="8"/>
  <c r="AL25" i="8"/>
  <c r="AI5" i="14"/>
  <c r="AO5" i="14" s="1"/>
  <c r="AH5" i="14"/>
  <c r="AG5" i="14"/>
  <c r="AK5" i="14"/>
  <c r="AL29" i="17"/>
  <c r="AP29" i="17"/>
  <c r="O6" i="13"/>
  <c r="K6" i="14" s="1"/>
  <c r="N6" i="13"/>
  <c r="Y10" i="11"/>
  <c r="X10" i="11"/>
  <c r="P10" i="11"/>
  <c r="AA10" i="11"/>
  <c r="Z10" i="11"/>
  <c r="O28" i="12"/>
  <c r="K28" i="13" s="1"/>
  <c r="N28" i="12"/>
  <c r="Y4" i="11"/>
  <c r="P4" i="11"/>
  <c r="AA4" i="11"/>
  <c r="Z4" i="11"/>
  <c r="X4" i="11"/>
  <c r="AH24" i="9"/>
  <c r="AK24" i="9"/>
  <c r="AG24" i="9"/>
  <c r="AM24" i="9" s="1"/>
  <c r="AN24" i="9" s="1"/>
  <c r="AI9" i="9"/>
  <c r="AO9" i="9" s="1"/>
  <c r="AK9" i="9"/>
  <c r="AM9" i="9"/>
  <c r="AN9" i="9" s="1"/>
  <c r="AH9" i="9"/>
  <c r="AG9" i="9"/>
  <c r="Z6" i="12"/>
  <c r="Y6" i="12"/>
  <c r="P6" i="12"/>
  <c r="AA6" i="12"/>
  <c r="X6" i="12"/>
  <c r="AL18" i="8"/>
  <c r="AP18" i="8"/>
  <c r="AM9" i="8"/>
  <c r="AN9" i="8" s="1"/>
  <c r="AP28" i="8"/>
  <c r="AL28" i="8"/>
  <c r="AP26" i="8"/>
  <c r="AR26" i="8" s="1"/>
  <c r="AL26" i="8"/>
  <c r="AH28" i="9"/>
  <c r="AG28" i="9"/>
  <c r="AM28" i="9"/>
  <c r="AN28" i="9" s="1"/>
  <c r="AK28" i="9"/>
  <c r="P7" i="12"/>
  <c r="AA7" i="12"/>
  <c r="Z7" i="12"/>
  <c r="Y7" i="12"/>
  <c r="X7" i="12"/>
  <c r="Y13" i="15"/>
  <c r="P13" i="15"/>
  <c r="AA13" i="15"/>
  <c r="Z13" i="15"/>
  <c r="X13" i="15"/>
  <c r="AR6" i="9"/>
  <c r="AR22" i="8"/>
  <c r="AK4" i="9"/>
  <c r="AH4" i="9"/>
  <c r="AG4" i="9"/>
  <c r="AM31" i="8"/>
  <c r="AN31" i="8" s="1"/>
  <c r="AP5" i="16"/>
  <c r="AR5" i="16" s="1"/>
  <c r="AL5" i="16"/>
  <c r="N3" i="12"/>
  <c r="O3" i="12"/>
  <c r="K3" i="13" s="1"/>
  <c r="X9" i="11"/>
  <c r="AA9" i="11"/>
  <c r="Z9" i="11"/>
  <c r="Y9" i="11"/>
  <c r="P9" i="11"/>
  <c r="AA26" i="11"/>
  <c r="P26" i="11"/>
  <c r="Z26" i="11"/>
  <c r="Y26" i="11"/>
  <c r="X26" i="11"/>
  <c r="AL14" i="9"/>
  <c r="AP14" i="9"/>
  <c r="AR14" i="9" s="1"/>
  <c r="AL5" i="8"/>
  <c r="AP5" i="8"/>
  <c r="AR5" i="8" s="1"/>
  <c r="O23" i="12"/>
  <c r="K23" i="13" s="1"/>
  <c r="N23" i="12"/>
  <c r="N30" i="11"/>
  <c r="O30" i="11"/>
  <c r="K30" i="12" s="1"/>
  <c r="AK35" i="17"/>
  <c r="AM35" i="17"/>
  <c r="AN35" i="17" s="1"/>
  <c r="AU32" i="17"/>
  <c r="AN32" i="17" s="1"/>
  <c r="AR32" i="17"/>
  <c r="AH20" i="9"/>
  <c r="AK20" i="9"/>
  <c r="AG20" i="9"/>
  <c r="O10" i="12"/>
  <c r="K10" i="13" s="1"/>
  <c r="N10" i="12"/>
  <c r="AL23" i="8"/>
  <c r="AP23" i="8"/>
  <c r="P14" i="12"/>
  <c r="AA14" i="12"/>
  <c r="Z14" i="12"/>
  <c r="Y14" i="12"/>
  <c r="X14" i="12"/>
  <c r="P12" i="11"/>
  <c r="AA12" i="11"/>
  <c r="Z12" i="11"/>
  <c r="Y12" i="11"/>
  <c r="X12" i="11"/>
  <c r="N14" i="13"/>
  <c r="O14" i="13"/>
  <c r="K14" i="14" s="1"/>
  <c r="AL24" i="8"/>
  <c r="AP24" i="8"/>
  <c r="O12" i="12"/>
  <c r="K12" i="13" s="1"/>
  <c r="N12" i="12"/>
  <c r="Z16" i="11"/>
  <c r="Y16" i="11"/>
  <c r="X16" i="11"/>
  <c r="P16" i="11"/>
  <c r="AA16" i="11"/>
  <c r="AR11" i="8"/>
  <c r="AP9" i="8"/>
  <c r="AR9" i="8" s="1"/>
  <c r="AL9" i="8"/>
  <c r="Z25" i="11"/>
  <c r="Y25" i="11"/>
  <c r="X25" i="11"/>
  <c r="P25" i="11"/>
  <c r="AA25" i="11"/>
  <c r="AR28" i="8"/>
  <c r="AM26" i="8"/>
  <c r="AN26" i="8" s="1"/>
  <c r="AP24" i="16"/>
  <c r="AR24" i="16" s="1"/>
  <c r="AL24" i="16"/>
  <c r="AR5" i="13"/>
  <c r="O7" i="13"/>
  <c r="K7" i="14" s="1"/>
  <c r="N7" i="13"/>
  <c r="AP17" i="8"/>
  <c r="AL17" i="8"/>
  <c r="AM6" i="9"/>
  <c r="AN6" i="9" s="1"/>
  <c r="AP29" i="8"/>
  <c r="AR29" i="8" s="1"/>
  <c r="AL29" i="8"/>
  <c r="AL10" i="8"/>
  <c r="AP10" i="8"/>
  <c r="AR10" i="8" s="1"/>
  <c r="AA3" i="11"/>
  <c r="Z3" i="11"/>
  <c r="Y3" i="11"/>
  <c r="X3" i="11"/>
  <c r="P3" i="11"/>
  <c r="AR27" i="8"/>
  <c r="Z18" i="11"/>
  <c r="Y18" i="11"/>
  <c r="X18" i="11"/>
  <c r="P18" i="11"/>
  <c r="AA18" i="11"/>
  <c r="AP7" i="9"/>
  <c r="AL7" i="9"/>
  <c r="O9" i="12"/>
  <c r="K9" i="13" s="1"/>
  <c r="N9" i="12"/>
  <c r="AK21" i="9"/>
  <c r="AG21" i="9"/>
  <c r="AM21" i="9" s="1"/>
  <c r="AN21" i="9" s="1"/>
  <c r="AI21" i="9"/>
  <c r="AO21" i="9" s="1"/>
  <c r="AH21" i="9"/>
  <c r="AK34" i="13"/>
  <c r="AM34" i="13"/>
  <c r="AN34" i="13" s="1"/>
  <c r="Z22" i="11"/>
  <c r="Y22" i="11"/>
  <c r="X22" i="11"/>
  <c r="P22" i="11"/>
  <c r="AA22" i="11"/>
  <c r="P32" i="9"/>
  <c r="AA32" i="9"/>
  <c r="Z32" i="9"/>
  <c r="Y32" i="9"/>
  <c r="X32" i="9"/>
  <c r="AK8" i="9"/>
  <c r="AH8" i="9"/>
  <c r="AG8" i="9"/>
  <c r="AM8" i="9"/>
  <c r="AN8" i="9" s="1"/>
  <c r="AR12" i="8"/>
  <c r="AP3" i="8"/>
  <c r="AR3" i="8" s="1"/>
  <c r="AL3" i="8"/>
  <c r="AR25" i="8"/>
  <c r="O20" i="12"/>
  <c r="K20" i="13" s="1"/>
  <c r="N20" i="12"/>
  <c r="AH22" i="9"/>
  <c r="AG22" i="9"/>
  <c r="AM22" i="9" s="1"/>
  <c r="AN22" i="9" s="1"/>
  <c r="AK22" i="9"/>
  <c r="AM32" i="8"/>
  <c r="AK32" i="8"/>
  <c r="O17" i="12"/>
  <c r="K17" i="13" s="1"/>
  <c r="N17" i="12"/>
  <c r="AR18" i="8"/>
  <c r="AM24" i="17"/>
  <c r="AN24" i="17" s="1"/>
  <c r="AK24" i="17"/>
  <c r="AG24" i="17"/>
  <c r="O16" i="12"/>
  <c r="K16" i="13" s="1"/>
  <c r="N16" i="12"/>
  <c r="Z29" i="11"/>
  <c r="Y29" i="11"/>
  <c r="AA29" i="11"/>
  <c r="X29" i="11"/>
  <c r="P29" i="11"/>
  <c r="AM11" i="8"/>
  <c r="AN11" i="8" s="1"/>
  <c r="AU32" i="7"/>
  <c r="AR32" i="7"/>
  <c r="O25" i="12"/>
  <c r="K25" i="13" s="1"/>
  <c r="N25" i="12"/>
  <c r="AM28" i="8"/>
  <c r="AN28" i="8" s="1"/>
  <c r="Z33" i="11"/>
  <c r="Y33" i="11"/>
  <c r="X33" i="11"/>
  <c r="P33" i="11"/>
  <c r="AA33" i="11"/>
  <c r="AK16" i="9"/>
  <c r="AH16" i="9"/>
  <c r="AG16" i="9"/>
  <c r="AM16" i="9"/>
  <c r="AN16" i="9" s="1"/>
  <c r="AG3" i="9"/>
  <c r="AM3" i="9" s="1"/>
  <c r="AN3" i="9" s="1"/>
  <c r="AH3" i="9"/>
  <c r="AK3" i="9"/>
  <c r="AL20" i="8"/>
  <c r="AP20" i="8"/>
  <c r="AR20" i="8" s="1"/>
  <c r="AM5" i="13"/>
  <c r="AN5" i="13" s="1"/>
  <c r="AH25" i="9"/>
  <c r="AG25" i="9"/>
  <c r="AK25" i="9"/>
  <c r="AH18" i="9"/>
  <c r="AG18" i="9"/>
  <c r="AK18" i="9"/>
  <c r="AP15" i="8"/>
  <c r="AR15" i="8" s="1"/>
  <c r="AL15" i="8"/>
  <c r="Z15" i="11"/>
  <c r="Y15" i="11"/>
  <c r="P15" i="11"/>
  <c r="AA15" i="11"/>
  <c r="X15" i="11"/>
  <c r="AH5" i="9"/>
  <c r="AM5" i="9" s="1"/>
  <c r="AN5" i="9" s="1"/>
  <c r="AK5" i="9"/>
  <c r="AI5" i="9"/>
  <c r="AO5" i="9" s="1"/>
  <c r="AG5" i="9"/>
  <c r="AM5" i="16"/>
  <c r="AN5" i="16" s="1"/>
  <c r="AG15" i="9"/>
  <c r="AM15" i="9" s="1"/>
  <c r="AN15" i="9" s="1"/>
  <c r="AH15" i="9"/>
  <c r="AK15" i="9"/>
  <c r="AP30" i="7"/>
  <c r="AR30" i="7" s="1"/>
  <c r="AL30" i="7"/>
  <c r="O18" i="12"/>
  <c r="K18" i="13" s="1"/>
  <c r="N18" i="12"/>
  <c r="AN38" i="17"/>
  <c r="N22" i="12"/>
  <c r="O22" i="12"/>
  <c r="K22" i="13" s="1"/>
  <c r="O32" i="11"/>
  <c r="K32" i="12" s="1"/>
  <c r="N32" i="11"/>
  <c r="AH30" i="8"/>
  <c r="AG30" i="8"/>
  <c r="AK30" i="8"/>
  <c r="AI30" i="8"/>
  <c r="AO30" i="8" s="1"/>
  <c r="AR24" i="8"/>
  <c r="AK14" i="11"/>
  <c r="AG14" i="11"/>
  <c r="AM14" i="11"/>
  <c r="AN14" i="11" s="1"/>
  <c r="AH14" i="11"/>
  <c r="AH17" i="9"/>
  <c r="AG17" i="9"/>
  <c r="AM17" i="9"/>
  <c r="AN17" i="9" s="1"/>
  <c r="AK17" i="9"/>
  <c r="AM29" i="17"/>
  <c r="AN29" i="17" s="1"/>
  <c r="AL8" i="8"/>
  <c r="AP8" i="8"/>
  <c r="AR8" i="8" s="1"/>
  <c r="AP13" i="8"/>
  <c r="AR13" i="8" s="1"/>
  <c r="AL13" i="8"/>
  <c r="O29" i="12"/>
  <c r="K29" i="13" s="1"/>
  <c r="N29" i="12"/>
  <c r="AG26" i="9"/>
  <c r="AK26" i="9"/>
  <c r="AI26" i="9"/>
  <c r="AO26" i="9" s="1"/>
  <c r="AH26" i="9"/>
  <c r="AP21" i="8"/>
  <c r="AR21" i="8" s="1"/>
  <c r="AL21" i="8"/>
  <c r="AN32" i="7"/>
  <c r="P30" i="9"/>
  <c r="AA30" i="9"/>
  <c r="Z30" i="9"/>
  <c r="Y30" i="9"/>
  <c r="X30" i="9"/>
  <c r="N33" i="12"/>
  <c r="O33" i="12"/>
  <c r="K33" i="13" s="1"/>
  <c r="AM27" i="9"/>
  <c r="AN27" i="9" s="1"/>
  <c r="AK27" i="9"/>
  <c r="AH27" i="9"/>
  <c r="AG27" i="9"/>
  <c r="AR17" i="8"/>
  <c r="O15" i="12"/>
  <c r="K15" i="13" s="1"/>
  <c r="N15" i="12"/>
  <c r="X28" i="11"/>
  <c r="AA28" i="11"/>
  <c r="Y28" i="11"/>
  <c r="P28" i="11"/>
  <c r="Z28" i="11"/>
  <c r="AP4" i="8"/>
  <c r="AR4" i="8" s="1"/>
  <c r="AL4" i="8"/>
  <c r="AM3" i="8"/>
  <c r="AN3" i="8" s="1"/>
  <c r="AR7" i="9"/>
  <c r="AL13" i="13"/>
  <c r="AP13" i="13"/>
  <c r="AH13" i="9"/>
  <c r="AK13" i="9"/>
  <c r="AG13" i="9"/>
  <c r="AL25" i="9" l="1"/>
  <c r="AP25" i="9"/>
  <c r="AL13" i="9"/>
  <c r="AP13" i="9"/>
  <c r="O33" i="13"/>
  <c r="K33" i="14" s="1"/>
  <c r="N33" i="13"/>
  <c r="N29" i="13"/>
  <c r="O29" i="13"/>
  <c r="K29" i="14" s="1"/>
  <c r="AL17" i="9"/>
  <c r="AP17" i="9"/>
  <c r="AA22" i="12"/>
  <c r="Z22" i="12"/>
  <c r="Y22" i="12"/>
  <c r="X22" i="12"/>
  <c r="P22" i="12"/>
  <c r="AP16" i="9"/>
  <c r="AL16" i="9"/>
  <c r="O14" i="14"/>
  <c r="K14" i="15" s="1"/>
  <c r="N14" i="14"/>
  <c r="AL20" i="9"/>
  <c r="AP20" i="9"/>
  <c r="O30" i="12"/>
  <c r="K30" i="13" s="1"/>
  <c r="N30" i="12"/>
  <c r="AI26" i="11"/>
  <c r="AO26" i="11" s="1"/>
  <c r="AH26" i="11"/>
  <c r="AK26" i="11"/>
  <c r="AG26" i="11"/>
  <c r="AL4" i="9"/>
  <c r="AP4" i="9"/>
  <c r="O28" i="13"/>
  <c r="K28" i="14" s="1"/>
  <c r="N28" i="13"/>
  <c r="AA31" i="12"/>
  <c r="Z31" i="12"/>
  <c r="Y31" i="12"/>
  <c r="X31" i="12"/>
  <c r="P31" i="12"/>
  <c r="AK34" i="14"/>
  <c r="AR34" i="14" s="1"/>
  <c r="AH34" i="14"/>
  <c r="AL34" i="14" s="1"/>
  <c r="AK11" i="11"/>
  <c r="AI11" i="11"/>
  <c r="AO11" i="11" s="1"/>
  <c r="AH11" i="11"/>
  <c r="AM11" i="11" s="1"/>
  <c r="AN11" i="11" s="1"/>
  <c r="AG11" i="11"/>
  <c r="AP12" i="9"/>
  <c r="AL12" i="9"/>
  <c r="AL23" i="9"/>
  <c r="AP23" i="9"/>
  <c r="AL11" i="9"/>
  <c r="AP11" i="9"/>
  <c r="AL9" i="9"/>
  <c r="AP9" i="9"/>
  <c r="AA26" i="12"/>
  <c r="Z26" i="12"/>
  <c r="Y26" i="12"/>
  <c r="X26" i="12"/>
  <c r="P26" i="12"/>
  <c r="O31" i="13"/>
  <c r="K31" i="14" s="1"/>
  <c r="N31" i="13"/>
  <c r="AI21" i="11"/>
  <c r="AO21" i="11" s="1"/>
  <c r="AH21" i="11"/>
  <c r="AG21" i="11"/>
  <c r="AK21" i="11"/>
  <c r="AP29" i="9"/>
  <c r="AL29" i="9"/>
  <c r="AG31" i="11"/>
  <c r="AK31" i="11"/>
  <c r="AH31" i="11"/>
  <c r="AM31" i="11" s="1"/>
  <c r="AN31" i="11" s="1"/>
  <c r="AI31" i="11"/>
  <c r="AO31" i="11" s="1"/>
  <c r="AP26" i="9"/>
  <c r="AL26" i="9"/>
  <c r="AK3" i="11"/>
  <c r="AH3" i="11"/>
  <c r="AG3" i="11"/>
  <c r="AM3" i="11" s="1"/>
  <c r="AN3" i="11" s="1"/>
  <c r="AL24" i="9"/>
  <c r="AP24" i="9"/>
  <c r="AA6" i="13"/>
  <c r="Z6" i="13"/>
  <c r="Y6" i="13"/>
  <c r="X6" i="13"/>
  <c r="P6" i="13"/>
  <c r="O11" i="13"/>
  <c r="K11" i="14" s="1"/>
  <c r="N11" i="13"/>
  <c r="AL5" i="17"/>
  <c r="AP5" i="17"/>
  <c r="AA29" i="12"/>
  <c r="Z29" i="12"/>
  <c r="Y29" i="12"/>
  <c r="X29" i="12"/>
  <c r="P29" i="12"/>
  <c r="AA28" i="12"/>
  <c r="Z28" i="12"/>
  <c r="Y28" i="12"/>
  <c r="X28" i="12"/>
  <c r="P28" i="12"/>
  <c r="AL15" i="9"/>
  <c r="AP15" i="9"/>
  <c r="AR15" i="9" s="1"/>
  <c r="AM15" i="11"/>
  <c r="AN15" i="11" s="1"/>
  <c r="AH15" i="11"/>
  <c r="AG15" i="11"/>
  <c r="AK15" i="11"/>
  <c r="AP18" i="9"/>
  <c r="AR18" i="9" s="1"/>
  <c r="AL18" i="9"/>
  <c r="AA25" i="12"/>
  <c r="Z25" i="12"/>
  <c r="Y25" i="12"/>
  <c r="X25" i="12"/>
  <c r="P25" i="12"/>
  <c r="Y17" i="12"/>
  <c r="X17" i="12"/>
  <c r="P17" i="12"/>
  <c r="Z17" i="12"/>
  <c r="AA17" i="12"/>
  <c r="AK22" i="11"/>
  <c r="AH22" i="11"/>
  <c r="AG22" i="11"/>
  <c r="AP21" i="9"/>
  <c r="AL21" i="9"/>
  <c r="AK18" i="11"/>
  <c r="AH18" i="11"/>
  <c r="AG18" i="11"/>
  <c r="AM18" i="11"/>
  <c r="AN18" i="11" s="1"/>
  <c r="AA14" i="13"/>
  <c r="Z14" i="13"/>
  <c r="Y14" i="13"/>
  <c r="X14" i="13"/>
  <c r="P14" i="13"/>
  <c r="AR20" i="9"/>
  <c r="AA30" i="11"/>
  <c r="Z30" i="11"/>
  <c r="Y30" i="11"/>
  <c r="P30" i="11"/>
  <c r="X30" i="11"/>
  <c r="AI9" i="11"/>
  <c r="AO9" i="11" s="1"/>
  <c r="AH9" i="11"/>
  <c r="AM9" i="11"/>
  <c r="AN9" i="11" s="1"/>
  <c r="AK9" i="11"/>
  <c r="AG9" i="11"/>
  <c r="AM13" i="9"/>
  <c r="AN13" i="9" s="1"/>
  <c r="O15" i="13"/>
  <c r="K15" i="14" s="1"/>
  <c r="N15" i="13"/>
  <c r="AI30" i="9"/>
  <c r="AO30" i="9" s="1"/>
  <c r="AK30" i="9"/>
  <c r="AH30" i="9"/>
  <c r="AM30" i="9" s="1"/>
  <c r="AN30" i="9" s="1"/>
  <c r="AG30" i="9"/>
  <c r="AP30" i="8"/>
  <c r="AR30" i="8" s="1"/>
  <c r="AL30" i="8"/>
  <c r="AA18" i="12"/>
  <c r="Z18" i="12"/>
  <c r="Y18" i="12"/>
  <c r="X18" i="12"/>
  <c r="P18" i="12"/>
  <c r="AR16" i="9"/>
  <c r="O25" i="13"/>
  <c r="K25" i="14" s="1"/>
  <c r="N25" i="13"/>
  <c r="N17" i="13"/>
  <c r="O17" i="13"/>
  <c r="K17" i="14" s="1"/>
  <c r="P20" i="12"/>
  <c r="AA20" i="12"/>
  <c r="Z20" i="12"/>
  <c r="Y20" i="12"/>
  <c r="X20" i="12"/>
  <c r="AM32" i="9"/>
  <c r="AK32" i="9"/>
  <c r="AR21" i="9"/>
  <c r="Y7" i="13"/>
  <c r="X7" i="13"/>
  <c r="P7" i="13"/>
  <c r="AA7" i="13"/>
  <c r="Z7" i="13"/>
  <c r="AG12" i="11"/>
  <c r="AK12" i="11"/>
  <c r="AH12" i="11"/>
  <c r="AM12" i="11" s="1"/>
  <c r="AN12" i="11" s="1"/>
  <c r="AM20" i="9"/>
  <c r="AN20" i="9" s="1"/>
  <c r="P23" i="12"/>
  <c r="AA23" i="12"/>
  <c r="Z23" i="12"/>
  <c r="Y23" i="12"/>
  <c r="X23" i="12"/>
  <c r="AM4" i="9"/>
  <c r="AN4" i="9" s="1"/>
  <c r="AL28" i="9"/>
  <c r="AP28" i="9"/>
  <c r="AR28" i="9" s="1"/>
  <c r="AH4" i="11"/>
  <c r="AM4" i="11" s="1"/>
  <c r="AN4" i="11" s="1"/>
  <c r="AG4" i="11"/>
  <c r="AK4" i="11"/>
  <c r="N26" i="13"/>
  <c r="O26" i="13"/>
  <c r="K26" i="14" s="1"/>
  <c r="AL19" i="9"/>
  <c r="AP19" i="9"/>
  <c r="AP13" i="14"/>
  <c r="AL13" i="14"/>
  <c r="AL33" i="9"/>
  <c r="AR23" i="9"/>
  <c r="AM17" i="11"/>
  <c r="AN17" i="11" s="1"/>
  <c r="AK17" i="11"/>
  <c r="AH17" i="11"/>
  <c r="AG17" i="11"/>
  <c r="AP22" i="9"/>
  <c r="AL22" i="9"/>
  <c r="X10" i="12"/>
  <c r="P10" i="12"/>
  <c r="AA10" i="12"/>
  <c r="Z10" i="12"/>
  <c r="Y10" i="12"/>
  <c r="AK13" i="15"/>
  <c r="AH13" i="15"/>
  <c r="AG13" i="15"/>
  <c r="AM13" i="15" s="1"/>
  <c r="AN13" i="15" s="1"/>
  <c r="AR12" i="9"/>
  <c r="O10" i="13"/>
  <c r="K10" i="14" s="1"/>
  <c r="N10" i="13"/>
  <c r="AR13" i="9"/>
  <c r="AA33" i="12"/>
  <c r="Z33" i="12"/>
  <c r="Y33" i="12"/>
  <c r="X33" i="12"/>
  <c r="P33" i="12"/>
  <c r="AM30" i="8"/>
  <c r="AN30" i="8" s="1"/>
  <c r="AU32" i="8"/>
  <c r="AR32" i="8"/>
  <c r="O7" i="14"/>
  <c r="K7" i="15" s="1"/>
  <c r="N7" i="14"/>
  <c r="O3" i="13"/>
  <c r="K3" i="14" s="1"/>
  <c r="N3" i="13"/>
  <c r="AH8" i="11"/>
  <c r="AK8" i="11"/>
  <c r="AG8" i="11"/>
  <c r="AR29" i="9"/>
  <c r="AK20" i="11"/>
  <c r="AG20" i="11"/>
  <c r="AH20" i="11"/>
  <c r="AM20" i="11" s="1"/>
  <c r="AN20" i="11" s="1"/>
  <c r="AP6" i="11"/>
  <c r="AL6" i="11"/>
  <c r="AA4" i="12"/>
  <c r="X4" i="12"/>
  <c r="P4" i="12"/>
  <c r="Z4" i="12"/>
  <c r="Y4" i="12"/>
  <c r="AR11" i="9"/>
  <c r="AR17" i="9"/>
  <c r="O34" i="16"/>
  <c r="K34" i="17" s="1"/>
  <c r="N34" i="16"/>
  <c r="AR6" i="11"/>
  <c r="N19" i="13"/>
  <c r="O19" i="13"/>
  <c r="K19" i="14" s="1"/>
  <c r="O22" i="13"/>
  <c r="K22" i="14" s="1"/>
  <c r="N22" i="13"/>
  <c r="O6" i="14"/>
  <c r="K6" i="15" s="1"/>
  <c r="N6" i="14"/>
  <c r="AL7" i="11"/>
  <c r="AP7" i="11"/>
  <c r="AR7" i="11" s="1"/>
  <c r="X15" i="12"/>
  <c r="P15" i="12"/>
  <c r="AA15" i="12"/>
  <c r="Z15" i="12"/>
  <c r="Y15" i="12"/>
  <c r="AM18" i="9"/>
  <c r="AN18" i="9" s="1"/>
  <c r="AA16" i="12"/>
  <c r="Z16" i="12"/>
  <c r="Y16" i="12"/>
  <c r="X16" i="12"/>
  <c r="P16" i="12"/>
  <c r="N23" i="13"/>
  <c r="O23" i="13"/>
  <c r="K23" i="14" s="1"/>
  <c r="AR4" i="9"/>
  <c r="AR19" i="8"/>
  <c r="AP5" i="9"/>
  <c r="AR5" i="9" s="1"/>
  <c r="AL5" i="9"/>
  <c r="AR25" i="9"/>
  <c r="AW32" i="7"/>
  <c r="AL32" i="7"/>
  <c r="O16" i="13"/>
  <c r="K16" i="14" s="1"/>
  <c r="N16" i="13"/>
  <c r="AN32" i="8"/>
  <c r="O9" i="13"/>
  <c r="K9" i="14" s="1"/>
  <c r="N9" i="13"/>
  <c r="P3" i="12"/>
  <c r="AA3" i="12"/>
  <c r="Z3" i="12"/>
  <c r="Y3" i="12"/>
  <c r="X3" i="12"/>
  <c r="AM6" i="12"/>
  <c r="AN6" i="12" s="1"/>
  <c r="AK6" i="12"/>
  <c r="AI6" i="12"/>
  <c r="AO6" i="12" s="1"/>
  <c r="AG6" i="12"/>
  <c r="AH6" i="12"/>
  <c r="AR9" i="9"/>
  <c r="AK10" i="11"/>
  <c r="AG10" i="11"/>
  <c r="AM10" i="11" s="1"/>
  <c r="AN10" i="11" s="1"/>
  <c r="AH10" i="11"/>
  <c r="AP5" i="14"/>
  <c r="AR5" i="14" s="1"/>
  <c r="AL5" i="14"/>
  <c r="O13" i="17"/>
  <c r="N13" i="17"/>
  <c r="Y27" i="12"/>
  <c r="X27" i="12"/>
  <c r="P27" i="12"/>
  <c r="AA27" i="12"/>
  <c r="Z27" i="12"/>
  <c r="AR19" i="9"/>
  <c r="AH23" i="11"/>
  <c r="AG23" i="11"/>
  <c r="AM23" i="11"/>
  <c r="AN23" i="11" s="1"/>
  <c r="AK23" i="11"/>
  <c r="AR13" i="14"/>
  <c r="Z8" i="12"/>
  <c r="Y8" i="12"/>
  <c r="X8" i="12"/>
  <c r="P8" i="12"/>
  <c r="AA8" i="12"/>
  <c r="AH19" i="11"/>
  <c r="AG19" i="11"/>
  <c r="AM19" i="11" s="1"/>
  <c r="AN19" i="11" s="1"/>
  <c r="AK19" i="11"/>
  <c r="O4" i="13"/>
  <c r="K4" i="14" s="1"/>
  <c r="N4" i="13"/>
  <c r="AR10" i="9"/>
  <c r="O32" i="12"/>
  <c r="K32" i="13" s="1"/>
  <c r="N32" i="12"/>
  <c r="AP3" i="9"/>
  <c r="AR3" i="9" s="1"/>
  <c r="AL3" i="9"/>
  <c r="AL10" i="9"/>
  <c r="AP10" i="9"/>
  <c r="AH28" i="11"/>
  <c r="AK28" i="11"/>
  <c r="AG28" i="11"/>
  <c r="AM28" i="11"/>
  <c r="AN28" i="11" s="1"/>
  <c r="AK29" i="11"/>
  <c r="AH29" i="11"/>
  <c r="AG29" i="11"/>
  <c r="AM29" i="11" s="1"/>
  <c r="AN29" i="11" s="1"/>
  <c r="AP8" i="9"/>
  <c r="AR8" i="9" s="1"/>
  <c r="AL8" i="9"/>
  <c r="AH14" i="12"/>
  <c r="AG14" i="12"/>
  <c r="AM14" i="12" s="1"/>
  <c r="AN14" i="12" s="1"/>
  <c r="AK14" i="12"/>
  <c r="AR24" i="9"/>
  <c r="O18" i="13"/>
  <c r="K18" i="14" s="1"/>
  <c r="N18" i="13"/>
  <c r="O20" i="13"/>
  <c r="K20" i="14" s="1"/>
  <c r="N20" i="13"/>
  <c r="AA9" i="12"/>
  <c r="Z9" i="12"/>
  <c r="Y9" i="12"/>
  <c r="X9" i="12"/>
  <c r="P9" i="12"/>
  <c r="AK25" i="11"/>
  <c r="AH25" i="11"/>
  <c r="AG25" i="11"/>
  <c r="AM25" i="11"/>
  <c r="AN25" i="11" s="1"/>
  <c r="AA12" i="12"/>
  <c r="Z12" i="12"/>
  <c r="Y12" i="12"/>
  <c r="X12" i="12"/>
  <c r="P12" i="12"/>
  <c r="AI7" i="12"/>
  <c r="AO7" i="12" s="1"/>
  <c r="AH7" i="12"/>
  <c r="AG7" i="12"/>
  <c r="AM7" i="12" s="1"/>
  <c r="AN7" i="12" s="1"/>
  <c r="AK7" i="12"/>
  <c r="AM5" i="14"/>
  <c r="AN5" i="14" s="1"/>
  <c r="Z13" i="16"/>
  <c r="Y13" i="16"/>
  <c r="X13" i="16"/>
  <c r="P13" i="16"/>
  <c r="AA13" i="16"/>
  <c r="AL27" i="9"/>
  <c r="AP27" i="9"/>
  <c r="AR27" i="9" s="1"/>
  <c r="AR26" i="9"/>
  <c r="AP14" i="11"/>
  <c r="AL14" i="11"/>
  <c r="AM26" i="9"/>
  <c r="AN26" i="9" s="1"/>
  <c r="AR14" i="11"/>
  <c r="Z32" i="11"/>
  <c r="X32" i="11"/>
  <c r="P32" i="11"/>
  <c r="AA32" i="11"/>
  <c r="Y32" i="11"/>
  <c r="AM25" i="9"/>
  <c r="AN25" i="9" s="1"/>
  <c r="AH33" i="11"/>
  <c r="AK33" i="11"/>
  <c r="AR33" i="11" s="1"/>
  <c r="AI33" i="11"/>
  <c r="AM33" i="11" s="1"/>
  <c r="AN33" i="11" s="1"/>
  <c r="AG33" i="11"/>
  <c r="AL24" i="17"/>
  <c r="AP24" i="17"/>
  <c r="AR24" i="17" s="1"/>
  <c r="AR22" i="9"/>
  <c r="AG16" i="11"/>
  <c r="AK16" i="11"/>
  <c r="AH16" i="11"/>
  <c r="AM16" i="11" s="1"/>
  <c r="AN16" i="11" s="1"/>
  <c r="AL32" i="17"/>
  <c r="P34" i="15"/>
  <c r="AA34" i="15"/>
  <c r="Z34" i="15"/>
  <c r="Y34" i="15"/>
  <c r="X34" i="15"/>
  <c r="Z11" i="12"/>
  <c r="Y11" i="12"/>
  <c r="X11" i="12"/>
  <c r="P11" i="12"/>
  <c r="AA11" i="12"/>
  <c r="O27" i="13"/>
  <c r="K27" i="14" s="1"/>
  <c r="N27" i="13"/>
  <c r="O8" i="13"/>
  <c r="N8" i="13"/>
  <c r="AR5" i="17"/>
  <c r="AG27" i="11"/>
  <c r="AM27" i="11" s="1"/>
  <c r="AN27" i="11" s="1"/>
  <c r="AH27" i="11"/>
  <c r="AK27" i="11"/>
  <c r="AA19" i="12"/>
  <c r="Z19" i="12"/>
  <c r="Y19" i="12"/>
  <c r="X19" i="12"/>
  <c r="P19" i="12"/>
  <c r="AM10" i="9"/>
  <c r="AN10" i="9" s="1"/>
  <c r="AP31" i="9"/>
  <c r="AR31" i="9" s="1"/>
  <c r="AL31" i="9"/>
  <c r="P32" i="12" l="1"/>
  <c r="AA32" i="12"/>
  <c r="Z32" i="12"/>
  <c r="Y32" i="12"/>
  <c r="X32" i="12"/>
  <c r="AK27" i="12"/>
  <c r="AH27" i="12"/>
  <c r="AG27" i="12"/>
  <c r="N11" i="14"/>
  <c r="O11" i="14"/>
  <c r="K11" i="15" s="1"/>
  <c r="AA8" i="13"/>
  <c r="Z8" i="13"/>
  <c r="Y8" i="13"/>
  <c r="X8" i="13"/>
  <c r="P8" i="13"/>
  <c r="AK32" i="11"/>
  <c r="AM32" i="11"/>
  <c r="AK15" i="12"/>
  <c r="AH15" i="12"/>
  <c r="AG15" i="12"/>
  <c r="AM15" i="12"/>
  <c r="AN15" i="12" s="1"/>
  <c r="AA19" i="13"/>
  <c r="Z19" i="13"/>
  <c r="Y19" i="13"/>
  <c r="X19" i="13"/>
  <c r="P19" i="13"/>
  <c r="AA7" i="14"/>
  <c r="Z7" i="14"/>
  <c r="Y7" i="14"/>
  <c r="X7" i="14"/>
  <c r="P7" i="14"/>
  <c r="O10" i="14"/>
  <c r="K10" i="15" s="1"/>
  <c r="N10" i="14"/>
  <c r="AK10" i="12"/>
  <c r="AH10" i="12"/>
  <c r="AG10" i="12"/>
  <c r="AM10" i="12" s="1"/>
  <c r="AN10" i="12" s="1"/>
  <c r="AL22" i="11"/>
  <c r="AP22" i="11"/>
  <c r="AR22" i="11" s="1"/>
  <c r="AM25" i="12"/>
  <c r="AN25" i="12" s="1"/>
  <c r="AK25" i="12"/>
  <c r="AH25" i="12"/>
  <c r="AG25" i="12"/>
  <c r="AA11" i="13"/>
  <c r="Z11" i="13"/>
  <c r="Y11" i="13"/>
  <c r="X11" i="13"/>
  <c r="P11" i="13"/>
  <c r="AP26" i="11"/>
  <c r="AR26" i="11" s="1"/>
  <c r="AL26" i="11"/>
  <c r="AK22" i="12"/>
  <c r="AH22" i="12"/>
  <c r="AG22" i="12"/>
  <c r="X29" i="13"/>
  <c r="AA29" i="13"/>
  <c r="Z29" i="13"/>
  <c r="Y29" i="13"/>
  <c r="P29" i="13"/>
  <c r="AH34" i="15"/>
  <c r="AM34" i="15" s="1"/>
  <c r="AN34" i="15" s="1"/>
  <c r="AG34" i="15"/>
  <c r="AI34" i="15"/>
  <c r="AO34" i="15" s="1"/>
  <c r="AK34" i="15"/>
  <c r="AP7" i="12"/>
  <c r="AL7" i="12"/>
  <c r="Z16" i="13"/>
  <c r="Y16" i="13"/>
  <c r="X16" i="13"/>
  <c r="P16" i="13"/>
  <c r="AA16" i="13"/>
  <c r="Z20" i="13"/>
  <c r="P20" i="13"/>
  <c r="X20" i="13"/>
  <c r="AA20" i="13"/>
  <c r="Y20" i="13"/>
  <c r="O16" i="14"/>
  <c r="K16" i="15" s="1"/>
  <c r="N16" i="14"/>
  <c r="P34" i="16"/>
  <c r="AA34" i="16"/>
  <c r="Z34" i="16"/>
  <c r="Y34" i="16"/>
  <c r="X34" i="16"/>
  <c r="AL8" i="11"/>
  <c r="AP8" i="11"/>
  <c r="O26" i="14"/>
  <c r="K26" i="15" s="1"/>
  <c r="N26" i="14"/>
  <c r="AL18" i="11"/>
  <c r="AP18" i="11"/>
  <c r="AR18" i="11" s="1"/>
  <c r="AM29" i="12"/>
  <c r="AN29" i="12" s="1"/>
  <c r="AK29" i="12"/>
  <c r="AH29" i="12"/>
  <c r="AG29" i="12"/>
  <c r="AL21" i="11"/>
  <c r="AP21" i="11"/>
  <c r="O14" i="15"/>
  <c r="K14" i="16" s="1"/>
  <c r="N14" i="15"/>
  <c r="N33" i="14"/>
  <c r="O33" i="14"/>
  <c r="K33" i="15" s="1"/>
  <c r="AP19" i="11"/>
  <c r="AL19" i="11"/>
  <c r="AH3" i="12"/>
  <c r="AM3" i="12" s="1"/>
  <c r="AN3" i="12" s="1"/>
  <c r="AK3" i="12"/>
  <c r="AG3" i="12"/>
  <c r="AH26" i="12"/>
  <c r="AG26" i="12"/>
  <c r="AK26" i="12"/>
  <c r="AI26" i="12"/>
  <c r="AO26" i="12" s="1"/>
  <c r="Z33" i="13"/>
  <c r="Y33" i="13"/>
  <c r="X33" i="13"/>
  <c r="AA33" i="13"/>
  <c r="P33" i="13"/>
  <c r="AP16" i="11"/>
  <c r="AR16" i="11" s="1"/>
  <c r="AL16" i="11"/>
  <c r="AK13" i="16"/>
  <c r="AH13" i="16"/>
  <c r="AG13" i="16"/>
  <c r="AM13" i="16" s="1"/>
  <c r="AN13" i="16" s="1"/>
  <c r="N20" i="14"/>
  <c r="O20" i="14"/>
  <c r="K20" i="15" s="1"/>
  <c r="AP23" i="11"/>
  <c r="AL23" i="11"/>
  <c r="Y13" i="17"/>
  <c r="X13" i="17"/>
  <c r="AA13" i="17"/>
  <c r="Z13" i="17"/>
  <c r="P13" i="17"/>
  <c r="Z6" i="14"/>
  <c r="Y6" i="14"/>
  <c r="X6" i="14"/>
  <c r="P6" i="14"/>
  <c r="AA6" i="14"/>
  <c r="O34" i="17"/>
  <c r="N34" i="17"/>
  <c r="AR8" i="11"/>
  <c r="AW32" i="8"/>
  <c r="AL32" i="8"/>
  <c r="AA26" i="13"/>
  <c r="Z26" i="13"/>
  <c r="Y26" i="13"/>
  <c r="X26" i="13"/>
  <c r="P26" i="13"/>
  <c r="O17" i="14"/>
  <c r="N17" i="14"/>
  <c r="AG14" i="13"/>
  <c r="AK14" i="13"/>
  <c r="AH14" i="13"/>
  <c r="AM14" i="13" s="1"/>
  <c r="AN14" i="13" s="1"/>
  <c r="AH6" i="13"/>
  <c r="AG6" i="13"/>
  <c r="AM6" i="13" s="1"/>
  <c r="AN6" i="13" s="1"/>
  <c r="AK6" i="13"/>
  <c r="AI6" i="13"/>
  <c r="AO6" i="13" s="1"/>
  <c r="P28" i="13"/>
  <c r="Z28" i="13"/>
  <c r="Y28" i="13"/>
  <c r="AA28" i="13"/>
  <c r="X28" i="13"/>
  <c r="N7" i="15"/>
  <c r="O7" i="15"/>
  <c r="K7" i="16" s="1"/>
  <c r="AK7" i="13"/>
  <c r="AI7" i="13"/>
  <c r="AO7" i="13" s="1"/>
  <c r="AH7" i="13"/>
  <c r="AG7" i="13"/>
  <c r="AL25" i="11"/>
  <c r="AP25" i="11"/>
  <c r="AR25" i="11" s="1"/>
  <c r="AL28" i="11"/>
  <c r="AP28" i="11"/>
  <c r="AR28" i="11" s="1"/>
  <c r="O27" i="14"/>
  <c r="K27" i="15" s="1"/>
  <c r="N27" i="14"/>
  <c r="Z18" i="13"/>
  <c r="Y18" i="13"/>
  <c r="X18" i="13"/>
  <c r="P18" i="13"/>
  <c r="AA18" i="13"/>
  <c r="P4" i="13"/>
  <c r="AA4" i="13"/>
  <c r="Z4" i="13"/>
  <c r="Y4" i="13"/>
  <c r="X4" i="13"/>
  <c r="O23" i="14"/>
  <c r="K23" i="15" s="1"/>
  <c r="N23" i="14"/>
  <c r="O6" i="15"/>
  <c r="K6" i="16" s="1"/>
  <c r="N6" i="15"/>
  <c r="AM8" i="11"/>
  <c r="AN8" i="11" s="1"/>
  <c r="AG23" i="12"/>
  <c r="AK23" i="12"/>
  <c r="AH23" i="12"/>
  <c r="AM23" i="12" s="1"/>
  <c r="AN23" i="12" s="1"/>
  <c r="AU32" i="9"/>
  <c r="AR32" i="9"/>
  <c r="X17" i="13"/>
  <c r="P17" i="13"/>
  <c r="Z17" i="13"/>
  <c r="AA17" i="13"/>
  <c r="Y17" i="13"/>
  <c r="P15" i="13"/>
  <c r="AA15" i="13"/>
  <c r="Z15" i="13"/>
  <c r="Y15" i="13"/>
  <c r="X15" i="13"/>
  <c r="AI30" i="11"/>
  <c r="AO30" i="11" s="1"/>
  <c r="AH30" i="11"/>
  <c r="AG30" i="11"/>
  <c r="AK30" i="11"/>
  <c r="O28" i="14"/>
  <c r="K28" i="15" s="1"/>
  <c r="N28" i="14"/>
  <c r="AM26" i="11"/>
  <c r="AN26" i="11" s="1"/>
  <c r="AP14" i="12"/>
  <c r="AL14" i="12"/>
  <c r="AL10" i="11"/>
  <c r="AP10" i="11"/>
  <c r="AR10" i="11" s="1"/>
  <c r="AK4" i="12"/>
  <c r="AH4" i="12"/>
  <c r="AG4" i="12"/>
  <c r="AM4" i="12"/>
  <c r="AN4" i="12" s="1"/>
  <c r="AP13" i="15"/>
  <c r="AR13" i="15" s="1"/>
  <c r="AL13" i="15"/>
  <c r="AL3" i="11"/>
  <c r="AP3" i="11"/>
  <c r="AR3" i="11" s="1"/>
  <c r="O32" i="13"/>
  <c r="K32" i="14" s="1"/>
  <c r="N32" i="13"/>
  <c r="AM12" i="12"/>
  <c r="AN12" i="12" s="1"/>
  <c r="AK12" i="12"/>
  <c r="AH12" i="12"/>
  <c r="AG12" i="12"/>
  <c r="O18" i="14"/>
  <c r="K18" i="15" s="1"/>
  <c r="N18" i="14"/>
  <c r="O4" i="14"/>
  <c r="K4" i="15" s="1"/>
  <c r="N4" i="14"/>
  <c r="AM8" i="12"/>
  <c r="AN8" i="12" s="1"/>
  <c r="AK8" i="12"/>
  <c r="AH8" i="12"/>
  <c r="AG8" i="12"/>
  <c r="AP6" i="12"/>
  <c r="AR6" i="12" s="1"/>
  <c r="AL6" i="12"/>
  <c r="X23" i="13"/>
  <c r="Y23" i="13"/>
  <c r="P23" i="13"/>
  <c r="AA23" i="13"/>
  <c r="Z23" i="13"/>
  <c r="P22" i="13"/>
  <c r="Z22" i="13"/>
  <c r="Y22" i="13"/>
  <c r="X22" i="13"/>
  <c r="AA22" i="13"/>
  <c r="AP17" i="11"/>
  <c r="AL17" i="11"/>
  <c r="AR4" i="11"/>
  <c r="AP12" i="11"/>
  <c r="AR12" i="11" s="1"/>
  <c r="AL12" i="11"/>
  <c r="AN32" i="9"/>
  <c r="Y25" i="13"/>
  <c r="AA25" i="13"/>
  <c r="Z25" i="13"/>
  <c r="X25" i="13"/>
  <c r="P25" i="13"/>
  <c r="O15" i="14"/>
  <c r="K15" i="15" s="1"/>
  <c r="N15" i="14"/>
  <c r="AK17" i="12"/>
  <c r="AH17" i="12"/>
  <c r="AG17" i="12"/>
  <c r="AK28" i="12"/>
  <c r="AH28" i="12"/>
  <c r="AG28" i="12"/>
  <c r="AR31" i="11"/>
  <c r="AM21" i="11"/>
  <c r="AN21" i="11" s="1"/>
  <c r="AM34" i="14"/>
  <c r="AN34" i="14" s="1"/>
  <c r="P30" i="12"/>
  <c r="AA30" i="12"/>
  <c r="Z30" i="12"/>
  <c r="Y30" i="12"/>
  <c r="X30" i="12"/>
  <c r="X9" i="13"/>
  <c r="P9" i="13"/>
  <c r="AA9" i="13"/>
  <c r="Z9" i="13"/>
  <c r="Y9" i="13"/>
  <c r="O22" i="14"/>
  <c r="K22" i="15" s="1"/>
  <c r="N22" i="14"/>
  <c r="AA3" i="13"/>
  <c r="Z3" i="13"/>
  <c r="Y3" i="13"/>
  <c r="X3" i="13"/>
  <c r="P3" i="13"/>
  <c r="AG33" i="12"/>
  <c r="AM33" i="12" s="1"/>
  <c r="AN33" i="12" s="1"/>
  <c r="AK33" i="12"/>
  <c r="AR33" i="12" s="1"/>
  <c r="AI33" i="12"/>
  <c r="AH33" i="12"/>
  <c r="AH20" i="12"/>
  <c r="AM20" i="12" s="1"/>
  <c r="AN20" i="12" s="1"/>
  <c r="AG20" i="12"/>
  <c r="AK20" i="12"/>
  <c r="O25" i="14"/>
  <c r="K25" i="15" s="1"/>
  <c r="N25" i="14"/>
  <c r="AP31" i="11"/>
  <c r="AL31" i="11"/>
  <c r="P31" i="13"/>
  <c r="Z31" i="13"/>
  <c r="Y31" i="13"/>
  <c r="AA31" i="13"/>
  <c r="X31" i="13"/>
  <c r="O30" i="13"/>
  <c r="K30" i="14" s="1"/>
  <c r="N30" i="13"/>
  <c r="AR23" i="11"/>
  <c r="AK18" i="12"/>
  <c r="AH18" i="12"/>
  <c r="AG18" i="12"/>
  <c r="AM18" i="12" s="1"/>
  <c r="AN18" i="12" s="1"/>
  <c r="AR21" i="11"/>
  <c r="Z14" i="14"/>
  <c r="Y14" i="14"/>
  <c r="X14" i="14"/>
  <c r="P14" i="14"/>
  <c r="AA14" i="14"/>
  <c r="AA27" i="13"/>
  <c r="X27" i="13"/>
  <c r="P27" i="13"/>
  <c r="Z27" i="13"/>
  <c r="Y27" i="13"/>
  <c r="AP27" i="11"/>
  <c r="AR27" i="11" s="1"/>
  <c r="AL27" i="11"/>
  <c r="AK11" i="12"/>
  <c r="AI11" i="12"/>
  <c r="AO11" i="12" s="1"/>
  <c r="AH11" i="12"/>
  <c r="AM11" i="12" s="1"/>
  <c r="AN11" i="12" s="1"/>
  <c r="AG11" i="12"/>
  <c r="AH9" i="12"/>
  <c r="AG9" i="12"/>
  <c r="AM9" i="12" s="1"/>
  <c r="AN9" i="12" s="1"/>
  <c r="AK9" i="12"/>
  <c r="AI9" i="12"/>
  <c r="AO9" i="12" s="1"/>
  <c r="AL29" i="11"/>
  <c r="AP29" i="11"/>
  <c r="AR29" i="11" s="1"/>
  <c r="AK19" i="12"/>
  <c r="AH19" i="12"/>
  <c r="AG19" i="12"/>
  <c r="AL33" i="11"/>
  <c r="AR7" i="12"/>
  <c r="AR14" i="12"/>
  <c r="AR19" i="11"/>
  <c r="O9" i="14"/>
  <c r="K9" i="15" s="1"/>
  <c r="N9" i="14"/>
  <c r="AK16" i="12"/>
  <c r="AH16" i="12"/>
  <c r="AG16" i="12"/>
  <c r="AM16" i="12" s="1"/>
  <c r="AN16" i="12" s="1"/>
  <c r="N19" i="14"/>
  <c r="O19" i="14"/>
  <c r="K19" i="15" s="1"/>
  <c r="AP20" i="11"/>
  <c r="AR20" i="11" s="1"/>
  <c r="AL20" i="11"/>
  <c r="O3" i="14"/>
  <c r="K3" i="15" s="1"/>
  <c r="N3" i="14"/>
  <c r="AA10" i="13"/>
  <c r="Z10" i="13"/>
  <c r="Y10" i="13"/>
  <c r="X10" i="13"/>
  <c r="P10" i="13"/>
  <c r="AR17" i="11"/>
  <c r="AL4" i="11"/>
  <c r="AP4" i="11"/>
  <c r="AL30" i="9"/>
  <c r="AP30" i="9"/>
  <c r="AR30" i="9" s="1"/>
  <c r="AL9" i="11"/>
  <c r="AP9" i="11"/>
  <c r="AR9" i="11" s="1"/>
  <c r="AM22" i="11"/>
  <c r="AN22" i="11" s="1"/>
  <c r="AL15" i="11"/>
  <c r="AP15" i="11"/>
  <c r="AR15" i="11" s="1"/>
  <c r="O31" i="14"/>
  <c r="K31" i="15" s="1"/>
  <c r="N31" i="14"/>
  <c r="AL11" i="11"/>
  <c r="AP11" i="11"/>
  <c r="AR11" i="11" s="1"/>
  <c r="AK31" i="12"/>
  <c r="AI31" i="12"/>
  <c r="AO31" i="12" s="1"/>
  <c r="AH31" i="12"/>
  <c r="AG31" i="12"/>
  <c r="O29" i="14"/>
  <c r="N29" i="14"/>
  <c r="Y19" i="14" l="1"/>
  <c r="AA19" i="14"/>
  <c r="Z19" i="14"/>
  <c r="X19" i="14"/>
  <c r="P19" i="14"/>
  <c r="AI31" i="13"/>
  <c r="AO31" i="13" s="1"/>
  <c r="AH31" i="13"/>
  <c r="AM31" i="13" s="1"/>
  <c r="AN31" i="13" s="1"/>
  <c r="AK31" i="13"/>
  <c r="AG31" i="13"/>
  <c r="AA25" i="14"/>
  <c r="Z25" i="14"/>
  <c r="Y25" i="14"/>
  <c r="X25" i="14"/>
  <c r="P25" i="14"/>
  <c r="AL17" i="12"/>
  <c r="AP17" i="12"/>
  <c r="AR17" i="12" s="1"/>
  <c r="AL30" i="11"/>
  <c r="AP30" i="11"/>
  <c r="X23" i="14"/>
  <c r="Y23" i="14"/>
  <c r="P23" i="14"/>
  <c r="AA23" i="14"/>
  <c r="Z23" i="14"/>
  <c r="O27" i="15"/>
  <c r="K27" i="16" s="1"/>
  <c r="N27" i="15"/>
  <c r="AP27" i="12"/>
  <c r="AR27" i="12" s="1"/>
  <c r="AL27" i="12"/>
  <c r="Y31" i="14"/>
  <c r="X31" i="14"/>
  <c r="AA31" i="14"/>
  <c r="Z31" i="14"/>
  <c r="P31" i="14"/>
  <c r="O25" i="15"/>
  <c r="K25" i="16" s="1"/>
  <c r="N25" i="15"/>
  <c r="O23" i="15"/>
  <c r="K23" i="16" s="1"/>
  <c r="N23" i="15"/>
  <c r="AR26" i="12"/>
  <c r="N31" i="15"/>
  <c r="O31" i="15"/>
  <c r="K31" i="16" s="1"/>
  <c r="P4" i="14"/>
  <c r="AA4" i="14"/>
  <c r="Z4" i="14"/>
  <c r="X4" i="14"/>
  <c r="Y4" i="14"/>
  <c r="Z32" i="13"/>
  <c r="Y32" i="13"/>
  <c r="P32" i="13"/>
  <c r="AA32" i="13"/>
  <c r="X32" i="13"/>
  <c r="AP4" i="12"/>
  <c r="AL4" i="12"/>
  <c r="AA28" i="14"/>
  <c r="Z28" i="14"/>
  <c r="X28" i="14"/>
  <c r="P28" i="14"/>
  <c r="Y28" i="14"/>
  <c r="AM7" i="13"/>
  <c r="AN7" i="13" s="1"/>
  <c r="N20" i="15"/>
  <c r="O20" i="15"/>
  <c r="K20" i="16" s="1"/>
  <c r="AM26" i="12"/>
  <c r="AN26" i="12" s="1"/>
  <c r="AL29" i="12"/>
  <c r="AP29" i="12"/>
  <c r="N26" i="15"/>
  <c r="O26" i="15"/>
  <c r="K26" i="16" s="1"/>
  <c r="X16" i="14"/>
  <c r="P16" i="14"/>
  <c r="AA16" i="14"/>
  <c r="Z16" i="14"/>
  <c r="Y16" i="14"/>
  <c r="AH29" i="13"/>
  <c r="AM29" i="13"/>
  <c r="AN29" i="13" s="1"/>
  <c r="AG29" i="13"/>
  <c r="AK29" i="13"/>
  <c r="AH11" i="13"/>
  <c r="AG11" i="13"/>
  <c r="AM11" i="13" s="1"/>
  <c r="AN11" i="13" s="1"/>
  <c r="AK11" i="13"/>
  <c r="AI11" i="13"/>
  <c r="AO11" i="13" s="1"/>
  <c r="AP15" i="12"/>
  <c r="AL15" i="12"/>
  <c r="AK9" i="13"/>
  <c r="AI9" i="13"/>
  <c r="AO9" i="13" s="1"/>
  <c r="AH9" i="13"/>
  <c r="AG9" i="13"/>
  <c r="AM9" i="13" s="1"/>
  <c r="AN9" i="13" s="1"/>
  <c r="AR7" i="13"/>
  <c r="P26" i="14"/>
  <c r="Z26" i="14"/>
  <c r="Y26" i="14"/>
  <c r="X26" i="14"/>
  <c r="AA26" i="14"/>
  <c r="AR34" i="15"/>
  <c r="AA3" i="14"/>
  <c r="Z3" i="14"/>
  <c r="Y3" i="14"/>
  <c r="X3" i="14"/>
  <c r="P3" i="14"/>
  <c r="AR16" i="12"/>
  <c r="AR18" i="12"/>
  <c r="P22" i="14"/>
  <c r="AA22" i="14"/>
  <c r="Z22" i="14"/>
  <c r="Y22" i="14"/>
  <c r="X22" i="14"/>
  <c r="AK30" i="12"/>
  <c r="AI30" i="12"/>
  <c r="AO30" i="12" s="1"/>
  <c r="AH30" i="12"/>
  <c r="AM30" i="12" s="1"/>
  <c r="AN30" i="12" s="1"/>
  <c r="AG30" i="12"/>
  <c r="AL28" i="12"/>
  <c r="AP28" i="12"/>
  <c r="AA15" i="14"/>
  <c r="Z15" i="14"/>
  <c r="Y15" i="14"/>
  <c r="X15" i="14"/>
  <c r="P15" i="14"/>
  <c r="AG22" i="13"/>
  <c r="AM22" i="13" s="1"/>
  <c r="AN22" i="13" s="1"/>
  <c r="AK22" i="13"/>
  <c r="AH22" i="13"/>
  <c r="AK23" i="13"/>
  <c r="AH23" i="13"/>
  <c r="AG23" i="13"/>
  <c r="AM23" i="13" s="1"/>
  <c r="AN23" i="13" s="1"/>
  <c r="O4" i="15"/>
  <c r="K4" i="16" s="1"/>
  <c r="N4" i="15"/>
  <c r="O32" i="14"/>
  <c r="N32" i="14"/>
  <c r="O28" i="15"/>
  <c r="K28" i="16" s="1"/>
  <c r="N28" i="15"/>
  <c r="AM30" i="11"/>
  <c r="AN30" i="11" s="1"/>
  <c r="AP23" i="12"/>
  <c r="AL23" i="12"/>
  <c r="AK18" i="13"/>
  <c r="AH18" i="13"/>
  <c r="AG18" i="13"/>
  <c r="AM18" i="13"/>
  <c r="AN18" i="13" s="1"/>
  <c r="O7" i="16"/>
  <c r="K7" i="17" s="1"/>
  <c r="N7" i="16"/>
  <c r="X34" i="17"/>
  <c r="P34" i="17"/>
  <c r="Y34" i="17"/>
  <c r="AA34" i="17"/>
  <c r="Z34" i="17"/>
  <c r="AA20" i="14"/>
  <c r="Z20" i="14"/>
  <c r="Y20" i="14"/>
  <c r="X20" i="14"/>
  <c r="P20" i="14"/>
  <c r="AP26" i="12"/>
  <c r="AL26" i="12"/>
  <c r="O33" i="15"/>
  <c r="K33" i="16" s="1"/>
  <c r="N33" i="15"/>
  <c r="N16" i="15"/>
  <c r="O16" i="15"/>
  <c r="K16" i="16" s="1"/>
  <c r="AL22" i="12"/>
  <c r="AP22" i="12"/>
  <c r="AK32" i="12"/>
  <c r="AM32" i="12"/>
  <c r="AK26" i="13"/>
  <c r="AG26" i="13"/>
  <c r="AI26" i="13"/>
  <c r="AO26" i="13" s="1"/>
  <c r="AH26" i="13"/>
  <c r="AP10" i="12"/>
  <c r="AR10" i="12" s="1"/>
  <c r="AL10" i="12"/>
  <c r="AH8" i="13"/>
  <c r="AG8" i="13"/>
  <c r="AM8" i="13" s="1"/>
  <c r="AN8" i="13" s="1"/>
  <c r="AK8" i="13"/>
  <c r="AL31" i="12"/>
  <c r="AP31" i="12"/>
  <c r="O3" i="15"/>
  <c r="K3" i="16" s="1"/>
  <c r="N3" i="15"/>
  <c r="AL19" i="12"/>
  <c r="AP19" i="12"/>
  <c r="AR19" i="12" s="1"/>
  <c r="AP20" i="12"/>
  <c r="AR20" i="12" s="1"/>
  <c r="AL20" i="12"/>
  <c r="O22" i="15"/>
  <c r="K22" i="16" s="1"/>
  <c r="N22" i="15"/>
  <c r="O15" i="15"/>
  <c r="K15" i="16" s="1"/>
  <c r="N15" i="15"/>
  <c r="X18" i="14"/>
  <c r="P18" i="14"/>
  <c r="AA18" i="14"/>
  <c r="Z18" i="14"/>
  <c r="Y18" i="14"/>
  <c r="AR4" i="12"/>
  <c r="AH15" i="13"/>
  <c r="AG15" i="13"/>
  <c r="AM15" i="13"/>
  <c r="AN15" i="13" s="1"/>
  <c r="AK15" i="13"/>
  <c r="AH4" i="13"/>
  <c r="AM4" i="13" s="1"/>
  <c r="AN4" i="13" s="1"/>
  <c r="AG4" i="13"/>
  <c r="AK4" i="13"/>
  <c r="Z7" i="15"/>
  <c r="Y7" i="15"/>
  <c r="P7" i="15"/>
  <c r="AA7" i="15"/>
  <c r="X7" i="15"/>
  <c r="AP14" i="13"/>
  <c r="AR14" i="13" s="1"/>
  <c r="AL14" i="13"/>
  <c r="Y33" i="14"/>
  <c r="P33" i="14"/>
  <c r="AA33" i="14"/>
  <c r="Z33" i="14"/>
  <c r="X33" i="14"/>
  <c r="AR29" i="12"/>
  <c r="AK16" i="13"/>
  <c r="AH16" i="13"/>
  <c r="AG16" i="13"/>
  <c r="AM16" i="13" s="1"/>
  <c r="AN16" i="13" s="1"/>
  <c r="AP34" i="15"/>
  <c r="AL34" i="15"/>
  <c r="Z10" i="14"/>
  <c r="Y10" i="14"/>
  <c r="X10" i="14"/>
  <c r="P10" i="14"/>
  <c r="AA10" i="14"/>
  <c r="AR15" i="12"/>
  <c r="AL16" i="12"/>
  <c r="AP16" i="12"/>
  <c r="AH27" i="13"/>
  <c r="AK27" i="13"/>
  <c r="AG27" i="13"/>
  <c r="AR23" i="12"/>
  <c r="AP9" i="12"/>
  <c r="AR9" i="12" s="1"/>
  <c r="AL9" i="12"/>
  <c r="O10" i="15"/>
  <c r="K10" i="16" s="1"/>
  <c r="N10" i="15"/>
  <c r="AK19" i="13"/>
  <c r="AH19" i="13"/>
  <c r="AG19" i="13"/>
  <c r="O11" i="15"/>
  <c r="K11" i="16" s="1"/>
  <c r="N11" i="15"/>
  <c r="AR31" i="12"/>
  <c r="X9" i="14"/>
  <c r="P9" i="14"/>
  <c r="AA9" i="14"/>
  <c r="Y9" i="14"/>
  <c r="Z9" i="14"/>
  <c r="AM14" i="14"/>
  <c r="AN14" i="14" s="1"/>
  <c r="AK14" i="14"/>
  <c r="AH14" i="14"/>
  <c r="AG14" i="14"/>
  <c r="AK17" i="13"/>
  <c r="AH17" i="13"/>
  <c r="AG17" i="13"/>
  <c r="AM17" i="13"/>
  <c r="AN17" i="13" s="1"/>
  <c r="AR6" i="13"/>
  <c r="AA17" i="14"/>
  <c r="P17" i="14"/>
  <c r="Z17" i="14"/>
  <c r="X17" i="14"/>
  <c r="Y17" i="14"/>
  <c r="AK13" i="17"/>
  <c r="AG13" i="17"/>
  <c r="AM13" i="17" s="1"/>
  <c r="AN13" i="17" s="1"/>
  <c r="AL13" i="16"/>
  <c r="AP13" i="16"/>
  <c r="AH33" i="13"/>
  <c r="AG33" i="13"/>
  <c r="AM33" i="13" s="1"/>
  <c r="AN33" i="13" s="1"/>
  <c r="AK33" i="13"/>
  <c r="AR33" i="13" s="1"/>
  <c r="AI33" i="13"/>
  <c r="Z14" i="15"/>
  <c r="X14" i="15"/>
  <c r="AA14" i="15"/>
  <c r="Y14" i="15"/>
  <c r="P14" i="15"/>
  <c r="AG34" i="16"/>
  <c r="AK34" i="16"/>
  <c r="AI34" i="16"/>
  <c r="AO34" i="16" s="1"/>
  <c r="AH34" i="16"/>
  <c r="AM34" i="16" s="1"/>
  <c r="AN34" i="16" s="1"/>
  <c r="AR22" i="12"/>
  <c r="AM31" i="12"/>
  <c r="AN31" i="12" s="1"/>
  <c r="O9" i="15"/>
  <c r="K9" i="16" s="1"/>
  <c r="N9" i="15"/>
  <c r="Z30" i="13"/>
  <c r="Y30" i="13"/>
  <c r="P30" i="13"/>
  <c r="X30" i="13"/>
  <c r="AA30" i="13"/>
  <c r="AM28" i="12"/>
  <c r="AN28" i="12" s="1"/>
  <c r="AK25" i="13"/>
  <c r="AH25" i="13"/>
  <c r="AG25" i="13"/>
  <c r="AM25" i="13" s="1"/>
  <c r="AN25" i="13" s="1"/>
  <c r="AL8" i="12"/>
  <c r="AP8" i="12"/>
  <c r="AR8" i="12" s="1"/>
  <c r="AL12" i="12"/>
  <c r="AP12" i="12"/>
  <c r="AR12" i="12" s="1"/>
  <c r="X6" i="15"/>
  <c r="P6" i="15"/>
  <c r="AA6" i="15"/>
  <c r="Z6" i="15"/>
  <c r="Y6" i="15"/>
  <c r="AL7" i="13"/>
  <c r="AP7" i="13"/>
  <c r="AG28" i="13"/>
  <c r="AM28" i="13" s="1"/>
  <c r="AN28" i="13" s="1"/>
  <c r="AK28" i="13"/>
  <c r="AH28" i="13"/>
  <c r="AP3" i="12"/>
  <c r="AR3" i="12" s="1"/>
  <c r="AL3" i="12"/>
  <c r="O14" i="16"/>
  <c r="K14" i="17" s="1"/>
  <c r="N14" i="16"/>
  <c r="AM22" i="12"/>
  <c r="AN22" i="12" s="1"/>
  <c r="AL25" i="12"/>
  <c r="AP25" i="12"/>
  <c r="AR25" i="12" s="1"/>
  <c r="AA11" i="14"/>
  <c r="Z11" i="14"/>
  <c r="Y11" i="14"/>
  <c r="X11" i="14"/>
  <c r="P11" i="14"/>
  <c r="X29" i="14"/>
  <c r="P29" i="14"/>
  <c r="AA29" i="14"/>
  <c r="Z29" i="14"/>
  <c r="Y29" i="14"/>
  <c r="AL18" i="12"/>
  <c r="AP18" i="12"/>
  <c r="AL33" i="12"/>
  <c r="AR28" i="12"/>
  <c r="O18" i="15"/>
  <c r="K18" i="16" s="1"/>
  <c r="N18" i="15"/>
  <c r="AM10" i="13"/>
  <c r="AN10" i="13" s="1"/>
  <c r="AK10" i="13"/>
  <c r="AH10" i="13"/>
  <c r="AG10" i="13"/>
  <c r="O19" i="15"/>
  <c r="K19" i="16" s="1"/>
  <c r="N19" i="15"/>
  <c r="AM19" i="12"/>
  <c r="AN19" i="12" s="1"/>
  <c r="AL11" i="12"/>
  <c r="AP11" i="12"/>
  <c r="AR11" i="12" s="1"/>
  <c r="N30" i="14"/>
  <c r="O30" i="14"/>
  <c r="K30" i="15" s="1"/>
  <c r="AG3" i="13"/>
  <c r="AM3" i="13"/>
  <c r="AN3" i="13" s="1"/>
  <c r="AK3" i="13"/>
  <c r="AH3" i="13"/>
  <c r="AM17" i="12"/>
  <c r="AN17" i="12" s="1"/>
  <c r="AR30" i="11"/>
  <c r="AW32" i="9"/>
  <c r="AL32" i="9"/>
  <c r="O6" i="16"/>
  <c r="K6" i="17" s="1"/>
  <c r="N6" i="16"/>
  <c r="Y27" i="14"/>
  <c r="X27" i="14"/>
  <c r="Z27" i="14"/>
  <c r="P27" i="14"/>
  <c r="AA27" i="14"/>
  <c r="AP6" i="13"/>
  <c r="AL6" i="13"/>
  <c r="AK6" i="14"/>
  <c r="AI6" i="14"/>
  <c r="AO6" i="14" s="1"/>
  <c r="AH6" i="14"/>
  <c r="AG6" i="14"/>
  <c r="AM6" i="14" s="1"/>
  <c r="AN6" i="14" s="1"/>
  <c r="AR13" i="16"/>
  <c r="AG20" i="13"/>
  <c r="AM20" i="13"/>
  <c r="AN20" i="13" s="1"/>
  <c r="AK20" i="13"/>
  <c r="AH20" i="13"/>
  <c r="AK7" i="14"/>
  <c r="AI7" i="14"/>
  <c r="AO7" i="14" s="1"/>
  <c r="AH7" i="14"/>
  <c r="AM7" i="14" s="1"/>
  <c r="AN7" i="14" s="1"/>
  <c r="AG7" i="14"/>
  <c r="AU32" i="11"/>
  <c r="AW32" i="15" s="1"/>
  <c r="AR32" i="11"/>
  <c r="AM27" i="12"/>
  <c r="AN27" i="12" s="1"/>
  <c r="O11" i="16" l="1"/>
  <c r="K11" i="17" s="1"/>
  <c r="N11" i="16"/>
  <c r="P30" i="14"/>
  <c r="AA30" i="14"/>
  <c r="Z30" i="14"/>
  <c r="Y30" i="14"/>
  <c r="X30" i="14"/>
  <c r="AH14" i="15"/>
  <c r="AK14" i="15"/>
  <c r="AG14" i="15"/>
  <c r="AR14" i="14"/>
  <c r="Z11" i="15"/>
  <c r="Y11" i="15"/>
  <c r="X11" i="15"/>
  <c r="AA11" i="15"/>
  <c r="P11" i="15"/>
  <c r="AR15" i="13"/>
  <c r="AP26" i="13"/>
  <c r="AR26" i="13" s="1"/>
  <c r="AL26" i="13"/>
  <c r="P16" i="15"/>
  <c r="AA16" i="15"/>
  <c r="Y16" i="15"/>
  <c r="X16" i="15"/>
  <c r="Z16" i="15"/>
  <c r="N7" i="17"/>
  <c r="O7" i="17"/>
  <c r="Y28" i="15"/>
  <c r="X28" i="15"/>
  <c r="AA28" i="15"/>
  <c r="Z28" i="15"/>
  <c r="P28" i="15"/>
  <c r="X23" i="15"/>
  <c r="AA23" i="15"/>
  <c r="Z23" i="15"/>
  <c r="Y23" i="15"/>
  <c r="P23" i="15"/>
  <c r="AH26" i="14"/>
  <c r="AG26" i="14"/>
  <c r="AM26" i="14"/>
  <c r="AN26" i="14" s="1"/>
  <c r="AK26" i="14"/>
  <c r="AI26" i="14"/>
  <c r="AO26" i="14" s="1"/>
  <c r="AM32" i="13"/>
  <c r="AK32" i="13"/>
  <c r="X18" i="15"/>
  <c r="P18" i="15"/>
  <c r="AA18" i="15"/>
  <c r="Z18" i="15"/>
  <c r="Y18" i="15"/>
  <c r="AN32" i="11"/>
  <c r="AP15" i="13"/>
  <c r="AL15" i="13"/>
  <c r="X3" i="15"/>
  <c r="AA3" i="15"/>
  <c r="Z3" i="15"/>
  <c r="Y3" i="15"/>
  <c r="P3" i="15"/>
  <c r="Y32" i="14"/>
  <c r="P32" i="14"/>
  <c r="AA32" i="14"/>
  <c r="Z32" i="14"/>
  <c r="X32" i="14"/>
  <c r="AA25" i="15"/>
  <c r="Z25" i="15"/>
  <c r="X25" i="15"/>
  <c r="P25" i="15"/>
  <c r="Y25" i="15"/>
  <c r="AH23" i="14"/>
  <c r="AK23" i="14"/>
  <c r="AG23" i="14"/>
  <c r="AM23" i="14" s="1"/>
  <c r="AN23" i="14" s="1"/>
  <c r="AM25" i="14"/>
  <c r="AN25" i="14" s="1"/>
  <c r="AK25" i="14"/>
  <c r="AH25" i="14"/>
  <c r="AG25" i="14"/>
  <c r="Y6" i="16"/>
  <c r="X6" i="16"/>
  <c r="P6" i="16"/>
  <c r="Z6" i="16"/>
  <c r="AA6" i="16"/>
  <c r="O18" i="16"/>
  <c r="K18" i="17" s="1"/>
  <c r="N18" i="16"/>
  <c r="AP17" i="13"/>
  <c r="AL17" i="13"/>
  <c r="AL27" i="13"/>
  <c r="AP27" i="13"/>
  <c r="N15" i="16"/>
  <c r="O15" i="16"/>
  <c r="K15" i="17" s="1"/>
  <c r="O3" i="16"/>
  <c r="K3" i="17" s="1"/>
  <c r="N3" i="16"/>
  <c r="AR32" i="12"/>
  <c r="AU32" i="12"/>
  <c r="AG3" i="14"/>
  <c r="AM3" i="14" s="1"/>
  <c r="AN3" i="14" s="1"/>
  <c r="AK3" i="14"/>
  <c r="AH3" i="14"/>
  <c r="AK16" i="14"/>
  <c r="AH16" i="14"/>
  <c r="AG16" i="14"/>
  <c r="AM16" i="14"/>
  <c r="AN16" i="14" s="1"/>
  <c r="N25" i="16"/>
  <c r="O25" i="16"/>
  <c r="K25" i="17" s="1"/>
  <c r="N23" i="16"/>
  <c r="O23" i="16"/>
  <c r="K23" i="17" s="1"/>
  <c r="AL19" i="13"/>
  <c r="AP19" i="13"/>
  <c r="AA15" i="15"/>
  <c r="Y15" i="15"/>
  <c r="X15" i="15"/>
  <c r="P15" i="15"/>
  <c r="Z15" i="15"/>
  <c r="O33" i="16"/>
  <c r="K33" i="17" s="1"/>
  <c r="N33" i="16"/>
  <c r="AL18" i="13"/>
  <c r="AP18" i="13"/>
  <c r="AR18" i="13" s="1"/>
  <c r="AG22" i="14"/>
  <c r="AK22" i="14"/>
  <c r="AH22" i="14"/>
  <c r="Z20" i="15"/>
  <c r="Y20" i="15"/>
  <c r="P20" i="15"/>
  <c r="AA20" i="15"/>
  <c r="X20" i="15"/>
  <c r="AL20" i="13"/>
  <c r="AP20" i="13"/>
  <c r="AL7" i="14"/>
  <c r="AP7" i="14"/>
  <c r="AR7" i="14" s="1"/>
  <c r="N6" i="17"/>
  <c r="O6" i="17"/>
  <c r="AR3" i="13"/>
  <c r="Z19" i="15"/>
  <c r="X19" i="15"/>
  <c r="AA19" i="15"/>
  <c r="Y19" i="15"/>
  <c r="P19" i="15"/>
  <c r="AH29" i="14"/>
  <c r="AG29" i="14"/>
  <c r="AM29" i="14"/>
  <c r="AN29" i="14" s="1"/>
  <c r="AK29" i="14"/>
  <c r="AI6" i="15"/>
  <c r="AO6" i="15" s="1"/>
  <c r="AH6" i="15"/>
  <c r="AK6" i="15"/>
  <c r="AG6" i="15"/>
  <c r="AM6" i="15" s="1"/>
  <c r="AN6" i="15" s="1"/>
  <c r="AR25" i="13"/>
  <c r="AA9" i="15"/>
  <c r="Y9" i="15"/>
  <c r="X9" i="15"/>
  <c r="P9" i="15"/>
  <c r="Z9" i="15"/>
  <c r="AP34" i="16"/>
  <c r="AR34" i="16" s="1"/>
  <c r="AL34" i="16"/>
  <c r="AR19" i="13"/>
  <c r="AR27" i="13"/>
  <c r="AM10" i="14"/>
  <c r="AN10" i="14" s="1"/>
  <c r="AK10" i="14"/>
  <c r="AH10" i="14"/>
  <c r="AG10" i="14"/>
  <c r="P22" i="15"/>
  <c r="X22" i="15"/>
  <c r="AA22" i="15"/>
  <c r="Z22" i="15"/>
  <c r="Y22" i="15"/>
  <c r="Z4" i="15"/>
  <c r="X4" i="15"/>
  <c r="AA4" i="15"/>
  <c r="P4" i="15"/>
  <c r="Y4" i="15"/>
  <c r="AP29" i="13"/>
  <c r="AR29" i="13" s="1"/>
  <c r="AL29" i="13"/>
  <c r="O26" i="16"/>
  <c r="K26" i="17" s="1"/>
  <c r="N26" i="16"/>
  <c r="AK28" i="14"/>
  <c r="AH28" i="14"/>
  <c r="AM28" i="14" s="1"/>
  <c r="AN28" i="14" s="1"/>
  <c r="AG28" i="14"/>
  <c r="X27" i="15"/>
  <c r="Y27" i="15"/>
  <c r="P27" i="15"/>
  <c r="AA27" i="15"/>
  <c r="Z27" i="15"/>
  <c r="AK19" i="14"/>
  <c r="AM19" i="14"/>
  <c r="AN19" i="14" s="1"/>
  <c r="AH19" i="14"/>
  <c r="AG19" i="14"/>
  <c r="AK27" i="14"/>
  <c r="AH27" i="14"/>
  <c r="AG27" i="14"/>
  <c r="N28" i="16"/>
  <c r="O28" i="16"/>
  <c r="K28" i="17" s="1"/>
  <c r="AP11" i="13"/>
  <c r="AL11" i="13"/>
  <c r="O19" i="16"/>
  <c r="K19" i="17" s="1"/>
  <c r="N19" i="16"/>
  <c r="AP28" i="13"/>
  <c r="AR28" i="13" s="1"/>
  <c r="AL28" i="13"/>
  <c r="N9" i="16"/>
  <c r="O9" i="16"/>
  <c r="K9" i="17" s="1"/>
  <c r="AH17" i="14"/>
  <c r="AM17" i="14" s="1"/>
  <c r="AN17" i="14" s="1"/>
  <c r="AG17" i="14"/>
  <c r="AK17" i="14"/>
  <c r="AM19" i="13"/>
  <c r="AN19" i="13" s="1"/>
  <c r="AM26" i="13"/>
  <c r="AN26" i="13" s="1"/>
  <c r="O4" i="16"/>
  <c r="K4" i="17" s="1"/>
  <c r="N4" i="16"/>
  <c r="AA26" i="15"/>
  <c r="X26" i="15"/>
  <c r="P26" i="15"/>
  <c r="Z26" i="15"/>
  <c r="Y26" i="15"/>
  <c r="O31" i="16"/>
  <c r="K31" i="17" s="1"/>
  <c r="N31" i="16"/>
  <c r="O27" i="16"/>
  <c r="K27" i="17" s="1"/>
  <c r="N27" i="16"/>
  <c r="AP25" i="13"/>
  <c r="AL25" i="13"/>
  <c r="AL13" i="17"/>
  <c r="AP13" i="17"/>
  <c r="AR13" i="17" s="1"/>
  <c r="AL16" i="13"/>
  <c r="AP16" i="13"/>
  <c r="AR16" i="13" s="1"/>
  <c r="AP8" i="13"/>
  <c r="AL8" i="13"/>
  <c r="AW32" i="11"/>
  <c r="AL32" i="11"/>
  <c r="AL33" i="13"/>
  <c r="AR17" i="13"/>
  <c r="O22" i="16"/>
  <c r="K22" i="17" s="1"/>
  <c r="N22" i="16"/>
  <c r="AP22" i="13"/>
  <c r="AR22" i="13" s="1"/>
  <c r="AL22" i="13"/>
  <c r="AP3" i="13"/>
  <c r="AL3" i="13"/>
  <c r="AL10" i="13"/>
  <c r="AP10" i="13"/>
  <c r="AR10" i="13" s="1"/>
  <c r="AG11" i="14"/>
  <c r="AK11" i="14"/>
  <c r="AI11" i="14"/>
  <c r="AO11" i="14" s="1"/>
  <c r="AH11" i="14"/>
  <c r="AA14" i="16"/>
  <c r="Z14" i="16"/>
  <c r="Y14" i="16"/>
  <c r="X14" i="16"/>
  <c r="P14" i="16"/>
  <c r="AL14" i="14"/>
  <c r="AP14" i="14"/>
  <c r="AI9" i="14"/>
  <c r="AO9" i="14" s="1"/>
  <c r="AH9" i="14"/>
  <c r="AG9" i="14"/>
  <c r="AM9" i="14"/>
  <c r="AN9" i="14" s="1"/>
  <c r="AK9" i="14"/>
  <c r="AA10" i="15"/>
  <c r="Z10" i="15"/>
  <c r="X10" i="15"/>
  <c r="P10" i="15"/>
  <c r="Y10" i="15"/>
  <c r="AM27" i="13"/>
  <c r="AN27" i="13" s="1"/>
  <c r="AK33" i="14"/>
  <c r="AG33" i="14"/>
  <c r="AI33" i="14"/>
  <c r="AO33" i="14" s="1"/>
  <c r="AH33" i="14"/>
  <c r="AP4" i="13"/>
  <c r="AR4" i="13" s="1"/>
  <c r="AL4" i="13"/>
  <c r="AK20" i="14"/>
  <c r="AH20" i="14"/>
  <c r="AM20" i="14" s="1"/>
  <c r="AN20" i="14" s="1"/>
  <c r="AG20" i="14"/>
  <c r="AI34" i="17"/>
  <c r="AO34" i="17" s="1"/>
  <c r="AH34" i="17"/>
  <c r="AG34" i="17"/>
  <c r="AK34" i="17"/>
  <c r="AM34" i="17"/>
  <c r="AN34" i="17" s="1"/>
  <c r="AP30" i="12"/>
  <c r="AR30" i="12" s="1"/>
  <c r="AL30" i="12"/>
  <c r="Y31" i="15"/>
  <c r="X31" i="15"/>
  <c r="AA31" i="15"/>
  <c r="Z31" i="15"/>
  <c r="P31" i="15"/>
  <c r="AP31" i="13"/>
  <c r="AL31" i="13"/>
  <c r="AR20" i="13"/>
  <c r="AH18" i="14"/>
  <c r="AM18" i="14" s="1"/>
  <c r="AN18" i="14" s="1"/>
  <c r="AK18" i="14"/>
  <c r="AG18" i="14"/>
  <c r="Y33" i="15"/>
  <c r="X33" i="15"/>
  <c r="AA33" i="15"/>
  <c r="Z33" i="15"/>
  <c r="P33" i="15"/>
  <c r="O20" i="16"/>
  <c r="K20" i="17" s="1"/>
  <c r="N20" i="16"/>
  <c r="AP6" i="14"/>
  <c r="AR6" i="14" s="1"/>
  <c r="AL6" i="14"/>
  <c r="O30" i="15"/>
  <c r="K30" i="16" s="1"/>
  <c r="N30" i="15"/>
  <c r="O14" i="17"/>
  <c r="N14" i="17"/>
  <c r="AI30" i="13"/>
  <c r="AO30" i="13" s="1"/>
  <c r="AH30" i="13"/>
  <c r="AK30" i="13"/>
  <c r="AG30" i="13"/>
  <c r="AM30" i="13" s="1"/>
  <c r="AN30" i="13" s="1"/>
  <c r="O10" i="16"/>
  <c r="K10" i="17" s="1"/>
  <c r="N10" i="16"/>
  <c r="AG7" i="15"/>
  <c r="AM7" i="15" s="1"/>
  <c r="AN7" i="15" s="1"/>
  <c r="AK7" i="15"/>
  <c r="AI7" i="15"/>
  <c r="AO7" i="15" s="1"/>
  <c r="AH7" i="15"/>
  <c r="AR8" i="13"/>
  <c r="O16" i="16"/>
  <c r="K16" i="17" s="1"/>
  <c r="N16" i="16"/>
  <c r="Y7" i="16"/>
  <c r="X7" i="16"/>
  <c r="AA7" i="16"/>
  <c r="Z7" i="16"/>
  <c r="P7" i="16"/>
  <c r="AP23" i="13"/>
  <c r="AR23" i="13" s="1"/>
  <c r="AL23" i="13"/>
  <c r="AM15" i="14"/>
  <c r="AN15" i="14" s="1"/>
  <c r="AK15" i="14"/>
  <c r="AH15" i="14"/>
  <c r="AG15" i="14"/>
  <c r="AL9" i="13"/>
  <c r="AP9" i="13"/>
  <c r="AR9" i="13" s="1"/>
  <c r="AR11" i="13"/>
  <c r="AH4" i="14"/>
  <c r="AM4" i="14" s="1"/>
  <c r="AN4" i="14" s="1"/>
  <c r="AG4" i="14"/>
  <c r="AK4" i="14"/>
  <c r="AK31" i="14"/>
  <c r="AI31" i="14"/>
  <c r="AO31" i="14" s="1"/>
  <c r="AH31" i="14"/>
  <c r="AG31" i="14"/>
  <c r="AM31" i="14" s="1"/>
  <c r="AN31" i="14" s="1"/>
  <c r="AR31" i="13"/>
  <c r="AK14" i="16" l="1"/>
  <c r="AH14" i="16"/>
  <c r="AG14" i="16"/>
  <c r="O28" i="17"/>
  <c r="N28" i="17"/>
  <c r="AG22" i="15"/>
  <c r="AK22" i="15"/>
  <c r="AH22" i="15"/>
  <c r="AP22" i="14"/>
  <c r="AL22" i="14"/>
  <c r="X25" i="16"/>
  <c r="AA25" i="16"/>
  <c r="Y25" i="16"/>
  <c r="P25" i="16"/>
  <c r="Z25" i="16"/>
  <c r="AA15" i="16"/>
  <c r="Z15" i="16"/>
  <c r="Y15" i="16"/>
  <c r="X15" i="16"/>
  <c r="P15" i="16"/>
  <c r="AH23" i="15"/>
  <c r="AM23" i="15" s="1"/>
  <c r="AN23" i="15" s="1"/>
  <c r="AG23" i="15"/>
  <c r="AK23" i="15"/>
  <c r="AK28" i="15"/>
  <c r="AH28" i="15"/>
  <c r="AG28" i="15"/>
  <c r="O16" i="17"/>
  <c r="N16" i="17"/>
  <c r="Z22" i="16"/>
  <c r="Y22" i="16"/>
  <c r="P22" i="16"/>
  <c r="AA22" i="16"/>
  <c r="X22" i="16"/>
  <c r="X9" i="16"/>
  <c r="AA9" i="16"/>
  <c r="Z9" i="16"/>
  <c r="Y9" i="16"/>
  <c r="P9" i="16"/>
  <c r="AR33" i="14"/>
  <c r="AP9" i="14"/>
  <c r="AR9" i="14" s="1"/>
  <c r="AL9" i="14"/>
  <c r="AL27" i="14"/>
  <c r="AP27" i="14"/>
  <c r="AR27" i="14" s="1"/>
  <c r="AK4" i="15"/>
  <c r="AG4" i="15"/>
  <c r="AH4" i="15"/>
  <c r="AR6" i="15"/>
  <c r="Z6" i="17"/>
  <c r="Y6" i="17"/>
  <c r="P6" i="17"/>
  <c r="AA6" i="17"/>
  <c r="X6" i="17"/>
  <c r="AP16" i="14"/>
  <c r="AR16" i="14" s="1"/>
  <c r="AL16" i="14"/>
  <c r="AR23" i="14"/>
  <c r="AP26" i="14"/>
  <c r="AR26" i="14" s="1"/>
  <c r="AL26" i="14"/>
  <c r="AL14" i="15"/>
  <c r="AP14" i="15"/>
  <c r="Z30" i="15"/>
  <c r="Y30" i="15"/>
  <c r="X30" i="15"/>
  <c r="P30" i="15"/>
  <c r="AA30" i="15"/>
  <c r="X28" i="16"/>
  <c r="AA28" i="16"/>
  <c r="Y28" i="16"/>
  <c r="Z28" i="16"/>
  <c r="P28" i="16"/>
  <c r="AL23" i="14"/>
  <c r="AP23" i="14"/>
  <c r="AH33" i="15"/>
  <c r="AM33" i="15" s="1"/>
  <c r="AN33" i="15" s="1"/>
  <c r="AK33" i="15"/>
  <c r="AI33" i="15"/>
  <c r="AO33" i="15" s="1"/>
  <c r="AG33" i="15"/>
  <c r="Y19" i="16"/>
  <c r="AA19" i="16"/>
  <c r="Z19" i="16"/>
  <c r="X19" i="16"/>
  <c r="P19" i="16"/>
  <c r="Z26" i="16"/>
  <c r="Y26" i="16"/>
  <c r="P26" i="16"/>
  <c r="AA26" i="16"/>
  <c r="X26" i="16"/>
  <c r="AL10" i="14"/>
  <c r="AP10" i="14"/>
  <c r="X33" i="16"/>
  <c r="AA33" i="16"/>
  <c r="Y33" i="16"/>
  <c r="Z33" i="16"/>
  <c r="P33" i="16"/>
  <c r="AW32" i="12"/>
  <c r="AL32" i="12"/>
  <c r="AK3" i="15"/>
  <c r="AH3" i="15"/>
  <c r="AG3" i="15"/>
  <c r="AM3" i="15"/>
  <c r="AN3" i="15" s="1"/>
  <c r="AG18" i="15"/>
  <c r="AK18" i="15"/>
  <c r="AH18" i="15"/>
  <c r="AM18" i="15" s="1"/>
  <c r="AN18" i="15" s="1"/>
  <c r="AA7" i="17"/>
  <c r="Z7" i="17"/>
  <c r="P7" i="17"/>
  <c r="Y7" i="17"/>
  <c r="X7" i="17"/>
  <c r="AR14" i="15"/>
  <c r="AP31" i="14"/>
  <c r="AL31" i="14"/>
  <c r="O4" i="17"/>
  <c r="N4" i="17"/>
  <c r="N30" i="16"/>
  <c r="O30" i="16"/>
  <c r="K30" i="17" s="1"/>
  <c r="N22" i="17"/>
  <c r="O22" i="17"/>
  <c r="AR19" i="14"/>
  <c r="AR30" i="13"/>
  <c r="AP15" i="14"/>
  <c r="AR15" i="14" s="1"/>
  <c r="AL15" i="14"/>
  <c r="X20" i="16"/>
  <c r="AA20" i="16"/>
  <c r="Z20" i="16"/>
  <c r="Y20" i="16"/>
  <c r="P20" i="16"/>
  <c r="AP34" i="17"/>
  <c r="AR34" i="17" s="1"/>
  <c r="AL34" i="17"/>
  <c r="O19" i="17"/>
  <c r="N19" i="17"/>
  <c r="AM27" i="14"/>
  <c r="AN27" i="14" s="1"/>
  <c r="O26" i="17"/>
  <c r="N26" i="17"/>
  <c r="N33" i="17"/>
  <c r="O33" i="17"/>
  <c r="X18" i="16"/>
  <c r="P18" i="16"/>
  <c r="AA18" i="16"/>
  <c r="Z18" i="16"/>
  <c r="Y18" i="16"/>
  <c r="AP25" i="14"/>
  <c r="AL25" i="14"/>
  <c r="AM14" i="15"/>
  <c r="AN14" i="15" s="1"/>
  <c r="O10" i="17"/>
  <c r="N10" i="17"/>
  <c r="AP33" i="14"/>
  <c r="AL33" i="14"/>
  <c r="AP11" i="14"/>
  <c r="AL11" i="14"/>
  <c r="AP29" i="14"/>
  <c r="AR29" i="14" s="1"/>
  <c r="AL29" i="14"/>
  <c r="AH6" i="16"/>
  <c r="AG6" i="16"/>
  <c r="AK6" i="16"/>
  <c r="AI6" i="16"/>
  <c r="AO6" i="16" s="1"/>
  <c r="AM32" i="14"/>
  <c r="AK32" i="14"/>
  <c r="AR31" i="14"/>
  <c r="AH7" i="16"/>
  <c r="AG7" i="16"/>
  <c r="AK7" i="16"/>
  <c r="AI7" i="16"/>
  <c r="AO7" i="16" s="1"/>
  <c r="O20" i="17"/>
  <c r="N20" i="17"/>
  <c r="AP18" i="14"/>
  <c r="AL18" i="14"/>
  <c r="AK10" i="15"/>
  <c r="AH10" i="15"/>
  <c r="AG10" i="15"/>
  <c r="AG26" i="15"/>
  <c r="AK26" i="15"/>
  <c r="AI26" i="15"/>
  <c r="AO26" i="15" s="1"/>
  <c r="AH26" i="15"/>
  <c r="AP17" i="14"/>
  <c r="AR17" i="14" s="1"/>
  <c r="AL17" i="14"/>
  <c r="AR10" i="14"/>
  <c r="AM9" i="15"/>
  <c r="AN9" i="15" s="1"/>
  <c r="AI9" i="15"/>
  <c r="AO9" i="15" s="1"/>
  <c r="AH9" i="15"/>
  <c r="AG9" i="15"/>
  <c r="AK9" i="15"/>
  <c r="O23" i="17"/>
  <c r="N23" i="17"/>
  <c r="P3" i="16"/>
  <c r="AA3" i="16"/>
  <c r="Z3" i="16"/>
  <c r="Y3" i="16"/>
  <c r="X3" i="16"/>
  <c r="O18" i="17"/>
  <c r="N18" i="17"/>
  <c r="AR32" i="13"/>
  <c r="AU32" i="13"/>
  <c r="AH16" i="15"/>
  <c r="AK16" i="15"/>
  <c r="AG16" i="15"/>
  <c r="Y31" i="16"/>
  <c r="X31" i="16"/>
  <c r="Z31" i="16"/>
  <c r="AA31" i="16"/>
  <c r="P31" i="16"/>
  <c r="AP30" i="13"/>
  <c r="AL30" i="13"/>
  <c r="AA14" i="17"/>
  <c r="Z14" i="17"/>
  <c r="Y14" i="17"/>
  <c r="X14" i="17"/>
  <c r="P14" i="17"/>
  <c r="AR18" i="14"/>
  <c r="AI31" i="15"/>
  <c r="AO31" i="15" s="1"/>
  <c r="AG31" i="15"/>
  <c r="AK31" i="15"/>
  <c r="AH31" i="15"/>
  <c r="AR11" i="14"/>
  <c r="P27" i="16"/>
  <c r="Z27" i="16"/>
  <c r="Y27" i="16"/>
  <c r="AA27" i="16"/>
  <c r="X27" i="16"/>
  <c r="AL19" i="14"/>
  <c r="AP19" i="14"/>
  <c r="AH27" i="15"/>
  <c r="AG27" i="15"/>
  <c r="AM27" i="15"/>
  <c r="AN27" i="15" s="1"/>
  <c r="AK27" i="15"/>
  <c r="AH19" i="15"/>
  <c r="AG19" i="15"/>
  <c r="AK19" i="15"/>
  <c r="AR22" i="14"/>
  <c r="AA23" i="16"/>
  <c r="X23" i="16"/>
  <c r="Z23" i="16"/>
  <c r="Y23" i="16"/>
  <c r="P23" i="16"/>
  <c r="N3" i="17"/>
  <c r="O3" i="17"/>
  <c r="AR25" i="14"/>
  <c r="AM25" i="15"/>
  <c r="AN25" i="15" s="1"/>
  <c r="AK25" i="15"/>
  <c r="AH25" i="15"/>
  <c r="AG25" i="15"/>
  <c r="AN32" i="12"/>
  <c r="AK11" i="15"/>
  <c r="AH11" i="15"/>
  <c r="AG11" i="15"/>
  <c r="AM11" i="15"/>
  <c r="AN11" i="15" s="1"/>
  <c r="AI11" i="15"/>
  <c r="AO11" i="15" s="1"/>
  <c r="AA11" i="16"/>
  <c r="Z11" i="16"/>
  <c r="Y11" i="16"/>
  <c r="X11" i="16"/>
  <c r="P11" i="16"/>
  <c r="AR20" i="14"/>
  <c r="O31" i="17"/>
  <c r="N31" i="17"/>
  <c r="AL6" i="15"/>
  <c r="AP6" i="15"/>
  <c r="AP3" i="14"/>
  <c r="AR3" i="14" s="1"/>
  <c r="AL3" i="14"/>
  <c r="AP7" i="15"/>
  <c r="AR7" i="15" s="1"/>
  <c r="AL7" i="15"/>
  <c r="AP4" i="14"/>
  <c r="AR4" i="14" s="1"/>
  <c r="AL4" i="14"/>
  <c r="P16" i="16"/>
  <c r="AA16" i="16"/>
  <c r="Z16" i="16"/>
  <c r="Y16" i="16"/>
  <c r="X16" i="16"/>
  <c r="AA10" i="16"/>
  <c r="Z10" i="16"/>
  <c r="P10" i="16"/>
  <c r="Y10" i="16"/>
  <c r="X10" i="16"/>
  <c r="AP20" i="14"/>
  <c r="AL20" i="14"/>
  <c r="AM33" i="14"/>
  <c r="AN33" i="14" s="1"/>
  <c r="AM11" i="14"/>
  <c r="AN11" i="14" s="1"/>
  <c r="N27" i="17"/>
  <c r="O27" i="17"/>
  <c r="Z4" i="16"/>
  <c r="Y4" i="16"/>
  <c r="X4" i="16"/>
  <c r="AA4" i="16"/>
  <c r="P4" i="16"/>
  <c r="O9" i="17"/>
  <c r="N9" i="17"/>
  <c r="AL28" i="14"/>
  <c r="AP28" i="14"/>
  <c r="AR28" i="14" s="1"/>
  <c r="AK20" i="15"/>
  <c r="AH20" i="15"/>
  <c r="AG20" i="15"/>
  <c r="AM22" i="14"/>
  <c r="AN22" i="14" s="1"/>
  <c r="AK15" i="15"/>
  <c r="AG15" i="15"/>
  <c r="AH15" i="15"/>
  <c r="AM15" i="15" s="1"/>
  <c r="AN15" i="15" s="1"/>
  <c r="O25" i="17"/>
  <c r="N25" i="17"/>
  <c r="O15" i="17"/>
  <c r="N15" i="17"/>
  <c r="AH30" i="14"/>
  <c r="AG30" i="14"/>
  <c r="AK30" i="14"/>
  <c r="AI30" i="14"/>
  <c r="AO30" i="14" s="1"/>
  <c r="O11" i="17"/>
  <c r="N11" i="17"/>
  <c r="AW32" i="16" l="1"/>
  <c r="AH23" i="16"/>
  <c r="AM23" i="16" s="1"/>
  <c r="AN23" i="16" s="1"/>
  <c r="AG23" i="16"/>
  <c r="AK23" i="16"/>
  <c r="AH30" i="15"/>
  <c r="AG30" i="15"/>
  <c r="AM30" i="15" s="1"/>
  <c r="AN30" i="15" s="1"/>
  <c r="AI30" i="15"/>
  <c r="AO30" i="15" s="1"/>
  <c r="AK30" i="15"/>
  <c r="AP11" i="15"/>
  <c r="AR11" i="15" s="1"/>
  <c r="AL11" i="15"/>
  <c r="AK19" i="16"/>
  <c r="AH19" i="16"/>
  <c r="AG19" i="16"/>
  <c r="AR33" i="15"/>
  <c r="AK9" i="16"/>
  <c r="AG9" i="16"/>
  <c r="AI9" i="16"/>
  <c r="AO9" i="16" s="1"/>
  <c r="AH9" i="16"/>
  <c r="AP28" i="15"/>
  <c r="AL28" i="15"/>
  <c r="AP22" i="15"/>
  <c r="AR22" i="15" s="1"/>
  <c r="AL22" i="15"/>
  <c r="AL20" i="15"/>
  <c r="AP20" i="15"/>
  <c r="AH18" i="16"/>
  <c r="AM18" i="16" s="1"/>
  <c r="AN18" i="16" s="1"/>
  <c r="AG18" i="16"/>
  <c r="AK18" i="16"/>
  <c r="AM30" i="14"/>
  <c r="AN30" i="14" s="1"/>
  <c r="X26" i="17"/>
  <c r="P26" i="17"/>
  <c r="Z26" i="17"/>
  <c r="AA26" i="17"/>
  <c r="Y26" i="17"/>
  <c r="AK22" i="16"/>
  <c r="AG22" i="16"/>
  <c r="AM22" i="16"/>
  <c r="AN22" i="16" s="1"/>
  <c r="AH22" i="16"/>
  <c r="AM28" i="15"/>
  <c r="AN28" i="15" s="1"/>
  <c r="P28" i="17"/>
  <c r="AA28" i="17"/>
  <c r="X28" i="17"/>
  <c r="Z28" i="17"/>
  <c r="Y28" i="17"/>
  <c r="AR20" i="15"/>
  <c r="P23" i="17"/>
  <c r="Y23" i="17"/>
  <c r="AA23" i="17"/>
  <c r="Z23" i="17"/>
  <c r="X23" i="17"/>
  <c r="AR18" i="15"/>
  <c r="AH11" i="16"/>
  <c r="AG11" i="16"/>
  <c r="AM11" i="16" s="1"/>
  <c r="AN11" i="16" s="1"/>
  <c r="AK11" i="16"/>
  <c r="AI11" i="16"/>
  <c r="AO11" i="16" s="1"/>
  <c r="Z18" i="17"/>
  <c r="Y18" i="17"/>
  <c r="X18" i="17"/>
  <c r="AA18" i="17"/>
  <c r="P18" i="17"/>
  <c r="AH16" i="16"/>
  <c r="AG16" i="16"/>
  <c r="AM16" i="16"/>
  <c r="AN16" i="16" s="1"/>
  <c r="AK16" i="16"/>
  <c r="AW32" i="13"/>
  <c r="AL32" i="13"/>
  <c r="AU32" i="14"/>
  <c r="AR32" i="14"/>
  <c r="AI31" i="16"/>
  <c r="AO31" i="16" s="1"/>
  <c r="AH31" i="16"/>
  <c r="AG31" i="16"/>
  <c r="AK31" i="16"/>
  <c r="AL15" i="15"/>
  <c r="AP15" i="15"/>
  <c r="X20" i="17"/>
  <c r="P20" i="17"/>
  <c r="AA20" i="17"/>
  <c r="Z20" i="17"/>
  <c r="Y20" i="17"/>
  <c r="AP26" i="15"/>
  <c r="AL26" i="15"/>
  <c r="AK4" i="16"/>
  <c r="AH4" i="16"/>
  <c r="AG4" i="16"/>
  <c r="AM4" i="16" s="1"/>
  <c r="AN4" i="16" s="1"/>
  <c r="AG14" i="17"/>
  <c r="AK14" i="17"/>
  <c r="AH14" i="17"/>
  <c r="AN32" i="14"/>
  <c r="AP30" i="14"/>
  <c r="AR30" i="14" s="1"/>
  <c r="AL30" i="14"/>
  <c r="AM10" i="16"/>
  <c r="AN10" i="16" s="1"/>
  <c r="AH10" i="16"/>
  <c r="AG10" i="16"/>
  <c r="AK10" i="16"/>
  <c r="AK15" i="16"/>
  <c r="AH15" i="16"/>
  <c r="AG15" i="16"/>
  <c r="AA25" i="17"/>
  <c r="Z25" i="17"/>
  <c r="P25" i="17"/>
  <c r="Y25" i="17"/>
  <c r="X25" i="17"/>
  <c r="AR26" i="15"/>
  <c r="AK33" i="16"/>
  <c r="AH33" i="16"/>
  <c r="AM33" i="16" s="1"/>
  <c r="AN33" i="16" s="1"/>
  <c r="AG33" i="16"/>
  <c r="AI33" i="16"/>
  <c r="AO33" i="16" s="1"/>
  <c r="AA33" i="17"/>
  <c r="Z33" i="17"/>
  <c r="Y33" i="17"/>
  <c r="X33" i="17"/>
  <c r="P33" i="17"/>
  <c r="AI26" i="16"/>
  <c r="AO26" i="16" s="1"/>
  <c r="AH26" i="16"/>
  <c r="AK26" i="16"/>
  <c r="AG26" i="16"/>
  <c r="AH25" i="16"/>
  <c r="AK25" i="16"/>
  <c r="AG25" i="16"/>
  <c r="AM25" i="16" s="1"/>
  <c r="AN25" i="16" s="1"/>
  <c r="AN32" i="13"/>
  <c r="AA3" i="17"/>
  <c r="Y3" i="17"/>
  <c r="X3" i="17"/>
  <c r="P3" i="17"/>
  <c r="Z3" i="17"/>
  <c r="AL19" i="15"/>
  <c r="AP19" i="15"/>
  <c r="AR19" i="15" s="1"/>
  <c r="AR31" i="15"/>
  <c r="AL7" i="16"/>
  <c r="AP7" i="16"/>
  <c r="AR7" i="16" s="1"/>
  <c r="AA22" i="17"/>
  <c r="Z22" i="17"/>
  <c r="Y22" i="17"/>
  <c r="P22" i="17"/>
  <c r="X22" i="17"/>
  <c r="AK7" i="17"/>
  <c r="AI7" i="17"/>
  <c r="AO7" i="17" s="1"/>
  <c r="AH7" i="17"/>
  <c r="AG7" i="17"/>
  <c r="AP18" i="15"/>
  <c r="AL18" i="15"/>
  <c r="AH28" i="16"/>
  <c r="AK28" i="16"/>
  <c r="AG28" i="16"/>
  <c r="AM28" i="16" s="1"/>
  <c r="AN28" i="16" s="1"/>
  <c r="AR28" i="15"/>
  <c r="AL14" i="16"/>
  <c r="AP14" i="16"/>
  <c r="AA15" i="17"/>
  <c r="Z15" i="17"/>
  <c r="Y15" i="17"/>
  <c r="X15" i="17"/>
  <c r="P15" i="17"/>
  <c r="AL16" i="15"/>
  <c r="AP16" i="15"/>
  <c r="AH3" i="16"/>
  <c r="AG3" i="16"/>
  <c r="AM3" i="16"/>
  <c r="AN3" i="16" s="1"/>
  <c r="AK3" i="16"/>
  <c r="AM26" i="15"/>
  <c r="AN26" i="15" s="1"/>
  <c r="AA19" i="17"/>
  <c r="Z19" i="17"/>
  <c r="Y19" i="17"/>
  <c r="X19" i="17"/>
  <c r="P19" i="17"/>
  <c r="AH20" i="16"/>
  <c r="AK20" i="16"/>
  <c r="AG20" i="16"/>
  <c r="AM20" i="16" s="1"/>
  <c r="AN20" i="16" s="1"/>
  <c r="AP4" i="15"/>
  <c r="AL4" i="15"/>
  <c r="P9" i="17"/>
  <c r="AA9" i="17"/>
  <c r="Z9" i="17"/>
  <c r="Y9" i="17"/>
  <c r="X9" i="17"/>
  <c r="AL25" i="15"/>
  <c r="AP25" i="15"/>
  <c r="AR25" i="15" s="1"/>
  <c r="AM16" i="15"/>
  <c r="AN16" i="15" s="1"/>
  <c r="AM7" i="16"/>
  <c r="AN7" i="16" s="1"/>
  <c r="AP6" i="16"/>
  <c r="AR6" i="16" s="1"/>
  <c r="AL6" i="16"/>
  <c r="P10" i="17"/>
  <c r="Z10" i="17"/>
  <c r="Y10" i="17"/>
  <c r="X10" i="17"/>
  <c r="AA10" i="17"/>
  <c r="AA30" i="16"/>
  <c r="X30" i="16"/>
  <c r="Z30" i="16"/>
  <c r="Y30" i="16"/>
  <c r="P30" i="16"/>
  <c r="AP3" i="15"/>
  <c r="AR3" i="15" s="1"/>
  <c r="AL3" i="15"/>
  <c r="AK6" i="17"/>
  <c r="AI6" i="17"/>
  <c r="AO6" i="17" s="1"/>
  <c r="AH6" i="17"/>
  <c r="AG6" i="17"/>
  <c r="AR4" i="15"/>
  <c r="AM22" i="15"/>
  <c r="AN22" i="15" s="1"/>
  <c r="AR14" i="16"/>
  <c r="AL27" i="15"/>
  <c r="AP27" i="15"/>
  <c r="AP10" i="15"/>
  <c r="AR10" i="15" s="1"/>
  <c r="AL10" i="15"/>
  <c r="AR15" i="15"/>
  <c r="AM19" i="15"/>
  <c r="AN19" i="15" s="1"/>
  <c r="AG27" i="16"/>
  <c r="AM27" i="16" s="1"/>
  <c r="AN27" i="16" s="1"/>
  <c r="AK27" i="16"/>
  <c r="AH27" i="16"/>
  <c r="AL31" i="15"/>
  <c r="AP31" i="15"/>
  <c r="AL9" i="15"/>
  <c r="AP9" i="15"/>
  <c r="AR9" i="15" s="1"/>
  <c r="AM10" i="15"/>
  <c r="AN10" i="15" s="1"/>
  <c r="AM6" i="16"/>
  <c r="AN6" i="16" s="1"/>
  <c r="O30" i="17"/>
  <c r="N30" i="17"/>
  <c r="Z11" i="17"/>
  <c r="Y11" i="17"/>
  <c r="X11" i="17"/>
  <c r="AA11" i="17"/>
  <c r="P11" i="17"/>
  <c r="Z27" i="17"/>
  <c r="Y27" i="17"/>
  <c r="X27" i="17"/>
  <c r="P27" i="17"/>
  <c r="AA27" i="17"/>
  <c r="AM20" i="15"/>
  <c r="AN20" i="15" s="1"/>
  <c r="P31" i="17"/>
  <c r="AA31" i="17"/>
  <c r="X31" i="17"/>
  <c r="Z31" i="17"/>
  <c r="Y31" i="17"/>
  <c r="AR27" i="15"/>
  <c r="AM31" i="15"/>
  <c r="AN31" i="15" s="1"/>
  <c r="AR16" i="15"/>
  <c r="P4" i="17"/>
  <c r="Z4" i="17"/>
  <c r="Y4" i="17"/>
  <c r="AA4" i="17"/>
  <c r="X4" i="17"/>
  <c r="AL33" i="15"/>
  <c r="AP33" i="15"/>
  <c r="AM4" i="15"/>
  <c r="AN4" i="15" s="1"/>
  <c r="Y16" i="17"/>
  <c r="X16" i="17"/>
  <c r="AA16" i="17"/>
  <c r="Z16" i="17"/>
  <c r="P16" i="17"/>
  <c r="AL23" i="15"/>
  <c r="AP23" i="15"/>
  <c r="AR23" i="15" s="1"/>
  <c r="AM14" i="16"/>
  <c r="AN14" i="16" s="1"/>
  <c r="AL9" i="16" l="1"/>
  <c r="AP9" i="16"/>
  <c r="AR9" i="16" s="1"/>
  <c r="AG15" i="17"/>
  <c r="AM15" i="17"/>
  <c r="AN15" i="17" s="1"/>
  <c r="AK15" i="17"/>
  <c r="AK33" i="17"/>
  <c r="AI33" i="17"/>
  <c r="AO33" i="17" s="1"/>
  <c r="AH33" i="17"/>
  <c r="AG33" i="17"/>
  <c r="AG23" i="17"/>
  <c r="AM23" i="17"/>
  <c r="AN23" i="17" s="1"/>
  <c r="AK23" i="17"/>
  <c r="AL6" i="17"/>
  <c r="AP6" i="17"/>
  <c r="AR6" i="17" s="1"/>
  <c r="AM22" i="17"/>
  <c r="AN22" i="17" s="1"/>
  <c r="AG22" i="17"/>
  <c r="AK22" i="17"/>
  <c r="AW32" i="14"/>
  <c r="AL32" i="14"/>
  <c r="AG28" i="17"/>
  <c r="AK28" i="17"/>
  <c r="AM28" i="17"/>
  <c r="AN28" i="17" s="1"/>
  <c r="AR18" i="16"/>
  <c r="AP19" i="16"/>
  <c r="AL19" i="16"/>
  <c r="AM26" i="16"/>
  <c r="AN26" i="16" s="1"/>
  <c r="AP15" i="16"/>
  <c r="AR15" i="16" s="1"/>
  <c r="AL15" i="16"/>
  <c r="AP16" i="16"/>
  <c r="AL16" i="16"/>
  <c r="AA30" i="17"/>
  <c r="Z30" i="17"/>
  <c r="Y30" i="17"/>
  <c r="P30" i="17"/>
  <c r="X30" i="17"/>
  <c r="AK10" i="17"/>
  <c r="AG10" i="17"/>
  <c r="AM19" i="17"/>
  <c r="AN19" i="17" s="1"/>
  <c r="AK19" i="17"/>
  <c r="AG19" i="17"/>
  <c r="AM6" i="17"/>
  <c r="AN6" i="17" s="1"/>
  <c r="AK25" i="17"/>
  <c r="AG25" i="17"/>
  <c r="AM25" i="17" s="1"/>
  <c r="AN25" i="17" s="1"/>
  <c r="AM15" i="16"/>
  <c r="AN15" i="16" s="1"/>
  <c r="AL31" i="16"/>
  <c r="AP31" i="16"/>
  <c r="AR31" i="16" s="1"/>
  <c r="AW32" i="17"/>
  <c r="AP28" i="16"/>
  <c r="AR28" i="16" s="1"/>
  <c r="AL28" i="16"/>
  <c r="AL4" i="16"/>
  <c r="AP4" i="16"/>
  <c r="AR4" i="16" s="1"/>
  <c r="AL25" i="16"/>
  <c r="AP25" i="16"/>
  <c r="AR25" i="16" s="1"/>
  <c r="AL22" i="16"/>
  <c r="AP22" i="16"/>
  <c r="AR22" i="16" s="1"/>
  <c r="AK11" i="17"/>
  <c r="AH11" i="17"/>
  <c r="AG11" i="17"/>
  <c r="AI11" i="17"/>
  <c r="AO11" i="17" s="1"/>
  <c r="AP3" i="16"/>
  <c r="AR3" i="16" s="1"/>
  <c r="AL3" i="16"/>
  <c r="AH31" i="17"/>
  <c r="AG31" i="17"/>
  <c r="AM31" i="17"/>
  <c r="AN31" i="17" s="1"/>
  <c r="AI31" i="17"/>
  <c r="AO31" i="17" s="1"/>
  <c r="AK31" i="17"/>
  <c r="AK16" i="17"/>
  <c r="AH16" i="17"/>
  <c r="AG16" i="17"/>
  <c r="AM27" i="17"/>
  <c r="AN27" i="17" s="1"/>
  <c r="AK27" i="17"/>
  <c r="AG27" i="17"/>
  <c r="AG30" i="16"/>
  <c r="AK30" i="16"/>
  <c r="AH30" i="16"/>
  <c r="AI30" i="16"/>
  <c r="AO30" i="16" s="1"/>
  <c r="AG9" i="17"/>
  <c r="AM9" i="17" s="1"/>
  <c r="AN9" i="17" s="1"/>
  <c r="AH9" i="17"/>
  <c r="AK9" i="17"/>
  <c r="AI9" i="17"/>
  <c r="AO9" i="17" s="1"/>
  <c r="AK3" i="17"/>
  <c r="AG3" i="17"/>
  <c r="AM3" i="17" s="1"/>
  <c r="AN3" i="17" s="1"/>
  <c r="AP26" i="16"/>
  <c r="AR26" i="16" s="1"/>
  <c r="AL26" i="16"/>
  <c r="AR14" i="17"/>
  <c r="AP18" i="16"/>
  <c r="AL18" i="16"/>
  <c r="AM19" i="16"/>
  <c r="AN19" i="16" s="1"/>
  <c r="AP23" i="16"/>
  <c r="AR23" i="16" s="1"/>
  <c r="AL23" i="16"/>
  <c r="AP20" i="16"/>
  <c r="AR20" i="16" s="1"/>
  <c r="AL20" i="16"/>
  <c r="AL14" i="17"/>
  <c r="AP14" i="17"/>
  <c r="AP27" i="16"/>
  <c r="AR27" i="16" s="1"/>
  <c r="AL27" i="16"/>
  <c r="AL7" i="17"/>
  <c r="AP7" i="17"/>
  <c r="AR7" i="17" s="1"/>
  <c r="AL10" i="16"/>
  <c r="AP10" i="16"/>
  <c r="AR10" i="16" s="1"/>
  <c r="AK20" i="17"/>
  <c r="AG20" i="17"/>
  <c r="AM20" i="17"/>
  <c r="AN20" i="17" s="1"/>
  <c r="AP11" i="16"/>
  <c r="AR11" i="16" s="1"/>
  <c r="AL11" i="16"/>
  <c r="AR19" i="16"/>
  <c r="AG4" i="17"/>
  <c r="AK4" i="17"/>
  <c r="AM4" i="17"/>
  <c r="AN4" i="17" s="1"/>
  <c r="AM7" i="17"/>
  <c r="AN7" i="17" s="1"/>
  <c r="AL33" i="16"/>
  <c r="AP33" i="16"/>
  <c r="AR33" i="16" s="1"/>
  <c r="AM14" i="17"/>
  <c r="AN14" i="17" s="1"/>
  <c r="AM31" i="16"/>
  <c r="AN31" i="16" s="1"/>
  <c r="AR16" i="16"/>
  <c r="AK18" i="17"/>
  <c r="AG18" i="17"/>
  <c r="AI26" i="17"/>
  <c r="AO26" i="17" s="1"/>
  <c r="AH26" i="17"/>
  <c r="AG26" i="17"/>
  <c r="AK26" i="17"/>
  <c r="AM9" i="16"/>
  <c r="AN9" i="16" s="1"/>
  <c r="AP30" i="15"/>
  <c r="AR30" i="15" s="1"/>
  <c r="AL30" i="15"/>
  <c r="AP26" i="17" l="1"/>
  <c r="AR26" i="17" s="1"/>
  <c r="AL26" i="17"/>
  <c r="AP16" i="17"/>
  <c r="AR16" i="17" s="1"/>
  <c r="AL16" i="17"/>
  <c r="AP10" i="17"/>
  <c r="AR10" i="17" s="1"/>
  <c r="AL10" i="17"/>
  <c r="AL33" i="17"/>
  <c r="AP33" i="17"/>
  <c r="AP30" i="16"/>
  <c r="AR30" i="16" s="1"/>
  <c r="AL30" i="16"/>
  <c r="AK30" i="17"/>
  <c r="AG30" i="17"/>
  <c r="AI30" i="17"/>
  <c r="AO30" i="17" s="1"/>
  <c r="AH30" i="17"/>
  <c r="AR28" i="17"/>
  <c r="AR33" i="17"/>
  <c r="AM26" i="17"/>
  <c r="AN26" i="17" s="1"/>
  <c r="AP20" i="17"/>
  <c r="AL20" i="17"/>
  <c r="AL27" i="17"/>
  <c r="AP27" i="17"/>
  <c r="AL11" i="17"/>
  <c r="AP11" i="17"/>
  <c r="AR11" i="17" s="1"/>
  <c r="AP19" i="17"/>
  <c r="AL19" i="17"/>
  <c r="AP28" i="17"/>
  <c r="AL28" i="17"/>
  <c r="AM33" i="17"/>
  <c r="AN33" i="17" s="1"/>
  <c r="AR20" i="17"/>
  <c r="AP9" i="17"/>
  <c r="AR9" i="17" s="1"/>
  <c r="AL9" i="17"/>
  <c r="AR27" i="17"/>
  <c r="AR19" i="17"/>
  <c r="AR23" i="17"/>
  <c r="AR15" i="17"/>
  <c r="AP25" i="17"/>
  <c r="AR25" i="17" s="1"/>
  <c r="AL25" i="17"/>
  <c r="AL18" i="17"/>
  <c r="AP18" i="17"/>
  <c r="AR18" i="17"/>
  <c r="AP3" i="17"/>
  <c r="AL3" i="17"/>
  <c r="AP31" i="17"/>
  <c r="AR31" i="17" s="1"/>
  <c r="AL31" i="17"/>
  <c r="AM18" i="17"/>
  <c r="AN18" i="17" s="1"/>
  <c r="AL4" i="17"/>
  <c r="AP4" i="17"/>
  <c r="AR4" i="17" s="1"/>
  <c r="AR3" i="17"/>
  <c r="AM30" i="16"/>
  <c r="AN30" i="16" s="1"/>
  <c r="AM16" i="17"/>
  <c r="AN16" i="17" s="1"/>
  <c r="AM11" i="17"/>
  <c r="AN11" i="17" s="1"/>
  <c r="AM10" i="17"/>
  <c r="AN10" i="17" s="1"/>
  <c r="AL22" i="17"/>
  <c r="AP22" i="17"/>
  <c r="AR22" i="17" s="1"/>
  <c r="AP23" i="17"/>
  <c r="AL23" i="17"/>
  <c r="AP15" i="17"/>
  <c r="AL15" i="17"/>
  <c r="AL30" i="17" l="1"/>
  <c r="AP30" i="17"/>
  <c r="AR30" i="17"/>
  <c r="AM30" i="17"/>
  <c r="AN30" i="17" s="1"/>
</calcChain>
</file>

<file path=xl/comments1.xml><?xml version="1.0" encoding="utf-8"?>
<comments xmlns="http://schemas.openxmlformats.org/spreadsheetml/2006/main">
  <authors>
    <author/>
  </authors>
  <commentList>
    <comment ref="AF2" authorId="0" shapeId="0">
      <text>
        <r>
          <rPr>
            <sz val="10"/>
            <color rgb="FF000000"/>
            <rFont val="Arial"/>
            <scheme val="minor"/>
          </rPr>
          <t>Encashable on 30/04/2021</t>
        </r>
      </text>
    </comment>
  </commentList>
</comments>
</file>

<file path=xl/comments2.xml><?xml version="1.0" encoding="utf-8"?>
<comments xmlns="http://schemas.openxmlformats.org/spreadsheetml/2006/main">
  <authors>
    <author>tc={51104030-44d4-49b9-bb10-7addb68caeb1}</author>
  </authors>
  <commentList>
    <comment ref="L10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Comp-off. Worked on May-17
</t>
        </r>
      </text>
    </comment>
  </commentList>
</comments>
</file>

<file path=xl/comments3.xml><?xml version="1.0" encoding="utf-8"?>
<comments xmlns="http://schemas.openxmlformats.org/spreadsheetml/2006/main">
  <authors>
    <author>tc={44ae8b09-e26d-47e9-9f85-e569477d4f97}</author>
    <author>tc={915c7ff1-17e9-4b8d-88d6-5372a273a1ee}</author>
    <author>tc={52cc2b60-cf40-4c80-967a-aeb95aa1b098}</author>
  </authors>
  <commentList>
    <comment ref="L22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day Comp-off credited for working on 13/7
</t>
        </r>
      </text>
    </comment>
    <comment ref="L28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0.5 day Comp-off credited for working on 13/7
</t>
        </r>
      </text>
    </comment>
    <comment ref="L29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0.5 day Comp-off credited for working on 13/7
</t>
        </r>
      </text>
    </comment>
  </commentList>
</comments>
</file>

<file path=xl/comments4.xml><?xml version="1.0" encoding="utf-8"?>
<comments xmlns="http://schemas.openxmlformats.org/spreadsheetml/2006/main">
  <authors>
    <author>tc={48f749cf-5c01-4852-934b-70215a99ac96}</author>
    <author>tc={8fb9da8b-b0d6-4f9c-a2d6-01e2f5273f3a}</author>
    <author>tc={df92f570-16b6-4dd2-9a7d-f58ef231ed2e}</author>
    <author>tc={06faed5c-2197-40af-bf2e-afbab984bbeb}</author>
  </authors>
  <commentList>
    <comment ref="K5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L5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on Sep 7
</t>
        </r>
      </text>
    </comment>
    <comment ref="K13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K24" authorId="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</commentList>
</comments>
</file>

<file path=xl/comments5.xml><?xml version="1.0" encoding="utf-8"?>
<comments xmlns="http://schemas.openxmlformats.org/spreadsheetml/2006/main">
  <authors>
    <author>tc={2b2ea529-13a1-4307-a28a-d23ff2d07db4}</author>
    <author>tc={4202a53b-36c0-46b6-b856-02dec074bd2b}</author>
  </authors>
  <commentList>
    <comment ref="L7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for Working on Oct 22 (Deepavali)
</t>
        </r>
      </text>
    </comment>
    <comment ref="L29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for working on Oct 2
</t>
        </r>
      </text>
    </comment>
  </commentList>
</comments>
</file>

<file path=xl/comments6.xml><?xml version="1.0" encoding="utf-8"?>
<comments xmlns="http://schemas.openxmlformats.org/spreadsheetml/2006/main">
  <authors>
    <author>tc={e31df8b2-8210-4ef5-8b9b-197e85c7410d}</author>
    <author>tc={fe85ea6a-c76d-4a8f-a22c-82f1b9dd66b0}</author>
    <author>tc={658b1cd0-cc5a-48f8-8930-a4959d5bc769}</author>
    <author>tc={98759085-e67f-49e2-8073-427075a066a5}</author>
    <author>tc={31a3b5cf-cd62-4930-b3cd-e0dd2193e5d6}</author>
  </authors>
  <commentList>
    <comment ref="K5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AE18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LOP amount deducted in Dec 2025
</t>
        </r>
      </text>
    </comment>
    <comment ref="AE24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Arrears for error in Oct, Nov, Dec payroll - 1 day LOP was applied every month
</t>
        </r>
      </text>
    </comment>
    <comment ref="K29" authorId="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K32" authorId="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</commentList>
</comments>
</file>

<file path=xl/comments7.xml><?xml version="1.0" encoding="utf-8"?>
<comments xmlns="http://schemas.openxmlformats.org/spreadsheetml/2006/main">
  <authors>
    <author>tc={6de039fe-7126-4e52-8e81-725c96d563fd}</author>
    <author>tc={47a89a0e-bbbb-4e57-a90e-91688dbc83e1}</author>
    <author>tc={950710d2-8afd-4c6d-9358-a4a27fd69f08}</author>
  </authors>
  <commentList>
    <comment ref="L6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RH
</t>
        </r>
      </text>
    </comment>
    <comment ref="L10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RH
</t>
        </r>
      </text>
    </comment>
    <comment ref="L24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 on Feb-1
</t>
        </r>
      </text>
    </comment>
  </commentList>
</comments>
</file>

<file path=xl/sharedStrings.xml><?xml version="1.0" encoding="utf-8"?>
<sst xmlns="http://schemas.openxmlformats.org/spreadsheetml/2006/main" count="1556" uniqueCount="179">
  <si>
    <t>Employee ID</t>
  </si>
  <si>
    <t>Gender</t>
  </si>
  <si>
    <t>Saumya R Rao</t>
  </si>
  <si>
    <t>HDFC Bank</t>
  </si>
  <si>
    <t>12691870000226</t>
  </si>
  <si>
    <t>HDFC0001269</t>
  </si>
  <si>
    <t>F</t>
  </si>
  <si>
    <t>Kiran Sham Khandige</t>
  </si>
  <si>
    <t>ICICI bank</t>
  </si>
  <si>
    <t>001401514208</t>
  </si>
  <si>
    <t>ICIC0000014</t>
  </si>
  <si>
    <t>M</t>
  </si>
  <si>
    <t>Dinesh</t>
  </si>
  <si>
    <t>Kotak Mahindra Bank</t>
  </si>
  <si>
    <t>1113584104</t>
  </si>
  <si>
    <t>KKBK0007937</t>
  </si>
  <si>
    <t>Rakshita Salyan</t>
  </si>
  <si>
    <t>1113586177</t>
  </si>
  <si>
    <t>Dishanth D</t>
  </si>
  <si>
    <t>3948638977</t>
  </si>
  <si>
    <t>Veeralakshmi R</t>
  </si>
  <si>
    <t>50100454812858</t>
  </si>
  <si>
    <t>HDFC0003699</t>
  </si>
  <si>
    <t>Sushmitha Shetty</t>
  </si>
  <si>
    <t>Bank of Baroda</t>
  </si>
  <si>
    <t>82010100004480</t>
  </si>
  <si>
    <t>BARB0VJKARK</t>
  </si>
  <si>
    <t>Gururaj Shet</t>
  </si>
  <si>
    <t>Karnataka Bank</t>
  </si>
  <si>
    <t>4782500102104101</t>
  </si>
  <si>
    <t>KARB0000478</t>
  </si>
  <si>
    <t>Brijesh Kanchan</t>
  </si>
  <si>
    <t>Union Bank of India</t>
  </si>
  <si>
    <t>520291002188411</t>
  </si>
  <si>
    <t>UBIN0901768</t>
  </si>
  <si>
    <t>Karthik</t>
  </si>
  <si>
    <t>State Bank of India</t>
  </si>
  <si>
    <t>20326554019</t>
  </si>
  <si>
    <t>SBIN0017762</t>
  </si>
  <si>
    <t>Kiruthika Bala</t>
  </si>
  <si>
    <t>20082899400</t>
  </si>
  <si>
    <t>SBIN0003143</t>
  </si>
  <si>
    <t>Shrilatha Hegde</t>
  </si>
  <si>
    <t>50100273530923</t>
  </si>
  <si>
    <t>Charith Raj</t>
  </si>
  <si>
    <t>6992500100773101</t>
  </si>
  <si>
    <t>KARB0000699</t>
  </si>
  <si>
    <t>Dheeraj</t>
  </si>
  <si>
    <t>4322500100894301</t>
  </si>
  <si>
    <t>KARB0000432</t>
  </si>
  <si>
    <t>Axis Bank</t>
  </si>
  <si>
    <t>Vijay Corda</t>
  </si>
  <si>
    <t>ICICI Bank</t>
  </si>
  <si>
    <t>235101504681</t>
  </si>
  <si>
    <t>ICIC0002351</t>
  </si>
  <si>
    <t>Nithesha</t>
  </si>
  <si>
    <t>4447270132</t>
  </si>
  <si>
    <t>Amritha Vikram Shenoy</t>
  </si>
  <si>
    <t>Canara Bank</t>
  </si>
  <si>
    <t>2753101008732</t>
  </si>
  <si>
    <t>CNRB0000611</t>
  </si>
  <si>
    <t>Viola DSouza</t>
  </si>
  <si>
    <t>520101012785829</t>
  </si>
  <si>
    <t>UBIN0910848</t>
  </si>
  <si>
    <t>Adithya Kini</t>
  </si>
  <si>
    <t>3948638991</t>
  </si>
  <si>
    <t>Thulasi Ninnikal</t>
  </si>
  <si>
    <t>919010001528637</t>
  </si>
  <si>
    <t>UTIB0000073</t>
  </si>
  <si>
    <t>Dashwitha Monteiro</t>
  </si>
  <si>
    <t>7532500102901901</t>
  </si>
  <si>
    <t>KARB0000753</t>
  </si>
  <si>
    <t>Karthik Shetty</t>
  </si>
  <si>
    <t>4447270118</t>
  </si>
  <si>
    <t>Ananya MK</t>
  </si>
  <si>
    <t>Union Bank</t>
  </si>
  <si>
    <t>520101253032790</t>
  </si>
  <si>
    <t>UBIN0901679</t>
  </si>
  <si>
    <t>Suchithra Nayak</t>
  </si>
  <si>
    <t>81910100000314</t>
  </si>
  <si>
    <t>BARB0VJKUKU</t>
  </si>
  <si>
    <t>Nireeksha</t>
  </si>
  <si>
    <t>01792210015172</t>
  </si>
  <si>
    <t>CNRB0010179</t>
  </si>
  <si>
    <t>Srijan Mahale</t>
  </si>
  <si>
    <t xml:space="preserve">Karnataka Bank </t>
  </si>
  <si>
    <t>7552500101343501</t>
  </si>
  <si>
    <t>KARB0000755</t>
  </si>
  <si>
    <t>Aniruddha Kulkarni</t>
  </si>
  <si>
    <t>3448101004542</t>
  </si>
  <si>
    <t>CNRB0003448</t>
  </si>
  <si>
    <t>Ashish V Kumar</t>
  </si>
  <si>
    <t>520101001707538</t>
  </si>
  <si>
    <t>UBIN0930881</t>
  </si>
  <si>
    <t>Shwan Prajwal DSouza</t>
  </si>
  <si>
    <t>3448101002990</t>
  </si>
  <si>
    <t>Rajesh A A Gowda</t>
  </si>
  <si>
    <t>404010100044970</t>
  </si>
  <si>
    <t>UTIB0003855</t>
  </si>
  <si>
    <t>Shashank Rai</t>
  </si>
  <si>
    <t>BARB0VJSHIS</t>
  </si>
  <si>
    <t>Ashwith Poojary</t>
  </si>
  <si>
    <t>UBIN0552011</t>
  </si>
  <si>
    <t>Keerthan N</t>
  </si>
  <si>
    <t>CANARA BANK</t>
  </si>
  <si>
    <t>CNRB0000657</t>
  </si>
  <si>
    <t>Likhitha</t>
  </si>
  <si>
    <t>Hrishikesh Shetty</t>
  </si>
  <si>
    <t>bank of baroda</t>
  </si>
  <si>
    <t>BARB0VJKMBA</t>
  </si>
  <si>
    <t>Abdul Hadi Bin Nizar</t>
  </si>
  <si>
    <t>HDFC0000361</t>
  </si>
  <si>
    <t>Sharon Brayan DSouza</t>
  </si>
  <si>
    <t>Manoj Shetty</t>
  </si>
  <si>
    <t>Karan Shetty</t>
  </si>
  <si>
    <t>Total CTC</t>
  </si>
  <si>
    <t>Earnings</t>
  </si>
  <si>
    <t>Deductions</t>
  </si>
  <si>
    <t>Employee Name</t>
  </si>
  <si>
    <t>UAN</t>
  </si>
  <si>
    <t>Bank Name</t>
  </si>
  <si>
    <t>Bank Account #</t>
  </si>
  <si>
    <t>Bank IFSC Code</t>
  </si>
  <si>
    <t>City</t>
  </si>
  <si>
    <t>Days in month</t>
  </si>
  <si>
    <t>Days of Pay</t>
  </si>
  <si>
    <t>Opening Leave Balance</t>
  </si>
  <si>
    <t>Eligible Leaves</t>
  </si>
  <si>
    <t>Leaves Availed</t>
  </si>
  <si>
    <t>Loss of Pay Days</t>
  </si>
  <si>
    <t>Closing Leave Balance</t>
  </si>
  <si>
    <t>Payable Days</t>
  </si>
  <si>
    <t>Basic + DA</t>
  </si>
  <si>
    <t>HRA</t>
  </si>
  <si>
    <t>Medical allowance</t>
  </si>
  <si>
    <t>Conveyance</t>
  </si>
  <si>
    <t>Individual Performance Incentive</t>
  </si>
  <si>
    <t>Company Performance Incentive</t>
  </si>
  <si>
    <t>Total Fixed Salary</t>
  </si>
  <si>
    <t>Payable Basic + DA</t>
  </si>
  <si>
    <t>Payable HRA</t>
  </si>
  <si>
    <t>Payable Medical Allowance</t>
  </si>
  <si>
    <t>Payable Conveyance</t>
  </si>
  <si>
    <t>Salary Loan availed this month</t>
  </si>
  <si>
    <t>Other Arrears / Incentives</t>
  </si>
  <si>
    <t>Bonus Accrued</t>
  </si>
  <si>
    <t>Provident Fund (PF)</t>
  </si>
  <si>
    <t>Professional Tax (PT)</t>
  </si>
  <si>
    <t>Employees' State Insurance (ESI)</t>
  </si>
  <si>
    <t>Loan EMI</t>
  </si>
  <si>
    <t>Total Additions</t>
  </si>
  <si>
    <t>Total Deductions</t>
  </si>
  <si>
    <t>Total Salary</t>
  </si>
  <si>
    <t>Payable Salary</t>
  </si>
  <si>
    <t>Employer contribution to ESI</t>
  </si>
  <si>
    <t>Employer contribution to PF</t>
  </si>
  <si>
    <t>Gratuity</t>
  </si>
  <si>
    <t>Previous Loan Balance</t>
  </si>
  <si>
    <t>Closing Loan Balance</t>
  </si>
  <si>
    <t>Tax Deduction on Source (TDS)</t>
  </si>
  <si>
    <t>Annual Bonus</t>
  </si>
  <si>
    <t>Cumulative TDS for this FY</t>
  </si>
  <si>
    <t>Remarks</t>
  </si>
  <si>
    <t>Loan repayment outside Salary</t>
  </si>
  <si>
    <t>Active (Y/N)</t>
  </si>
  <si>
    <t>Y</t>
  </si>
  <si>
    <t>N</t>
  </si>
  <si>
    <t>Rajesh Gowda</t>
  </si>
  <si>
    <t>UTIB0000404</t>
  </si>
  <si>
    <t xml:space="preserve">Bank Account # </t>
  </si>
  <si>
    <t xml:space="preserve">Company Performance Incentive </t>
  </si>
  <si>
    <t>Salary for 4 days of July included as arrears</t>
  </si>
  <si>
    <t>Fuel reimbursement included</t>
  </si>
  <si>
    <t>Travel expenses included</t>
  </si>
  <si>
    <t>Arrears of December 2025 included</t>
  </si>
  <si>
    <t>Arrears of Salary for Oct, Nov, Dec 2025 included</t>
  </si>
  <si>
    <t>Earlier Total Fixed Salary</t>
  </si>
  <si>
    <t>Difference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</si>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</sst>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mmmm\ yyyy"/>
    <numFmt numFmtId="168" formatCode="0.0"/>
  </numFmts>
  <fonts count="8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FF0000"/>
      <name val="Calibri"/>
    </font>
    <font>
      <sz val="10"/>
      <name val="Arial"/>
    </font>
    <font>
      <b/>
      <sz val="11"/>
      <color theme="1"/>
      <name val="Calibri"/>
    </font>
    <font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/>
    <xf numFmtId="0" fontId="3" fillId="0" borderId="1" xfId="0" applyFont="1" applyBorder="1" applyAlignment="1"/>
    <xf numFmtId="49" fontId="4" fillId="0" borderId="1" xfId="0" applyNumberFormat="1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3" fillId="0" borderId="0" xfId="0" applyFont="1" applyAlignment="1"/>
    <xf numFmtId="0" fontId="3" fillId="3" borderId="0" xfId="0" applyFont="1" applyFill="1" applyAlignment="1"/>
    <xf numFmtId="49" fontId="3" fillId="0" borderId="1" xfId="0" applyNumberFormat="1" applyFont="1" applyBorder="1" applyAlignment="1"/>
    <xf numFmtId="1" fontId="3" fillId="3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/>
    <xf numFmtId="167" fontId="3" fillId="0" borderId="1" xfId="0" applyNumberFormat="1" applyFont="1" applyBorder="1" applyAlignment="1">
      <alignment horizontal="right" wrapText="1"/>
    </xf>
    <xf numFmtId="0" fontId="3" fillId="3" borderId="1" xfId="0" applyFont="1" applyFill="1" applyBorder="1" applyAlignment="1"/>
    <xf numFmtId="0" fontId="3" fillId="2" borderId="1" xfId="0" applyFont="1" applyFill="1" applyBorder="1" applyAlignment="1"/>
    <xf numFmtId="0" fontId="3" fillId="4" borderId="1" xfId="0" applyFont="1" applyFill="1" applyBorder="1" applyAlignment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3" fillId="3" borderId="1" xfId="0" applyFont="1" applyFill="1" applyBorder="1" applyAlignment="1">
      <alignment horizontal="right" wrapText="1"/>
    </xf>
    <xf numFmtId="2" fontId="3" fillId="2" borderId="1" xfId="0" applyNumberFormat="1" applyFont="1" applyFill="1" applyBorder="1" applyAlignment="1">
      <alignment horizontal="right" wrapText="1"/>
    </xf>
    <xf numFmtId="168" fontId="3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1" fontId="3" fillId="2" borderId="1" xfId="0" applyNumberFormat="1" applyFont="1" applyFill="1" applyBorder="1" applyAlignment="1">
      <alignment horizontal="right" wrapText="1"/>
    </xf>
    <xf numFmtId="1" fontId="3" fillId="5" borderId="1" xfId="0" applyNumberFormat="1" applyFont="1" applyFill="1" applyBorder="1" applyAlignment="1">
      <alignment horizontal="right" wrapText="1"/>
    </xf>
    <xf numFmtId="1" fontId="3" fillId="3" borderId="1" xfId="0" applyNumberFormat="1" applyFont="1" applyFill="1" applyBorder="1" applyAlignment="1">
      <alignment horizontal="right" wrapText="1"/>
    </xf>
    <xf numFmtId="1" fontId="3" fillId="2" borderId="1" xfId="0" applyNumberFormat="1" applyFont="1" applyFill="1" applyBorder="1" applyAlignment="1">
      <alignment horizontal="right" wrapText="1"/>
    </xf>
    <xf numFmtId="1" fontId="3" fillId="4" borderId="1" xfId="0" applyNumberFormat="1" applyFont="1" applyFill="1" applyBorder="1" applyAlignment="1">
      <alignment horizontal="right" wrapText="1"/>
    </xf>
    <xf numFmtId="1" fontId="3" fillId="2" borderId="1" xfId="0" applyNumberFormat="1" applyFont="1" applyFill="1" applyBorder="1" applyAlignment="1"/>
    <xf numFmtId="1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49" fontId="3" fillId="3" borderId="1" xfId="0" applyNumberFormat="1" applyFont="1" applyFill="1" applyBorder="1" applyAlignment="1">
      <alignment horizontal="right" wrapText="1"/>
    </xf>
    <xf numFmtId="2" fontId="3" fillId="2" borderId="1" xfId="0" applyNumberFormat="1" applyFont="1" applyFill="1" applyBorder="1" applyAlignment="1">
      <alignment horizontal="right" wrapText="1"/>
    </xf>
    <xf numFmtId="1" fontId="3" fillId="5" borderId="1" xfId="0" applyNumberFormat="1" applyFont="1" applyFill="1" applyBorder="1" applyAlignment="1">
      <alignment horizontal="right" wrapText="1"/>
    </xf>
    <xf numFmtId="1" fontId="3" fillId="2" borderId="1" xfId="0" applyNumberFormat="1" applyFont="1" applyFill="1" applyBorder="1" applyAlignment="1"/>
    <xf numFmtId="1" fontId="3" fillId="2" borderId="1" xfId="0" applyNumberFormat="1" applyFont="1" applyFill="1" applyBorder="1" applyAlignment="1">
      <alignment wrapText="1"/>
    </xf>
    <xf numFmtId="1" fontId="3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/>
    <xf numFmtId="0" fontId="3" fillId="2" borderId="1" xfId="0" applyFont="1" applyFill="1" applyBorder="1" applyAlignment="1"/>
    <xf numFmtId="2" fontId="3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49" fontId="2" fillId="0" borderId="1" xfId="0" applyNumberFormat="1" applyFont="1" applyBorder="1"/>
    <xf numFmtId="2" fontId="2" fillId="0" borderId="1" xfId="0" applyNumberFormat="1" applyFont="1" applyBorder="1"/>
    <xf numFmtId="168" fontId="2" fillId="0" borderId="1" xfId="0" applyNumberFormat="1" applyFont="1" applyBorder="1" applyAlignment="1"/>
    <xf numFmtId="1" fontId="2" fillId="0" borderId="1" xfId="0" applyNumberFormat="1" applyFont="1" applyBorder="1"/>
    <xf numFmtId="1" fontId="2" fillId="0" borderId="1" xfId="0" applyNumberFormat="1" applyFont="1" applyBorder="1" applyAlignment="1"/>
    <xf numFmtId="2" fontId="2" fillId="0" borderId="1" xfId="0" applyNumberFormat="1" applyFont="1" applyBorder="1" applyAlignment="1"/>
    <xf numFmtId="167" fontId="3" fillId="0" borderId="1" xfId="0" applyNumberFormat="1" applyFont="1" applyBorder="1" applyAlignment="1">
      <alignment horizontal="right" wrapText="1"/>
    </xf>
    <xf numFmtId="0" fontId="3" fillId="6" borderId="1" xfId="0" applyFont="1" applyFill="1" applyBorder="1" applyAlignment="1"/>
    <xf numFmtId="0" fontId="6" fillId="7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3" borderId="1" xfId="0" applyFont="1" applyFill="1" applyBorder="1" applyAlignment="1">
      <alignment horizontal="right" wrapText="1"/>
    </xf>
    <xf numFmtId="2" fontId="4" fillId="2" borderId="1" xfId="0" applyNumberFormat="1" applyFont="1" applyFill="1" applyBorder="1" applyAlignment="1">
      <alignment horizontal="right" wrapText="1"/>
    </xf>
    <xf numFmtId="168" fontId="4" fillId="2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1" fontId="4" fillId="2" borderId="1" xfId="0" applyNumberFormat="1" applyFont="1" applyFill="1" applyBorder="1" applyAlignment="1">
      <alignment horizontal="right" wrapText="1"/>
    </xf>
    <xf numFmtId="1" fontId="4" fillId="5" borderId="1" xfId="0" applyNumberFormat="1" applyFont="1" applyFill="1" applyBorder="1" applyAlignment="1">
      <alignment horizontal="right" wrapText="1"/>
    </xf>
    <xf numFmtId="1" fontId="4" fillId="3" borderId="1" xfId="0" applyNumberFormat="1" applyFont="1" applyFill="1" applyBorder="1" applyAlignment="1">
      <alignment horizontal="right" wrapText="1"/>
    </xf>
    <xf numFmtId="1" fontId="4" fillId="4" borderId="1" xfId="0" applyNumberFormat="1" applyFont="1" applyFill="1" applyBorder="1" applyAlignment="1">
      <alignment horizontal="right" wrapText="1"/>
    </xf>
    <xf numFmtId="1" fontId="3" fillId="6" borderId="1" xfId="0" applyNumberFormat="1" applyFont="1" applyFill="1" applyBorder="1" applyAlignment="1"/>
    <xf numFmtId="1" fontId="4" fillId="3" borderId="0" xfId="0" applyNumberFormat="1" applyFont="1" applyFill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1" fontId="3" fillId="8" borderId="1" xfId="0" applyNumberFormat="1" applyFont="1" applyFill="1" applyBorder="1" applyAlignment="1"/>
    <xf numFmtId="1" fontId="3" fillId="9" borderId="1" xfId="0" applyNumberFormat="1" applyFont="1" applyFill="1" applyBorder="1" applyAlignment="1">
      <alignment horizontal="right" wrapText="1"/>
    </xf>
    <xf numFmtId="1" fontId="4" fillId="10" borderId="1" xfId="0" applyNumberFormat="1" applyFont="1" applyFill="1" applyBorder="1" applyAlignment="1">
      <alignment horizontal="right" wrapText="1"/>
    </xf>
    <xf numFmtId="1" fontId="4" fillId="2" borderId="1" xfId="0" applyNumberFormat="1" applyFont="1" applyFill="1" applyBorder="1" applyAlignment="1">
      <alignment horizontal="right"/>
    </xf>
    <xf numFmtId="0" fontId="3" fillId="9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4" fillId="8" borderId="1" xfId="0" applyFont="1" applyFill="1" applyBorder="1" applyAlignment="1">
      <alignment horizontal="right"/>
    </xf>
    <xf numFmtId="49" fontId="3" fillId="8" borderId="1" xfId="0" applyNumberFormat="1" applyFont="1" applyFill="1" applyBorder="1" applyAlignment="1"/>
    <xf numFmtId="0" fontId="3" fillId="10" borderId="1" xfId="0" applyFont="1" applyFill="1" applyBorder="1" applyAlignment="1">
      <alignment horizontal="right" wrapText="1"/>
    </xf>
    <xf numFmtId="1" fontId="3" fillId="8" borderId="1" xfId="0" applyNumberFormat="1" applyFont="1" applyFill="1" applyBorder="1" applyAlignment="1">
      <alignment horizontal="right" wrapText="1"/>
    </xf>
    <xf numFmtId="1" fontId="4" fillId="10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right" wrapText="1"/>
    </xf>
    <xf numFmtId="1" fontId="4" fillId="8" borderId="1" xfId="0" applyNumberFormat="1" applyFont="1" applyFill="1" applyBorder="1" applyAlignment="1">
      <alignment horizontal="right" wrapText="1"/>
    </xf>
    <xf numFmtId="1" fontId="3" fillId="0" borderId="0" xfId="0" applyNumberFormat="1" applyFont="1" applyAlignment="1"/>
    <xf numFmtId="0" fontId="3" fillId="6" borderId="0" xfId="0" applyFont="1" applyFill="1" applyAlignment="1"/>
    <xf numFmtId="0" fontId="3" fillId="2" borderId="0" xfId="0" applyFont="1" applyFill="1" applyAlignment="1"/>
    <xf numFmtId="0" fontId="2" fillId="3" borderId="0" xfId="0" applyFont="1" applyFill="1"/>
    <xf numFmtId="0" fontId="2" fillId="2" borderId="0" xfId="0" applyFont="1" applyFill="1"/>
    <xf numFmtId="0" fontId="4" fillId="3" borderId="1" xfId="0" applyFont="1" applyFill="1" applyBorder="1" applyAlignment="1">
      <alignment horizontal="right" wrapText="1"/>
    </xf>
    <xf numFmtId="168" fontId="4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 wrapText="1"/>
    </xf>
    <xf numFmtId="1" fontId="4" fillId="2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right" wrapText="1"/>
    </xf>
    <xf numFmtId="1" fontId="4" fillId="2" borderId="1" xfId="0" applyNumberFormat="1" applyFont="1" applyFill="1" applyBorder="1" applyAlignment="1">
      <alignment horizontal="right"/>
    </xf>
    <xf numFmtId="1" fontId="4" fillId="3" borderId="0" xfId="0" applyNumberFormat="1" applyFont="1" applyFill="1" applyAlignment="1">
      <alignment horizontal="right" wrapText="1"/>
    </xf>
    <xf numFmtId="0" fontId="3" fillId="9" borderId="1" xfId="0" applyFont="1" applyFill="1" applyBorder="1" applyAlignment="1">
      <alignment horizontal="right"/>
    </xf>
    <xf numFmtId="0" fontId="3" fillId="10" borderId="1" xfId="0" applyFont="1" applyFill="1" applyBorder="1" applyAlignment="1">
      <alignment horizontal="right" wrapText="1"/>
    </xf>
    <xf numFmtId="0" fontId="3" fillId="6" borderId="1" xfId="0" applyFont="1" applyFill="1" applyBorder="1" applyAlignment="1"/>
    <xf numFmtId="1" fontId="4" fillId="3" borderId="1" xfId="0" applyNumberFormat="1" applyFont="1" applyFill="1" applyBorder="1" applyAlignment="1">
      <alignment horizontal="right" wrapText="1"/>
    </xf>
    <xf numFmtId="2" fontId="4" fillId="2" borderId="1" xfId="0" applyNumberFormat="1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 applyAlignment="1"/>
    <xf numFmtId="49" fontId="3" fillId="7" borderId="1" xfId="0" applyNumberFormat="1" applyFont="1" applyFill="1" applyBorder="1" applyAlignment="1"/>
    <xf numFmtId="0" fontId="3" fillId="7" borderId="1" xfId="0" applyFont="1" applyFill="1" applyBorder="1" applyAlignment="1">
      <alignment horizontal="right" wrapText="1"/>
    </xf>
    <xf numFmtId="1" fontId="3" fillId="7" borderId="1" xfId="0" applyNumberFormat="1" applyFont="1" applyFill="1" applyBorder="1" applyAlignment="1">
      <alignment horizontal="right" wrapText="1"/>
    </xf>
    <xf numFmtId="1" fontId="4" fillId="3" borderId="1" xfId="0" applyNumberFormat="1" applyFont="1" applyFill="1" applyBorder="1" applyAlignment="1"/>
    <xf numFmtId="0" fontId="4" fillId="7" borderId="1" xfId="0" applyFont="1" applyFill="1" applyBorder="1" applyAlignment="1"/>
    <xf numFmtId="49" fontId="4" fillId="7" borderId="1" xfId="0" applyNumberFormat="1" applyFont="1" applyFill="1" applyBorder="1" applyAlignment="1"/>
    <xf numFmtId="0" fontId="4" fillId="7" borderId="1" xfId="0" applyFont="1" applyFill="1" applyBorder="1" applyAlignment="1">
      <alignment horizontal="right" wrapText="1"/>
    </xf>
    <xf numFmtId="2" fontId="4" fillId="7" borderId="1" xfId="0" applyNumberFormat="1" applyFont="1" applyFill="1" applyBorder="1" applyAlignment="1">
      <alignment horizontal="right" wrapText="1"/>
    </xf>
    <xf numFmtId="168" fontId="4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2" fontId="3" fillId="7" borderId="1" xfId="0" applyNumberFormat="1" applyFont="1" applyFill="1" applyBorder="1" applyAlignment="1">
      <alignment horizontal="right" wrapText="1"/>
    </xf>
    <xf numFmtId="2" fontId="3" fillId="7" borderId="1" xfId="0" applyNumberFormat="1" applyFont="1" applyFill="1" applyBorder="1" applyAlignment="1">
      <alignment horizontal="right" wrapText="1"/>
    </xf>
    <xf numFmtId="1" fontId="4" fillId="7" borderId="1" xfId="0" applyNumberFormat="1" applyFont="1" applyFill="1" applyBorder="1" applyAlignment="1"/>
    <xf numFmtId="1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/>
    <xf numFmtId="1" fontId="3" fillId="7" borderId="1" xfId="0" applyNumberFormat="1" applyFont="1" applyFill="1" applyBorder="1" applyAlignment="1">
      <alignment horizontal="right" wrapText="1"/>
    </xf>
    <xf numFmtId="1" fontId="4" fillId="7" borderId="1" xfId="0" applyNumberFormat="1" applyFont="1" applyFill="1" applyBorder="1" applyAlignment="1">
      <alignment horizontal="right" wrapText="1"/>
    </xf>
    <xf numFmtId="1" fontId="3" fillId="7" borderId="1" xfId="0" applyNumberFormat="1" applyFont="1" applyFill="1" applyBorder="1" applyAlignment="1"/>
    <xf numFmtId="1" fontId="4" fillId="7" borderId="1" xfId="0" applyNumberFormat="1" applyFont="1" applyFill="1" applyBorder="1" applyAlignment="1">
      <alignment horizontal="right" wrapText="1"/>
    </xf>
    <xf numFmtId="2" fontId="4" fillId="0" borderId="1" xfId="0" applyNumberFormat="1" applyFont="1" applyBorder="1" applyAlignment="1">
      <alignment horizontal="right" wrapText="1"/>
    </xf>
    <xf numFmtId="1" fontId="3" fillId="6" borderId="1" xfId="0" applyNumberFormat="1" applyFont="1" applyFill="1" applyBorder="1" applyAlignment="1"/>
    <xf numFmtId="2" fontId="4" fillId="0" borderId="1" xfId="0" applyNumberFormat="1" applyFont="1" applyBorder="1" applyAlignment="1">
      <alignment horizontal="right" wrapText="1"/>
    </xf>
    <xf numFmtId="1" fontId="4" fillId="5" borderId="1" xfId="0" applyNumberFormat="1" applyFont="1" applyFill="1" applyBorder="1" applyAlignment="1">
      <alignment horizontal="right" wrapText="1"/>
    </xf>
    <xf numFmtId="1" fontId="4" fillId="8" borderId="1" xfId="0" applyNumberFormat="1" applyFont="1" applyFill="1" applyBorder="1" applyAlignment="1">
      <alignment horizontal="right" wrapText="1"/>
    </xf>
    <xf numFmtId="0" fontId="3" fillId="0" borderId="0" xfId="0" applyFont="1" applyAlignment="1"/>
    <xf numFmtId="0" fontId="4" fillId="7" borderId="1" xfId="0" applyFont="1" applyFill="1" applyBorder="1" applyAlignment="1">
      <alignment horizontal="right"/>
    </xf>
    <xf numFmtId="0" fontId="3" fillId="7" borderId="1" xfId="0" applyFont="1" applyFill="1" applyBorder="1" applyAlignment="1"/>
    <xf numFmtId="0" fontId="3" fillId="5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wrapText="1"/>
    </xf>
    <xf numFmtId="10" fontId="4" fillId="5" borderId="1" xfId="0" applyNumberFormat="1" applyFont="1" applyFill="1" applyBorder="1" applyAlignment="1">
      <alignment horizontal="right" wrapText="1"/>
    </xf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 applyAlignment="1"/>
    <xf numFmtId="49" fontId="3" fillId="12" borderId="1" xfId="0" applyNumberFormat="1" applyFont="1" applyFill="1" applyBorder="1" applyAlignment="1"/>
    <xf numFmtId="0" fontId="4" fillId="12" borderId="1" xfId="0" applyFont="1" applyFill="1" applyBorder="1" applyAlignment="1">
      <alignment horizontal="right" wrapText="1"/>
    </xf>
    <xf numFmtId="2" fontId="4" fillId="12" borderId="1" xfId="0" applyNumberFormat="1" applyFont="1" applyFill="1" applyBorder="1" applyAlignment="1">
      <alignment horizontal="right" wrapText="1"/>
    </xf>
    <xf numFmtId="168" fontId="4" fillId="12" borderId="1" xfId="0" applyNumberFormat="1" applyFont="1" applyFill="1" applyBorder="1" applyAlignment="1">
      <alignment horizontal="right"/>
    </xf>
    <xf numFmtId="0" fontId="4" fillId="12" borderId="1" xfId="0" applyFont="1" applyFill="1" applyBorder="1" applyAlignment="1">
      <alignment horizontal="right"/>
    </xf>
    <xf numFmtId="2" fontId="3" fillId="12" borderId="1" xfId="0" applyNumberFormat="1" applyFont="1" applyFill="1" applyBorder="1" applyAlignment="1">
      <alignment horizontal="right" wrapText="1"/>
    </xf>
    <xf numFmtId="1" fontId="3" fillId="12" borderId="1" xfId="0" applyNumberFormat="1" applyFont="1" applyFill="1" applyBorder="1" applyAlignment="1">
      <alignment horizontal="right" wrapText="1"/>
    </xf>
    <xf numFmtId="1" fontId="4" fillId="12" borderId="1" xfId="0" applyNumberFormat="1" applyFont="1" applyFill="1" applyBorder="1" applyAlignment="1">
      <alignment horizontal="right" wrapText="1"/>
    </xf>
    <xf numFmtId="10" fontId="4" fillId="12" borderId="1" xfId="0" applyNumberFormat="1" applyFont="1" applyFill="1" applyBorder="1" applyAlignment="1">
      <alignment horizontal="right" wrapText="1"/>
    </xf>
    <xf numFmtId="1" fontId="3" fillId="12" borderId="1" xfId="0" applyNumberFormat="1" applyFont="1" applyFill="1" applyBorder="1" applyAlignment="1"/>
    <xf numFmtId="1" fontId="4" fillId="12" borderId="0" xfId="0" applyNumberFormat="1" applyFont="1" applyFill="1" applyAlignment="1">
      <alignment horizontal="right" wrapText="1"/>
    </xf>
    <xf numFmtId="10" fontId="4" fillId="7" borderId="1" xfId="0" applyNumberFormat="1" applyFont="1" applyFill="1" applyBorder="1" applyAlignment="1">
      <alignment horizontal="right" wrapText="1"/>
    </xf>
    <xf numFmtId="1" fontId="4" fillId="7" borderId="0" xfId="0" applyNumberFormat="1" applyFont="1" applyFill="1" applyAlignment="1">
      <alignment horizontal="right" wrapText="1"/>
    </xf>
    <xf numFmtId="10" fontId="3" fillId="0" borderId="0" xfId="0" applyNumberFormat="1" applyFont="1" applyAlignment="1"/>
    <xf numFmtId="0" fontId="5" fillId="0" borderId="2" xfId="0" applyFont="1" applyBorder="1"/>
    <xf numFmtId="0" fontId="5" fillId="0" borderId="3" xfId="0" applyFont="1" applyBorder="1"/>
    <xf numFmtId="0" fontId="3" fillId="5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Saumya Rao" id="{46176b97-9dfb-40cf-a703-3beb327c150b}" providerId="google-sheets"/>
  <x18tc:person displayName="Kiran Sham" id="{bc441a28-fc87-4e8e-b160-aeeb1b61f20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0" dT="2025-06-03T04:10:10.00" personId="{46176b97-9dfb-40cf-a703-3beb327c150b}" id="{51104030-44d4-49b9-bb10-7addb68caeb1}" done="0">
    <x18tc:text xml:space="preserve">Comp-off. Worked on May-17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9" dT="2025-08-01T13:25:18.00" personId="{46176b97-9dfb-40cf-a703-3beb327c150b}" id="{52cc2b60-cf40-4c80-967a-aeb95aa1b098}" done="0">
    <x18tc:text xml:space="preserve">0.5 day Comp-off credited for working on 13/7</x18tc:text>
  </x18tc:threadedComment>
  <x18tc:threadedComment ref="L22" dT="2025-08-01T13:18:07.00" personId="{46176b97-9dfb-40cf-a703-3beb327c150b}" id="{44ae8b09-e26d-47e9-9f85-e569477d4f97}" done="0">
    <x18tc:text xml:space="preserve">1 day Comp-off credited for working on 13/7</x18tc:text>
  </x18tc:threadedComment>
  <x18tc:threadedComment ref="L28" dT="2025-08-01T13:24:28.00" personId="{46176b97-9dfb-40cf-a703-3beb327c150b}" id="{915c7ff1-17e9-4b8d-88d6-5372a273a1ee}" done="0">
    <x18tc:text xml:space="preserve">0.5 day Comp-off credited for working on 13/7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5-09-30T03:48:02.00" personId="{46176b97-9dfb-40cf-a703-3beb327c150b}" id="{8fb9da8b-b0d6-4f9c-a2d6-01e2f5273f3a}" done="0">
    <x18tc:text xml:space="preserve">Comp-off on Sep 7</x18tc:text>
  </x18tc:threadedComment>
  <x18tc:threadedComment ref="K5" dT="2025-09-30T03:53:07.00" personId="{46176b97-9dfb-40cf-a703-3beb327c150b}" id="{48f749cf-5c01-4852-934b-70215a99ac96}" done="0">
    <x18tc:text xml:space="preserve">As per PayTime</x18tc:text>
  </x18tc:threadedComment>
  <x18tc:threadedComment ref="K13" dT="2025-09-30T03:58:37.00" personId="{46176b97-9dfb-40cf-a703-3beb327c150b}" id="{df92f570-16b6-4dd2-9a7d-f58ef231ed2e}" done="0">
    <x18tc:text xml:space="preserve">As per PayTime</x18tc:text>
  </x18tc:threadedComment>
  <x18tc:threadedComment ref="K24" dT="2025-09-30T04:09:09.00" personId="{46176b97-9dfb-40cf-a703-3beb327c150b}" id="{06faed5c-2197-40af-bf2e-afbab984bbeb}" done="0">
    <x18tc:text xml:space="preserve">As per PayTime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9" dT="2025-11-03T05:49:59.00" personId="{46176b97-9dfb-40cf-a703-3beb327c150b}" id="{4202a53b-36c0-46b6-b856-02dec074bd2b}" done="0">
    <x18tc:text xml:space="preserve">Comp-off for working on Oct 2</x18tc:text>
  </x18tc:threadedComment>
  <x18tc:threadedComment ref="L7" dT="2025-11-03T05:24:10.00" personId="{46176b97-9dfb-40cf-a703-3beb327c150b}" id="{2b2ea529-13a1-4307-a28a-d23ff2d07db4}" done="0">
    <x18tc:text xml:space="preserve">Comp-Off for Working on Oct 22 (Deepavali)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5" dT="2026-02-02T12:15:31.00" personId="{46176b97-9dfb-40cf-a703-3beb327c150b}" id="{e31df8b2-8210-4ef5-8b9b-197e85c7410d}" done="0">
    <x18tc:text xml:space="preserve">As per PayTime</x18tc:text>
  </x18tc:threadedComment>
  <x18tc:threadedComment ref="K32" dT="2026-02-02T12:32:19.00" personId="{46176b97-9dfb-40cf-a703-3beb327c150b}" id="{31a3b5cf-cd62-4930-b3cd-e0dd2193e5d6}" done="0">
    <x18tc:text xml:space="preserve">As per PayTime</x18tc:text>
  </x18tc:threadedComment>
  <x18tc:threadedComment ref="AE24" dT="2026-02-02T16:55:20.00" personId="{bc441a28-fc87-4e8e-b160-aeeb1b61f204}" id="{658b1cd0-cc5a-48f8-8930-a4959d5bc769}" done="0">
    <x18tc:text xml:space="preserve">Arrears for error in Oct, Nov, Dec payroll - 1 day LOP was applied every month</x18tc:text>
  </x18tc:threadedComment>
  <x18tc:threadedComment ref="AE18" dT="2026-02-02T12:39:27.00" personId="{46176b97-9dfb-40cf-a703-3beb327c150b}" id="{fe85ea6a-c76d-4a8f-a22c-82f1b9dd66b0}" done="0">
    <x18tc:text xml:space="preserve">LOP amount deducted in Dec 2025</x18tc:text>
  </x18tc:threadedComment>
  <x18tc:threadedComment ref="K29" dT="2026-02-02T12:31:10.00" personId="{46176b97-9dfb-40cf-a703-3beb327c150b}" id="{98759085-e67f-49e2-8073-427075a066a5}" done="0">
    <x18tc:text xml:space="preserve">As per PayTime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6" dT="2026-03-02T08:06:13.00" personId="{46176b97-9dfb-40cf-a703-3beb327c150b}" id="{6de039fe-7126-4e52-8e81-725c96d563fd}" done="0">
    <x18tc:text xml:space="preserve">RH</x18tc:text>
  </x18tc:threadedComment>
  <x18tc:threadedComment ref="L24" dT="2026-03-02T11:15:33.00" personId="{46176b97-9dfb-40cf-a703-3beb327c150b}" id="{950710d2-8afd-4c6d-9358-a4a27fd69f08}" done="0">
    <x18tc:text xml:space="preserve">CO on Feb-1</x18tc:text>
  </x18tc:threadedComment>
  <x18tc:threadedComment ref="L10" dT="2026-03-02T08:10:03.00" personId="{46176b97-9dfb-40cf-a703-3beb327c150b}" id="{47a89a0e-bbbb-4e57-a90e-91688dbc83e1}" done="0">
    <x18tc:text xml:space="preserve">RH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41"/>
  <sheetViews>
    <sheetView tabSelected="1" workbookViewId="0">
      <pane ySplit="2" topLeftCell="A3" activePane="bottomLeft" state="frozen"/>
      <selection pane="bottomLeft" activeCell="D18" sqref="D18"/>
    </sheetView>
  </sheetViews>
  <sheetFormatPr defaultColWidth="12.6640625" defaultRowHeight="15.75" customHeight="1" x14ac:dyDescent="0.25"/>
  <sheetData>
    <row r="1" spans="1:52" ht="15.75" customHeight="1" x14ac:dyDescent="0.3">
      <c r="A1" s="1"/>
      <c r="B1" s="11">
        <v>46113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121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137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18" t="s">
        <v>157</v>
      </c>
      <c r="AT2" s="18" t="s">
        <v>158</v>
      </c>
      <c r="AU2" s="18" t="s">
        <v>159</v>
      </c>
      <c r="AV2" s="18" t="s">
        <v>160</v>
      </c>
      <c r="AW2" s="18" t="s">
        <v>161</v>
      </c>
      <c r="AX2" s="18" t="s">
        <v>162</v>
      </c>
      <c r="AY2" s="18" t="s">
        <v>163</v>
      </c>
      <c r="AZ2" s="18" t="s">
        <v>164</v>
      </c>
    </row>
    <row r="3" spans="1:52" ht="15.75" customHeight="1" x14ac:dyDescent="0.3">
      <c r="A3" s="21">
        <v>1</v>
      </c>
      <c r="B3" s="22" t="s">
        <v>2</v>
      </c>
      <c r="C3" s="8" t="s">
        <v>6</v>
      </c>
      <c r="D3" s="8">
        <v>101898706542</v>
      </c>
      <c r="E3" s="8" t="s">
        <v>3</v>
      </c>
      <c r="F3" s="8" t="s">
        <v>4</v>
      </c>
      <c r="G3" s="8" t="s">
        <v>5</v>
      </c>
      <c r="H3" s="8"/>
      <c r="I3" s="23">
        <v>30</v>
      </c>
      <c r="J3" s="23">
        <v>30</v>
      </c>
      <c r="K3" s="24">
        <v>8</v>
      </c>
      <c r="L3" s="25">
        <v>3</v>
      </c>
      <c r="M3" s="26">
        <v>0</v>
      </c>
      <c r="N3" s="24">
        <v>0</v>
      </c>
      <c r="O3" s="24">
        <v>11</v>
      </c>
      <c r="P3" s="24">
        <v>30</v>
      </c>
      <c r="Q3" s="27">
        <v>30000</v>
      </c>
      <c r="R3" s="28">
        <v>15000</v>
      </c>
      <c r="S3" s="27">
        <v>7500</v>
      </c>
      <c r="T3" s="27">
        <v>7500</v>
      </c>
      <c r="U3" s="27">
        <v>0</v>
      </c>
      <c r="V3" s="27">
        <v>40000</v>
      </c>
      <c r="W3" s="29">
        <v>100000</v>
      </c>
      <c r="X3" s="30">
        <v>30000</v>
      </c>
      <c r="Y3" s="30">
        <v>15000</v>
      </c>
      <c r="Z3" s="30">
        <v>7500</v>
      </c>
      <c r="AA3" s="30">
        <v>7500</v>
      </c>
      <c r="AB3" s="10"/>
      <c r="AC3" s="9">
        <v>32000</v>
      </c>
      <c r="AD3" s="12"/>
      <c r="AE3" s="10"/>
      <c r="AF3" s="31">
        <v>0</v>
      </c>
      <c r="AG3" s="29">
        <v>1800</v>
      </c>
      <c r="AH3" s="32">
        <v>300</v>
      </c>
      <c r="AI3" s="29">
        <v>0</v>
      </c>
      <c r="AJ3" s="13"/>
      <c r="AK3" s="29">
        <v>92000</v>
      </c>
      <c r="AL3" s="29">
        <v>2100</v>
      </c>
      <c r="AM3" s="29">
        <v>89900</v>
      </c>
      <c r="AN3" s="33">
        <v>89900</v>
      </c>
      <c r="AO3" s="29">
        <v>0</v>
      </c>
      <c r="AP3" s="29">
        <v>1800</v>
      </c>
      <c r="AQ3" s="34">
        <v>1443</v>
      </c>
      <c r="AR3" s="29">
        <v>95243</v>
      </c>
      <c r="AS3" s="29">
        <v>0</v>
      </c>
      <c r="AT3" s="29">
        <v>0</v>
      </c>
      <c r="AU3" s="34"/>
      <c r="AV3" s="29">
        <v>0</v>
      </c>
      <c r="AW3" s="34"/>
      <c r="AX3" s="34"/>
      <c r="AY3" s="29">
        <v>0</v>
      </c>
      <c r="AZ3" s="35" t="s">
        <v>165</v>
      </c>
    </row>
    <row r="4" spans="1:52" ht="15.75" customHeight="1" x14ac:dyDescent="0.3">
      <c r="A4" s="21">
        <v>2</v>
      </c>
      <c r="B4" s="22" t="s">
        <v>7</v>
      </c>
      <c r="C4" s="8" t="s">
        <v>11</v>
      </c>
      <c r="D4" s="8">
        <v>100193986476</v>
      </c>
      <c r="E4" s="8" t="s">
        <v>8</v>
      </c>
      <c r="F4" s="8" t="s">
        <v>9</v>
      </c>
      <c r="G4" s="8" t="s">
        <v>10</v>
      </c>
      <c r="H4" s="8"/>
      <c r="I4" s="23">
        <v>30</v>
      </c>
      <c r="J4" s="23">
        <v>30</v>
      </c>
      <c r="K4" s="24">
        <v>8</v>
      </c>
      <c r="L4" s="25">
        <v>3</v>
      </c>
      <c r="M4" s="26">
        <v>0</v>
      </c>
      <c r="N4" s="24">
        <v>0</v>
      </c>
      <c r="O4" s="24">
        <v>11</v>
      </c>
      <c r="P4" s="24">
        <v>30</v>
      </c>
      <c r="Q4" s="36">
        <v>30000</v>
      </c>
      <c r="R4" s="37">
        <v>15000</v>
      </c>
      <c r="S4" s="36">
        <v>7500</v>
      </c>
      <c r="T4" s="36">
        <v>7500</v>
      </c>
      <c r="U4" s="36">
        <v>0</v>
      </c>
      <c r="V4" s="36">
        <v>40000</v>
      </c>
      <c r="W4" s="29">
        <v>100000</v>
      </c>
      <c r="X4" s="30">
        <v>30000</v>
      </c>
      <c r="Y4" s="30">
        <v>15000</v>
      </c>
      <c r="Z4" s="30">
        <v>7500</v>
      </c>
      <c r="AA4" s="30">
        <v>7500</v>
      </c>
      <c r="AB4" s="10"/>
      <c r="AC4" s="9">
        <v>32000</v>
      </c>
      <c r="AD4" s="12"/>
      <c r="AE4" s="10"/>
      <c r="AF4" s="31">
        <v>0</v>
      </c>
      <c r="AG4" s="29">
        <v>1800</v>
      </c>
      <c r="AH4" s="32">
        <v>300</v>
      </c>
      <c r="AI4" s="29">
        <v>0</v>
      </c>
      <c r="AJ4" s="13"/>
      <c r="AK4" s="29">
        <v>92000</v>
      </c>
      <c r="AL4" s="29">
        <v>2100</v>
      </c>
      <c r="AM4" s="29">
        <v>89900</v>
      </c>
      <c r="AN4" s="33">
        <v>89900</v>
      </c>
      <c r="AO4" s="29">
        <v>0</v>
      </c>
      <c r="AP4" s="29">
        <v>1800</v>
      </c>
      <c r="AQ4" s="34">
        <v>1443</v>
      </c>
      <c r="AR4" s="29">
        <v>95243</v>
      </c>
      <c r="AS4" s="29">
        <v>0</v>
      </c>
      <c r="AT4" s="29">
        <v>0</v>
      </c>
      <c r="AU4" s="34"/>
      <c r="AV4" s="29">
        <v>0</v>
      </c>
      <c r="AW4" s="34"/>
      <c r="AX4" s="34"/>
      <c r="AY4" s="29">
        <v>0</v>
      </c>
      <c r="AZ4" s="35" t="s">
        <v>165</v>
      </c>
    </row>
    <row r="5" spans="1:52" ht="15.75" customHeight="1" x14ac:dyDescent="0.3">
      <c r="A5" s="21">
        <v>1001</v>
      </c>
      <c r="B5" s="22" t="s">
        <v>12</v>
      </c>
      <c r="C5" s="8" t="s">
        <v>11</v>
      </c>
      <c r="D5" s="8">
        <v>101404270926</v>
      </c>
      <c r="E5" s="8" t="s">
        <v>13</v>
      </c>
      <c r="F5" s="8" t="s">
        <v>14</v>
      </c>
      <c r="G5" s="8" t="s">
        <v>15</v>
      </c>
      <c r="H5" s="8"/>
      <c r="I5" s="23">
        <v>30</v>
      </c>
      <c r="J5" s="23">
        <v>30</v>
      </c>
      <c r="K5" s="24">
        <v>0.5</v>
      </c>
      <c r="L5" s="25">
        <v>3</v>
      </c>
      <c r="M5" s="38">
        <v>1.5</v>
      </c>
      <c r="N5" s="24">
        <v>0</v>
      </c>
      <c r="O5" s="24">
        <v>2</v>
      </c>
      <c r="P5" s="24">
        <v>30</v>
      </c>
      <c r="Q5" s="39">
        <v>15000</v>
      </c>
      <c r="R5" s="39">
        <v>3540</v>
      </c>
      <c r="S5" s="39">
        <v>1180</v>
      </c>
      <c r="T5" s="39">
        <v>1180</v>
      </c>
      <c r="U5" s="40">
        <v>3323</v>
      </c>
      <c r="V5" s="40">
        <v>3323</v>
      </c>
      <c r="W5" s="29">
        <v>27546</v>
      </c>
      <c r="X5" s="30">
        <v>15000</v>
      </c>
      <c r="Y5" s="30">
        <v>3540</v>
      </c>
      <c r="Z5" s="30">
        <v>1180</v>
      </c>
      <c r="AA5" s="30">
        <v>1180</v>
      </c>
      <c r="AB5" s="10"/>
      <c r="AC5" s="10"/>
      <c r="AD5" s="31">
        <v>0</v>
      </c>
      <c r="AE5" s="41"/>
      <c r="AF5" s="42">
        <v>2277</v>
      </c>
      <c r="AG5" s="29">
        <v>1800</v>
      </c>
      <c r="AH5" s="29">
        <v>0</v>
      </c>
      <c r="AI5" s="29">
        <v>156.75</v>
      </c>
      <c r="AJ5" s="32">
        <v>28000</v>
      </c>
      <c r="AK5" s="29">
        <v>23177</v>
      </c>
      <c r="AL5" s="29">
        <v>29956.75</v>
      </c>
      <c r="AM5" s="29">
        <v>-6779.75</v>
      </c>
      <c r="AN5" s="33">
        <v>18267</v>
      </c>
      <c r="AO5" s="29">
        <v>679.25</v>
      </c>
      <c r="AP5" s="29">
        <v>1950</v>
      </c>
      <c r="AQ5" s="34">
        <v>721.5</v>
      </c>
      <c r="AR5" s="29">
        <v>26527.75</v>
      </c>
      <c r="AS5" s="29">
        <v>171000</v>
      </c>
      <c r="AT5" s="29">
        <v>143000</v>
      </c>
      <c r="AU5" s="34"/>
      <c r="AV5" s="43">
        <v>27324</v>
      </c>
      <c r="AW5" s="34"/>
      <c r="AX5" s="34"/>
      <c r="AY5" s="29">
        <v>0</v>
      </c>
      <c r="AZ5" s="35" t="s">
        <v>165</v>
      </c>
    </row>
    <row r="6" spans="1:52" ht="15.75" customHeight="1" x14ac:dyDescent="0.3">
      <c r="A6" s="21">
        <v>1006</v>
      </c>
      <c r="B6" s="22" t="s">
        <v>16</v>
      </c>
      <c r="C6" s="8" t="s">
        <v>6</v>
      </c>
      <c r="D6" s="8">
        <v>101404270893</v>
      </c>
      <c r="E6" s="8" t="s">
        <v>13</v>
      </c>
      <c r="F6" s="8" t="s">
        <v>17</v>
      </c>
      <c r="G6" s="8" t="s">
        <v>15</v>
      </c>
      <c r="H6" s="8"/>
      <c r="I6" s="23">
        <v>30</v>
      </c>
      <c r="J6" s="23">
        <v>30</v>
      </c>
      <c r="K6" s="24">
        <v>1.5</v>
      </c>
      <c r="L6" s="25">
        <v>4</v>
      </c>
      <c r="M6" s="38">
        <v>1.5</v>
      </c>
      <c r="N6" s="24">
        <v>0</v>
      </c>
      <c r="O6" s="24">
        <v>4</v>
      </c>
      <c r="P6" s="24">
        <v>30</v>
      </c>
      <c r="Q6" s="39">
        <v>15000</v>
      </c>
      <c r="R6" s="39">
        <v>3540</v>
      </c>
      <c r="S6" s="39">
        <v>1180</v>
      </c>
      <c r="T6" s="39">
        <v>1180</v>
      </c>
      <c r="U6" s="40">
        <v>4368</v>
      </c>
      <c r="V6" s="40">
        <v>4368</v>
      </c>
      <c r="W6" s="29">
        <v>29636</v>
      </c>
      <c r="X6" s="30">
        <v>15000</v>
      </c>
      <c r="Y6" s="30">
        <v>3540</v>
      </c>
      <c r="Z6" s="30">
        <v>1180</v>
      </c>
      <c r="AA6" s="30">
        <v>1180</v>
      </c>
      <c r="AB6" s="10"/>
      <c r="AC6" s="10"/>
      <c r="AD6" s="9">
        <v>0</v>
      </c>
      <c r="AE6" s="41"/>
      <c r="AF6" s="42">
        <v>2390</v>
      </c>
      <c r="AG6" s="29">
        <v>1800</v>
      </c>
      <c r="AH6" s="29">
        <v>0</v>
      </c>
      <c r="AI6" s="29">
        <v>156.75</v>
      </c>
      <c r="AJ6" s="40">
        <v>0</v>
      </c>
      <c r="AK6" s="29">
        <v>23290</v>
      </c>
      <c r="AL6" s="29">
        <v>1956.75</v>
      </c>
      <c r="AM6" s="29">
        <v>21333.25</v>
      </c>
      <c r="AN6" s="33">
        <v>47623</v>
      </c>
      <c r="AO6" s="29">
        <v>679.25</v>
      </c>
      <c r="AP6" s="29">
        <v>1950</v>
      </c>
      <c r="AQ6" s="34">
        <v>721.5</v>
      </c>
      <c r="AR6" s="29">
        <v>26640.75</v>
      </c>
      <c r="AS6" s="29">
        <v>0</v>
      </c>
      <c r="AT6" s="29">
        <v>0</v>
      </c>
      <c r="AU6" s="34"/>
      <c r="AV6" s="43">
        <v>28680</v>
      </c>
      <c r="AW6" s="34"/>
      <c r="AX6" s="34"/>
      <c r="AY6" s="32">
        <v>0</v>
      </c>
      <c r="AZ6" s="35" t="s">
        <v>165</v>
      </c>
    </row>
    <row r="7" spans="1:52" ht="15.75" customHeight="1" x14ac:dyDescent="0.3">
      <c r="A7" s="21">
        <v>1024</v>
      </c>
      <c r="B7" s="22" t="s">
        <v>18</v>
      </c>
      <c r="C7" s="8" t="s">
        <v>11</v>
      </c>
      <c r="D7" s="8">
        <v>101818017017</v>
      </c>
      <c r="E7" s="8" t="s">
        <v>13</v>
      </c>
      <c r="F7" s="8" t="s">
        <v>19</v>
      </c>
      <c r="G7" s="8" t="s">
        <v>15</v>
      </c>
      <c r="H7" s="8"/>
      <c r="I7" s="23">
        <v>30</v>
      </c>
      <c r="J7" s="23">
        <v>30</v>
      </c>
      <c r="K7" s="24">
        <v>1</v>
      </c>
      <c r="L7" s="25">
        <v>3</v>
      </c>
      <c r="M7" s="38">
        <v>0.5</v>
      </c>
      <c r="N7" s="24">
        <v>0</v>
      </c>
      <c r="O7" s="24">
        <v>3.5</v>
      </c>
      <c r="P7" s="24">
        <v>30</v>
      </c>
      <c r="Q7" s="39">
        <v>15000</v>
      </c>
      <c r="R7" s="40">
        <v>3388</v>
      </c>
      <c r="S7" s="40">
        <v>1796</v>
      </c>
      <c r="T7" s="39">
        <v>796</v>
      </c>
      <c r="U7" s="40">
        <v>900</v>
      </c>
      <c r="V7" s="40">
        <v>900</v>
      </c>
      <c r="W7" s="29">
        <v>22780</v>
      </c>
      <c r="X7" s="30">
        <v>15000</v>
      </c>
      <c r="Y7" s="30">
        <v>3388</v>
      </c>
      <c r="Z7" s="30">
        <v>1796</v>
      </c>
      <c r="AA7" s="30">
        <v>796</v>
      </c>
      <c r="AB7" s="10"/>
      <c r="AC7" s="10"/>
      <c r="AD7" s="10"/>
      <c r="AE7" s="41"/>
      <c r="AF7" s="42">
        <v>1823</v>
      </c>
      <c r="AG7" s="29">
        <v>1800</v>
      </c>
      <c r="AH7" s="29">
        <v>0</v>
      </c>
      <c r="AI7" s="29">
        <v>157.35</v>
      </c>
      <c r="AJ7" s="40">
        <v>0</v>
      </c>
      <c r="AK7" s="29">
        <v>22803</v>
      </c>
      <c r="AL7" s="29">
        <v>1957.35</v>
      </c>
      <c r="AM7" s="29">
        <v>20845.650000000001</v>
      </c>
      <c r="AN7" s="33">
        <v>40899</v>
      </c>
      <c r="AO7" s="29">
        <v>681.85</v>
      </c>
      <c r="AP7" s="29">
        <v>1800</v>
      </c>
      <c r="AQ7" s="34">
        <v>721.5</v>
      </c>
      <c r="AR7" s="29">
        <v>26006.35</v>
      </c>
      <c r="AS7" s="29">
        <v>0</v>
      </c>
      <c r="AT7" s="29">
        <v>0</v>
      </c>
      <c r="AU7" s="34"/>
      <c r="AV7" s="43">
        <v>21876</v>
      </c>
      <c r="AW7" s="34"/>
      <c r="AX7" s="34"/>
      <c r="AY7" s="32">
        <v>0</v>
      </c>
      <c r="AZ7" s="35" t="s">
        <v>165</v>
      </c>
    </row>
    <row r="8" spans="1:52" ht="15.75" customHeight="1" x14ac:dyDescent="0.3">
      <c r="A8" s="21">
        <v>1028</v>
      </c>
      <c r="B8" s="22" t="s">
        <v>20</v>
      </c>
      <c r="C8" s="8" t="s">
        <v>6</v>
      </c>
      <c r="D8" s="8">
        <v>101768643043</v>
      </c>
      <c r="E8" s="8" t="s">
        <v>3</v>
      </c>
      <c r="F8" s="8" t="s">
        <v>21</v>
      </c>
      <c r="G8" s="8" t="s">
        <v>22</v>
      </c>
      <c r="H8" s="8"/>
      <c r="I8" s="44"/>
      <c r="J8" s="23"/>
      <c r="K8" s="24">
        <v>0</v>
      </c>
      <c r="L8" s="25">
        <v>0</v>
      </c>
      <c r="M8" s="38">
        <v>0</v>
      </c>
      <c r="N8" s="45">
        <v>0</v>
      </c>
      <c r="O8" s="24">
        <v>0</v>
      </c>
      <c r="P8" s="24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32">
        <v>0</v>
      </c>
      <c r="X8" s="46">
        <v>0</v>
      </c>
      <c r="Y8" s="46">
        <v>0</v>
      </c>
      <c r="Z8" s="46">
        <v>0</v>
      </c>
      <c r="AA8" s="46">
        <v>0</v>
      </c>
      <c r="AB8" s="9">
        <v>0</v>
      </c>
      <c r="AC8" s="9">
        <v>0</v>
      </c>
      <c r="AD8" s="41">
        <v>0</v>
      </c>
      <c r="AE8" s="41">
        <v>0</v>
      </c>
      <c r="AF8" s="31">
        <v>0</v>
      </c>
      <c r="AG8" s="32">
        <v>0</v>
      </c>
      <c r="AH8" s="32">
        <v>0</v>
      </c>
      <c r="AI8" s="29">
        <v>0</v>
      </c>
      <c r="AJ8" s="47">
        <v>0</v>
      </c>
      <c r="AK8" s="29">
        <v>0</v>
      </c>
      <c r="AL8" s="29">
        <v>0</v>
      </c>
      <c r="AM8" s="29">
        <v>0</v>
      </c>
      <c r="AN8" s="33">
        <v>0</v>
      </c>
      <c r="AO8" s="29">
        <v>0</v>
      </c>
      <c r="AP8" s="29">
        <v>0</v>
      </c>
      <c r="AQ8" s="34">
        <v>0</v>
      </c>
      <c r="AR8" s="29">
        <v>0</v>
      </c>
      <c r="AS8" s="29">
        <v>0</v>
      </c>
      <c r="AT8" s="29">
        <v>0</v>
      </c>
      <c r="AU8" s="34"/>
      <c r="AV8" s="29">
        <v>0</v>
      </c>
      <c r="AW8" s="34"/>
      <c r="AX8" s="34"/>
      <c r="AY8" s="29">
        <v>0</v>
      </c>
      <c r="AZ8" s="48" t="s">
        <v>166</v>
      </c>
    </row>
    <row r="9" spans="1:52" ht="15.75" customHeight="1" x14ac:dyDescent="0.3">
      <c r="A9" s="21">
        <v>1030</v>
      </c>
      <c r="B9" s="22" t="s">
        <v>23</v>
      </c>
      <c r="C9" s="8" t="s">
        <v>6</v>
      </c>
      <c r="D9" s="8">
        <v>101657750048</v>
      </c>
      <c r="E9" s="8" t="s">
        <v>24</v>
      </c>
      <c r="F9" s="8" t="s">
        <v>25</v>
      </c>
      <c r="G9" s="8" t="s">
        <v>26</v>
      </c>
      <c r="H9" s="8"/>
      <c r="I9" s="23">
        <v>30</v>
      </c>
      <c r="J9" s="23">
        <v>30</v>
      </c>
      <c r="K9" s="24">
        <v>2.5</v>
      </c>
      <c r="L9" s="25">
        <v>3.5</v>
      </c>
      <c r="M9" s="38">
        <v>5.5</v>
      </c>
      <c r="N9" s="24">
        <v>0</v>
      </c>
      <c r="O9" s="24">
        <v>0.5</v>
      </c>
      <c r="P9" s="24">
        <v>30</v>
      </c>
      <c r="Q9" s="36">
        <v>15000</v>
      </c>
      <c r="R9" s="39">
        <v>3540</v>
      </c>
      <c r="S9" s="39">
        <v>1180</v>
      </c>
      <c r="T9" s="39">
        <v>1180</v>
      </c>
      <c r="U9" s="37">
        <v>5289</v>
      </c>
      <c r="V9" s="37">
        <v>5289</v>
      </c>
      <c r="W9" s="29">
        <v>31478</v>
      </c>
      <c r="X9" s="30">
        <v>15000</v>
      </c>
      <c r="Y9" s="30">
        <v>3540</v>
      </c>
      <c r="Z9" s="30">
        <v>1180</v>
      </c>
      <c r="AA9" s="30">
        <v>1180</v>
      </c>
      <c r="AB9" s="10"/>
      <c r="AC9" s="10"/>
      <c r="AD9" s="10"/>
      <c r="AE9" s="10"/>
      <c r="AF9" s="31">
        <v>0</v>
      </c>
      <c r="AG9" s="29">
        <v>1800</v>
      </c>
      <c r="AH9" s="29">
        <v>0</v>
      </c>
      <c r="AI9" s="29">
        <v>156.75</v>
      </c>
      <c r="AJ9" s="34"/>
      <c r="AK9" s="29">
        <v>20900</v>
      </c>
      <c r="AL9" s="29">
        <v>1956.75</v>
      </c>
      <c r="AM9" s="29">
        <v>18943.25</v>
      </c>
      <c r="AN9" s="33">
        <v>18943</v>
      </c>
      <c r="AO9" s="29">
        <v>679.25</v>
      </c>
      <c r="AP9" s="29">
        <v>1800</v>
      </c>
      <c r="AQ9" s="34">
        <v>721.5</v>
      </c>
      <c r="AR9" s="29">
        <v>24100.75</v>
      </c>
      <c r="AS9" s="29">
        <v>0</v>
      </c>
      <c r="AT9" s="29">
        <v>0</v>
      </c>
      <c r="AU9" s="34"/>
      <c r="AV9" s="29">
        <v>0</v>
      </c>
      <c r="AW9" s="34"/>
      <c r="AX9" s="34"/>
      <c r="AY9" s="29">
        <v>0</v>
      </c>
      <c r="AZ9" s="35" t="s">
        <v>165</v>
      </c>
    </row>
    <row r="10" spans="1:52" ht="15.75" customHeight="1" x14ac:dyDescent="0.3">
      <c r="A10" s="21">
        <v>1031</v>
      </c>
      <c r="B10" s="22" t="s">
        <v>27</v>
      </c>
      <c r="C10" s="8" t="s">
        <v>11</v>
      </c>
      <c r="D10" s="8">
        <v>101767120465</v>
      </c>
      <c r="E10" s="8" t="s">
        <v>28</v>
      </c>
      <c r="F10" s="8" t="s">
        <v>29</v>
      </c>
      <c r="G10" s="8" t="s">
        <v>30</v>
      </c>
      <c r="H10" s="8"/>
      <c r="I10" s="23">
        <v>30</v>
      </c>
      <c r="J10" s="23">
        <v>30</v>
      </c>
      <c r="K10" s="24">
        <v>0</v>
      </c>
      <c r="L10" s="25">
        <v>3</v>
      </c>
      <c r="M10" s="38">
        <v>1</v>
      </c>
      <c r="N10" s="24">
        <v>0</v>
      </c>
      <c r="O10" s="24">
        <v>2</v>
      </c>
      <c r="P10" s="24">
        <v>30</v>
      </c>
      <c r="Q10" s="39">
        <v>15000</v>
      </c>
      <c r="R10" s="39">
        <v>9000</v>
      </c>
      <c r="S10" s="39">
        <v>8000</v>
      </c>
      <c r="T10" s="39">
        <v>3000</v>
      </c>
      <c r="U10" s="39">
        <v>6000</v>
      </c>
      <c r="V10" s="39">
        <v>6000</v>
      </c>
      <c r="W10" s="29">
        <v>47000</v>
      </c>
      <c r="X10" s="30">
        <v>15000</v>
      </c>
      <c r="Y10" s="30">
        <v>9000</v>
      </c>
      <c r="Z10" s="30">
        <v>8000.0000000000009</v>
      </c>
      <c r="AA10" s="30">
        <v>3000</v>
      </c>
      <c r="AB10" s="9">
        <v>7200</v>
      </c>
      <c r="AC10" s="9">
        <v>4800</v>
      </c>
      <c r="AD10" s="10"/>
      <c r="AE10" s="41">
        <v>4000</v>
      </c>
      <c r="AF10" s="42"/>
      <c r="AG10" s="29">
        <v>1800</v>
      </c>
      <c r="AH10" s="32">
        <v>300</v>
      </c>
      <c r="AI10" s="39">
        <v>0</v>
      </c>
      <c r="AJ10" s="34"/>
      <c r="AK10" s="29">
        <v>51000</v>
      </c>
      <c r="AL10" s="29">
        <v>2100</v>
      </c>
      <c r="AM10" s="29">
        <v>48900</v>
      </c>
      <c r="AN10" s="33">
        <v>48900</v>
      </c>
      <c r="AO10" s="29">
        <v>0</v>
      </c>
      <c r="AP10" s="29">
        <v>1800</v>
      </c>
      <c r="AQ10" s="34">
        <v>721.5</v>
      </c>
      <c r="AR10" s="29">
        <v>53521.5</v>
      </c>
      <c r="AS10" s="29">
        <v>0</v>
      </c>
      <c r="AT10" s="29">
        <v>0</v>
      </c>
      <c r="AU10" s="34"/>
      <c r="AV10" s="29">
        <v>0</v>
      </c>
      <c r="AW10" s="34"/>
      <c r="AX10" s="34"/>
      <c r="AY10" s="29">
        <v>0</v>
      </c>
      <c r="AZ10" s="35" t="s">
        <v>165</v>
      </c>
    </row>
    <row r="11" spans="1:52" ht="15.75" customHeight="1" x14ac:dyDescent="0.3">
      <c r="A11" s="21">
        <v>1033</v>
      </c>
      <c r="B11" s="22" t="s">
        <v>31</v>
      </c>
      <c r="C11" s="8" t="s">
        <v>11</v>
      </c>
      <c r="D11" s="8">
        <v>101457287134</v>
      </c>
      <c r="E11" s="8" t="s">
        <v>32</v>
      </c>
      <c r="F11" s="8" t="s">
        <v>33</v>
      </c>
      <c r="G11" s="8" t="s">
        <v>34</v>
      </c>
      <c r="H11" s="8"/>
      <c r="I11" s="23">
        <v>30</v>
      </c>
      <c r="J11" s="23">
        <v>0</v>
      </c>
      <c r="K11" s="24">
        <v>0</v>
      </c>
      <c r="L11" s="25">
        <v>0</v>
      </c>
      <c r="M11" s="38">
        <v>30</v>
      </c>
      <c r="N11" s="24">
        <v>30</v>
      </c>
      <c r="O11" s="24">
        <v>0</v>
      </c>
      <c r="P11" s="24">
        <v>-30</v>
      </c>
      <c r="Q11" s="36">
        <v>15000</v>
      </c>
      <c r="R11" s="39">
        <v>3540</v>
      </c>
      <c r="S11" s="39">
        <v>1180</v>
      </c>
      <c r="T11" s="39">
        <v>1180</v>
      </c>
      <c r="U11" s="36">
        <v>550</v>
      </c>
      <c r="V11" s="36">
        <v>550</v>
      </c>
      <c r="W11" s="29">
        <v>22000</v>
      </c>
      <c r="X11" s="30" t="e">
        <v>#DIV/0!</v>
      </c>
      <c r="Y11" s="30" t="e">
        <v>#DIV/0!</v>
      </c>
      <c r="Z11" s="30" t="e">
        <v>#DIV/0!</v>
      </c>
      <c r="AA11" s="30" t="e">
        <v>#DIV/0!</v>
      </c>
      <c r="AB11" s="10"/>
      <c r="AC11" s="10"/>
      <c r="AD11" s="10"/>
      <c r="AE11" s="10"/>
      <c r="AF11" s="31">
        <v>0</v>
      </c>
      <c r="AG11" s="29" t="e">
        <v>#DIV/0!</v>
      </c>
      <c r="AH11" s="29" t="e">
        <v>#DIV/0!</v>
      </c>
      <c r="AI11" s="29" t="e">
        <v>#DIV/0!</v>
      </c>
      <c r="AJ11" s="34"/>
      <c r="AK11" s="29" t="e">
        <v>#DIV/0!</v>
      </c>
      <c r="AL11" s="29" t="e">
        <v>#DIV/0!</v>
      </c>
      <c r="AM11" s="29" t="e">
        <v>#DIV/0!</v>
      </c>
      <c r="AN11" s="33" t="e">
        <v>#DIV/0!</v>
      </c>
      <c r="AO11" s="29" t="e">
        <v>#DIV/0!</v>
      </c>
      <c r="AP11" s="29" t="e">
        <v>#DIV/0!</v>
      </c>
      <c r="AQ11" s="34" t="e">
        <v>#DIV/0!</v>
      </c>
      <c r="AR11" s="29" t="e">
        <v>#DIV/0!</v>
      </c>
      <c r="AS11" s="29">
        <v>0</v>
      </c>
      <c r="AT11" s="29">
        <v>0</v>
      </c>
      <c r="AU11" s="34"/>
      <c r="AV11" s="29">
        <v>0</v>
      </c>
      <c r="AW11" s="34"/>
      <c r="AX11" s="34"/>
      <c r="AY11" s="29">
        <v>0</v>
      </c>
      <c r="AZ11" s="35" t="s">
        <v>165</v>
      </c>
    </row>
    <row r="12" spans="1:52" ht="15.75" customHeight="1" x14ac:dyDescent="0.3">
      <c r="A12" s="21">
        <v>1034</v>
      </c>
      <c r="B12" s="22" t="s">
        <v>35</v>
      </c>
      <c r="C12" s="8" t="s">
        <v>11</v>
      </c>
      <c r="D12" s="8">
        <v>101898645952</v>
      </c>
      <c r="E12" s="8" t="s">
        <v>36</v>
      </c>
      <c r="F12" s="8" t="s">
        <v>37</v>
      </c>
      <c r="G12" s="8" t="s">
        <v>38</v>
      </c>
      <c r="H12" s="8"/>
      <c r="I12" s="44"/>
      <c r="J12" s="23">
        <v>0</v>
      </c>
      <c r="K12" s="24">
        <v>0</v>
      </c>
      <c r="L12" s="25">
        <v>0</v>
      </c>
      <c r="M12" s="38">
        <v>0</v>
      </c>
      <c r="N12" s="45">
        <v>0</v>
      </c>
      <c r="O12" s="24">
        <v>0</v>
      </c>
      <c r="P12" s="24">
        <v>0</v>
      </c>
      <c r="Q12" s="36">
        <v>15000</v>
      </c>
      <c r="R12" s="40">
        <v>4956</v>
      </c>
      <c r="S12" s="40">
        <v>1652</v>
      </c>
      <c r="T12" s="40">
        <v>1770</v>
      </c>
      <c r="U12" s="37">
        <v>3690</v>
      </c>
      <c r="V12" s="37">
        <v>3690</v>
      </c>
      <c r="W12" s="29">
        <v>30758</v>
      </c>
      <c r="X12" s="30" t="e">
        <v>#DIV/0!</v>
      </c>
      <c r="Y12" s="30" t="e">
        <v>#DIV/0!</v>
      </c>
      <c r="Z12" s="30" t="e">
        <v>#DIV/0!</v>
      </c>
      <c r="AA12" s="30" t="e">
        <v>#DIV/0!</v>
      </c>
      <c r="AB12" s="41">
        <v>0</v>
      </c>
      <c r="AC12" s="41">
        <v>0</v>
      </c>
      <c r="AD12" s="41">
        <v>0</v>
      </c>
      <c r="AE12" s="41">
        <v>0</v>
      </c>
      <c r="AF12" s="31">
        <v>0</v>
      </c>
      <c r="AG12" s="32">
        <v>0</v>
      </c>
      <c r="AH12" s="32">
        <v>0</v>
      </c>
      <c r="AI12" s="29">
        <v>0</v>
      </c>
      <c r="AJ12" s="34"/>
      <c r="AK12" s="29" t="e">
        <v>#DIV/0!</v>
      </c>
      <c r="AL12" s="29">
        <v>0</v>
      </c>
      <c r="AM12" s="29" t="e">
        <v>#DIV/0!</v>
      </c>
      <c r="AN12" s="33" t="e">
        <v>#DIV/0!</v>
      </c>
      <c r="AO12" s="29">
        <v>0</v>
      </c>
      <c r="AP12" s="29">
        <v>0</v>
      </c>
      <c r="AQ12" s="34" t="e">
        <v>#DIV/0!</v>
      </c>
      <c r="AR12" s="29" t="e">
        <v>#DIV/0!</v>
      </c>
      <c r="AS12" s="29">
        <v>0</v>
      </c>
      <c r="AT12" s="29">
        <v>0</v>
      </c>
      <c r="AU12" s="34"/>
      <c r="AV12" s="29">
        <v>0</v>
      </c>
      <c r="AW12" s="34"/>
      <c r="AX12" s="34"/>
      <c r="AY12" s="29">
        <v>0</v>
      </c>
      <c r="AZ12" s="48" t="s">
        <v>166</v>
      </c>
    </row>
    <row r="13" spans="1:52" ht="15.75" customHeight="1" x14ac:dyDescent="0.3">
      <c r="A13" s="21">
        <v>1036</v>
      </c>
      <c r="B13" s="22" t="s">
        <v>39</v>
      </c>
      <c r="C13" s="8" t="s">
        <v>6</v>
      </c>
      <c r="D13" s="8">
        <v>101867312879</v>
      </c>
      <c r="E13" s="8" t="s">
        <v>36</v>
      </c>
      <c r="F13" s="8" t="s">
        <v>40</v>
      </c>
      <c r="G13" s="8" t="s">
        <v>41</v>
      </c>
      <c r="H13" s="8"/>
      <c r="I13" s="23">
        <v>30</v>
      </c>
      <c r="J13" s="23">
        <v>30</v>
      </c>
      <c r="K13" s="24">
        <v>0</v>
      </c>
      <c r="L13" s="25">
        <v>3</v>
      </c>
      <c r="M13" s="38">
        <v>2.5</v>
      </c>
      <c r="N13" s="24">
        <v>0</v>
      </c>
      <c r="O13" s="24">
        <v>0.5</v>
      </c>
      <c r="P13" s="24">
        <v>30</v>
      </c>
      <c r="Q13" s="36">
        <v>15000</v>
      </c>
      <c r="R13" s="40">
        <v>4956</v>
      </c>
      <c r="S13" s="40">
        <v>1652</v>
      </c>
      <c r="T13" s="39">
        <v>1180</v>
      </c>
      <c r="U13" s="37">
        <v>3520</v>
      </c>
      <c r="V13" s="37">
        <v>3520</v>
      </c>
      <c r="W13" s="29">
        <v>29828</v>
      </c>
      <c r="X13" s="30">
        <v>15000</v>
      </c>
      <c r="Y13" s="30">
        <v>4956</v>
      </c>
      <c r="Z13" s="30">
        <v>1652</v>
      </c>
      <c r="AA13" s="30">
        <v>1180</v>
      </c>
      <c r="AB13" s="10">
        <v>3168</v>
      </c>
      <c r="AC13" s="10">
        <v>2816</v>
      </c>
      <c r="AD13" s="12"/>
      <c r="AE13" s="10"/>
      <c r="AF13" s="31">
        <v>0</v>
      </c>
      <c r="AG13" s="39">
        <v>1800</v>
      </c>
      <c r="AH13" s="32">
        <v>300</v>
      </c>
      <c r="AI13" s="39">
        <v>0</v>
      </c>
      <c r="AJ13" s="13"/>
      <c r="AK13" s="29">
        <v>28772</v>
      </c>
      <c r="AL13" s="29">
        <v>2100</v>
      </c>
      <c r="AM13" s="29">
        <v>26672</v>
      </c>
      <c r="AN13" s="33">
        <v>26672</v>
      </c>
      <c r="AO13" s="29">
        <v>0</v>
      </c>
      <c r="AP13" s="29">
        <v>1800</v>
      </c>
      <c r="AQ13" s="34">
        <v>721.5</v>
      </c>
      <c r="AR13" s="29">
        <v>31293.5</v>
      </c>
      <c r="AS13" s="29">
        <v>0</v>
      </c>
      <c r="AT13" s="29">
        <v>0</v>
      </c>
      <c r="AU13" s="34"/>
      <c r="AV13" s="29">
        <v>0</v>
      </c>
      <c r="AW13" s="34"/>
      <c r="AX13" s="34"/>
      <c r="AY13" s="29">
        <v>0</v>
      </c>
      <c r="AZ13" s="35" t="s">
        <v>165</v>
      </c>
    </row>
    <row r="14" spans="1:52" ht="15.75" customHeight="1" x14ac:dyDescent="0.3">
      <c r="A14" s="21">
        <v>1037</v>
      </c>
      <c r="B14" s="22" t="s">
        <v>42</v>
      </c>
      <c r="C14" s="8" t="s">
        <v>6</v>
      </c>
      <c r="D14" s="8">
        <v>100004572892</v>
      </c>
      <c r="E14" s="8" t="s">
        <v>3</v>
      </c>
      <c r="F14" s="8" t="s">
        <v>43</v>
      </c>
      <c r="G14" s="8" t="s">
        <v>5</v>
      </c>
      <c r="H14" s="8"/>
      <c r="I14" s="44">
        <v>30</v>
      </c>
      <c r="J14" s="23">
        <v>0</v>
      </c>
      <c r="K14" s="45">
        <v>0</v>
      </c>
      <c r="L14" s="25">
        <v>0</v>
      </c>
      <c r="M14" s="38">
        <v>0</v>
      </c>
      <c r="N14" s="24">
        <v>0</v>
      </c>
      <c r="O14" s="24">
        <v>0</v>
      </c>
      <c r="P14" s="24">
        <v>0</v>
      </c>
      <c r="Q14" s="36">
        <v>26000</v>
      </c>
      <c r="R14" s="36">
        <v>14808</v>
      </c>
      <c r="S14" s="36">
        <v>11106</v>
      </c>
      <c r="T14" s="36">
        <v>11106</v>
      </c>
      <c r="U14" s="36">
        <v>5395</v>
      </c>
      <c r="V14" s="36">
        <v>5395</v>
      </c>
      <c r="W14" s="29">
        <v>73810</v>
      </c>
      <c r="X14" s="30" t="e">
        <v>#DIV/0!</v>
      </c>
      <c r="Y14" s="30" t="e">
        <v>#DIV/0!</v>
      </c>
      <c r="Z14" s="30" t="e">
        <v>#DIV/0!</v>
      </c>
      <c r="AA14" s="30" t="e">
        <v>#DIV/0!</v>
      </c>
      <c r="AB14" s="9">
        <v>0</v>
      </c>
      <c r="AC14" s="49">
        <v>0</v>
      </c>
      <c r="AD14" s="12"/>
      <c r="AE14" s="10"/>
      <c r="AF14" s="31">
        <v>0</v>
      </c>
      <c r="AG14" s="39" t="e">
        <v>#DIV/0!</v>
      </c>
      <c r="AH14" s="39" t="e">
        <v>#DIV/0!</v>
      </c>
      <c r="AI14" s="39">
        <v>0</v>
      </c>
      <c r="AJ14" s="13"/>
      <c r="AK14" s="29" t="e">
        <v>#DIV/0!</v>
      </c>
      <c r="AL14" s="29" t="e">
        <v>#DIV/0!</v>
      </c>
      <c r="AM14" s="29" t="e">
        <v>#DIV/0!</v>
      </c>
      <c r="AN14" s="33" t="e">
        <v>#DIV/0!</v>
      </c>
      <c r="AO14" s="29">
        <v>0</v>
      </c>
      <c r="AP14" s="29" t="e">
        <v>#DIV/0!</v>
      </c>
      <c r="AQ14" s="34" t="e">
        <v>#DIV/0!</v>
      </c>
      <c r="AR14" s="29" t="e">
        <v>#DIV/0!</v>
      </c>
      <c r="AS14" s="29">
        <v>0</v>
      </c>
      <c r="AT14" s="29">
        <v>0</v>
      </c>
      <c r="AU14" s="34"/>
      <c r="AV14" s="29">
        <v>0</v>
      </c>
      <c r="AW14" s="34"/>
      <c r="AX14" s="34"/>
      <c r="AY14" s="29">
        <v>0</v>
      </c>
      <c r="AZ14" s="48" t="s">
        <v>166</v>
      </c>
    </row>
    <row r="15" spans="1:52" ht="15.75" customHeight="1" x14ac:dyDescent="0.3">
      <c r="A15" s="21">
        <v>1042</v>
      </c>
      <c r="B15" s="22" t="s">
        <v>51</v>
      </c>
      <c r="C15" s="8" t="s">
        <v>11</v>
      </c>
      <c r="D15" s="8">
        <v>101404270886</v>
      </c>
      <c r="E15" s="8" t="s">
        <v>52</v>
      </c>
      <c r="F15" s="8" t="s">
        <v>53</v>
      </c>
      <c r="G15" s="8" t="s">
        <v>54</v>
      </c>
      <c r="H15" s="8"/>
      <c r="I15" s="23">
        <v>30</v>
      </c>
      <c r="J15" s="23">
        <v>30</v>
      </c>
      <c r="K15" s="24">
        <v>6</v>
      </c>
      <c r="L15" s="25">
        <v>3</v>
      </c>
      <c r="M15" s="38">
        <v>0</v>
      </c>
      <c r="N15" s="24">
        <v>0</v>
      </c>
      <c r="O15" s="24">
        <v>9</v>
      </c>
      <c r="P15" s="24">
        <v>30</v>
      </c>
      <c r="Q15" s="39">
        <v>30000</v>
      </c>
      <c r="R15" s="40">
        <v>21300</v>
      </c>
      <c r="S15" s="40">
        <v>15975</v>
      </c>
      <c r="T15" s="39">
        <v>12780</v>
      </c>
      <c r="U15" s="40">
        <v>7920</v>
      </c>
      <c r="V15" s="40">
        <v>7920</v>
      </c>
      <c r="W15" s="29">
        <v>95895</v>
      </c>
      <c r="X15" s="30">
        <v>30000</v>
      </c>
      <c r="Y15" s="30">
        <v>21300</v>
      </c>
      <c r="Z15" s="30">
        <v>15975</v>
      </c>
      <c r="AA15" s="30">
        <v>12780</v>
      </c>
      <c r="AB15" s="9">
        <v>7920</v>
      </c>
      <c r="AC15" s="9">
        <v>6336</v>
      </c>
      <c r="AD15" s="10"/>
      <c r="AE15" s="10"/>
      <c r="AF15" s="31">
        <v>0</v>
      </c>
      <c r="AG15" s="39">
        <v>1800</v>
      </c>
      <c r="AH15" s="40">
        <v>300</v>
      </c>
      <c r="AI15" s="39">
        <v>0</v>
      </c>
      <c r="AJ15" s="34"/>
      <c r="AK15" s="29">
        <v>94311</v>
      </c>
      <c r="AL15" s="29">
        <v>2100</v>
      </c>
      <c r="AM15" s="29">
        <v>92211</v>
      </c>
      <c r="AN15" s="33">
        <v>92211</v>
      </c>
      <c r="AO15" s="29">
        <v>0</v>
      </c>
      <c r="AP15" s="29">
        <v>1800</v>
      </c>
      <c r="AQ15" s="34">
        <v>1443</v>
      </c>
      <c r="AR15" s="29">
        <v>97554</v>
      </c>
      <c r="AS15" s="29">
        <v>0</v>
      </c>
      <c r="AT15" s="29">
        <v>0</v>
      </c>
      <c r="AU15" s="34"/>
      <c r="AV15" s="29">
        <v>0</v>
      </c>
      <c r="AW15" s="34"/>
      <c r="AX15" s="34"/>
      <c r="AY15" s="29">
        <v>0</v>
      </c>
      <c r="AZ15" s="35" t="s">
        <v>165</v>
      </c>
    </row>
    <row r="16" spans="1:52" ht="15.75" customHeight="1" x14ac:dyDescent="0.3">
      <c r="A16" s="21">
        <v>1044</v>
      </c>
      <c r="B16" s="22" t="s">
        <v>57</v>
      </c>
      <c r="C16" s="8" t="s">
        <v>6</v>
      </c>
      <c r="D16" s="8">
        <v>101898706557</v>
      </c>
      <c r="E16" s="8" t="s">
        <v>58</v>
      </c>
      <c r="F16" s="8" t="s">
        <v>59</v>
      </c>
      <c r="G16" s="8" t="s">
        <v>60</v>
      </c>
      <c r="H16" s="8"/>
      <c r="I16" s="23">
        <v>30</v>
      </c>
      <c r="J16" s="23">
        <v>30</v>
      </c>
      <c r="K16" s="24">
        <v>0</v>
      </c>
      <c r="L16" s="25">
        <v>0</v>
      </c>
      <c r="M16" s="38">
        <v>9</v>
      </c>
      <c r="N16" s="24">
        <v>9</v>
      </c>
      <c r="O16" s="24">
        <v>0</v>
      </c>
      <c r="P16" s="24">
        <v>21</v>
      </c>
      <c r="Q16" s="36">
        <v>26000</v>
      </c>
      <c r="R16" s="36">
        <v>11600</v>
      </c>
      <c r="S16" s="37">
        <v>10440</v>
      </c>
      <c r="T16" s="36">
        <v>8700</v>
      </c>
      <c r="U16" s="36">
        <v>0</v>
      </c>
      <c r="V16" s="37">
        <v>28875</v>
      </c>
      <c r="W16" s="29">
        <v>85615</v>
      </c>
      <c r="X16" s="30">
        <v>18200</v>
      </c>
      <c r="Y16" s="30">
        <v>8119.9999999999991</v>
      </c>
      <c r="Z16" s="30">
        <v>7307.9999999999991</v>
      </c>
      <c r="AA16" s="30">
        <v>6090</v>
      </c>
      <c r="AB16" s="9">
        <v>0</v>
      </c>
      <c r="AC16" s="9">
        <v>23100</v>
      </c>
      <c r="AD16" s="12"/>
      <c r="AE16" s="41"/>
      <c r="AF16" s="31">
        <v>0</v>
      </c>
      <c r="AG16" s="39">
        <v>1800</v>
      </c>
      <c r="AH16" s="39">
        <v>200</v>
      </c>
      <c r="AI16" s="39">
        <v>0</v>
      </c>
      <c r="AJ16" s="13"/>
      <c r="AK16" s="29">
        <v>62818</v>
      </c>
      <c r="AL16" s="29">
        <v>2000</v>
      </c>
      <c r="AM16" s="29">
        <v>60818</v>
      </c>
      <c r="AN16" s="33">
        <v>60818</v>
      </c>
      <c r="AO16" s="29">
        <v>0</v>
      </c>
      <c r="AP16" s="29">
        <v>1800</v>
      </c>
      <c r="AQ16" s="34">
        <v>875.42</v>
      </c>
      <c r="AR16" s="29">
        <v>65493.42</v>
      </c>
      <c r="AS16" s="29">
        <v>0</v>
      </c>
      <c r="AT16" s="29">
        <v>0</v>
      </c>
      <c r="AU16" s="34"/>
      <c r="AV16" s="29">
        <v>0</v>
      </c>
      <c r="AW16" s="34"/>
      <c r="AX16" s="34"/>
      <c r="AY16" s="29">
        <v>0</v>
      </c>
      <c r="AZ16" s="35" t="s">
        <v>165</v>
      </c>
    </row>
    <row r="17" spans="1:52" ht="15.75" customHeight="1" x14ac:dyDescent="0.3">
      <c r="A17" s="21">
        <v>1047</v>
      </c>
      <c r="B17" s="22" t="s">
        <v>66</v>
      </c>
      <c r="C17" s="8" t="s">
        <v>6</v>
      </c>
      <c r="D17" s="8">
        <v>100393676148</v>
      </c>
      <c r="E17" s="8" t="s">
        <v>50</v>
      </c>
      <c r="F17" s="8" t="s">
        <v>67</v>
      </c>
      <c r="G17" s="8" t="s">
        <v>68</v>
      </c>
      <c r="H17" s="8"/>
      <c r="I17" s="23">
        <v>30</v>
      </c>
      <c r="J17" s="23">
        <v>30</v>
      </c>
      <c r="K17" s="24">
        <v>0</v>
      </c>
      <c r="L17" s="25">
        <v>30</v>
      </c>
      <c r="M17" s="38">
        <v>30</v>
      </c>
      <c r="N17" s="24">
        <v>0</v>
      </c>
      <c r="O17" s="45">
        <v>0</v>
      </c>
      <c r="P17" s="24">
        <v>30</v>
      </c>
      <c r="Q17" s="36">
        <v>26000</v>
      </c>
      <c r="R17" s="39">
        <v>18750</v>
      </c>
      <c r="S17" s="39">
        <v>1250</v>
      </c>
      <c r="T17" s="39">
        <v>10833.333333333334</v>
      </c>
      <c r="U17" s="40">
        <v>13125</v>
      </c>
      <c r="V17" s="40">
        <v>13125</v>
      </c>
      <c r="W17" s="29">
        <v>83083.333333333343</v>
      </c>
      <c r="X17" s="30">
        <v>26000</v>
      </c>
      <c r="Y17" s="30">
        <v>18750</v>
      </c>
      <c r="Z17" s="30">
        <v>1250</v>
      </c>
      <c r="AA17" s="30">
        <v>10833.333333333334</v>
      </c>
      <c r="AB17" s="9">
        <v>0</v>
      </c>
      <c r="AC17" s="9">
        <v>0</v>
      </c>
      <c r="AD17" s="12"/>
      <c r="AE17" s="10"/>
      <c r="AF17" s="31">
        <v>0</v>
      </c>
      <c r="AG17" s="39">
        <v>1800</v>
      </c>
      <c r="AH17" s="40">
        <v>300</v>
      </c>
      <c r="AI17" s="39">
        <v>0</v>
      </c>
      <c r="AJ17" s="13"/>
      <c r="AK17" s="29">
        <v>56833.333333333336</v>
      </c>
      <c r="AL17" s="29">
        <v>2100</v>
      </c>
      <c r="AM17" s="29">
        <v>54733.333333333336</v>
      </c>
      <c r="AN17" s="33">
        <v>54733</v>
      </c>
      <c r="AO17" s="29">
        <v>0</v>
      </c>
      <c r="AP17" s="29">
        <v>1800</v>
      </c>
      <c r="AQ17" s="34">
        <v>1250.5999999999999</v>
      </c>
      <c r="AR17" s="29">
        <v>59883.933333333334</v>
      </c>
      <c r="AS17" s="29">
        <v>0</v>
      </c>
      <c r="AT17" s="29">
        <v>0</v>
      </c>
      <c r="AU17" s="34"/>
      <c r="AV17" s="29">
        <v>0</v>
      </c>
      <c r="AW17" s="34"/>
      <c r="AX17" s="34"/>
      <c r="AY17" s="29">
        <v>0</v>
      </c>
      <c r="AZ17" s="35" t="s">
        <v>165</v>
      </c>
    </row>
    <row r="18" spans="1:52" ht="15.75" customHeight="1" x14ac:dyDescent="0.3">
      <c r="A18" s="50">
        <v>1039</v>
      </c>
      <c r="B18" s="22" t="s">
        <v>44</v>
      </c>
      <c r="C18" s="8" t="s">
        <v>11</v>
      </c>
      <c r="D18" s="8">
        <v>101929473959</v>
      </c>
      <c r="E18" s="8" t="s">
        <v>28</v>
      </c>
      <c r="F18" s="8" t="s">
        <v>45</v>
      </c>
      <c r="G18" s="8" t="s">
        <v>46</v>
      </c>
      <c r="H18" s="8"/>
      <c r="I18" s="23">
        <v>30</v>
      </c>
      <c r="J18" s="38">
        <v>30</v>
      </c>
      <c r="K18" s="24">
        <v>0.5</v>
      </c>
      <c r="L18" s="25">
        <v>3</v>
      </c>
      <c r="M18" s="38">
        <v>0.5</v>
      </c>
      <c r="N18" s="24">
        <v>0</v>
      </c>
      <c r="O18" s="24">
        <v>3</v>
      </c>
      <c r="P18" s="24">
        <v>30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v>28560</v>
      </c>
      <c r="X18" s="30">
        <v>15000</v>
      </c>
      <c r="Y18" s="30">
        <v>5700</v>
      </c>
      <c r="Z18" s="30">
        <v>1900</v>
      </c>
      <c r="AA18" s="30">
        <v>1900</v>
      </c>
      <c r="AB18" s="10">
        <v>1827</v>
      </c>
      <c r="AC18" s="10">
        <v>1624</v>
      </c>
      <c r="AD18" s="12"/>
      <c r="AE18" s="41"/>
      <c r="AF18" s="31">
        <v>0</v>
      </c>
      <c r="AG18" s="39">
        <v>1800</v>
      </c>
      <c r="AH18" s="40">
        <v>300</v>
      </c>
      <c r="AI18" s="39">
        <v>0</v>
      </c>
      <c r="AJ18" s="13"/>
      <c r="AK18" s="29">
        <v>27951</v>
      </c>
      <c r="AL18" s="29">
        <v>2100</v>
      </c>
      <c r="AM18" s="29">
        <v>25851</v>
      </c>
      <c r="AN18" s="33">
        <v>25851</v>
      </c>
      <c r="AO18" s="29">
        <v>0</v>
      </c>
      <c r="AP18" s="29">
        <v>1800</v>
      </c>
      <c r="AQ18" s="34">
        <v>721.5</v>
      </c>
      <c r="AR18" s="29">
        <v>30472.5</v>
      </c>
      <c r="AS18" s="29">
        <v>0</v>
      </c>
      <c r="AT18" s="29">
        <v>0</v>
      </c>
      <c r="AU18" s="34"/>
      <c r="AV18" s="29">
        <v>0</v>
      </c>
      <c r="AW18" s="34"/>
      <c r="AX18" s="47"/>
      <c r="AY18" s="29">
        <v>0</v>
      </c>
      <c r="AZ18" s="35" t="s">
        <v>165</v>
      </c>
    </row>
    <row r="19" spans="1:52" ht="15.75" customHeight="1" x14ac:dyDescent="0.3">
      <c r="A19" s="21">
        <v>1040</v>
      </c>
      <c r="B19" s="22" t="s">
        <v>47</v>
      </c>
      <c r="C19" s="8" t="s">
        <v>11</v>
      </c>
      <c r="D19" s="8">
        <v>101929655674</v>
      </c>
      <c r="E19" s="8" t="s">
        <v>28</v>
      </c>
      <c r="F19" s="8" t="s">
        <v>48</v>
      </c>
      <c r="G19" s="8" t="s">
        <v>49</v>
      </c>
      <c r="H19" s="8"/>
      <c r="I19" s="23">
        <v>30</v>
      </c>
      <c r="J19" s="38">
        <v>30</v>
      </c>
      <c r="K19" s="24">
        <v>0.5</v>
      </c>
      <c r="L19" s="25">
        <v>3</v>
      </c>
      <c r="M19" s="38">
        <v>1</v>
      </c>
      <c r="N19" s="24">
        <v>0</v>
      </c>
      <c r="O19" s="24">
        <v>2.5</v>
      </c>
      <c r="P19" s="24">
        <v>30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v>29280</v>
      </c>
      <c r="X19" s="30">
        <v>15000</v>
      </c>
      <c r="Y19" s="30">
        <v>5700</v>
      </c>
      <c r="Z19" s="30">
        <v>1900</v>
      </c>
      <c r="AA19" s="30">
        <v>1900</v>
      </c>
      <c r="AB19" s="10">
        <v>2390</v>
      </c>
      <c r="AC19" s="10">
        <v>1912</v>
      </c>
      <c r="AD19" s="12"/>
      <c r="AE19" s="10"/>
      <c r="AF19" s="31">
        <v>0</v>
      </c>
      <c r="AG19" s="39">
        <v>1800</v>
      </c>
      <c r="AH19" s="40">
        <v>300</v>
      </c>
      <c r="AI19" s="39">
        <v>0</v>
      </c>
      <c r="AJ19" s="13"/>
      <c r="AK19" s="29">
        <v>28802</v>
      </c>
      <c r="AL19" s="29">
        <v>2100</v>
      </c>
      <c r="AM19" s="29">
        <v>26702</v>
      </c>
      <c r="AN19" s="33">
        <v>26702</v>
      </c>
      <c r="AO19" s="29">
        <v>0</v>
      </c>
      <c r="AP19" s="29">
        <v>1800</v>
      </c>
      <c r="AQ19" s="34">
        <v>721.5</v>
      </c>
      <c r="AR19" s="29">
        <v>31323.5</v>
      </c>
      <c r="AS19" s="39">
        <v>0</v>
      </c>
      <c r="AT19" s="39">
        <v>0</v>
      </c>
      <c r="AU19" s="34"/>
      <c r="AV19" s="39">
        <v>0</v>
      </c>
      <c r="AW19" s="34"/>
      <c r="AX19" s="34"/>
      <c r="AY19" s="39">
        <v>0</v>
      </c>
      <c r="AZ19" s="34" t="s">
        <v>165</v>
      </c>
    </row>
    <row r="20" spans="1:52" ht="15.75" customHeight="1" x14ac:dyDescent="0.3">
      <c r="A20" s="21">
        <v>1043</v>
      </c>
      <c r="B20" s="22" t="s">
        <v>55</v>
      </c>
      <c r="C20" s="8" t="s">
        <v>11</v>
      </c>
      <c r="D20" s="8">
        <v>101938689117</v>
      </c>
      <c r="E20" s="8" t="s">
        <v>13</v>
      </c>
      <c r="F20" s="8" t="s">
        <v>56</v>
      </c>
      <c r="G20" s="8" t="s">
        <v>15</v>
      </c>
      <c r="H20" s="8"/>
      <c r="I20" s="23">
        <v>30</v>
      </c>
      <c r="J20" s="38">
        <v>30</v>
      </c>
      <c r="K20" s="24">
        <v>0</v>
      </c>
      <c r="L20" s="25">
        <v>3</v>
      </c>
      <c r="M20" s="38">
        <v>3</v>
      </c>
      <c r="N20" s="24">
        <v>0</v>
      </c>
      <c r="O20" s="24">
        <v>0</v>
      </c>
      <c r="P20" s="24">
        <v>30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v>27204</v>
      </c>
      <c r="X20" s="30">
        <v>15000</v>
      </c>
      <c r="Y20" s="30">
        <v>5130</v>
      </c>
      <c r="Z20" s="30">
        <v>1710</v>
      </c>
      <c r="AA20" s="30">
        <v>1710</v>
      </c>
      <c r="AB20" s="10">
        <v>1461.6000000000001</v>
      </c>
      <c r="AC20" s="10">
        <v>1461.6000000000001</v>
      </c>
      <c r="AD20" s="12"/>
      <c r="AE20" s="10"/>
      <c r="AF20" s="31">
        <v>0</v>
      </c>
      <c r="AG20" s="39">
        <v>1800</v>
      </c>
      <c r="AH20" s="40">
        <v>300</v>
      </c>
      <c r="AI20" s="39">
        <v>0</v>
      </c>
      <c r="AJ20" s="13"/>
      <c r="AK20" s="29">
        <v>26473.199999999997</v>
      </c>
      <c r="AL20" s="29">
        <v>2100</v>
      </c>
      <c r="AM20" s="29">
        <v>24373.199999999997</v>
      </c>
      <c r="AN20" s="33">
        <v>24373</v>
      </c>
      <c r="AO20" s="29">
        <v>0</v>
      </c>
      <c r="AP20" s="29">
        <v>1800</v>
      </c>
      <c r="AQ20" s="34">
        <v>721.5</v>
      </c>
      <c r="AR20" s="29">
        <v>28994.699999999997</v>
      </c>
      <c r="AS20" s="39">
        <v>0</v>
      </c>
      <c r="AT20" s="39">
        <v>0</v>
      </c>
      <c r="AU20" s="34"/>
      <c r="AV20" s="39">
        <v>0</v>
      </c>
      <c r="AW20" s="34"/>
      <c r="AX20" s="34"/>
      <c r="AY20" s="39">
        <v>0</v>
      </c>
      <c r="AZ20" s="34" t="s">
        <v>165</v>
      </c>
    </row>
    <row r="21" spans="1:52" ht="15.75" customHeight="1" x14ac:dyDescent="0.3">
      <c r="A21" s="21">
        <v>1045</v>
      </c>
      <c r="B21" s="22" t="s">
        <v>61</v>
      </c>
      <c r="C21" s="8" t="s">
        <v>6</v>
      </c>
      <c r="D21" s="8">
        <v>101938591137</v>
      </c>
      <c r="E21" s="8" t="s">
        <v>32</v>
      </c>
      <c r="F21" s="8" t="s">
        <v>62</v>
      </c>
      <c r="G21" s="8" t="s">
        <v>63</v>
      </c>
      <c r="H21" s="8"/>
      <c r="I21" s="38">
        <v>30</v>
      </c>
      <c r="J21" s="38">
        <v>0</v>
      </c>
      <c r="K21" s="51">
        <v>0</v>
      </c>
      <c r="L21" s="52">
        <v>0</v>
      </c>
      <c r="M21" s="38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8">
        <v>0</v>
      </c>
      <c r="Y21" s="38">
        <v>0</v>
      </c>
      <c r="Z21" s="38">
        <v>0</v>
      </c>
      <c r="AA21" s="38">
        <v>0</v>
      </c>
      <c r="AB21" s="10">
        <v>0</v>
      </c>
      <c r="AC21" s="10">
        <v>0</v>
      </c>
      <c r="AD21" s="53">
        <v>0</v>
      </c>
      <c r="AE21" s="53">
        <v>0</v>
      </c>
      <c r="AF21" s="38">
        <v>0</v>
      </c>
      <c r="AG21" s="37">
        <v>0</v>
      </c>
      <c r="AH21" s="37">
        <v>0</v>
      </c>
      <c r="AI21" s="37">
        <v>0</v>
      </c>
      <c r="AJ21" s="53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4">
        <v>0</v>
      </c>
      <c r="AR21" s="39">
        <v>0</v>
      </c>
      <c r="AS21" s="39">
        <v>0</v>
      </c>
      <c r="AT21" s="37">
        <v>0</v>
      </c>
      <c r="AU21" s="54">
        <v>0</v>
      </c>
      <c r="AV21" s="37">
        <v>0</v>
      </c>
      <c r="AW21" s="54">
        <v>0</v>
      </c>
      <c r="AX21" s="54">
        <v>0</v>
      </c>
      <c r="AY21" s="37">
        <v>0</v>
      </c>
      <c r="AZ21" s="47" t="s">
        <v>166</v>
      </c>
    </row>
    <row r="22" spans="1:52" ht="15.75" customHeight="1" x14ac:dyDescent="0.3">
      <c r="A22" s="21">
        <v>1046</v>
      </c>
      <c r="B22" s="22" t="s">
        <v>64</v>
      </c>
      <c r="C22" s="8" t="s">
        <v>11</v>
      </c>
      <c r="D22" s="8">
        <v>101959071464</v>
      </c>
      <c r="E22" s="8" t="s">
        <v>13</v>
      </c>
      <c r="F22" s="8" t="s">
        <v>65</v>
      </c>
      <c r="G22" s="8" t="s">
        <v>15</v>
      </c>
      <c r="H22" s="8"/>
      <c r="I22" s="38">
        <v>30</v>
      </c>
      <c r="J22" s="38">
        <v>30</v>
      </c>
      <c r="K22" s="51">
        <v>2.5</v>
      </c>
      <c r="L22" s="52">
        <v>5</v>
      </c>
      <c r="M22" s="38">
        <v>3.5</v>
      </c>
      <c r="N22" s="55">
        <v>0</v>
      </c>
      <c r="O22" s="55">
        <v>4</v>
      </c>
      <c r="P22" s="55">
        <v>30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39">
        <v>28804</v>
      </c>
      <c r="X22" s="9">
        <v>15000</v>
      </c>
      <c r="Y22" s="9">
        <v>5700</v>
      </c>
      <c r="Z22" s="9">
        <v>1900</v>
      </c>
      <c r="AA22" s="9">
        <v>1900</v>
      </c>
      <c r="AB22" s="10">
        <v>1936.8</v>
      </c>
      <c r="AC22" s="10">
        <v>1721.6000000000001</v>
      </c>
      <c r="AD22" s="12"/>
      <c r="AE22" s="10"/>
      <c r="AF22" s="9">
        <v>0</v>
      </c>
      <c r="AG22" s="39">
        <v>1800</v>
      </c>
      <c r="AH22" s="40">
        <v>300</v>
      </c>
      <c r="AI22" s="39">
        <v>0</v>
      </c>
      <c r="AJ22" s="12"/>
      <c r="AK22" s="39">
        <v>28158.399999999998</v>
      </c>
      <c r="AL22" s="39">
        <v>2100</v>
      </c>
      <c r="AM22" s="39">
        <v>26058.399999999998</v>
      </c>
      <c r="AN22" s="39">
        <v>26058</v>
      </c>
      <c r="AO22" s="39">
        <v>0</v>
      </c>
      <c r="AP22" s="39">
        <v>1800</v>
      </c>
      <c r="AQ22" s="34">
        <v>721.5</v>
      </c>
      <c r="AR22" s="39">
        <v>30679.899999999998</v>
      </c>
      <c r="AS22" s="39">
        <v>0</v>
      </c>
      <c r="AT22" s="39">
        <v>0</v>
      </c>
      <c r="AU22" s="34"/>
      <c r="AV22" s="39">
        <v>0</v>
      </c>
      <c r="AW22" s="34"/>
      <c r="AX22" s="34"/>
      <c r="AY22" s="39">
        <v>0</v>
      </c>
      <c r="AZ22" s="34" t="s">
        <v>165</v>
      </c>
    </row>
    <row r="23" spans="1:52" ht="15.75" customHeight="1" x14ac:dyDescent="0.3">
      <c r="A23" s="21">
        <v>1048</v>
      </c>
      <c r="B23" s="22" t="s">
        <v>69</v>
      </c>
      <c r="C23" s="8" t="s">
        <v>6</v>
      </c>
      <c r="D23" s="8">
        <v>101974844713</v>
      </c>
      <c r="E23" s="8" t="s">
        <v>28</v>
      </c>
      <c r="F23" s="8" t="s">
        <v>70</v>
      </c>
      <c r="G23" s="8" t="s">
        <v>71</v>
      </c>
      <c r="H23" s="8"/>
      <c r="I23" s="38">
        <v>30</v>
      </c>
      <c r="J23" s="38">
        <v>30</v>
      </c>
      <c r="K23" s="51">
        <v>0</v>
      </c>
      <c r="L23" s="52">
        <v>5.5</v>
      </c>
      <c r="M23" s="38">
        <v>3</v>
      </c>
      <c r="N23" s="55">
        <v>0</v>
      </c>
      <c r="O23" s="55">
        <v>2.5</v>
      </c>
      <c r="P23" s="55">
        <v>30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39">
        <v>25831</v>
      </c>
      <c r="X23" s="9">
        <v>15000</v>
      </c>
      <c r="Y23" s="9">
        <v>4959</v>
      </c>
      <c r="Z23" s="9">
        <v>1653</v>
      </c>
      <c r="AA23" s="9">
        <v>1653</v>
      </c>
      <c r="AB23" s="10">
        <v>1154.7</v>
      </c>
      <c r="AC23" s="10">
        <v>1026.4000000000001</v>
      </c>
      <c r="AD23" s="12"/>
      <c r="AE23" s="10"/>
      <c r="AF23" s="9">
        <v>0</v>
      </c>
      <c r="AG23" s="39">
        <v>1800</v>
      </c>
      <c r="AH23" s="40">
        <v>100</v>
      </c>
      <c r="AI23" s="39">
        <v>0</v>
      </c>
      <c r="AJ23" s="12"/>
      <c r="AK23" s="39">
        <v>25446.100000000002</v>
      </c>
      <c r="AL23" s="39">
        <v>1900</v>
      </c>
      <c r="AM23" s="39">
        <v>23546.100000000002</v>
      </c>
      <c r="AN23" s="39">
        <v>23546</v>
      </c>
      <c r="AO23" s="39">
        <v>0</v>
      </c>
      <c r="AP23" s="39">
        <v>1800</v>
      </c>
      <c r="AQ23" s="34">
        <v>721.5</v>
      </c>
      <c r="AR23" s="39">
        <v>27967.600000000002</v>
      </c>
      <c r="AS23" s="39">
        <v>0</v>
      </c>
      <c r="AT23" s="39">
        <v>0</v>
      </c>
      <c r="AU23" s="34"/>
      <c r="AV23" s="39">
        <v>0</v>
      </c>
      <c r="AW23" s="34"/>
      <c r="AX23" s="34"/>
      <c r="AY23" s="39">
        <v>0</v>
      </c>
      <c r="AZ23" s="34" t="s">
        <v>165</v>
      </c>
    </row>
    <row r="24" spans="1:52" ht="15.75" customHeight="1" x14ac:dyDescent="0.3">
      <c r="A24" s="21">
        <v>1049</v>
      </c>
      <c r="B24" s="22" t="s">
        <v>72</v>
      </c>
      <c r="C24" s="8" t="s">
        <v>11</v>
      </c>
      <c r="D24" s="8">
        <v>101974844732</v>
      </c>
      <c r="E24" s="8" t="s">
        <v>13</v>
      </c>
      <c r="F24" s="8" t="s">
        <v>73</v>
      </c>
      <c r="G24" s="8" t="s">
        <v>15</v>
      </c>
      <c r="H24" s="8"/>
      <c r="I24" s="38">
        <v>30</v>
      </c>
      <c r="J24" s="38">
        <v>30</v>
      </c>
      <c r="K24" s="51">
        <v>2</v>
      </c>
      <c r="L24" s="52">
        <v>3</v>
      </c>
      <c r="M24" s="38">
        <v>4.5</v>
      </c>
      <c r="N24" s="55">
        <v>0</v>
      </c>
      <c r="O24" s="55">
        <v>0.5</v>
      </c>
      <c r="P24" s="55">
        <v>30</v>
      </c>
      <c r="Q24" s="36">
        <v>15000</v>
      </c>
      <c r="R24" s="37">
        <v>6000</v>
      </c>
      <c r="S24" s="37">
        <v>5000</v>
      </c>
      <c r="T24" s="37">
        <v>6000</v>
      </c>
      <c r="U24" s="37">
        <v>4000</v>
      </c>
      <c r="V24" s="37">
        <v>4000</v>
      </c>
      <c r="W24" s="39">
        <v>40000</v>
      </c>
      <c r="X24" s="9">
        <v>15000</v>
      </c>
      <c r="Y24" s="9">
        <v>6000</v>
      </c>
      <c r="Z24" s="9">
        <v>5000</v>
      </c>
      <c r="AA24" s="9">
        <v>6000</v>
      </c>
      <c r="AB24" s="9">
        <v>4800</v>
      </c>
      <c r="AC24" s="9">
        <v>3200</v>
      </c>
      <c r="AD24" s="12"/>
      <c r="AE24" s="41"/>
      <c r="AF24" s="9">
        <v>0</v>
      </c>
      <c r="AG24" s="39">
        <v>1800</v>
      </c>
      <c r="AH24" s="40">
        <v>300</v>
      </c>
      <c r="AI24" s="39">
        <v>0</v>
      </c>
      <c r="AJ24" s="12"/>
      <c r="AK24" s="39">
        <v>40000</v>
      </c>
      <c r="AL24" s="39">
        <v>2100</v>
      </c>
      <c r="AM24" s="39">
        <v>37900</v>
      </c>
      <c r="AN24" s="39">
        <v>37900</v>
      </c>
      <c r="AO24" s="39">
        <v>0</v>
      </c>
      <c r="AP24" s="39">
        <v>1800</v>
      </c>
      <c r="AQ24" s="34">
        <v>721.5</v>
      </c>
      <c r="AR24" s="39">
        <v>42521.5</v>
      </c>
      <c r="AS24" s="39">
        <v>0</v>
      </c>
      <c r="AT24" s="39">
        <v>0</v>
      </c>
      <c r="AU24" s="34"/>
      <c r="AV24" s="39">
        <v>0</v>
      </c>
      <c r="AW24" s="34"/>
      <c r="AX24" s="47"/>
      <c r="AY24" s="40">
        <v>0</v>
      </c>
      <c r="AZ24" s="34" t="s">
        <v>165</v>
      </c>
    </row>
    <row r="25" spans="1:52" ht="15.75" customHeight="1" x14ac:dyDescent="0.3">
      <c r="A25" s="21">
        <v>1050</v>
      </c>
      <c r="B25" s="22" t="s">
        <v>74</v>
      </c>
      <c r="C25" s="8" t="s">
        <v>6</v>
      </c>
      <c r="D25" s="8">
        <v>101974844721</v>
      </c>
      <c r="E25" s="8" t="s">
        <v>75</v>
      </c>
      <c r="F25" s="8" t="s">
        <v>76</v>
      </c>
      <c r="G25" s="8" t="s">
        <v>77</v>
      </c>
      <c r="H25" s="8"/>
      <c r="I25" s="38">
        <v>30</v>
      </c>
      <c r="J25" s="38">
        <v>30</v>
      </c>
      <c r="K25" s="51">
        <v>0</v>
      </c>
      <c r="L25" s="52">
        <v>6</v>
      </c>
      <c r="M25" s="38">
        <v>3</v>
      </c>
      <c r="N25" s="55">
        <v>0</v>
      </c>
      <c r="O25" s="55">
        <v>3</v>
      </c>
      <c r="P25" s="55">
        <v>30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39">
        <v>30166</v>
      </c>
      <c r="X25" s="9">
        <v>15000</v>
      </c>
      <c r="Y25" s="9">
        <v>5700</v>
      </c>
      <c r="Z25" s="9">
        <v>1900</v>
      </c>
      <c r="AA25" s="9">
        <v>1900</v>
      </c>
      <c r="AB25" s="10">
        <v>2833</v>
      </c>
      <c r="AC25" s="10">
        <v>2266.4</v>
      </c>
      <c r="AD25" s="12"/>
      <c r="AE25" s="10"/>
      <c r="AF25" s="9">
        <v>0</v>
      </c>
      <c r="AG25" s="39">
        <v>1800</v>
      </c>
      <c r="AH25" s="40">
        <v>300</v>
      </c>
      <c r="AI25" s="39">
        <v>0</v>
      </c>
      <c r="AJ25" s="12"/>
      <c r="AK25" s="39">
        <v>29599.4</v>
      </c>
      <c r="AL25" s="39">
        <v>2100</v>
      </c>
      <c r="AM25" s="39">
        <v>27499.4</v>
      </c>
      <c r="AN25" s="39">
        <v>27499</v>
      </c>
      <c r="AO25" s="39">
        <v>0</v>
      </c>
      <c r="AP25" s="39">
        <v>1800</v>
      </c>
      <c r="AQ25" s="34">
        <v>721.5</v>
      </c>
      <c r="AR25" s="39">
        <v>32120.9</v>
      </c>
      <c r="AS25" s="39">
        <v>0</v>
      </c>
      <c r="AT25" s="39">
        <v>0</v>
      </c>
      <c r="AU25" s="34"/>
      <c r="AV25" s="39">
        <v>0</v>
      </c>
      <c r="AW25" s="34"/>
      <c r="AX25" s="34"/>
      <c r="AY25" s="39">
        <v>0</v>
      </c>
      <c r="AZ25" s="34" t="s">
        <v>165</v>
      </c>
    </row>
    <row r="26" spans="1:52" ht="15.75" customHeight="1" x14ac:dyDescent="0.3">
      <c r="A26" s="21">
        <v>1051</v>
      </c>
      <c r="B26" s="22" t="s">
        <v>78</v>
      </c>
      <c r="C26" s="8" t="s">
        <v>6</v>
      </c>
      <c r="D26" s="8">
        <v>102027953789</v>
      </c>
      <c r="E26" s="8" t="s">
        <v>24</v>
      </c>
      <c r="F26" s="8" t="s">
        <v>79</v>
      </c>
      <c r="G26" s="8" t="s">
        <v>80</v>
      </c>
      <c r="H26" s="8"/>
      <c r="I26" s="38">
        <v>30</v>
      </c>
      <c r="J26" s="38">
        <v>30</v>
      </c>
      <c r="K26" s="51">
        <v>2</v>
      </c>
      <c r="L26" s="52">
        <v>5</v>
      </c>
      <c r="M26" s="38">
        <v>1</v>
      </c>
      <c r="N26" s="55">
        <v>0</v>
      </c>
      <c r="O26" s="55">
        <v>6</v>
      </c>
      <c r="P26" s="55">
        <v>30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39">
        <v>25865</v>
      </c>
      <c r="X26" s="9">
        <v>15000</v>
      </c>
      <c r="Y26" s="9">
        <v>3825</v>
      </c>
      <c r="Z26" s="9">
        <v>1020</v>
      </c>
      <c r="AA26" s="9">
        <v>1020</v>
      </c>
      <c r="AB26" s="10"/>
      <c r="AC26" s="10"/>
      <c r="AD26" s="12"/>
      <c r="AE26" s="10"/>
      <c r="AF26" s="9">
        <v>0</v>
      </c>
      <c r="AG26" s="39">
        <v>1800</v>
      </c>
      <c r="AH26" s="39">
        <v>0</v>
      </c>
      <c r="AI26" s="39">
        <v>156.48749999999998</v>
      </c>
      <c r="AJ26" s="12"/>
      <c r="AK26" s="39">
        <v>20865</v>
      </c>
      <c r="AL26" s="39">
        <v>1956.4875</v>
      </c>
      <c r="AM26" s="39">
        <v>18908.512500000001</v>
      </c>
      <c r="AN26" s="39">
        <v>18909</v>
      </c>
      <c r="AO26" s="39">
        <v>678.11250000000007</v>
      </c>
      <c r="AP26" s="39">
        <v>1800</v>
      </c>
      <c r="AQ26" s="34">
        <v>721.5</v>
      </c>
      <c r="AR26" s="39">
        <v>24064.612499999999</v>
      </c>
      <c r="AS26" s="39">
        <v>0</v>
      </c>
      <c r="AT26" s="39">
        <v>0</v>
      </c>
      <c r="AU26" s="34"/>
      <c r="AV26" s="39">
        <v>0</v>
      </c>
      <c r="AW26" s="34"/>
      <c r="AX26" s="34"/>
      <c r="AY26" s="39">
        <v>0</v>
      </c>
      <c r="AZ26" s="34" t="s">
        <v>165</v>
      </c>
    </row>
    <row r="27" spans="1:52" ht="15.75" customHeight="1" x14ac:dyDescent="0.3">
      <c r="A27" s="21">
        <v>1053</v>
      </c>
      <c r="B27" s="22" t="s">
        <v>81</v>
      </c>
      <c r="C27" s="8" t="s">
        <v>6</v>
      </c>
      <c r="D27" s="8">
        <v>102027953770</v>
      </c>
      <c r="E27" s="8" t="s">
        <v>58</v>
      </c>
      <c r="F27" s="8" t="s">
        <v>82</v>
      </c>
      <c r="G27" s="8" t="s">
        <v>83</v>
      </c>
      <c r="H27" s="8"/>
      <c r="I27" s="38">
        <v>30</v>
      </c>
      <c r="J27" s="38">
        <v>30</v>
      </c>
      <c r="K27" s="51">
        <v>0</v>
      </c>
      <c r="L27" s="52">
        <v>5</v>
      </c>
      <c r="M27" s="38">
        <v>2</v>
      </c>
      <c r="N27" s="55">
        <v>0</v>
      </c>
      <c r="O27" s="55">
        <v>3</v>
      </c>
      <c r="P27" s="55">
        <v>30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39">
        <v>25831</v>
      </c>
      <c r="X27" s="9">
        <v>15000</v>
      </c>
      <c r="Y27" s="9">
        <v>4845</v>
      </c>
      <c r="Z27" s="9">
        <v>1615</v>
      </c>
      <c r="AA27" s="9">
        <v>1615</v>
      </c>
      <c r="AB27" s="10">
        <v>1102.4000000000001</v>
      </c>
      <c r="AC27" s="10">
        <v>1102.4000000000001</v>
      </c>
      <c r="AD27" s="12"/>
      <c r="AE27" s="10"/>
      <c r="AF27" s="9">
        <v>0</v>
      </c>
      <c r="AG27" s="39">
        <v>1800</v>
      </c>
      <c r="AH27" s="40">
        <v>300</v>
      </c>
      <c r="AI27" s="39">
        <v>0</v>
      </c>
      <c r="AJ27" s="12"/>
      <c r="AK27" s="39">
        <v>25279.800000000003</v>
      </c>
      <c r="AL27" s="39">
        <v>2100</v>
      </c>
      <c r="AM27" s="39">
        <v>23179.800000000003</v>
      </c>
      <c r="AN27" s="39">
        <v>23180</v>
      </c>
      <c r="AO27" s="39">
        <v>0</v>
      </c>
      <c r="AP27" s="39">
        <v>1800</v>
      </c>
      <c r="AQ27" s="34">
        <v>721.5</v>
      </c>
      <c r="AR27" s="39">
        <v>27801.300000000003</v>
      </c>
      <c r="AS27" s="39">
        <v>350000</v>
      </c>
      <c r="AT27" s="39">
        <v>350000</v>
      </c>
      <c r="AU27" s="34"/>
      <c r="AV27" s="39">
        <v>0</v>
      </c>
      <c r="AW27" s="34"/>
      <c r="AX27" s="34"/>
      <c r="AY27" s="39">
        <v>0</v>
      </c>
      <c r="AZ27" s="34" t="s">
        <v>165</v>
      </c>
    </row>
    <row r="28" spans="1:52" ht="15.75" customHeight="1" x14ac:dyDescent="0.3">
      <c r="A28" s="21">
        <v>1054</v>
      </c>
      <c r="B28" s="22" t="s">
        <v>84</v>
      </c>
      <c r="C28" s="8" t="s">
        <v>11</v>
      </c>
      <c r="D28" s="8">
        <v>102004602624</v>
      </c>
      <c r="E28" s="8" t="s">
        <v>85</v>
      </c>
      <c r="F28" s="8" t="s">
        <v>86</v>
      </c>
      <c r="G28" s="8" t="s">
        <v>87</v>
      </c>
      <c r="H28" s="8"/>
      <c r="I28" s="38">
        <v>30</v>
      </c>
      <c r="J28" s="38">
        <v>30</v>
      </c>
      <c r="K28" s="51">
        <v>4.5</v>
      </c>
      <c r="L28" s="52">
        <v>3</v>
      </c>
      <c r="M28" s="38">
        <v>3</v>
      </c>
      <c r="N28" s="55">
        <v>0</v>
      </c>
      <c r="O28" s="55">
        <v>4.5</v>
      </c>
      <c r="P28" s="55">
        <v>30</v>
      </c>
      <c r="Q28" s="36">
        <v>15000</v>
      </c>
      <c r="R28" s="36">
        <v>4000</v>
      </c>
      <c r="S28" s="36">
        <v>4000</v>
      </c>
      <c r="T28" s="36">
        <v>4000</v>
      </c>
      <c r="U28" s="36">
        <v>3000</v>
      </c>
      <c r="V28" s="36">
        <v>3000</v>
      </c>
      <c r="W28" s="39">
        <v>33000</v>
      </c>
      <c r="X28" s="9">
        <v>15000</v>
      </c>
      <c r="Y28" s="9">
        <v>4000.0000000000005</v>
      </c>
      <c r="Z28" s="9">
        <v>4000.0000000000005</v>
      </c>
      <c r="AA28" s="9">
        <v>4000.0000000000005</v>
      </c>
      <c r="AB28" s="9">
        <v>3600</v>
      </c>
      <c r="AC28" s="9">
        <v>2400</v>
      </c>
      <c r="AD28" s="12"/>
      <c r="AE28" s="10"/>
      <c r="AF28" s="9">
        <v>0</v>
      </c>
      <c r="AG28" s="39">
        <v>1800</v>
      </c>
      <c r="AH28" s="40">
        <v>300</v>
      </c>
      <c r="AI28" s="39">
        <v>0</v>
      </c>
      <c r="AJ28" s="12"/>
      <c r="AK28" s="39">
        <v>33000</v>
      </c>
      <c r="AL28" s="39">
        <v>2100</v>
      </c>
      <c r="AM28" s="39">
        <v>30900</v>
      </c>
      <c r="AN28" s="39">
        <v>30900</v>
      </c>
      <c r="AO28" s="39">
        <v>0</v>
      </c>
      <c r="AP28" s="39">
        <v>1800</v>
      </c>
      <c r="AQ28" s="34">
        <v>721.5</v>
      </c>
      <c r="AR28" s="39">
        <v>35521.5</v>
      </c>
      <c r="AS28" s="39">
        <v>0</v>
      </c>
      <c r="AT28" s="39">
        <v>0</v>
      </c>
      <c r="AU28" s="34"/>
      <c r="AV28" s="39">
        <v>0</v>
      </c>
      <c r="AW28" s="34"/>
      <c r="AX28" s="34"/>
      <c r="AY28" s="40">
        <v>0</v>
      </c>
      <c r="AZ28" s="34" t="s">
        <v>165</v>
      </c>
    </row>
    <row r="29" spans="1:52" ht="15.75" customHeight="1" x14ac:dyDescent="0.3">
      <c r="A29" s="21">
        <v>1055</v>
      </c>
      <c r="B29" s="22" t="s">
        <v>88</v>
      </c>
      <c r="C29" s="8" t="s">
        <v>11</v>
      </c>
      <c r="D29" s="8">
        <v>102038520969</v>
      </c>
      <c r="E29" s="8" t="s">
        <v>58</v>
      </c>
      <c r="F29" s="8" t="s">
        <v>89</v>
      </c>
      <c r="G29" s="8" t="s">
        <v>90</v>
      </c>
      <c r="H29" s="8"/>
      <c r="I29" s="38">
        <v>30</v>
      </c>
      <c r="J29" s="38">
        <v>30</v>
      </c>
      <c r="K29" s="51">
        <v>4.5</v>
      </c>
      <c r="L29" s="52">
        <v>3.5</v>
      </c>
      <c r="M29" s="38">
        <v>0.5</v>
      </c>
      <c r="N29" s="55">
        <v>0</v>
      </c>
      <c r="O29" s="55">
        <v>7.5</v>
      </c>
      <c r="P29" s="55">
        <v>30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39">
        <v>25400</v>
      </c>
      <c r="X29" s="9">
        <v>15000</v>
      </c>
      <c r="Y29" s="9">
        <v>3000</v>
      </c>
      <c r="Z29" s="9">
        <v>1800</v>
      </c>
      <c r="AA29" s="9">
        <v>1800</v>
      </c>
      <c r="AB29" s="10">
        <v>2090</v>
      </c>
      <c r="AC29" s="10">
        <v>1520</v>
      </c>
      <c r="AD29" s="12"/>
      <c r="AE29" s="10"/>
      <c r="AF29" s="9">
        <v>0</v>
      </c>
      <c r="AG29" s="39">
        <v>1800</v>
      </c>
      <c r="AH29" s="40">
        <v>300</v>
      </c>
      <c r="AI29" s="39">
        <v>0</v>
      </c>
      <c r="AJ29" s="12"/>
      <c r="AK29" s="39">
        <v>25210</v>
      </c>
      <c r="AL29" s="39">
        <v>2100</v>
      </c>
      <c r="AM29" s="39">
        <v>23110</v>
      </c>
      <c r="AN29" s="39">
        <v>23110</v>
      </c>
      <c r="AO29" s="39">
        <v>0</v>
      </c>
      <c r="AP29" s="39">
        <v>1800</v>
      </c>
      <c r="AQ29" s="34">
        <v>721.5</v>
      </c>
      <c r="AR29" s="39">
        <v>27731.5</v>
      </c>
      <c r="AS29" s="39">
        <v>0</v>
      </c>
      <c r="AT29" s="39">
        <v>0</v>
      </c>
      <c r="AU29" s="34"/>
      <c r="AV29" s="39">
        <v>0</v>
      </c>
      <c r="AW29" s="34"/>
      <c r="AX29" s="34"/>
      <c r="AY29" s="39">
        <v>0</v>
      </c>
      <c r="AZ29" s="34" t="s">
        <v>165</v>
      </c>
    </row>
    <row r="30" spans="1:52" ht="14.4" x14ac:dyDescent="0.3">
      <c r="A30" s="21">
        <v>1057</v>
      </c>
      <c r="B30" s="22" t="s">
        <v>91</v>
      </c>
      <c r="C30" s="8" t="s">
        <v>11</v>
      </c>
      <c r="D30" s="8">
        <v>101744660729</v>
      </c>
      <c r="E30" s="8" t="s">
        <v>75</v>
      </c>
      <c r="F30" s="8" t="s">
        <v>92</v>
      </c>
      <c r="G30" s="8" t="s">
        <v>93</v>
      </c>
      <c r="H30" s="8"/>
      <c r="I30" s="38">
        <v>30</v>
      </c>
      <c r="J30" s="38">
        <v>30</v>
      </c>
      <c r="K30" s="51">
        <v>1</v>
      </c>
      <c r="L30" s="52">
        <v>3.5</v>
      </c>
      <c r="M30" s="38">
        <v>0</v>
      </c>
      <c r="N30" s="55">
        <v>0</v>
      </c>
      <c r="O30" s="55">
        <v>4.5</v>
      </c>
      <c r="P30" s="55">
        <v>30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39">
        <v>24100</v>
      </c>
      <c r="X30" s="9">
        <v>15000</v>
      </c>
      <c r="Y30" s="9">
        <v>2800</v>
      </c>
      <c r="Z30" s="9">
        <v>1800</v>
      </c>
      <c r="AA30" s="9">
        <v>1300</v>
      </c>
      <c r="AB30" s="10"/>
      <c r="AC30" s="10"/>
      <c r="AD30" s="53"/>
      <c r="AE30" s="10"/>
      <c r="AF30" s="9">
        <v>0</v>
      </c>
      <c r="AG30" s="39">
        <v>1800</v>
      </c>
      <c r="AH30" s="39">
        <v>0</v>
      </c>
      <c r="AI30" s="39">
        <v>156.75</v>
      </c>
      <c r="AJ30" s="12"/>
      <c r="AK30" s="39">
        <v>20900</v>
      </c>
      <c r="AL30" s="39">
        <v>1956.75</v>
      </c>
      <c r="AM30" s="39">
        <v>18943.25</v>
      </c>
      <c r="AN30" s="39">
        <v>18943</v>
      </c>
      <c r="AO30" s="39">
        <v>679.25</v>
      </c>
      <c r="AP30" s="39">
        <v>1800</v>
      </c>
      <c r="AQ30" s="34">
        <v>721.5</v>
      </c>
      <c r="AR30" s="39">
        <v>24100.75</v>
      </c>
      <c r="AS30" s="39">
        <v>250000</v>
      </c>
      <c r="AT30" s="39">
        <v>220000</v>
      </c>
      <c r="AU30" s="34"/>
      <c r="AV30" s="39">
        <v>0</v>
      </c>
      <c r="AW30" s="34"/>
      <c r="AX30" s="34"/>
      <c r="AY30" s="40">
        <v>30000</v>
      </c>
      <c r="AZ30" s="34" t="s">
        <v>165</v>
      </c>
    </row>
    <row r="31" spans="1:52" ht="14.4" x14ac:dyDescent="0.3">
      <c r="A31" s="21">
        <v>1058</v>
      </c>
      <c r="B31" s="22" t="s">
        <v>94</v>
      </c>
      <c r="C31" s="8" t="s">
        <v>11</v>
      </c>
      <c r="D31" s="8">
        <v>101729961853</v>
      </c>
      <c r="E31" s="8" t="s">
        <v>58</v>
      </c>
      <c r="F31" s="8" t="s">
        <v>95</v>
      </c>
      <c r="G31" s="8" t="s">
        <v>90</v>
      </c>
      <c r="H31" s="8"/>
      <c r="I31" s="38">
        <v>30</v>
      </c>
      <c r="J31" s="38">
        <v>30</v>
      </c>
      <c r="K31" s="51">
        <v>1</v>
      </c>
      <c r="L31" s="52">
        <v>4.5</v>
      </c>
      <c r="M31" s="38">
        <v>3</v>
      </c>
      <c r="N31" s="55">
        <v>0</v>
      </c>
      <c r="O31" s="55">
        <v>2.5</v>
      </c>
      <c r="P31" s="55">
        <v>30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39">
        <v>24100</v>
      </c>
      <c r="X31" s="9">
        <v>15000</v>
      </c>
      <c r="Y31" s="9">
        <v>2800</v>
      </c>
      <c r="Z31" s="9">
        <v>1800</v>
      </c>
      <c r="AA31" s="9">
        <v>1300</v>
      </c>
      <c r="AB31" s="10"/>
      <c r="AC31" s="10"/>
      <c r="AD31" s="12"/>
      <c r="AE31" s="10"/>
      <c r="AF31" s="9">
        <v>0</v>
      </c>
      <c r="AG31" s="39">
        <v>1800</v>
      </c>
      <c r="AH31" s="39">
        <v>0</v>
      </c>
      <c r="AI31" s="39">
        <v>156.75</v>
      </c>
      <c r="AJ31" s="12"/>
      <c r="AK31" s="39">
        <v>20900</v>
      </c>
      <c r="AL31" s="39">
        <v>1956.75</v>
      </c>
      <c r="AM31" s="39">
        <v>18943.25</v>
      </c>
      <c r="AN31" s="39">
        <v>18943</v>
      </c>
      <c r="AO31" s="39">
        <v>679.25</v>
      </c>
      <c r="AP31" s="39">
        <v>1800</v>
      </c>
      <c r="AQ31" s="34">
        <v>721.5</v>
      </c>
      <c r="AR31" s="39">
        <v>24100.75</v>
      </c>
      <c r="AS31" s="39">
        <v>0</v>
      </c>
      <c r="AT31" s="39">
        <v>0</v>
      </c>
      <c r="AU31" s="34"/>
      <c r="AV31" s="39">
        <v>0</v>
      </c>
      <c r="AW31" s="34"/>
      <c r="AX31" s="34"/>
      <c r="AY31" s="39">
        <v>0</v>
      </c>
      <c r="AZ31" s="34" t="s">
        <v>165</v>
      </c>
    </row>
    <row r="32" spans="1:52" ht="14.4" x14ac:dyDescent="0.3">
      <c r="A32" s="21">
        <v>1059</v>
      </c>
      <c r="B32" s="22" t="s">
        <v>96</v>
      </c>
      <c r="C32" s="8" t="s">
        <v>11</v>
      </c>
      <c r="D32" s="8"/>
      <c r="E32" s="8" t="s">
        <v>50</v>
      </c>
      <c r="F32" s="8" t="s">
        <v>97</v>
      </c>
      <c r="G32" s="8" t="s">
        <v>98</v>
      </c>
      <c r="H32" s="8"/>
      <c r="I32" s="38">
        <v>30</v>
      </c>
      <c r="J32" s="38">
        <v>30</v>
      </c>
      <c r="K32" s="51">
        <v>1</v>
      </c>
      <c r="L32" s="52">
        <v>4</v>
      </c>
      <c r="M32" s="38">
        <v>2</v>
      </c>
      <c r="N32" s="55">
        <v>0</v>
      </c>
      <c r="O32" s="55">
        <v>3</v>
      </c>
      <c r="P32" s="55">
        <v>30</v>
      </c>
      <c r="Q32" s="36">
        <v>90000</v>
      </c>
      <c r="R32" s="13"/>
      <c r="S32" s="13"/>
      <c r="T32" s="13"/>
      <c r="U32" s="13"/>
      <c r="V32" s="13"/>
      <c r="W32" s="39">
        <v>90000</v>
      </c>
      <c r="X32" s="9">
        <v>90000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12"/>
      <c r="AE32" s="41"/>
      <c r="AF32" s="9">
        <v>0</v>
      </c>
      <c r="AG32" s="39">
        <v>0</v>
      </c>
      <c r="AH32" s="39">
        <v>0</v>
      </c>
      <c r="AI32" s="39">
        <v>0</v>
      </c>
      <c r="AJ32" s="12"/>
      <c r="AK32" s="39">
        <v>90000</v>
      </c>
      <c r="AL32" s="39">
        <v>9000</v>
      </c>
      <c r="AM32" s="39">
        <v>90000</v>
      </c>
      <c r="AN32" s="39">
        <v>81000</v>
      </c>
      <c r="AO32" s="39">
        <v>0</v>
      </c>
      <c r="AP32" s="39">
        <v>0</v>
      </c>
      <c r="AQ32" s="34">
        <v>4329</v>
      </c>
      <c r="AR32" s="39">
        <v>94329</v>
      </c>
      <c r="AS32" s="39">
        <v>0</v>
      </c>
      <c r="AT32" s="39">
        <v>0</v>
      </c>
      <c r="AU32" s="39">
        <v>9000</v>
      </c>
      <c r="AV32" s="39">
        <v>0</v>
      </c>
      <c r="AW32" s="39">
        <v>9000</v>
      </c>
      <c r="AX32" s="54"/>
      <c r="AY32" s="39">
        <v>0</v>
      </c>
      <c r="AZ32" s="34" t="s">
        <v>165</v>
      </c>
    </row>
    <row r="33" spans="1:52" ht="13.2" x14ac:dyDescent="0.25">
      <c r="A33" s="56">
        <v>1062</v>
      </c>
      <c r="B33" s="56" t="s">
        <v>99</v>
      </c>
      <c r="C33" s="57" t="s">
        <v>11</v>
      </c>
      <c r="D33" s="5"/>
      <c r="E33" s="57" t="s">
        <v>24</v>
      </c>
      <c r="F33" s="57">
        <v>70670100003120</v>
      </c>
      <c r="G33" s="57" t="s">
        <v>100</v>
      </c>
      <c r="H33" s="5"/>
      <c r="I33" s="4">
        <v>30</v>
      </c>
      <c r="J33" s="4">
        <v>30</v>
      </c>
      <c r="K33" s="58">
        <v>0</v>
      </c>
      <c r="L33" s="59">
        <v>3</v>
      </c>
      <c r="M33" s="4">
        <v>4</v>
      </c>
      <c r="N33" s="58">
        <v>1</v>
      </c>
      <c r="O33" s="58">
        <v>0</v>
      </c>
      <c r="P33" s="58">
        <v>29</v>
      </c>
      <c r="Q33" s="56">
        <v>15000</v>
      </c>
      <c r="R33" s="56">
        <v>1500</v>
      </c>
      <c r="S33" s="5"/>
      <c r="T33" s="5"/>
      <c r="U33" s="56">
        <v>1000</v>
      </c>
      <c r="V33" s="56">
        <v>1000</v>
      </c>
      <c r="W33" s="60">
        <v>18500</v>
      </c>
      <c r="X33" s="60">
        <v>14500</v>
      </c>
      <c r="Y33" s="60">
        <v>1450</v>
      </c>
      <c r="Z33" s="60">
        <v>0</v>
      </c>
      <c r="AA33" s="60">
        <v>0</v>
      </c>
      <c r="AB33" s="60">
        <v>800</v>
      </c>
      <c r="AC33" s="60">
        <v>800</v>
      </c>
      <c r="AD33" s="4"/>
      <c r="AE33" s="60"/>
      <c r="AF33" s="60">
        <v>0</v>
      </c>
      <c r="AG33" s="60">
        <v>1740</v>
      </c>
      <c r="AH33" s="60">
        <v>0</v>
      </c>
      <c r="AI33" s="60">
        <v>119.625</v>
      </c>
      <c r="AJ33" s="4">
        <v>1500</v>
      </c>
      <c r="AK33" s="60">
        <v>17550</v>
      </c>
      <c r="AL33" s="60">
        <v>3359.625</v>
      </c>
      <c r="AM33" s="60">
        <v>14190.375</v>
      </c>
      <c r="AN33" s="60">
        <v>14190</v>
      </c>
      <c r="AO33" s="60">
        <v>518.375</v>
      </c>
      <c r="AP33" s="60">
        <v>1740</v>
      </c>
      <c r="AQ33" s="60">
        <v>697.44999999999993</v>
      </c>
      <c r="AR33" s="60">
        <v>20505.825000000001</v>
      </c>
      <c r="AS33" s="60">
        <v>45500</v>
      </c>
      <c r="AT33" s="60">
        <v>44000</v>
      </c>
      <c r="AU33" s="60"/>
      <c r="AV33" s="60">
        <v>0</v>
      </c>
      <c r="AW33" s="60"/>
      <c r="AX33" s="5"/>
      <c r="AY33" s="60">
        <v>0</v>
      </c>
      <c r="AZ33" s="60" t="s">
        <v>165</v>
      </c>
    </row>
    <row r="34" spans="1:52" ht="13.2" x14ac:dyDescent="0.25">
      <c r="A34" s="4">
        <v>1063</v>
      </c>
      <c r="B34" s="56" t="s">
        <v>101</v>
      </c>
      <c r="C34" s="57" t="s">
        <v>11</v>
      </c>
      <c r="D34" s="5"/>
      <c r="E34" s="57" t="s">
        <v>32</v>
      </c>
      <c r="F34" s="57">
        <v>520101257301698</v>
      </c>
      <c r="G34" s="57" t="s">
        <v>102</v>
      </c>
      <c r="H34" s="5"/>
      <c r="I34" s="4">
        <v>30</v>
      </c>
      <c r="J34" s="4">
        <v>30</v>
      </c>
      <c r="K34" s="58">
        <v>2</v>
      </c>
      <c r="L34" s="59">
        <v>4</v>
      </c>
      <c r="M34" s="4">
        <v>1</v>
      </c>
      <c r="N34" s="58">
        <v>0</v>
      </c>
      <c r="O34" s="58">
        <v>5</v>
      </c>
      <c r="P34" s="58">
        <v>30</v>
      </c>
      <c r="Q34" s="56">
        <v>15000</v>
      </c>
      <c r="R34" s="4">
        <v>3500</v>
      </c>
      <c r="S34" s="5"/>
      <c r="T34" s="5"/>
      <c r="U34" s="4">
        <v>1000</v>
      </c>
      <c r="V34" s="4">
        <v>1000</v>
      </c>
      <c r="W34" s="60">
        <v>20500</v>
      </c>
      <c r="X34" s="60">
        <v>15000</v>
      </c>
      <c r="Y34" s="60">
        <v>3500</v>
      </c>
      <c r="Z34" s="60">
        <v>0</v>
      </c>
      <c r="AA34" s="60">
        <v>0</v>
      </c>
      <c r="AB34" s="60">
        <v>800</v>
      </c>
      <c r="AC34" s="60">
        <v>800</v>
      </c>
      <c r="AD34" s="4"/>
      <c r="AE34" s="60"/>
      <c r="AF34" s="60">
        <v>0</v>
      </c>
      <c r="AG34" s="60">
        <v>1800</v>
      </c>
      <c r="AH34" s="60">
        <v>0</v>
      </c>
      <c r="AI34" s="60">
        <v>138.75</v>
      </c>
      <c r="AJ34" s="4"/>
      <c r="AK34" s="60">
        <v>20100</v>
      </c>
      <c r="AL34" s="60">
        <v>1938.75</v>
      </c>
      <c r="AM34" s="60">
        <v>18161.25</v>
      </c>
      <c r="AN34" s="60">
        <v>18161</v>
      </c>
      <c r="AO34" s="60">
        <v>601.25</v>
      </c>
      <c r="AP34" s="60">
        <v>1800</v>
      </c>
      <c r="AQ34" s="60">
        <v>721.5</v>
      </c>
      <c r="AR34" s="60">
        <v>23222.75</v>
      </c>
      <c r="AS34" s="60">
        <v>0</v>
      </c>
      <c r="AT34" s="60">
        <v>0</v>
      </c>
      <c r="AU34" s="60"/>
      <c r="AV34" s="60">
        <v>0</v>
      </c>
      <c r="AW34" s="60"/>
      <c r="AX34" s="5"/>
      <c r="AY34" s="60">
        <v>0</v>
      </c>
      <c r="AZ34" s="61" t="s">
        <v>165</v>
      </c>
    </row>
    <row r="35" spans="1:52" ht="13.2" x14ac:dyDescent="0.25">
      <c r="A35" s="4">
        <v>1064</v>
      </c>
      <c r="B35" s="56" t="s">
        <v>103</v>
      </c>
      <c r="C35" s="57" t="s">
        <v>11</v>
      </c>
      <c r="D35" s="5"/>
      <c r="E35" s="57" t="s">
        <v>104</v>
      </c>
      <c r="F35" s="57">
        <v>110138028402</v>
      </c>
      <c r="G35" s="57" t="s">
        <v>105</v>
      </c>
      <c r="H35" s="5"/>
      <c r="I35" s="4">
        <v>30</v>
      </c>
      <c r="J35" s="4">
        <v>30</v>
      </c>
      <c r="K35" s="58">
        <v>0</v>
      </c>
      <c r="L35" s="59">
        <v>3</v>
      </c>
      <c r="M35" s="4">
        <v>0.5</v>
      </c>
      <c r="N35" s="58">
        <v>0</v>
      </c>
      <c r="O35" s="58">
        <v>2.5</v>
      </c>
      <c r="P35" s="58">
        <v>30</v>
      </c>
      <c r="Q35" s="4">
        <v>15000</v>
      </c>
      <c r="R35" s="4">
        <v>1000</v>
      </c>
      <c r="S35" s="4">
        <v>1000</v>
      </c>
      <c r="T35" s="5"/>
      <c r="U35" s="4">
        <v>250</v>
      </c>
      <c r="V35" s="4">
        <v>250</v>
      </c>
      <c r="W35" s="60">
        <v>17500</v>
      </c>
      <c r="X35" s="60">
        <v>15000</v>
      </c>
      <c r="Y35" s="60">
        <v>1000.0000000000001</v>
      </c>
      <c r="Z35" s="60">
        <v>1000.0000000000001</v>
      </c>
      <c r="AA35" s="60">
        <v>0</v>
      </c>
      <c r="AB35" s="60">
        <v>200</v>
      </c>
      <c r="AC35" s="60">
        <v>200</v>
      </c>
      <c r="AD35" s="4"/>
      <c r="AE35" s="60"/>
      <c r="AF35" s="60">
        <v>0</v>
      </c>
      <c r="AG35" s="60">
        <v>1800</v>
      </c>
      <c r="AH35" s="60">
        <v>0</v>
      </c>
      <c r="AI35" s="60">
        <v>127.5</v>
      </c>
      <c r="AJ35" s="4"/>
      <c r="AK35" s="60">
        <v>17400</v>
      </c>
      <c r="AL35" s="60">
        <v>1927.5</v>
      </c>
      <c r="AM35" s="60">
        <v>15472.5</v>
      </c>
      <c r="AN35" s="60">
        <v>15473</v>
      </c>
      <c r="AO35" s="60">
        <v>552.5</v>
      </c>
      <c r="AP35" s="60">
        <v>1800</v>
      </c>
      <c r="AQ35" s="60">
        <v>721.5</v>
      </c>
      <c r="AR35" s="60">
        <v>20474</v>
      </c>
      <c r="AS35" s="60"/>
      <c r="AT35" s="60"/>
      <c r="AU35" s="60"/>
      <c r="AV35" s="60"/>
      <c r="AW35" s="60"/>
      <c r="AX35" s="5"/>
      <c r="AY35" s="60"/>
      <c r="AZ35" s="61" t="s">
        <v>165</v>
      </c>
    </row>
    <row r="36" spans="1:52" ht="13.2" x14ac:dyDescent="0.25">
      <c r="A36" s="4">
        <v>1065</v>
      </c>
      <c r="B36" s="56" t="s">
        <v>106</v>
      </c>
      <c r="C36" s="57" t="s">
        <v>6</v>
      </c>
      <c r="D36" s="5"/>
      <c r="E36" s="57"/>
      <c r="F36" s="57"/>
      <c r="G36" s="57"/>
      <c r="H36" s="5"/>
      <c r="I36" s="4">
        <v>30</v>
      </c>
      <c r="J36" s="4">
        <v>0</v>
      </c>
      <c r="K36" s="58">
        <v>0</v>
      </c>
      <c r="L36" s="59">
        <v>0</v>
      </c>
      <c r="M36" s="4">
        <v>0</v>
      </c>
      <c r="N36" s="62">
        <v>0</v>
      </c>
      <c r="O36" s="58">
        <v>0</v>
      </c>
      <c r="P36" s="62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61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4">
        <v>0</v>
      </c>
      <c r="AE36" s="61">
        <v>0</v>
      </c>
      <c r="AF36" s="61">
        <v>0</v>
      </c>
      <c r="AG36" s="61">
        <v>0</v>
      </c>
      <c r="AH36" s="61">
        <v>0</v>
      </c>
      <c r="AI36" s="61">
        <v>0</v>
      </c>
      <c r="AJ36" s="4">
        <v>0</v>
      </c>
      <c r="AK36" s="60">
        <v>0</v>
      </c>
      <c r="AL36" s="61">
        <v>0</v>
      </c>
      <c r="AM36" s="60">
        <v>0</v>
      </c>
      <c r="AN36" s="60">
        <v>0</v>
      </c>
      <c r="AO36" s="61">
        <v>0</v>
      </c>
      <c r="AP36" s="61">
        <v>0</v>
      </c>
      <c r="AQ36" s="61">
        <v>0</v>
      </c>
      <c r="AR36" s="61">
        <v>0</v>
      </c>
      <c r="AS36" s="60">
        <v>0</v>
      </c>
      <c r="AT36" s="61">
        <v>0</v>
      </c>
      <c r="AU36" s="61">
        <v>0</v>
      </c>
      <c r="AV36" s="61">
        <v>0</v>
      </c>
      <c r="AW36" s="61">
        <v>0</v>
      </c>
      <c r="AX36" s="4">
        <v>0</v>
      </c>
      <c r="AY36" s="61">
        <v>0</v>
      </c>
      <c r="AZ36" s="61" t="s">
        <v>166</v>
      </c>
    </row>
    <row r="37" spans="1:52" ht="13.2" x14ac:dyDescent="0.25">
      <c r="A37" s="4">
        <v>1066</v>
      </c>
      <c r="B37" s="56" t="s">
        <v>107</v>
      </c>
      <c r="C37" s="57" t="s">
        <v>11</v>
      </c>
      <c r="D37" s="5"/>
      <c r="E37" s="57" t="s">
        <v>108</v>
      </c>
      <c r="F37" s="57">
        <v>71360100016687</v>
      </c>
      <c r="G37" s="57" t="s">
        <v>109</v>
      </c>
      <c r="H37" s="5"/>
      <c r="I37" s="4">
        <v>30</v>
      </c>
      <c r="J37" s="4">
        <v>30</v>
      </c>
      <c r="K37" s="58">
        <v>1</v>
      </c>
      <c r="L37" s="59">
        <v>3</v>
      </c>
      <c r="M37" s="4">
        <v>2</v>
      </c>
      <c r="N37" s="62">
        <v>0</v>
      </c>
      <c r="O37" s="58">
        <v>2</v>
      </c>
      <c r="P37" s="58">
        <v>30</v>
      </c>
      <c r="Q37" s="4">
        <v>10000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60">
        <v>10000</v>
      </c>
      <c r="X37" s="60">
        <v>10000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4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4">
        <v>0</v>
      </c>
      <c r="AK37" s="60">
        <v>10000</v>
      </c>
      <c r="AL37" s="61">
        <v>0</v>
      </c>
      <c r="AM37" s="60">
        <v>10000</v>
      </c>
      <c r="AN37" s="60">
        <v>10000</v>
      </c>
      <c r="AO37" s="61">
        <v>0</v>
      </c>
      <c r="AP37" s="61">
        <v>0</v>
      </c>
      <c r="AQ37" s="61">
        <v>0</v>
      </c>
      <c r="AR37" s="61">
        <v>0</v>
      </c>
      <c r="AS37" s="60">
        <v>0</v>
      </c>
      <c r="AT37" s="61">
        <v>0</v>
      </c>
      <c r="AU37" s="61">
        <v>0</v>
      </c>
      <c r="AV37" s="61">
        <v>0</v>
      </c>
      <c r="AW37" s="61">
        <v>0</v>
      </c>
      <c r="AX37" s="4">
        <v>0</v>
      </c>
      <c r="AY37" s="61">
        <v>0</v>
      </c>
      <c r="AZ37" s="61" t="s">
        <v>165</v>
      </c>
    </row>
    <row r="38" spans="1:52" ht="13.2" x14ac:dyDescent="0.25">
      <c r="A38" s="4">
        <v>1067</v>
      </c>
      <c r="B38" s="56" t="s">
        <v>110</v>
      </c>
      <c r="C38" s="57" t="s">
        <v>11</v>
      </c>
      <c r="D38" s="5"/>
      <c r="E38" s="57" t="s">
        <v>3</v>
      </c>
      <c r="F38" s="57">
        <v>50100124674434</v>
      </c>
      <c r="G38" s="57" t="s">
        <v>111</v>
      </c>
      <c r="H38" s="5"/>
      <c r="I38" s="4">
        <v>30</v>
      </c>
      <c r="J38" s="4">
        <v>30</v>
      </c>
      <c r="K38" s="58">
        <v>0</v>
      </c>
      <c r="L38" s="59">
        <v>3</v>
      </c>
      <c r="M38" s="4">
        <v>2</v>
      </c>
      <c r="N38" s="58">
        <v>0</v>
      </c>
      <c r="O38" s="58">
        <v>1</v>
      </c>
      <c r="P38" s="58">
        <v>30</v>
      </c>
      <c r="Q38" s="4">
        <v>75000</v>
      </c>
      <c r="R38" s="5"/>
      <c r="S38" s="5"/>
      <c r="T38" s="5"/>
      <c r="U38" s="5"/>
      <c r="V38" s="5"/>
      <c r="W38" s="60">
        <v>75000</v>
      </c>
      <c r="X38" s="60">
        <v>75000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5"/>
      <c r="AE38" s="61"/>
      <c r="AF38" s="60">
        <v>0</v>
      </c>
      <c r="AG38" s="60">
        <v>0</v>
      </c>
      <c r="AH38" s="60">
        <v>0</v>
      </c>
      <c r="AI38" s="60">
        <v>0</v>
      </c>
      <c r="AJ38" s="5"/>
      <c r="AK38" s="60">
        <v>75000</v>
      </c>
      <c r="AL38" s="60">
        <v>7500</v>
      </c>
      <c r="AM38" s="60">
        <v>75000</v>
      </c>
      <c r="AN38" s="60">
        <v>67500</v>
      </c>
      <c r="AO38" s="60">
        <v>0</v>
      </c>
      <c r="AP38" s="60">
        <v>0</v>
      </c>
      <c r="AQ38" s="60"/>
      <c r="AR38" s="60">
        <v>75000</v>
      </c>
      <c r="AS38" s="60">
        <v>0</v>
      </c>
      <c r="AT38" s="60">
        <v>0</v>
      </c>
      <c r="AU38" s="60">
        <v>7500</v>
      </c>
      <c r="AV38" s="60">
        <v>0</v>
      </c>
      <c r="AW38" s="60">
        <v>7500</v>
      </c>
      <c r="AX38" s="4"/>
      <c r="AY38" s="60">
        <v>0</v>
      </c>
      <c r="AZ38" s="60" t="s">
        <v>165</v>
      </c>
    </row>
    <row r="39" spans="1:52" ht="13.2" x14ac:dyDescent="0.25">
      <c r="A39" s="4">
        <v>1068</v>
      </c>
      <c r="B39" s="56" t="s">
        <v>112</v>
      </c>
      <c r="C39" s="57" t="s">
        <v>11</v>
      </c>
      <c r="D39" s="5"/>
      <c r="E39" s="5"/>
      <c r="F39" s="5"/>
      <c r="G39" s="5"/>
      <c r="H39" s="5"/>
      <c r="I39" s="4">
        <v>30</v>
      </c>
      <c r="J39" s="4">
        <v>25</v>
      </c>
      <c r="K39" s="58"/>
      <c r="L39" s="59">
        <v>3</v>
      </c>
      <c r="M39" s="4">
        <v>1</v>
      </c>
      <c r="N39" s="58">
        <v>0</v>
      </c>
      <c r="O39" s="58">
        <v>2</v>
      </c>
      <c r="P39" s="58">
        <v>25</v>
      </c>
      <c r="Q39" s="4">
        <v>12000</v>
      </c>
      <c r="R39" s="4"/>
      <c r="S39" s="4"/>
      <c r="T39" s="4"/>
      <c r="U39" s="4"/>
      <c r="V39" s="4"/>
      <c r="W39" s="60">
        <v>12000</v>
      </c>
      <c r="X39" s="60">
        <v>10000</v>
      </c>
      <c r="Y39" s="61"/>
      <c r="Z39" s="60"/>
      <c r="AA39" s="60"/>
      <c r="AB39" s="60"/>
      <c r="AC39" s="60"/>
      <c r="AD39" s="4"/>
      <c r="AE39" s="60"/>
      <c r="AF39" s="60"/>
      <c r="AG39" s="60"/>
      <c r="AH39" s="60"/>
      <c r="AI39" s="60"/>
      <c r="AJ39" s="5"/>
      <c r="AK39" s="60">
        <v>10000</v>
      </c>
      <c r="AL39" s="60">
        <v>0</v>
      </c>
      <c r="AM39" s="60">
        <v>10000</v>
      </c>
      <c r="AN39" s="60">
        <v>10000</v>
      </c>
      <c r="AO39" s="60">
        <v>0</v>
      </c>
      <c r="AP39" s="60"/>
      <c r="AQ39" s="61">
        <v>0</v>
      </c>
      <c r="AR39" s="60">
        <v>10000</v>
      </c>
      <c r="AS39" s="60"/>
      <c r="AT39" s="60"/>
      <c r="AU39" s="60"/>
      <c r="AV39" s="60">
        <v>0</v>
      </c>
      <c r="AW39" s="60">
        <v>0</v>
      </c>
      <c r="AX39" s="60"/>
      <c r="AY39" s="61">
        <v>0</v>
      </c>
      <c r="AZ39" s="60" t="s">
        <v>165</v>
      </c>
    </row>
    <row r="40" spans="1:52" ht="13.2" x14ac:dyDescent="0.25">
      <c r="A40" s="4">
        <v>1069</v>
      </c>
      <c r="B40" s="56" t="s">
        <v>113</v>
      </c>
      <c r="C40" s="57" t="s">
        <v>11</v>
      </c>
      <c r="D40" s="5"/>
      <c r="E40" s="5"/>
      <c r="F40" s="5"/>
      <c r="G40" s="5"/>
      <c r="H40" s="5"/>
      <c r="I40" s="4">
        <v>30</v>
      </c>
      <c r="J40" s="4">
        <v>18</v>
      </c>
      <c r="K40" s="58"/>
      <c r="L40" s="4">
        <v>3</v>
      </c>
      <c r="M40" s="4">
        <v>0</v>
      </c>
      <c r="N40" s="58">
        <v>0</v>
      </c>
      <c r="O40" s="58">
        <v>3</v>
      </c>
      <c r="P40" s="58">
        <v>18</v>
      </c>
      <c r="Q40" s="4">
        <v>12000</v>
      </c>
      <c r="R40" s="5"/>
      <c r="S40" s="5"/>
      <c r="T40" s="5"/>
      <c r="U40" s="5"/>
      <c r="V40" s="5"/>
      <c r="W40" s="60">
        <v>12000</v>
      </c>
      <c r="X40" s="60">
        <v>7200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60">
        <v>7200</v>
      </c>
      <c r="AL40" s="60">
        <v>0</v>
      </c>
      <c r="AM40" s="60">
        <v>7200</v>
      </c>
      <c r="AN40" s="60">
        <v>7200</v>
      </c>
      <c r="AO40" s="60">
        <v>0</v>
      </c>
      <c r="AP40" s="60"/>
      <c r="AQ40" s="61">
        <v>0</v>
      </c>
      <c r="AR40" s="60">
        <v>7200</v>
      </c>
      <c r="AS40" s="60"/>
      <c r="AT40" s="5"/>
      <c r="AU40" s="5"/>
      <c r="AV40" s="5"/>
      <c r="AW40" s="5"/>
      <c r="AX40" s="5"/>
      <c r="AY40" s="5"/>
      <c r="AZ40" s="60" t="s">
        <v>165</v>
      </c>
    </row>
    <row r="41" spans="1:52" ht="13.2" x14ac:dyDescent="0.25">
      <c r="A41" s="4">
        <v>1070</v>
      </c>
      <c r="B41" s="56" t="s">
        <v>114</v>
      </c>
      <c r="C41" s="57" t="s">
        <v>11</v>
      </c>
      <c r="D41" s="5"/>
      <c r="E41" s="5"/>
      <c r="F41" s="5"/>
      <c r="G41" s="5"/>
      <c r="H41" s="5"/>
      <c r="I41" s="4">
        <v>30</v>
      </c>
      <c r="J41" s="4">
        <v>18</v>
      </c>
      <c r="K41" s="58"/>
      <c r="L41" s="4">
        <v>3</v>
      </c>
      <c r="M41" s="4">
        <v>1</v>
      </c>
      <c r="N41" s="58">
        <v>0</v>
      </c>
      <c r="O41" s="58">
        <v>2</v>
      </c>
      <c r="P41" s="58">
        <v>18</v>
      </c>
      <c r="Q41" s="4">
        <v>12000</v>
      </c>
      <c r="R41" s="5"/>
      <c r="S41" s="5"/>
      <c r="T41" s="5"/>
      <c r="U41" s="5"/>
      <c r="V41" s="5"/>
      <c r="W41" s="60">
        <v>12000</v>
      </c>
      <c r="X41" s="60">
        <v>7200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60">
        <v>7200</v>
      </c>
      <c r="AL41" s="60">
        <v>0</v>
      </c>
      <c r="AM41" s="60">
        <v>7200</v>
      </c>
      <c r="AN41" s="60">
        <v>7200</v>
      </c>
      <c r="AO41" s="60">
        <v>0</v>
      </c>
      <c r="AP41" s="60"/>
      <c r="AQ41" s="61">
        <v>0</v>
      </c>
      <c r="AR41" s="60">
        <v>7200</v>
      </c>
      <c r="AS41" s="60"/>
      <c r="AT41" s="5"/>
      <c r="AU41" s="5"/>
      <c r="AV41" s="5"/>
      <c r="AW41" s="5"/>
      <c r="AX41" s="5"/>
      <c r="AY41" s="5"/>
      <c r="AZ41" s="60" t="s">
        <v>165</v>
      </c>
    </row>
  </sheetData>
  <autoFilter ref="A2:AZ41"/>
  <mergeCells count="2">
    <mergeCell ref="X1:AF1"/>
    <mergeCell ref="AG1:AM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/>
  </sheetViews>
  <sheetFormatPr defaultColWidth="12.6640625" defaultRowHeight="15.75" customHeight="1" x14ac:dyDescent="0.25"/>
  <sheetData>
    <row r="1" spans="1:52" ht="15.75" customHeight="1" x14ac:dyDescent="0.3">
      <c r="A1" s="1"/>
      <c r="B1" s="63">
        <v>45748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7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121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137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7" t="s">
        <v>164</v>
      </c>
    </row>
    <row r="3" spans="1:52" ht="15.75" customHeight="1" x14ac:dyDescent="0.3">
      <c r="A3" s="68">
        <v>1</v>
      </c>
      <c r="B3" s="69" t="s">
        <v>2</v>
      </c>
      <c r="C3" s="2" t="s">
        <v>6</v>
      </c>
      <c r="D3" s="2">
        <v>101898706542</v>
      </c>
      <c r="E3" s="2" t="s">
        <v>3</v>
      </c>
      <c r="F3" s="2">
        <v>12691870000226</v>
      </c>
      <c r="G3" s="2" t="s">
        <v>5</v>
      </c>
      <c r="H3" s="8"/>
      <c r="I3" s="70">
        <v>30</v>
      </c>
      <c r="J3" s="70">
        <v>30</v>
      </c>
      <c r="K3" s="71">
        <v>8</v>
      </c>
      <c r="L3" s="72">
        <v>3</v>
      </c>
      <c r="M3" s="73">
        <v>0</v>
      </c>
      <c r="N3" s="71">
        <v>0</v>
      </c>
      <c r="O3" s="71">
        <v>11</v>
      </c>
      <c r="P3" s="71">
        <v>30</v>
      </c>
      <c r="Q3" s="74">
        <v>30000</v>
      </c>
      <c r="R3" s="74">
        <v>12500</v>
      </c>
      <c r="S3" s="74">
        <v>5000</v>
      </c>
      <c r="T3" s="74">
        <v>7500</v>
      </c>
      <c r="U3" s="74">
        <v>0</v>
      </c>
      <c r="V3" s="74">
        <v>40000</v>
      </c>
      <c r="W3" s="75">
        <v>95000</v>
      </c>
      <c r="X3" s="76">
        <v>30000</v>
      </c>
      <c r="Y3" s="76">
        <v>12500</v>
      </c>
      <c r="Z3" s="76">
        <v>5000</v>
      </c>
      <c r="AA3" s="76">
        <v>7500</v>
      </c>
      <c r="AB3" s="12"/>
      <c r="AC3" s="73">
        <v>28000</v>
      </c>
      <c r="AD3" s="12"/>
      <c r="AE3" s="10"/>
      <c r="AF3" s="77">
        <v>0</v>
      </c>
      <c r="AG3" s="75">
        <v>1800</v>
      </c>
      <c r="AH3" s="75">
        <v>200</v>
      </c>
      <c r="AI3" s="75">
        <v>0</v>
      </c>
      <c r="AJ3" s="13"/>
      <c r="AK3" s="75">
        <v>83000</v>
      </c>
      <c r="AL3" s="75">
        <v>2000</v>
      </c>
      <c r="AM3" s="75">
        <v>81000</v>
      </c>
      <c r="AN3" s="78">
        <v>81000</v>
      </c>
      <c r="AO3" s="75">
        <v>0</v>
      </c>
      <c r="AP3" s="75">
        <v>1800</v>
      </c>
      <c r="AQ3" s="13"/>
      <c r="AR3" s="75">
        <v>84800</v>
      </c>
      <c r="AS3" s="29">
        <v>0</v>
      </c>
      <c r="AT3" s="75">
        <v>0</v>
      </c>
      <c r="AU3" s="34"/>
      <c r="AV3" s="77">
        <v>0</v>
      </c>
      <c r="AW3" s="79"/>
      <c r="AX3" s="79"/>
      <c r="AY3" s="75">
        <v>0</v>
      </c>
      <c r="AZ3" s="80" t="s">
        <v>165</v>
      </c>
    </row>
    <row r="4" spans="1:52" ht="15.75" customHeight="1" x14ac:dyDescent="0.3">
      <c r="A4" s="68">
        <v>2</v>
      </c>
      <c r="B4" s="69" t="s">
        <v>7</v>
      </c>
      <c r="C4" s="2" t="s">
        <v>11</v>
      </c>
      <c r="D4" s="2">
        <v>100193986476</v>
      </c>
      <c r="E4" s="2" t="s">
        <v>8</v>
      </c>
      <c r="F4" s="2">
        <v>1401514208</v>
      </c>
      <c r="G4" s="2" t="s">
        <v>10</v>
      </c>
      <c r="H4" s="8"/>
      <c r="I4" s="70">
        <v>30</v>
      </c>
      <c r="J4" s="70">
        <v>30</v>
      </c>
      <c r="K4" s="71">
        <v>8</v>
      </c>
      <c r="L4" s="72">
        <v>3</v>
      </c>
      <c r="M4" s="73">
        <v>0</v>
      </c>
      <c r="N4" s="71">
        <v>0</v>
      </c>
      <c r="O4" s="71">
        <v>11</v>
      </c>
      <c r="P4" s="71">
        <v>30</v>
      </c>
      <c r="Q4" s="74">
        <v>30000</v>
      </c>
      <c r="R4" s="74">
        <v>12500</v>
      </c>
      <c r="S4" s="74">
        <v>5000</v>
      </c>
      <c r="T4" s="74">
        <v>7500</v>
      </c>
      <c r="U4" s="74">
        <v>0</v>
      </c>
      <c r="V4" s="74">
        <v>40000</v>
      </c>
      <c r="W4" s="75">
        <v>95000</v>
      </c>
      <c r="X4" s="76">
        <v>30000</v>
      </c>
      <c r="Y4" s="76">
        <v>12500</v>
      </c>
      <c r="Z4" s="76">
        <v>5000</v>
      </c>
      <c r="AA4" s="76">
        <v>7500</v>
      </c>
      <c r="AB4" s="12"/>
      <c r="AC4" s="73">
        <v>28000</v>
      </c>
      <c r="AD4" s="12"/>
      <c r="AE4" s="10"/>
      <c r="AF4" s="77">
        <v>0</v>
      </c>
      <c r="AG4" s="75">
        <v>1800</v>
      </c>
      <c r="AH4" s="75">
        <v>200</v>
      </c>
      <c r="AI4" s="75">
        <v>0</v>
      </c>
      <c r="AJ4" s="13"/>
      <c r="AK4" s="75">
        <v>83000</v>
      </c>
      <c r="AL4" s="75">
        <v>2000</v>
      </c>
      <c r="AM4" s="75">
        <v>81000</v>
      </c>
      <c r="AN4" s="78">
        <v>81000</v>
      </c>
      <c r="AO4" s="75">
        <v>0</v>
      </c>
      <c r="AP4" s="75">
        <v>1800</v>
      </c>
      <c r="AQ4" s="13"/>
      <c r="AR4" s="75">
        <v>84800</v>
      </c>
      <c r="AS4" s="29">
        <v>0</v>
      </c>
      <c r="AT4" s="75">
        <v>0</v>
      </c>
      <c r="AU4" s="34"/>
      <c r="AV4" s="77">
        <v>0</v>
      </c>
      <c r="AW4" s="79"/>
      <c r="AX4" s="79"/>
      <c r="AY4" s="75">
        <v>0</v>
      </c>
      <c r="AZ4" s="80" t="s">
        <v>165</v>
      </c>
    </row>
    <row r="5" spans="1:52" ht="15.75" customHeight="1" x14ac:dyDescent="0.3">
      <c r="A5" s="81">
        <v>1001</v>
      </c>
      <c r="B5" s="22" t="s">
        <v>12</v>
      </c>
      <c r="C5" s="8" t="s">
        <v>11</v>
      </c>
      <c r="D5" s="8">
        <v>101404270926</v>
      </c>
      <c r="E5" s="8" t="s">
        <v>13</v>
      </c>
      <c r="F5" s="8">
        <v>1113584104</v>
      </c>
      <c r="G5" s="8" t="s">
        <v>15</v>
      </c>
      <c r="H5" s="8"/>
      <c r="I5" s="70">
        <v>30</v>
      </c>
      <c r="J5" s="70">
        <v>30</v>
      </c>
      <c r="K5" s="71">
        <v>0</v>
      </c>
      <c r="L5" s="72">
        <v>3</v>
      </c>
      <c r="M5" s="26">
        <v>0.5</v>
      </c>
      <c r="N5" s="24">
        <v>0</v>
      </c>
      <c r="O5" s="24">
        <v>2.5</v>
      </c>
      <c r="P5" s="24">
        <v>30</v>
      </c>
      <c r="Q5" s="29">
        <v>15000</v>
      </c>
      <c r="R5" s="29">
        <v>3540</v>
      </c>
      <c r="S5" s="29">
        <v>1180</v>
      </c>
      <c r="T5" s="29">
        <v>1180</v>
      </c>
      <c r="U5" s="29">
        <v>2123</v>
      </c>
      <c r="V5" s="29">
        <v>2123</v>
      </c>
      <c r="W5" s="29">
        <v>25146</v>
      </c>
      <c r="X5" s="30">
        <v>15000</v>
      </c>
      <c r="Y5" s="30">
        <v>3540</v>
      </c>
      <c r="Z5" s="30">
        <v>1180</v>
      </c>
      <c r="AA5" s="30">
        <v>1180</v>
      </c>
      <c r="AB5" s="82"/>
      <c r="AC5" s="82"/>
      <c r="AD5" s="9">
        <v>0</v>
      </c>
      <c r="AE5" s="10"/>
      <c r="AF5" s="31">
        <v>2138</v>
      </c>
      <c r="AG5" s="29">
        <v>1800</v>
      </c>
      <c r="AH5" s="29">
        <v>0</v>
      </c>
      <c r="AI5" s="29">
        <v>157</v>
      </c>
      <c r="AJ5" s="29">
        <v>25000</v>
      </c>
      <c r="AK5" s="29">
        <v>23038</v>
      </c>
      <c r="AL5" s="29">
        <v>26957</v>
      </c>
      <c r="AM5" s="29">
        <v>-3919</v>
      </c>
      <c r="AN5" s="78">
        <v>19599</v>
      </c>
      <c r="AO5" s="29">
        <v>679</v>
      </c>
      <c r="AP5" s="29">
        <v>1950</v>
      </c>
      <c r="AQ5" s="34"/>
      <c r="AR5" s="29">
        <v>25667</v>
      </c>
      <c r="AS5" s="29">
        <v>185000</v>
      </c>
      <c r="AT5" s="29">
        <v>160000</v>
      </c>
      <c r="AU5" s="34"/>
      <c r="AV5" s="31">
        <v>25656</v>
      </c>
      <c r="AW5" s="79"/>
      <c r="AX5" s="79"/>
      <c r="AY5" s="75">
        <v>0</v>
      </c>
      <c r="AZ5" s="80" t="s">
        <v>165</v>
      </c>
    </row>
    <row r="6" spans="1:52" ht="15.75" customHeight="1" x14ac:dyDescent="0.3">
      <c r="A6" s="81">
        <v>1006</v>
      </c>
      <c r="B6" s="22" t="s">
        <v>16</v>
      </c>
      <c r="C6" s="8" t="s">
        <v>6</v>
      </c>
      <c r="D6" s="8">
        <v>101404270893</v>
      </c>
      <c r="E6" s="8" t="s">
        <v>13</v>
      </c>
      <c r="F6" s="8">
        <v>1113586177</v>
      </c>
      <c r="G6" s="8" t="s">
        <v>15</v>
      </c>
      <c r="H6" s="8"/>
      <c r="I6" s="70">
        <v>30</v>
      </c>
      <c r="J6" s="70">
        <v>30</v>
      </c>
      <c r="K6" s="71">
        <v>2</v>
      </c>
      <c r="L6" s="72">
        <v>3</v>
      </c>
      <c r="M6" s="26">
        <v>0.5</v>
      </c>
      <c r="N6" s="24">
        <v>0</v>
      </c>
      <c r="O6" s="24">
        <v>4.5</v>
      </c>
      <c r="P6" s="24">
        <v>30</v>
      </c>
      <c r="Q6" s="29">
        <v>15000</v>
      </c>
      <c r="R6" s="29">
        <v>3540</v>
      </c>
      <c r="S6" s="29">
        <v>1180</v>
      </c>
      <c r="T6" s="29">
        <v>1180</v>
      </c>
      <c r="U6" s="29">
        <v>2668</v>
      </c>
      <c r="V6" s="29">
        <v>2668</v>
      </c>
      <c r="W6" s="29">
        <v>26236</v>
      </c>
      <c r="X6" s="30">
        <v>15000</v>
      </c>
      <c r="Y6" s="30">
        <v>3540</v>
      </c>
      <c r="Z6" s="30">
        <v>1180</v>
      </c>
      <c r="AA6" s="30">
        <v>1180</v>
      </c>
      <c r="AB6" s="82"/>
      <c r="AC6" s="82"/>
      <c r="AD6" s="9">
        <v>0</v>
      </c>
      <c r="AE6" s="10"/>
      <c r="AF6" s="31">
        <v>2220</v>
      </c>
      <c r="AG6" s="29">
        <v>1800</v>
      </c>
      <c r="AH6" s="29">
        <v>0</v>
      </c>
      <c r="AI6" s="29">
        <v>157</v>
      </c>
      <c r="AJ6" s="29">
        <v>5000</v>
      </c>
      <c r="AK6" s="29">
        <v>23120</v>
      </c>
      <c r="AL6" s="29">
        <v>6957</v>
      </c>
      <c r="AM6" s="29">
        <v>16163</v>
      </c>
      <c r="AN6" s="78">
        <v>40583</v>
      </c>
      <c r="AO6" s="29">
        <v>679</v>
      </c>
      <c r="AP6" s="29">
        <v>1950</v>
      </c>
      <c r="AQ6" s="34"/>
      <c r="AR6" s="29">
        <v>25749</v>
      </c>
      <c r="AS6" s="29">
        <v>190000</v>
      </c>
      <c r="AT6" s="29">
        <v>185000</v>
      </c>
      <c r="AU6" s="34"/>
      <c r="AV6" s="31">
        <v>26640</v>
      </c>
      <c r="AW6" s="79"/>
      <c r="AX6" s="79"/>
      <c r="AY6" s="75">
        <v>0</v>
      </c>
      <c r="AZ6" s="80" t="s">
        <v>165</v>
      </c>
    </row>
    <row r="7" spans="1:52" ht="15.75" customHeight="1" x14ac:dyDescent="0.3">
      <c r="A7" s="81">
        <v>1024</v>
      </c>
      <c r="B7" s="22" t="s">
        <v>18</v>
      </c>
      <c r="C7" s="8" t="s">
        <v>11</v>
      </c>
      <c r="D7" s="8">
        <v>101818017017</v>
      </c>
      <c r="E7" s="8" t="s">
        <v>13</v>
      </c>
      <c r="F7" s="8">
        <v>3948638977</v>
      </c>
      <c r="G7" s="8" t="s">
        <v>15</v>
      </c>
      <c r="H7" s="8"/>
      <c r="I7" s="70">
        <v>30</v>
      </c>
      <c r="J7" s="70">
        <v>30</v>
      </c>
      <c r="K7" s="71">
        <v>4</v>
      </c>
      <c r="L7" s="72">
        <v>3</v>
      </c>
      <c r="M7" s="26">
        <v>3</v>
      </c>
      <c r="N7" s="24">
        <v>0</v>
      </c>
      <c r="O7" s="24">
        <v>4</v>
      </c>
      <c r="P7" s="24">
        <v>30</v>
      </c>
      <c r="Q7" s="29">
        <v>15000</v>
      </c>
      <c r="R7" s="29">
        <v>2388</v>
      </c>
      <c r="S7" s="29">
        <v>796</v>
      </c>
      <c r="T7" s="29">
        <v>796</v>
      </c>
      <c r="U7" s="29">
        <v>500</v>
      </c>
      <c r="V7" s="29">
        <v>500</v>
      </c>
      <c r="W7" s="29">
        <v>19980</v>
      </c>
      <c r="X7" s="30">
        <v>15000</v>
      </c>
      <c r="Y7" s="30">
        <v>2388</v>
      </c>
      <c r="Z7" s="30">
        <v>796</v>
      </c>
      <c r="AA7" s="30">
        <v>796</v>
      </c>
      <c r="AB7" s="82"/>
      <c r="AC7" s="82"/>
      <c r="AD7" s="10"/>
      <c r="AE7" s="10"/>
      <c r="AF7" s="31">
        <v>1690</v>
      </c>
      <c r="AG7" s="29">
        <v>1800</v>
      </c>
      <c r="AH7" s="29">
        <v>0</v>
      </c>
      <c r="AI7" s="29">
        <v>142</v>
      </c>
      <c r="AJ7" s="29">
        <v>2000</v>
      </c>
      <c r="AK7" s="29">
        <v>20670</v>
      </c>
      <c r="AL7" s="29">
        <v>3942</v>
      </c>
      <c r="AM7" s="29">
        <v>16728</v>
      </c>
      <c r="AN7" s="78">
        <v>35318</v>
      </c>
      <c r="AO7" s="29">
        <v>617</v>
      </c>
      <c r="AP7" s="29">
        <v>1800</v>
      </c>
      <c r="AQ7" s="34"/>
      <c r="AR7" s="29">
        <v>23087</v>
      </c>
      <c r="AS7" s="29">
        <v>21500</v>
      </c>
      <c r="AT7" s="29">
        <v>19500</v>
      </c>
      <c r="AU7" s="34"/>
      <c r="AV7" s="31">
        <v>20280</v>
      </c>
      <c r="AW7" s="79"/>
      <c r="AX7" s="79"/>
      <c r="AY7" s="75">
        <v>0</v>
      </c>
      <c r="AZ7" s="80" t="s">
        <v>165</v>
      </c>
    </row>
    <row r="8" spans="1:52" ht="15.75" customHeight="1" x14ac:dyDescent="0.3">
      <c r="A8" s="21">
        <v>1028</v>
      </c>
      <c r="B8" s="22" t="s">
        <v>20</v>
      </c>
      <c r="C8" s="8" t="s">
        <v>6</v>
      </c>
      <c r="D8" s="8">
        <v>101768643043</v>
      </c>
      <c r="E8" s="8" t="s">
        <v>3</v>
      </c>
      <c r="F8" s="8">
        <v>50100454812858</v>
      </c>
      <c r="G8" s="8" t="s">
        <v>22</v>
      </c>
      <c r="H8" s="8"/>
      <c r="I8" s="70">
        <v>30</v>
      </c>
      <c r="J8" s="70">
        <v>30</v>
      </c>
      <c r="K8" s="71">
        <v>0</v>
      </c>
      <c r="L8" s="72">
        <v>3</v>
      </c>
      <c r="M8" s="26">
        <v>1</v>
      </c>
      <c r="N8" s="24">
        <v>0</v>
      </c>
      <c r="O8" s="24">
        <v>2</v>
      </c>
      <c r="P8" s="24">
        <v>30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v>43000</v>
      </c>
      <c r="X8" s="30">
        <v>15000</v>
      </c>
      <c r="Y8" s="30">
        <v>7000</v>
      </c>
      <c r="Z8" s="30">
        <v>6000</v>
      </c>
      <c r="AA8" s="30">
        <v>5000</v>
      </c>
      <c r="AB8" s="77">
        <v>5000</v>
      </c>
      <c r="AC8" s="77">
        <v>3500</v>
      </c>
      <c r="AD8" s="10"/>
      <c r="AE8" s="10"/>
      <c r="AF8" s="31">
        <v>0</v>
      </c>
      <c r="AG8" s="29">
        <v>1800</v>
      </c>
      <c r="AH8" s="29">
        <v>200</v>
      </c>
      <c r="AI8" s="29">
        <v>0</v>
      </c>
      <c r="AJ8" s="34"/>
      <c r="AK8" s="29">
        <v>41500</v>
      </c>
      <c r="AL8" s="29">
        <v>2000</v>
      </c>
      <c r="AM8" s="29">
        <v>39500</v>
      </c>
      <c r="AN8" s="78">
        <v>39500</v>
      </c>
      <c r="AO8" s="29">
        <v>0</v>
      </c>
      <c r="AP8" s="29">
        <v>1800</v>
      </c>
      <c r="AQ8" s="34"/>
      <c r="AR8" s="29">
        <v>43300</v>
      </c>
      <c r="AS8" s="29">
        <v>0</v>
      </c>
      <c r="AT8" s="29">
        <v>0</v>
      </c>
      <c r="AU8" s="34"/>
      <c r="AV8" s="31">
        <v>0</v>
      </c>
      <c r="AW8" s="79"/>
      <c r="AX8" s="79"/>
      <c r="AY8" s="75">
        <v>0</v>
      </c>
      <c r="AZ8" s="80" t="s">
        <v>165</v>
      </c>
    </row>
    <row r="9" spans="1:52" ht="15.75" customHeight="1" x14ac:dyDescent="0.3">
      <c r="A9" s="21">
        <v>1030</v>
      </c>
      <c r="B9" s="22" t="s">
        <v>23</v>
      </c>
      <c r="C9" s="8" t="s">
        <v>6</v>
      </c>
      <c r="D9" s="8">
        <v>101657750048</v>
      </c>
      <c r="E9" s="8" t="s">
        <v>24</v>
      </c>
      <c r="F9" s="8">
        <v>82010100004480</v>
      </c>
      <c r="G9" s="8" t="s">
        <v>26</v>
      </c>
      <c r="H9" s="8"/>
      <c r="I9" s="70">
        <v>30</v>
      </c>
      <c r="J9" s="70">
        <v>30</v>
      </c>
      <c r="K9" s="71">
        <v>0</v>
      </c>
      <c r="L9" s="72">
        <v>3</v>
      </c>
      <c r="M9" s="26">
        <v>0</v>
      </c>
      <c r="N9" s="24">
        <v>0</v>
      </c>
      <c r="O9" s="24">
        <v>3</v>
      </c>
      <c r="P9" s="24">
        <v>30</v>
      </c>
      <c r="Q9" s="36">
        <v>15000</v>
      </c>
      <c r="R9" s="29">
        <v>3540</v>
      </c>
      <c r="S9" s="29">
        <v>1180</v>
      </c>
      <c r="T9" s="29">
        <v>1180</v>
      </c>
      <c r="U9" s="36">
        <v>2150</v>
      </c>
      <c r="V9" s="36">
        <v>2150</v>
      </c>
      <c r="W9" s="29">
        <v>25200</v>
      </c>
      <c r="X9" s="30">
        <v>15000</v>
      </c>
      <c r="Y9" s="30">
        <v>3540</v>
      </c>
      <c r="Z9" s="30">
        <v>1180</v>
      </c>
      <c r="AA9" s="30">
        <v>1180</v>
      </c>
      <c r="AB9" s="82"/>
      <c r="AC9" s="82"/>
      <c r="AD9" s="10"/>
      <c r="AE9" s="10"/>
      <c r="AF9" s="31">
        <v>0</v>
      </c>
      <c r="AG9" s="29">
        <v>1800</v>
      </c>
      <c r="AH9" s="29">
        <v>0</v>
      </c>
      <c r="AI9" s="29">
        <v>157</v>
      </c>
      <c r="AJ9" s="34"/>
      <c r="AK9" s="29">
        <v>20900</v>
      </c>
      <c r="AL9" s="29">
        <v>1957</v>
      </c>
      <c r="AM9" s="29">
        <v>18943</v>
      </c>
      <c r="AN9" s="33">
        <v>18943</v>
      </c>
      <c r="AO9" s="29">
        <v>679</v>
      </c>
      <c r="AP9" s="29">
        <v>1800</v>
      </c>
      <c r="AQ9" s="34"/>
      <c r="AR9" s="29">
        <v>23379</v>
      </c>
      <c r="AS9" s="29">
        <v>0</v>
      </c>
      <c r="AT9" s="29">
        <v>0</v>
      </c>
      <c r="AU9" s="34"/>
      <c r="AV9" s="31">
        <v>0</v>
      </c>
      <c r="AW9" s="79"/>
      <c r="AX9" s="79"/>
      <c r="AY9" s="75">
        <v>0</v>
      </c>
      <c r="AZ9" s="80" t="s">
        <v>165</v>
      </c>
    </row>
    <row r="10" spans="1:52" ht="15.75" customHeight="1" x14ac:dyDescent="0.3">
      <c r="A10" s="68">
        <v>1031</v>
      </c>
      <c r="B10" s="69" t="s">
        <v>27</v>
      </c>
      <c r="C10" s="2" t="s">
        <v>11</v>
      </c>
      <c r="D10" s="2">
        <v>101767120465</v>
      </c>
      <c r="E10" s="2" t="s">
        <v>28</v>
      </c>
      <c r="F10" s="2" t="s">
        <v>29</v>
      </c>
      <c r="G10" s="2" t="s">
        <v>30</v>
      </c>
      <c r="H10" s="8"/>
      <c r="I10" s="70">
        <v>30</v>
      </c>
      <c r="J10" s="70">
        <v>30</v>
      </c>
      <c r="K10" s="71">
        <v>0</v>
      </c>
      <c r="L10" s="72">
        <v>3</v>
      </c>
      <c r="M10" s="73">
        <v>1</v>
      </c>
      <c r="N10" s="71">
        <v>0</v>
      </c>
      <c r="O10" s="71">
        <v>2</v>
      </c>
      <c r="P10" s="71">
        <v>30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v>47000</v>
      </c>
      <c r="X10" s="76">
        <v>15000</v>
      </c>
      <c r="Y10" s="76">
        <v>9000</v>
      </c>
      <c r="Z10" s="76">
        <v>8000</v>
      </c>
      <c r="AA10" s="76">
        <v>3000</v>
      </c>
      <c r="AB10" s="77">
        <v>6600</v>
      </c>
      <c r="AC10" s="77">
        <v>4200</v>
      </c>
      <c r="AD10" s="10"/>
      <c r="AE10" s="10"/>
      <c r="AF10" s="77">
        <v>0</v>
      </c>
      <c r="AG10" s="75">
        <v>1800</v>
      </c>
      <c r="AH10" s="75">
        <v>200</v>
      </c>
      <c r="AI10" s="84">
        <v>0</v>
      </c>
      <c r="AJ10" s="34"/>
      <c r="AK10" s="75">
        <v>45800</v>
      </c>
      <c r="AL10" s="75">
        <v>2000</v>
      </c>
      <c r="AM10" s="75">
        <v>43800</v>
      </c>
      <c r="AN10" s="78">
        <v>43800</v>
      </c>
      <c r="AO10" s="75">
        <v>0</v>
      </c>
      <c r="AP10" s="75">
        <v>1800</v>
      </c>
      <c r="AQ10" s="34"/>
      <c r="AR10" s="75">
        <v>47600</v>
      </c>
      <c r="AS10" s="29">
        <v>0</v>
      </c>
      <c r="AT10" s="75">
        <v>0</v>
      </c>
      <c r="AU10" s="34"/>
      <c r="AV10" s="77">
        <v>0</v>
      </c>
      <c r="AW10" s="79"/>
      <c r="AX10" s="79"/>
      <c r="AY10" s="75">
        <v>0</v>
      </c>
      <c r="AZ10" s="80" t="s">
        <v>165</v>
      </c>
    </row>
    <row r="11" spans="1:52" ht="15.75" customHeight="1" x14ac:dyDescent="0.3">
      <c r="A11" s="21">
        <v>1033</v>
      </c>
      <c r="B11" s="22" t="s">
        <v>31</v>
      </c>
      <c r="C11" s="8" t="s">
        <v>11</v>
      </c>
      <c r="D11" s="8">
        <v>101457287134</v>
      </c>
      <c r="E11" s="8" t="s">
        <v>32</v>
      </c>
      <c r="F11" s="8">
        <v>520291002188411</v>
      </c>
      <c r="G11" s="8" t="s">
        <v>34</v>
      </c>
      <c r="H11" s="8"/>
      <c r="I11" s="70">
        <v>30</v>
      </c>
      <c r="J11" s="70">
        <v>30</v>
      </c>
      <c r="K11" s="71">
        <v>0</v>
      </c>
      <c r="L11" s="72">
        <v>3</v>
      </c>
      <c r="M11" s="26">
        <v>2</v>
      </c>
      <c r="N11" s="24">
        <v>0</v>
      </c>
      <c r="O11" s="24">
        <v>1</v>
      </c>
      <c r="P11" s="24">
        <v>30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v>22000</v>
      </c>
      <c r="X11" s="30">
        <v>15000</v>
      </c>
      <c r="Y11" s="30">
        <v>3540</v>
      </c>
      <c r="Z11" s="30">
        <v>1180</v>
      </c>
      <c r="AA11" s="30">
        <v>1180</v>
      </c>
      <c r="AB11" s="82"/>
      <c r="AC11" s="82"/>
      <c r="AD11" s="10"/>
      <c r="AE11" s="10"/>
      <c r="AF11" s="31">
        <v>0</v>
      </c>
      <c r="AG11" s="29">
        <v>1800</v>
      </c>
      <c r="AH11" s="29">
        <v>0</v>
      </c>
      <c r="AI11" s="29">
        <v>157</v>
      </c>
      <c r="AJ11" s="34"/>
      <c r="AK11" s="29">
        <v>20900</v>
      </c>
      <c r="AL11" s="29">
        <v>1957</v>
      </c>
      <c r="AM11" s="29">
        <v>18943</v>
      </c>
      <c r="AN11" s="33">
        <v>18943</v>
      </c>
      <c r="AO11" s="29">
        <v>679</v>
      </c>
      <c r="AP11" s="29">
        <v>1800</v>
      </c>
      <c r="AQ11" s="34"/>
      <c r="AR11" s="29">
        <v>23379</v>
      </c>
      <c r="AS11" s="29">
        <v>0</v>
      </c>
      <c r="AT11" s="29">
        <v>0</v>
      </c>
      <c r="AU11" s="34"/>
      <c r="AV11" s="31">
        <v>0</v>
      </c>
      <c r="AW11" s="79"/>
      <c r="AX11" s="79"/>
      <c r="AY11" s="29">
        <v>0</v>
      </c>
      <c r="AZ11" s="80" t="s">
        <v>165</v>
      </c>
    </row>
    <row r="12" spans="1:52" ht="15.75" customHeight="1" x14ac:dyDescent="0.3">
      <c r="A12" s="21">
        <v>1034</v>
      </c>
      <c r="B12" s="22" t="s">
        <v>35</v>
      </c>
      <c r="C12" s="8" t="s">
        <v>11</v>
      </c>
      <c r="D12" s="8">
        <v>101898645952</v>
      </c>
      <c r="E12" s="8" t="s">
        <v>36</v>
      </c>
      <c r="F12" s="8">
        <v>20326554019</v>
      </c>
      <c r="G12" s="8" t="s">
        <v>38</v>
      </c>
      <c r="H12" s="8"/>
      <c r="I12" s="70">
        <v>30</v>
      </c>
      <c r="J12" s="70">
        <v>30</v>
      </c>
      <c r="K12" s="71">
        <v>0</v>
      </c>
      <c r="L12" s="72">
        <v>3</v>
      </c>
      <c r="M12" s="26">
        <v>3</v>
      </c>
      <c r="N12" s="24">
        <v>0</v>
      </c>
      <c r="O12" s="24">
        <v>0</v>
      </c>
      <c r="P12" s="24">
        <v>30</v>
      </c>
      <c r="Q12" s="36">
        <v>15000</v>
      </c>
      <c r="R12" s="29">
        <v>3540</v>
      </c>
      <c r="S12" s="29">
        <v>1180</v>
      </c>
      <c r="T12" s="29">
        <v>1180</v>
      </c>
      <c r="U12" s="36">
        <v>2050</v>
      </c>
      <c r="V12" s="36">
        <v>2050</v>
      </c>
      <c r="W12" s="29">
        <v>25000</v>
      </c>
      <c r="X12" s="30">
        <v>15000</v>
      </c>
      <c r="Y12" s="30">
        <v>3540</v>
      </c>
      <c r="Z12" s="30">
        <v>1180</v>
      </c>
      <c r="AA12" s="30">
        <v>1180</v>
      </c>
      <c r="AB12" s="82"/>
      <c r="AC12" s="82"/>
      <c r="AD12" s="10"/>
      <c r="AE12" s="10"/>
      <c r="AF12" s="31">
        <v>0</v>
      </c>
      <c r="AG12" s="29">
        <v>1800</v>
      </c>
      <c r="AH12" s="29">
        <v>0</v>
      </c>
      <c r="AI12" s="29">
        <v>157</v>
      </c>
      <c r="AJ12" s="34"/>
      <c r="AK12" s="29">
        <v>20900</v>
      </c>
      <c r="AL12" s="29">
        <v>1957</v>
      </c>
      <c r="AM12" s="29">
        <v>18943</v>
      </c>
      <c r="AN12" s="33">
        <v>18943</v>
      </c>
      <c r="AO12" s="29">
        <v>679</v>
      </c>
      <c r="AP12" s="29">
        <v>1800</v>
      </c>
      <c r="AQ12" s="34"/>
      <c r="AR12" s="29">
        <v>23379</v>
      </c>
      <c r="AS12" s="29">
        <v>0</v>
      </c>
      <c r="AT12" s="29">
        <v>0</v>
      </c>
      <c r="AU12" s="34"/>
      <c r="AV12" s="31">
        <v>0</v>
      </c>
      <c r="AW12" s="79"/>
      <c r="AX12" s="79"/>
      <c r="AY12" s="75">
        <v>0</v>
      </c>
      <c r="AZ12" s="80" t="s">
        <v>165</v>
      </c>
    </row>
    <row r="13" spans="1:52" ht="15.75" customHeight="1" x14ac:dyDescent="0.3">
      <c r="A13" s="21">
        <v>1036</v>
      </c>
      <c r="B13" s="22" t="s">
        <v>39</v>
      </c>
      <c r="C13" s="8" t="s">
        <v>6</v>
      </c>
      <c r="D13" s="8">
        <v>101867312879</v>
      </c>
      <c r="E13" s="8" t="s">
        <v>36</v>
      </c>
      <c r="F13" s="8">
        <v>20082899400</v>
      </c>
      <c r="G13" s="8" t="s">
        <v>41</v>
      </c>
      <c r="H13" s="8"/>
      <c r="I13" s="70">
        <v>30</v>
      </c>
      <c r="J13" s="70">
        <v>30</v>
      </c>
      <c r="K13" s="71">
        <v>0</v>
      </c>
      <c r="L13" s="72">
        <v>3</v>
      </c>
      <c r="M13" s="26">
        <v>3</v>
      </c>
      <c r="N13" s="24">
        <v>0</v>
      </c>
      <c r="O13" s="24">
        <v>0</v>
      </c>
      <c r="P13" s="24">
        <v>30</v>
      </c>
      <c r="Q13" s="36">
        <v>15000</v>
      </c>
      <c r="R13" s="29">
        <v>3540</v>
      </c>
      <c r="S13" s="29">
        <v>1180</v>
      </c>
      <c r="T13" s="29">
        <v>1180</v>
      </c>
      <c r="U13" s="36">
        <v>2200</v>
      </c>
      <c r="V13" s="36">
        <v>2200</v>
      </c>
      <c r="W13" s="29">
        <v>25300</v>
      </c>
      <c r="X13" s="30">
        <v>15000</v>
      </c>
      <c r="Y13" s="30">
        <v>3540</v>
      </c>
      <c r="Z13" s="30">
        <v>1180</v>
      </c>
      <c r="AA13" s="30">
        <v>1180</v>
      </c>
      <c r="AB13" s="82"/>
      <c r="AC13" s="82"/>
      <c r="AD13" s="12"/>
      <c r="AE13" s="10"/>
      <c r="AF13" s="31">
        <v>0</v>
      </c>
      <c r="AG13" s="29">
        <v>1800</v>
      </c>
      <c r="AH13" s="29">
        <v>0</v>
      </c>
      <c r="AI13" s="29">
        <v>157</v>
      </c>
      <c r="AJ13" s="13"/>
      <c r="AK13" s="29">
        <v>20900</v>
      </c>
      <c r="AL13" s="29">
        <v>1957</v>
      </c>
      <c r="AM13" s="29">
        <v>18943</v>
      </c>
      <c r="AN13" s="33">
        <v>18943</v>
      </c>
      <c r="AO13" s="29">
        <v>679</v>
      </c>
      <c r="AP13" s="29">
        <v>1800</v>
      </c>
      <c r="AQ13" s="13"/>
      <c r="AR13" s="29">
        <v>23379</v>
      </c>
      <c r="AS13" s="29">
        <v>0</v>
      </c>
      <c r="AT13" s="29">
        <v>0</v>
      </c>
      <c r="AU13" s="34"/>
      <c r="AV13" s="31">
        <v>0</v>
      </c>
      <c r="AW13" s="79"/>
      <c r="AX13" s="79"/>
      <c r="AY13" s="75">
        <v>0</v>
      </c>
      <c r="AZ13" s="80" t="s">
        <v>165</v>
      </c>
    </row>
    <row r="14" spans="1:52" ht="15.75" customHeight="1" x14ac:dyDescent="0.3">
      <c r="A14" s="68">
        <v>1037</v>
      </c>
      <c r="B14" s="69" t="s">
        <v>42</v>
      </c>
      <c r="C14" s="2" t="s">
        <v>6</v>
      </c>
      <c r="D14" s="2">
        <v>100004572892</v>
      </c>
      <c r="E14" s="2" t="s">
        <v>3</v>
      </c>
      <c r="F14" s="2">
        <v>50100273530923</v>
      </c>
      <c r="G14" s="2" t="s">
        <v>5</v>
      </c>
      <c r="H14" s="8"/>
      <c r="I14" s="70">
        <v>30</v>
      </c>
      <c r="J14" s="70">
        <v>30</v>
      </c>
      <c r="K14" s="71">
        <v>0</v>
      </c>
      <c r="L14" s="72">
        <v>3</v>
      </c>
      <c r="M14" s="73">
        <v>0.5</v>
      </c>
      <c r="N14" s="71">
        <v>0</v>
      </c>
      <c r="O14" s="71">
        <v>2.5</v>
      </c>
      <c r="P14" s="71">
        <v>30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v>73810</v>
      </c>
      <c r="X14" s="76">
        <v>26000</v>
      </c>
      <c r="Y14" s="76">
        <v>14808</v>
      </c>
      <c r="Z14" s="76">
        <v>11106</v>
      </c>
      <c r="AA14" s="76">
        <v>11106</v>
      </c>
      <c r="AB14" s="77">
        <v>4316</v>
      </c>
      <c r="AC14" s="77">
        <v>3777</v>
      </c>
      <c r="AD14" s="12"/>
      <c r="AE14" s="10"/>
      <c r="AF14" s="77">
        <v>0</v>
      </c>
      <c r="AG14" s="75">
        <v>1800</v>
      </c>
      <c r="AH14" s="75">
        <v>200</v>
      </c>
      <c r="AI14" s="75">
        <v>0</v>
      </c>
      <c r="AJ14" s="13"/>
      <c r="AK14" s="75">
        <v>71113</v>
      </c>
      <c r="AL14" s="75">
        <v>2000</v>
      </c>
      <c r="AM14" s="75">
        <v>69113</v>
      </c>
      <c r="AN14" s="78">
        <v>69113</v>
      </c>
      <c r="AO14" s="75">
        <v>0</v>
      </c>
      <c r="AP14" s="75">
        <v>1800</v>
      </c>
      <c r="AQ14" s="13"/>
      <c r="AR14" s="75">
        <v>72913</v>
      </c>
      <c r="AS14" s="29">
        <v>0</v>
      </c>
      <c r="AT14" s="75">
        <v>0</v>
      </c>
      <c r="AU14" s="34"/>
      <c r="AV14" s="77">
        <v>0</v>
      </c>
      <c r="AW14" s="79"/>
      <c r="AX14" s="79"/>
      <c r="AY14" s="75">
        <v>0</v>
      </c>
      <c r="AZ14" s="80" t="s">
        <v>165</v>
      </c>
    </row>
    <row r="15" spans="1:52" ht="15.75" customHeight="1" x14ac:dyDescent="0.3">
      <c r="A15" s="68">
        <v>1042</v>
      </c>
      <c r="B15" s="69" t="s">
        <v>51</v>
      </c>
      <c r="C15" s="2" t="s">
        <v>11</v>
      </c>
      <c r="D15" s="2">
        <v>101404270886</v>
      </c>
      <c r="E15" s="2" t="s">
        <v>52</v>
      </c>
      <c r="F15" s="2">
        <v>235101504681</v>
      </c>
      <c r="G15" s="2" t="s">
        <v>54</v>
      </c>
      <c r="H15" s="8"/>
      <c r="I15" s="70">
        <v>30</v>
      </c>
      <c r="J15" s="70">
        <v>30</v>
      </c>
      <c r="K15" s="71">
        <v>3</v>
      </c>
      <c r="L15" s="72">
        <v>3</v>
      </c>
      <c r="M15" s="73">
        <v>0</v>
      </c>
      <c r="N15" s="71">
        <v>0</v>
      </c>
      <c r="O15" s="71">
        <v>6</v>
      </c>
      <c r="P15" s="71">
        <v>30</v>
      </c>
      <c r="Q15" s="85">
        <v>30000</v>
      </c>
      <c r="R15" s="85">
        <v>17040</v>
      </c>
      <c r="S15" s="85">
        <v>12780</v>
      </c>
      <c r="T15" s="85">
        <v>12780</v>
      </c>
      <c r="U15" s="85">
        <v>6600</v>
      </c>
      <c r="V15" s="85">
        <v>6600</v>
      </c>
      <c r="W15" s="75">
        <v>85800</v>
      </c>
      <c r="X15" s="76">
        <v>30000</v>
      </c>
      <c r="Y15" s="76">
        <v>17040</v>
      </c>
      <c r="Z15" s="76">
        <v>12780</v>
      </c>
      <c r="AA15" s="76">
        <v>12780</v>
      </c>
      <c r="AB15" s="77">
        <v>6600</v>
      </c>
      <c r="AC15" s="77">
        <v>4620</v>
      </c>
      <c r="AD15" s="10"/>
      <c r="AE15" s="10"/>
      <c r="AF15" s="77">
        <v>0</v>
      </c>
      <c r="AG15" s="75">
        <v>1800</v>
      </c>
      <c r="AH15" s="75">
        <v>200</v>
      </c>
      <c r="AI15" s="85">
        <v>0</v>
      </c>
      <c r="AJ15" s="34"/>
      <c r="AK15" s="75">
        <v>83820</v>
      </c>
      <c r="AL15" s="75">
        <v>2000</v>
      </c>
      <c r="AM15" s="75">
        <v>81820</v>
      </c>
      <c r="AN15" s="78">
        <v>81820</v>
      </c>
      <c r="AO15" s="75">
        <v>0</v>
      </c>
      <c r="AP15" s="75">
        <v>1800</v>
      </c>
      <c r="AQ15" s="34"/>
      <c r="AR15" s="75">
        <v>85620</v>
      </c>
      <c r="AS15" s="29">
        <v>0</v>
      </c>
      <c r="AT15" s="75">
        <v>0</v>
      </c>
      <c r="AU15" s="34"/>
      <c r="AV15" s="77">
        <v>0</v>
      </c>
      <c r="AW15" s="79"/>
      <c r="AX15" s="79"/>
      <c r="AY15" s="75">
        <v>0</v>
      </c>
      <c r="AZ15" s="80" t="s">
        <v>165</v>
      </c>
    </row>
    <row r="16" spans="1:52" ht="15.75" customHeight="1" x14ac:dyDescent="0.3">
      <c r="A16" s="68">
        <v>1044</v>
      </c>
      <c r="B16" s="69" t="s">
        <v>57</v>
      </c>
      <c r="C16" s="2" t="s">
        <v>6</v>
      </c>
      <c r="D16" s="2">
        <v>101898706557</v>
      </c>
      <c r="E16" s="2" t="s">
        <v>58</v>
      </c>
      <c r="F16" s="2">
        <v>2753101008732</v>
      </c>
      <c r="G16" s="2" t="s">
        <v>60</v>
      </c>
      <c r="H16" s="8"/>
      <c r="I16" s="70">
        <v>30</v>
      </c>
      <c r="J16" s="70">
        <v>30</v>
      </c>
      <c r="K16" s="71">
        <v>0</v>
      </c>
      <c r="L16" s="72">
        <v>3</v>
      </c>
      <c r="M16" s="73">
        <v>8</v>
      </c>
      <c r="N16" s="71">
        <v>5</v>
      </c>
      <c r="O16" s="71">
        <v>0</v>
      </c>
      <c r="P16" s="71">
        <v>25</v>
      </c>
      <c r="Q16" s="74">
        <v>26000</v>
      </c>
      <c r="R16" s="74">
        <v>11600</v>
      </c>
      <c r="S16" s="74">
        <v>8700</v>
      </c>
      <c r="T16" s="74">
        <v>8700</v>
      </c>
      <c r="U16" s="74">
        <v>0</v>
      </c>
      <c r="V16" s="74">
        <v>27500</v>
      </c>
      <c r="W16" s="75">
        <v>82500</v>
      </c>
      <c r="X16" s="76">
        <v>21667</v>
      </c>
      <c r="Y16" s="76">
        <v>9667</v>
      </c>
      <c r="Z16" s="76">
        <v>7250</v>
      </c>
      <c r="AA16" s="76">
        <v>7250</v>
      </c>
      <c r="AB16" s="77">
        <v>0</v>
      </c>
      <c r="AC16" s="77">
        <v>19250</v>
      </c>
      <c r="AD16" s="12"/>
      <c r="AE16" s="10"/>
      <c r="AF16" s="77">
        <v>0</v>
      </c>
      <c r="AG16" s="75">
        <v>1800</v>
      </c>
      <c r="AH16" s="75">
        <v>200</v>
      </c>
      <c r="AI16" s="75">
        <v>0</v>
      </c>
      <c r="AJ16" s="13"/>
      <c r="AK16" s="75">
        <v>65083</v>
      </c>
      <c r="AL16" s="75">
        <v>2000</v>
      </c>
      <c r="AM16" s="75">
        <v>63083</v>
      </c>
      <c r="AN16" s="78">
        <v>63083</v>
      </c>
      <c r="AO16" s="75">
        <v>0</v>
      </c>
      <c r="AP16" s="75">
        <v>1800</v>
      </c>
      <c r="AQ16" s="13"/>
      <c r="AR16" s="75">
        <v>66883</v>
      </c>
      <c r="AS16" s="29">
        <v>0</v>
      </c>
      <c r="AT16" s="75">
        <v>0</v>
      </c>
      <c r="AU16" s="34"/>
      <c r="AV16" s="77">
        <v>0</v>
      </c>
      <c r="AW16" s="79"/>
      <c r="AX16" s="79"/>
      <c r="AY16" s="75">
        <v>0</v>
      </c>
      <c r="AZ16" s="80" t="s">
        <v>165</v>
      </c>
    </row>
    <row r="17" spans="1:52" ht="15.75" customHeight="1" x14ac:dyDescent="0.3">
      <c r="A17" s="68">
        <v>1047</v>
      </c>
      <c r="B17" s="69" t="s">
        <v>66</v>
      </c>
      <c r="C17" s="2" t="s">
        <v>6</v>
      </c>
      <c r="D17" s="2">
        <v>100393676148</v>
      </c>
      <c r="E17" s="2" t="s">
        <v>50</v>
      </c>
      <c r="F17" s="2">
        <v>919010001528637</v>
      </c>
      <c r="G17" s="2" t="s">
        <v>68</v>
      </c>
      <c r="H17" s="8"/>
      <c r="I17" s="70">
        <v>30</v>
      </c>
      <c r="J17" s="70">
        <v>30</v>
      </c>
      <c r="K17" s="71">
        <v>6</v>
      </c>
      <c r="L17" s="72">
        <v>3</v>
      </c>
      <c r="M17" s="73">
        <v>1.5</v>
      </c>
      <c r="N17" s="71">
        <v>0</v>
      </c>
      <c r="O17" s="71">
        <v>7.5</v>
      </c>
      <c r="P17" s="71">
        <v>30</v>
      </c>
      <c r="Q17" s="74">
        <v>26000</v>
      </c>
      <c r="R17" s="85">
        <v>18750</v>
      </c>
      <c r="S17" s="85">
        <v>1250</v>
      </c>
      <c r="T17" s="85">
        <v>10833</v>
      </c>
      <c r="U17" s="85">
        <v>8125</v>
      </c>
      <c r="V17" s="85">
        <v>8125</v>
      </c>
      <c r="W17" s="75">
        <v>73083</v>
      </c>
      <c r="X17" s="76">
        <v>26000</v>
      </c>
      <c r="Y17" s="76">
        <v>18750</v>
      </c>
      <c r="Z17" s="76">
        <v>1250</v>
      </c>
      <c r="AA17" s="76">
        <v>10833</v>
      </c>
      <c r="AB17" s="77">
        <v>8125</v>
      </c>
      <c r="AC17" s="77">
        <v>5688</v>
      </c>
      <c r="AD17" s="12"/>
      <c r="AE17" s="10"/>
      <c r="AF17" s="77">
        <v>0</v>
      </c>
      <c r="AG17" s="75">
        <v>1800</v>
      </c>
      <c r="AH17" s="75">
        <v>200</v>
      </c>
      <c r="AI17" s="75">
        <v>0</v>
      </c>
      <c r="AJ17" s="13"/>
      <c r="AK17" s="75">
        <v>70646</v>
      </c>
      <c r="AL17" s="75">
        <v>2000</v>
      </c>
      <c r="AM17" s="75">
        <v>68646</v>
      </c>
      <c r="AN17" s="78">
        <v>68646</v>
      </c>
      <c r="AO17" s="75">
        <v>0</v>
      </c>
      <c r="AP17" s="75">
        <v>1800</v>
      </c>
      <c r="AQ17" s="13"/>
      <c r="AR17" s="75">
        <v>72446</v>
      </c>
      <c r="AS17" s="29">
        <v>0</v>
      </c>
      <c r="AT17" s="75">
        <v>0</v>
      </c>
      <c r="AU17" s="34"/>
      <c r="AV17" s="77">
        <v>0</v>
      </c>
      <c r="AW17" s="79"/>
      <c r="AX17" s="79"/>
      <c r="AY17" s="75">
        <v>0</v>
      </c>
      <c r="AZ17" s="80" t="s">
        <v>165</v>
      </c>
    </row>
    <row r="18" spans="1:52" ht="15.75" customHeight="1" x14ac:dyDescent="0.3">
      <c r="A18" s="21">
        <v>1039</v>
      </c>
      <c r="B18" s="22" t="s">
        <v>44</v>
      </c>
      <c r="C18" s="8" t="s">
        <v>11</v>
      </c>
      <c r="D18" s="8">
        <v>101929473959</v>
      </c>
      <c r="E18" s="8" t="s">
        <v>28</v>
      </c>
      <c r="F18" s="8" t="s">
        <v>45</v>
      </c>
      <c r="G18" s="8" t="s">
        <v>46</v>
      </c>
      <c r="H18" s="8"/>
      <c r="I18" s="70">
        <v>30</v>
      </c>
      <c r="J18" s="70">
        <v>30</v>
      </c>
      <c r="K18" s="71">
        <v>1</v>
      </c>
      <c r="L18" s="72">
        <v>3</v>
      </c>
      <c r="M18" s="26">
        <v>2</v>
      </c>
      <c r="N18" s="24">
        <v>0</v>
      </c>
      <c r="O18" s="24">
        <v>2</v>
      </c>
      <c r="P18" s="24">
        <v>30</v>
      </c>
      <c r="Q18" s="36">
        <v>15000</v>
      </c>
      <c r="R18" s="36">
        <v>2850</v>
      </c>
      <c r="S18" s="36">
        <v>950</v>
      </c>
      <c r="T18" s="36">
        <v>950</v>
      </c>
      <c r="U18" s="36">
        <v>1015</v>
      </c>
      <c r="V18" s="36">
        <v>1015</v>
      </c>
      <c r="W18" s="29">
        <v>21780</v>
      </c>
      <c r="X18" s="30">
        <v>15000</v>
      </c>
      <c r="Y18" s="30">
        <v>2850</v>
      </c>
      <c r="Z18" s="30">
        <v>950</v>
      </c>
      <c r="AA18" s="30">
        <v>950</v>
      </c>
      <c r="AB18" s="82"/>
      <c r="AC18" s="82"/>
      <c r="AD18" s="12"/>
      <c r="AE18" s="10"/>
      <c r="AF18" s="31">
        <v>0</v>
      </c>
      <c r="AG18" s="29">
        <v>1800</v>
      </c>
      <c r="AH18" s="29">
        <v>0</v>
      </c>
      <c r="AI18" s="29">
        <v>148</v>
      </c>
      <c r="AJ18" s="13"/>
      <c r="AK18" s="29">
        <v>19750</v>
      </c>
      <c r="AL18" s="29">
        <v>1948</v>
      </c>
      <c r="AM18" s="29">
        <v>17802</v>
      </c>
      <c r="AN18" s="33">
        <v>17802</v>
      </c>
      <c r="AO18" s="29">
        <v>642</v>
      </c>
      <c r="AP18" s="29">
        <v>1800</v>
      </c>
      <c r="AQ18" s="13"/>
      <c r="AR18" s="29">
        <v>22192</v>
      </c>
      <c r="AS18" s="29">
        <v>0</v>
      </c>
      <c r="AT18" s="29">
        <v>0</v>
      </c>
      <c r="AU18" s="34"/>
      <c r="AV18" s="31">
        <v>0</v>
      </c>
      <c r="AW18" s="79"/>
      <c r="AX18" s="79"/>
      <c r="AY18" s="75">
        <v>0</v>
      </c>
      <c r="AZ18" s="80" t="s">
        <v>165</v>
      </c>
    </row>
    <row r="19" spans="1:52" ht="15.75" customHeight="1" x14ac:dyDescent="0.3">
      <c r="A19" s="21">
        <v>1040</v>
      </c>
      <c r="B19" s="22" t="s">
        <v>47</v>
      </c>
      <c r="C19" s="8" t="s">
        <v>11</v>
      </c>
      <c r="D19" s="8">
        <v>101929655674</v>
      </c>
      <c r="E19" s="8" t="s">
        <v>28</v>
      </c>
      <c r="F19" s="8" t="s">
        <v>48</v>
      </c>
      <c r="G19" s="8" t="s">
        <v>49</v>
      </c>
      <c r="H19" s="8"/>
      <c r="I19" s="70">
        <v>30</v>
      </c>
      <c r="J19" s="70">
        <v>30</v>
      </c>
      <c r="K19" s="71">
        <v>0</v>
      </c>
      <c r="L19" s="72">
        <v>3</v>
      </c>
      <c r="M19" s="26">
        <v>0</v>
      </c>
      <c r="N19" s="24">
        <v>0</v>
      </c>
      <c r="O19" s="24">
        <v>3</v>
      </c>
      <c r="P19" s="24">
        <v>30</v>
      </c>
      <c r="Q19" s="36">
        <v>15000</v>
      </c>
      <c r="R19" s="36">
        <v>2850</v>
      </c>
      <c r="S19" s="36">
        <v>950</v>
      </c>
      <c r="T19" s="36">
        <v>950</v>
      </c>
      <c r="U19" s="36">
        <v>1195</v>
      </c>
      <c r="V19" s="36">
        <v>1195</v>
      </c>
      <c r="W19" s="29">
        <v>22140</v>
      </c>
      <c r="X19" s="30">
        <v>15000</v>
      </c>
      <c r="Y19" s="30">
        <v>2850</v>
      </c>
      <c r="Z19" s="30">
        <v>950</v>
      </c>
      <c r="AA19" s="30">
        <v>950</v>
      </c>
      <c r="AB19" s="82"/>
      <c r="AC19" s="82"/>
      <c r="AD19" s="12"/>
      <c r="AE19" s="10"/>
      <c r="AF19" s="31">
        <v>0</v>
      </c>
      <c r="AG19" s="29">
        <v>1800</v>
      </c>
      <c r="AH19" s="29">
        <v>0</v>
      </c>
      <c r="AI19" s="29">
        <v>148</v>
      </c>
      <c r="AJ19" s="13"/>
      <c r="AK19" s="29">
        <v>19750</v>
      </c>
      <c r="AL19" s="29">
        <v>1948</v>
      </c>
      <c r="AM19" s="29">
        <v>17802</v>
      </c>
      <c r="AN19" s="33">
        <v>17802</v>
      </c>
      <c r="AO19" s="29">
        <v>642</v>
      </c>
      <c r="AP19" s="29">
        <v>1800</v>
      </c>
      <c r="AQ19" s="13"/>
      <c r="AR19" s="29">
        <v>22192</v>
      </c>
      <c r="AS19" s="29">
        <v>0</v>
      </c>
      <c r="AT19" s="29">
        <v>0</v>
      </c>
      <c r="AU19" s="34"/>
      <c r="AV19" s="31">
        <v>0</v>
      </c>
      <c r="AW19" s="79"/>
      <c r="AX19" s="79"/>
      <c r="AY19" s="75">
        <v>0</v>
      </c>
      <c r="AZ19" s="80" t="s">
        <v>165</v>
      </c>
    </row>
    <row r="20" spans="1:52" ht="15.75" customHeight="1" x14ac:dyDescent="0.3">
      <c r="A20" s="21">
        <v>1043</v>
      </c>
      <c r="B20" s="22" t="s">
        <v>55</v>
      </c>
      <c r="C20" s="8" t="s">
        <v>11</v>
      </c>
      <c r="D20" s="8">
        <v>101938689117</v>
      </c>
      <c r="E20" s="8" t="s">
        <v>13</v>
      </c>
      <c r="F20" s="8">
        <v>4447270132</v>
      </c>
      <c r="G20" s="8" t="s">
        <v>15</v>
      </c>
      <c r="H20" s="8"/>
      <c r="I20" s="70">
        <v>30</v>
      </c>
      <c r="J20" s="70">
        <v>30</v>
      </c>
      <c r="K20" s="71">
        <v>0</v>
      </c>
      <c r="L20" s="72">
        <v>3</v>
      </c>
      <c r="M20" s="26">
        <v>1.5</v>
      </c>
      <c r="N20" s="24">
        <v>0</v>
      </c>
      <c r="O20" s="24">
        <v>1.5</v>
      </c>
      <c r="P20" s="24">
        <v>30</v>
      </c>
      <c r="Q20" s="36">
        <v>15000</v>
      </c>
      <c r="R20" s="36">
        <v>2850</v>
      </c>
      <c r="S20" s="36">
        <v>950</v>
      </c>
      <c r="T20" s="36">
        <v>950</v>
      </c>
      <c r="U20" s="36">
        <v>1015</v>
      </c>
      <c r="V20" s="36">
        <v>1015</v>
      </c>
      <c r="W20" s="29">
        <v>21780</v>
      </c>
      <c r="X20" s="30">
        <v>15000</v>
      </c>
      <c r="Y20" s="30">
        <v>2850</v>
      </c>
      <c r="Z20" s="30">
        <v>950</v>
      </c>
      <c r="AA20" s="30">
        <v>950</v>
      </c>
      <c r="AB20" s="82"/>
      <c r="AC20" s="82"/>
      <c r="AD20" s="12"/>
      <c r="AE20" s="10"/>
      <c r="AF20" s="31">
        <v>0</v>
      </c>
      <c r="AG20" s="29">
        <v>1800</v>
      </c>
      <c r="AH20" s="29">
        <v>0</v>
      </c>
      <c r="AI20" s="29">
        <v>148</v>
      </c>
      <c r="AJ20" s="13"/>
      <c r="AK20" s="29">
        <v>19750</v>
      </c>
      <c r="AL20" s="29">
        <v>1948</v>
      </c>
      <c r="AM20" s="29">
        <v>17802</v>
      </c>
      <c r="AN20" s="33">
        <v>17802</v>
      </c>
      <c r="AO20" s="29">
        <v>642</v>
      </c>
      <c r="AP20" s="29">
        <v>1800</v>
      </c>
      <c r="AQ20" s="13"/>
      <c r="AR20" s="29">
        <v>22192</v>
      </c>
      <c r="AS20" s="29">
        <v>0</v>
      </c>
      <c r="AT20" s="29">
        <v>0</v>
      </c>
      <c r="AU20" s="34"/>
      <c r="AV20" s="31">
        <v>0</v>
      </c>
      <c r="AW20" s="79"/>
      <c r="AX20" s="79"/>
      <c r="AY20" s="75">
        <v>0</v>
      </c>
      <c r="AZ20" s="80" t="s">
        <v>165</v>
      </c>
    </row>
    <row r="21" spans="1:52" ht="15.75" customHeight="1" x14ac:dyDescent="0.3">
      <c r="A21" s="21">
        <v>1045</v>
      </c>
      <c r="B21" s="22" t="s">
        <v>61</v>
      </c>
      <c r="C21" s="8" t="s">
        <v>6</v>
      </c>
      <c r="D21" s="8">
        <v>101938591137</v>
      </c>
      <c r="E21" s="8" t="s">
        <v>32</v>
      </c>
      <c r="F21" s="8">
        <v>520101012785829</v>
      </c>
      <c r="G21" s="8" t="s">
        <v>63</v>
      </c>
      <c r="H21" s="8"/>
      <c r="I21" s="70">
        <v>30</v>
      </c>
      <c r="J21" s="70">
        <v>30</v>
      </c>
      <c r="K21" s="71">
        <v>0.5</v>
      </c>
      <c r="L21" s="72">
        <v>3</v>
      </c>
      <c r="M21" s="26">
        <v>0.5</v>
      </c>
      <c r="N21" s="24">
        <v>0</v>
      </c>
      <c r="O21" s="24">
        <v>3</v>
      </c>
      <c r="P21" s="24">
        <v>30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v>22140</v>
      </c>
      <c r="X21" s="30">
        <v>15000</v>
      </c>
      <c r="Y21" s="30">
        <v>2850</v>
      </c>
      <c r="Z21" s="30">
        <v>950</v>
      </c>
      <c r="AA21" s="30">
        <v>950</v>
      </c>
      <c r="AB21" s="82"/>
      <c r="AC21" s="82"/>
      <c r="AD21" s="12"/>
      <c r="AE21" s="10"/>
      <c r="AF21" s="31">
        <v>0</v>
      </c>
      <c r="AG21" s="29">
        <v>1800</v>
      </c>
      <c r="AH21" s="29">
        <v>0</v>
      </c>
      <c r="AI21" s="29">
        <v>148</v>
      </c>
      <c r="AJ21" s="13"/>
      <c r="AK21" s="29">
        <v>19750</v>
      </c>
      <c r="AL21" s="29">
        <v>1948</v>
      </c>
      <c r="AM21" s="29">
        <v>17802</v>
      </c>
      <c r="AN21" s="33">
        <v>17802</v>
      </c>
      <c r="AO21" s="29">
        <v>642</v>
      </c>
      <c r="AP21" s="29">
        <v>1800</v>
      </c>
      <c r="AQ21" s="13"/>
      <c r="AR21" s="29">
        <v>22192</v>
      </c>
      <c r="AS21" s="29">
        <v>0</v>
      </c>
      <c r="AT21" s="29">
        <v>0</v>
      </c>
      <c r="AU21" s="34"/>
      <c r="AV21" s="31">
        <v>0</v>
      </c>
      <c r="AW21" s="79"/>
      <c r="AX21" s="79"/>
      <c r="AY21" s="75">
        <v>0</v>
      </c>
      <c r="AZ21" s="80" t="s">
        <v>165</v>
      </c>
    </row>
    <row r="22" spans="1:52" ht="15.75" customHeight="1" x14ac:dyDescent="0.3">
      <c r="A22" s="21">
        <v>1046</v>
      </c>
      <c r="B22" s="22" t="s">
        <v>64</v>
      </c>
      <c r="C22" s="8" t="s">
        <v>11</v>
      </c>
      <c r="D22" s="8">
        <v>101959071464</v>
      </c>
      <c r="E22" s="8" t="s">
        <v>13</v>
      </c>
      <c r="F22" s="8">
        <v>3948638991</v>
      </c>
      <c r="G22" s="8" t="s">
        <v>15</v>
      </c>
      <c r="H22" s="8"/>
      <c r="I22" s="70">
        <v>30</v>
      </c>
      <c r="J22" s="70">
        <v>30</v>
      </c>
      <c r="K22" s="71">
        <v>0.5</v>
      </c>
      <c r="L22" s="72">
        <v>3</v>
      </c>
      <c r="M22" s="26">
        <v>1.5</v>
      </c>
      <c r="N22" s="24">
        <v>0</v>
      </c>
      <c r="O22" s="24">
        <v>2</v>
      </c>
      <c r="P22" s="24">
        <v>30</v>
      </c>
      <c r="Q22" s="36">
        <v>15000</v>
      </c>
      <c r="R22" s="36">
        <v>2850</v>
      </c>
      <c r="S22" s="36">
        <v>950</v>
      </c>
      <c r="T22" s="36">
        <v>950</v>
      </c>
      <c r="U22" s="36">
        <v>1133</v>
      </c>
      <c r="V22" s="36">
        <v>1133</v>
      </c>
      <c r="W22" s="29">
        <v>22016</v>
      </c>
      <c r="X22" s="30">
        <v>15000</v>
      </c>
      <c r="Y22" s="30">
        <v>2850</v>
      </c>
      <c r="Z22" s="30">
        <v>950</v>
      </c>
      <c r="AA22" s="30">
        <v>950</v>
      </c>
      <c r="AB22" s="82"/>
      <c r="AC22" s="82"/>
      <c r="AD22" s="12"/>
      <c r="AE22" s="10"/>
      <c r="AF22" s="31">
        <v>0</v>
      </c>
      <c r="AG22" s="29">
        <v>1800</v>
      </c>
      <c r="AH22" s="29">
        <v>0</v>
      </c>
      <c r="AI22" s="29">
        <v>148</v>
      </c>
      <c r="AJ22" s="13"/>
      <c r="AK22" s="29">
        <v>19750</v>
      </c>
      <c r="AL22" s="29">
        <v>1948</v>
      </c>
      <c r="AM22" s="29">
        <v>17802</v>
      </c>
      <c r="AN22" s="33">
        <v>17802</v>
      </c>
      <c r="AO22" s="29">
        <v>642</v>
      </c>
      <c r="AP22" s="29">
        <v>1800</v>
      </c>
      <c r="AQ22" s="13"/>
      <c r="AR22" s="29">
        <v>22192</v>
      </c>
      <c r="AS22" s="29">
        <v>0</v>
      </c>
      <c r="AT22" s="29">
        <v>0</v>
      </c>
      <c r="AU22" s="34"/>
      <c r="AV22" s="31">
        <v>0</v>
      </c>
      <c r="AW22" s="79"/>
      <c r="AX22" s="79"/>
      <c r="AY22" s="75">
        <v>0</v>
      </c>
      <c r="AZ22" s="80" t="s">
        <v>165</v>
      </c>
    </row>
    <row r="23" spans="1:52" ht="15.75" customHeight="1" x14ac:dyDescent="0.3">
      <c r="A23" s="50">
        <v>1048</v>
      </c>
      <c r="B23" s="22" t="s">
        <v>69</v>
      </c>
      <c r="C23" s="8" t="s">
        <v>6</v>
      </c>
      <c r="D23" s="8">
        <v>101974844713</v>
      </c>
      <c r="E23" s="8" t="s">
        <v>28</v>
      </c>
      <c r="F23" s="8" t="s">
        <v>70</v>
      </c>
      <c r="G23" s="8" t="s">
        <v>71</v>
      </c>
      <c r="H23" s="8"/>
      <c r="I23" s="70">
        <v>30</v>
      </c>
      <c r="J23" s="70">
        <v>30</v>
      </c>
      <c r="K23" s="71">
        <v>0.5</v>
      </c>
      <c r="L23" s="72">
        <v>3</v>
      </c>
      <c r="M23" s="26">
        <v>0.5</v>
      </c>
      <c r="N23" s="24">
        <v>0</v>
      </c>
      <c r="O23" s="24">
        <v>3</v>
      </c>
      <c r="P23" s="24">
        <v>30</v>
      </c>
      <c r="Q23" s="36">
        <v>15000</v>
      </c>
      <c r="R23" s="36">
        <v>2610</v>
      </c>
      <c r="S23" s="36">
        <v>870</v>
      </c>
      <c r="T23" s="36">
        <v>870</v>
      </c>
      <c r="U23" s="36">
        <v>675</v>
      </c>
      <c r="V23" s="36">
        <v>675</v>
      </c>
      <c r="W23" s="29">
        <v>20700</v>
      </c>
      <c r="X23" s="30">
        <v>15000</v>
      </c>
      <c r="Y23" s="30">
        <v>2610</v>
      </c>
      <c r="Z23" s="30">
        <v>870</v>
      </c>
      <c r="AA23" s="30">
        <v>870</v>
      </c>
      <c r="AB23" s="82"/>
      <c r="AC23" s="82"/>
      <c r="AD23" s="12"/>
      <c r="AE23" s="10"/>
      <c r="AF23" s="31">
        <v>0</v>
      </c>
      <c r="AG23" s="29">
        <v>1800</v>
      </c>
      <c r="AH23" s="29">
        <v>0</v>
      </c>
      <c r="AI23" s="29">
        <v>145</v>
      </c>
      <c r="AJ23" s="13"/>
      <c r="AK23" s="29">
        <v>19350</v>
      </c>
      <c r="AL23" s="29">
        <v>1945</v>
      </c>
      <c r="AM23" s="29">
        <v>17405</v>
      </c>
      <c r="AN23" s="33">
        <v>17405</v>
      </c>
      <c r="AO23" s="29">
        <v>629</v>
      </c>
      <c r="AP23" s="29">
        <v>1800</v>
      </c>
      <c r="AQ23" s="13"/>
      <c r="AR23" s="29">
        <v>21779</v>
      </c>
      <c r="AS23" s="29">
        <v>0</v>
      </c>
      <c r="AT23" s="29">
        <v>0</v>
      </c>
      <c r="AU23" s="34"/>
      <c r="AV23" s="31">
        <v>0</v>
      </c>
      <c r="AW23" s="79"/>
      <c r="AX23" s="79"/>
      <c r="AY23" s="75">
        <v>0</v>
      </c>
      <c r="AZ23" s="80" t="s">
        <v>165</v>
      </c>
    </row>
    <row r="24" spans="1:52" ht="15.75" customHeight="1" x14ac:dyDescent="0.3">
      <c r="A24" s="21">
        <v>1049</v>
      </c>
      <c r="B24" s="22" t="s">
        <v>72</v>
      </c>
      <c r="C24" s="8" t="s">
        <v>11</v>
      </c>
      <c r="D24" s="8">
        <v>101974844732</v>
      </c>
      <c r="E24" s="8" t="s">
        <v>13</v>
      </c>
      <c r="F24" s="8">
        <v>4447270118</v>
      </c>
      <c r="G24" s="8" t="s">
        <v>15</v>
      </c>
      <c r="H24" s="8"/>
      <c r="I24" s="70">
        <v>30</v>
      </c>
      <c r="J24" s="70">
        <v>30</v>
      </c>
      <c r="K24" s="71">
        <v>0</v>
      </c>
      <c r="L24" s="72">
        <v>3</v>
      </c>
      <c r="M24" s="26">
        <v>3</v>
      </c>
      <c r="N24" s="24">
        <v>0</v>
      </c>
      <c r="O24" s="24">
        <v>0</v>
      </c>
      <c r="P24" s="24">
        <v>30</v>
      </c>
      <c r="Q24" s="86">
        <v>15000</v>
      </c>
      <c r="R24" s="86">
        <v>5000</v>
      </c>
      <c r="S24" s="86">
        <v>4000</v>
      </c>
      <c r="T24" s="86">
        <v>5000</v>
      </c>
      <c r="U24" s="86">
        <v>3000</v>
      </c>
      <c r="V24" s="86">
        <v>3000</v>
      </c>
      <c r="W24" s="83">
        <v>35000</v>
      </c>
      <c r="X24" s="30">
        <v>15000</v>
      </c>
      <c r="Y24" s="30">
        <v>5000</v>
      </c>
      <c r="Z24" s="30">
        <v>4000</v>
      </c>
      <c r="AA24" s="30">
        <v>5000</v>
      </c>
      <c r="AB24" s="77">
        <v>3000</v>
      </c>
      <c r="AC24" s="77">
        <v>2100</v>
      </c>
      <c r="AD24" s="12"/>
      <c r="AE24" s="10"/>
      <c r="AF24" s="31">
        <v>0</v>
      </c>
      <c r="AG24" s="29">
        <v>1800</v>
      </c>
      <c r="AH24" s="29">
        <v>200</v>
      </c>
      <c r="AI24" s="29">
        <v>0</v>
      </c>
      <c r="AJ24" s="13"/>
      <c r="AK24" s="29">
        <v>34100</v>
      </c>
      <c r="AL24" s="29">
        <v>2000</v>
      </c>
      <c r="AM24" s="29">
        <v>32100</v>
      </c>
      <c r="AN24" s="33">
        <v>32100</v>
      </c>
      <c r="AO24" s="29">
        <v>0</v>
      </c>
      <c r="AP24" s="29">
        <v>1800</v>
      </c>
      <c r="AQ24" s="13"/>
      <c r="AR24" s="29">
        <v>35900</v>
      </c>
      <c r="AS24" s="29">
        <v>0</v>
      </c>
      <c r="AT24" s="29">
        <v>0</v>
      </c>
      <c r="AU24" s="34"/>
      <c r="AV24" s="31">
        <v>0</v>
      </c>
      <c r="AW24" s="79"/>
      <c r="AX24" s="79"/>
      <c r="AY24" s="75">
        <v>0</v>
      </c>
      <c r="AZ24" s="80" t="s">
        <v>165</v>
      </c>
    </row>
    <row r="25" spans="1:52" ht="15.75" customHeight="1" x14ac:dyDescent="0.3">
      <c r="A25" s="21">
        <v>1050</v>
      </c>
      <c r="B25" s="22" t="s">
        <v>74</v>
      </c>
      <c r="C25" s="8" t="s">
        <v>6</v>
      </c>
      <c r="D25" s="8">
        <v>101974844721</v>
      </c>
      <c r="E25" s="8" t="s">
        <v>75</v>
      </c>
      <c r="F25" s="8">
        <v>520101253032790</v>
      </c>
      <c r="G25" s="8" t="s">
        <v>77</v>
      </c>
      <c r="H25" s="8"/>
      <c r="I25" s="70">
        <v>30</v>
      </c>
      <c r="J25" s="70">
        <v>30</v>
      </c>
      <c r="K25" s="71">
        <v>1.5</v>
      </c>
      <c r="L25" s="72">
        <v>3</v>
      </c>
      <c r="M25" s="26">
        <v>0</v>
      </c>
      <c r="N25" s="24">
        <v>0</v>
      </c>
      <c r="O25" s="24">
        <v>4.5</v>
      </c>
      <c r="P25" s="24">
        <v>30</v>
      </c>
      <c r="Q25" s="36">
        <v>15000</v>
      </c>
      <c r="R25" s="36">
        <v>2850</v>
      </c>
      <c r="S25" s="36">
        <v>950</v>
      </c>
      <c r="T25" s="36">
        <v>950</v>
      </c>
      <c r="U25" s="36">
        <v>1133</v>
      </c>
      <c r="V25" s="36">
        <v>1133</v>
      </c>
      <c r="W25" s="29">
        <v>22016</v>
      </c>
      <c r="X25" s="30">
        <v>15000</v>
      </c>
      <c r="Y25" s="30">
        <v>2850</v>
      </c>
      <c r="Z25" s="30">
        <v>950</v>
      </c>
      <c r="AA25" s="30">
        <v>950</v>
      </c>
      <c r="AB25" s="82"/>
      <c r="AC25" s="82"/>
      <c r="AD25" s="12"/>
      <c r="AE25" s="10"/>
      <c r="AF25" s="31">
        <v>0</v>
      </c>
      <c r="AG25" s="29">
        <v>1800</v>
      </c>
      <c r="AH25" s="29">
        <v>0</v>
      </c>
      <c r="AI25" s="29">
        <v>148</v>
      </c>
      <c r="AJ25" s="13"/>
      <c r="AK25" s="29">
        <v>19750</v>
      </c>
      <c r="AL25" s="29">
        <v>1948</v>
      </c>
      <c r="AM25" s="29">
        <v>17802</v>
      </c>
      <c r="AN25" s="33">
        <v>17802</v>
      </c>
      <c r="AO25" s="29">
        <v>642</v>
      </c>
      <c r="AP25" s="29">
        <v>1800</v>
      </c>
      <c r="AQ25" s="13"/>
      <c r="AR25" s="29">
        <v>22192</v>
      </c>
      <c r="AS25" s="29">
        <v>0</v>
      </c>
      <c r="AT25" s="29">
        <v>0</v>
      </c>
      <c r="AU25" s="34"/>
      <c r="AV25" s="31">
        <v>0</v>
      </c>
      <c r="AW25" s="79"/>
      <c r="AX25" s="79"/>
      <c r="AY25" s="75">
        <v>0</v>
      </c>
      <c r="AZ25" s="80" t="s">
        <v>165</v>
      </c>
    </row>
    <row r="26" spans="1:52" ht="15.75" customHeight="1" x14ac:dyDescent="0.3">
      <c r="A26" s="21">
        <v>1051</v>
      </c>
      <c r="B26" s="22" t="s">
        <v>78</v>
      </c>
      <c r="C26" s="8" t="s">
        <v>6</v>
      </c>
      <c r="D26" s="8">
        <v>102027953789</v>
      </c>
      <c r="E26" s="8" t="s">
        <v>24</v>
      </c>
      <c r="F26" s="8">
        <v>81910100000314</v>
      </c>
      <c r="G26" s="8" t="s">
        <v>80</v>
      </c>
      <c r="H26" s="8"/>
      <c r="I26" s="70">
        <v>30</v>
      </c>
      <c r="J26" s="70">
        <v>30</v>
      </c>
      <c r="K26" s="71">
        <v>2</v>
      </c>
      <c r="L26" s="72">
        <v>3</v>
      </c>
      <c r="M26" s="26">
        <v>5</v>
      </c>
      <c r="N26" s="24">
        <v>0</v>
      </c>
      <c r="O26" s="24">
        <v>0</v>
      </c>
      <c r="P26" s="24">
        <v>30</v>
      </c>
      <c r="Q26" s="36">
        <v>15000</v>
      </c>
      <c r="R26" s="36">
        <v>2550</v>
      </c>
      <c r="S26" s="36">
        <v>850</v>
      </c>
      <c r="T26" s="36">
        <v>850</v>
      </c>
      <c r="U26" s="36">
        <v>725</v>
      </c>
      <c r="V26" s="36">
        <v>725</v>
      </c>
      <c r="W26" s="29">
        <v>20700</v>
      </c>
      <c r="X26" s="30">
        <v>15000</v>
      </c>
      <c r="Y26" s="30">
        <v>2550</v>
      </c>
      <c r="Z26" s="30">
        <v>850</v>
      </c>
      <c r="AA26" s="30">
        <v>850</v>
      </c>
      <c r="AB26" s="82"/>
      <c r="AC26" s="82"/>
      <c r="AD26" s="12"/>
      <c r="AE26" s="10"/>
      <c r="AF26" s="31">
        <v>0</v>
      </c>
      <c r="AG26" s="29">
        <v>1800</v>
      </c>
      <c r="AH26" s="29">
        <v>0</v>
      </c>
      <c r="AI26" s="29">
        <v>144</v>
      </c>
      <c r="AJ26" s="13"/>
      <c r="AK26" s="29">
        <v>19250</v>
      </c>
      <c r="AL26" s="29">
        <v>1944</v>
      </c>
      <c r="AM26" s="29">
        <v>17306</v>
      </c>
      <c r="AN26" s="33">
        <v>17306</v>
      </c>
      <c r="AO26" s="29">
        <v>626</v>
      </c>
      <c r="AP26" s="29">
        <v>1800</v>
      </c>
      <c r="AQ26" s="13"/>
      <c r="AR26" s="29">
        <v>21676</v>
      </c>
      <c r="AS26" s="29">
        <v>0</v>
      </c>
      <c r="AT26" s="29">
        <v>0</v>
      </c>
      <c r="AU26" s="34"/>
      <c r="AV26" s="31">
        <v>0</v>
      </c>
      <c r="AW26" s="79"/>
      <c r="AX26" s="79"/>
      <c r="AY26" s="75">
        <v>0</v>
      </c>
      <c r="AZ26" s="80" t="s">
        <v>165</v>
      </c>
    </row>
    <row r="27" spans="1:52" ht="14.4" x14ac:dyDescent="0.3">
      <c r="A27" s="87">
        <v>1053</v>
      </c>
      <c r="B27" s="22" t="s">
        <v>81</v>
      </c>
      <c r="C27" s="8" t="s">
        <v>6</v>
      </c>
      <c r="D27" s="8">
        <v>102027953770</v>
      </c>
      <c r="E27" s="8" t="s">
        <v>58</v>
      </c>
      <c r="F27" s="8">
        <v>1792210015172</v>
      </c>
      <c r="G27" s="8" t="s">
        <v>83</v>
      </c>
      <c r="H27" s="8"/>
      <c r="I27" s="70">
        <v>30</v>
      </c>
      <c r="J27" s="70">
        <v>30</v>
      </c>
      <c r="K27" s="71">
        <v>0</v>
      </c>
      <c r="L27" s="72">
        <v>3</v>
      </c>
      <c r="M27" s="26">
        <v>1</v>
      </c>
      <c r="N27" s="24">
        <v>0</v>
      </c>
      <c r="O27" s="24">
        <v>2</v>
      </c>
      <c r="P27" s="24">
        <v>30</v>
      </c>
      <c r="Q27" s="36">
        <v>15000</v>
      </c>
      <c r="R27" s="36">
        <v>2550</v>
      </c>
      <c r="S27" s="36">
        <v>850</v>
      </c>
      <c r="T27" s="36">
        <v>850</v>
      </c>
      <c r="U27" s="36">
        <v>725</v>
      </c>
      <c r="V27" s="36">
        <v>725</v>
      </c>
      <c r="W27" s="29">
        <v>20700</v>
      </c>
      <c r="X27" s="30">
        <v>15000</v>
      </c>
      <c r="Y27" s="30">
        <v>2550</v>
      </c>
      <c r="Z27" s="30">
        <v>850</v>
      </c>
      <c r="AA27" s="30">
        <v>850</v>
      </c>
      <c r="AB27" s="82"/>
      <c r="AC27" s="82"/>
      <c r="AD27" s="12"/>
      <c r="AE27" s="10"/>
      <c r="AF27" s="31">
        <v>0</v>
      </c>
      <c r="AG27" s="29">
        <v>1800</v>
      </c>
      <c r="AH27" s="29">
        <v>0</v>
      </c>
      <c r="AI27" s="29">
        <v>144</v>
      </c>
      <c r="AJ27" s="13"/>
      <c r="AK27" s="29">
        <v>19250</v>
      </c>
      <c r="AL27" s="29">
        <v>1944</v>
      </c>
      <c r="AM27" s="29">
        <v>17306</v>
      </c>
      <c r="AN27" s="33">
        <v>17306</v>
      </c>
      <c r="AO27" s="29">
        <v>626</v>
      </c>
      <c r="AP27" s="29">
        <v>1800</v>
      </c>
      <c r="AQ27" s="13"/>
      <c r="AR27" s="29">
        <v>21676</v>
      </c>
      <c r="AS27" s="29">
        <v>0</v>
      </c>
      <c r="AT27" s="29">
        <v>0</v>
      </c>
      <c r="AU27" s="34"/>
      <c r="AV27" s="31">
        <v>0</v>
      </c>
      <c r="AW27" s="79"/>
      <c r="AX27" s="79"/>
      <c r="AY27" s="75">
        <v>0</v>
      </c>
      <c r="AZ27" s="80" t="s">
        <v>165</v>
      </c>
    </row>
    <row r="28" spans="1:52" ht="14.4" x14ac:dyDescent="0.3">
      <c r="A28" s="21">
        <v>1054</v>
      </c>
      <c r="B28" s="22" t="s">
        <v>84</v>
      </c>
      <c r="C28" s="8" t="s">
        <v>11</v>
      </c>
      <c r="D28" s="8">
        <v>102004602624</v>
      </c>
      <c r="E28" s="8" t="s">
        <v>28</v>
      </c>
      <c r="F28" s="8" t="s">
        <v>86</v>
      </c>
      <c r="G28" s="8" t="s">
        <v>87</v>
      </c>
      <c r="H28" s="8"/>
      <c r="I28" s="70">
        <v>30</v>
      </c>
      <c r="J28" s="70">
        <v>30</v>
      </c>
      <c r="K28" s="71">
        <v>2.5</v>
      </c>
      <c r="L28" s="72">
        <v>3</v>
      </c>
      <c r="M28" s="26">
        <v>0</v>
      </c>
      <c r="N28" s="24">
        <v>0</v>
      </c>
      <c r="O28" s="24">
        <v>5.5</v>
      </c>
      <c r="P28" s="24">
        <v>30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v>33000</v>
      </c>
      <c r="X28" s="30">
        <v>15000</v>
      </c>
      <c r="Y28" s="30">
        <v>4000</v>
      </c>
      <c r="Z28" s="30">
        <v>4000</v>
      </c>
      <c r="AA28" s="30">
        <v>4000</v>
      </c>
      <c r="AB28" s="77">
        <v>3000</v>
      </c>
      <c r="AC28" s="77">
        <v>2100</v>
      </c>
      <c r="AD28" s="12"/>
      <c r="AE28" s="10"/>
      <c r="AF28" s="31">
        <v>0</v>
      </c>
      <c r="AG28" s="29">
        <v>1800</v>
      </c>
      <c r="AH28" s="29">
        <v>200</v>
      </c>
      <c r="AI28" s="29">
        <v>0</v>
      </c>
      <c r="AJ28" s="13"/>
      <c r="AK28" s="29">
        <v>32100</v>
      </c>
      <c r="AL28" s="29">
        <v>2000</v>
      </c>
      <c r="AM28" s="29">
        <v>30100</v>
      </c>
      <c r="AN28" s="33">
        <v>30100</v>
      </c>
      <c r="AO28" s="29">
        <v>0</v>
      </c>
      <c r="AP28" s="29">
        <v>1800</v>
      </c>
      <c r="AQ28" s="13"/>
      <c r="AR28" s="29">
        <v>33900</v>
      </c>
      <c r="AS28" s="29">
        <v>0</v>
      </c>
      <c r="AT28" s="29">
        <v>0</v>
      </c>
      <c r="AU28" s="34"/>
      <c r="AV28" s="31">
        <v>0</v>
      </c>
      <c r="AW28" s="79"/>
      <c r="AX28" s="79"/>
      <c r="AY28" s="75">
        <v>0</v>
      </c>
      <c r="AZ28" s="80" t="s">
        <v>165</v>
      </c>
    </row>
    <row r="29" spans="1:52" ht="14.4" x14ac:dyDescent="0.3">
      <c r="A29" s="21">
        <v>1055</v>
      </c>
      <c r="B29" s="22" t="s">
        <v>88</v>
      </c>
      <c r="C29" s="8" t="s">
        <v>11</v>
      </c>
      <c r="D29" s="8">
        <v>102038520969</v>
      </c>
      <c r="E29" s="8" t="s">
        <v>58</v>
      </c>
      <c r="F29" s="8">
        <v>3448101004542</v>
      </c>
      <c r="G29" s="8" t="s">
        <v>90</v>
      </c>
      <c r="H29" s="8"/>
      <c r="I29" s="70">
        <v>30</v>
      </c>
      <c r="J29" s="70">
        <v>30</v>
      </c>
      <c r="K29" s="71">
        <v>3.5</v>
      </c>
      <c r="L29" s="72">
        <v>3</v>
      </c>
      <c r="M29" s="26">
        <v>1</v>
      </c>
      <c r="N29" s="24">
        <v>0</v>
      </c>
      <c r="O29" s="24">
        <v>5.5</v>
      </c>
      <c r="P29" s="24">
        <v>30</v>
      </c>
      <c r="Q29" s="36">
        <v>15000</v>
      </c>
      <c r="R29" s="36">
        <v>2000</v>
      </c>
      <c r="S29" s="36">
        <v>0</v>
      </c>
      <c r="T29" s="36">
        <v>0</v>
      </c>
      <c r="U29" s="36">
        <v>1000</v>
      </c>
      <c r="V29" s="36">
        <v>1000</v>
      </c>
      <c r="W29" s="29">
        <v>19000</v>
      </c>
      <c r="X29" s="30">
        <v>15000</v>
      </c>
      <c r="Y29" s="30">
        <v>2000</v>
      </c>
      <c r="Z29" s="30">
        <v>0</v>
      </c>
      <c r="AA29" s="30">
        <v>0</v>
      </c>
      <c r="AB29" s="82"/>
      <c r="AC29" s="82"/>
      <c r="AD29" s="12"/>
      <c r="AE29" s="10"/>
      <c r="AF29" s="31">
        <v>0</v>
      </c>
      <c r="AG29" s="29">
        <v>1800</v>
      </c>
      <c r="AH29" s="29">
        <v>0</v>
      </c>
      <c r="AI29" s="29">
        <v>128</v>
      </c>
      <c r="AJ29" s="13"/>
      <c r="AK29" s="29">
        <v>17000</v>
      </c>
      <c r="AL29" s="29">
        <v>1928</v>
      </c>
      <c r="AM29" s="29">
        <v>15073</v>
      </c>
      <c r="AN29" s="33">
        <v>15073</v>
      </c>
      <c r="AO29" s="29">
        <v>553</v>
      </c>
      <c r="AP29" s="29">
        <v>1800</v>
      </c>
      <c r="AQ29" s="13"/>
      <c r="AR29" s="29">
        <v>19353</v>
      </c>
      <c r="AS29" s="29">
        <v>0</v>
      </c>
      <c r="AT29" s="29">
        <v>0</v>
      </c>
      <c r="AU29" s="34"/>
      <c r="AV29" s="31">
        <v>0</v>
      </c>
      <c r="AW29" s="79"/>
      <c r="AX29" s="79"/>
      <c r="AY29" s="75">
        <v>0</v>
      </c>
      <c r="AZ29" s="80" t="s">
        <v>165</v>
      </c>
    </row>
    <row r="30" spans="1:52" ht="14.4" x14ac:dyDescent="0.3">
      <c r="A30" s="21">
        <v>1057</v>
      </c>
      <c r="B30" s="22" t="s">
        <v>91</v>
      </c>
      <c r="C30" s="8" t="s">
        <v>11</v>
      </c>
      <c r="D30" s="8">
        <v>101744660729</v>
      </c>
      <c r="E30" s="8" t="s">
        <v>75</v>
      </c>
      <c r="F30" s="8">
        <v>520101001707538</v>
      </c>
      <c r="G30" s="8" t="s">
        <v>93</v>
      </c>
      <c r="H30" s="8"/>
      <c r="I30" s="70">
        <v>30</v>
      </c>
      <c r="J30" s="70">
        <v>30</v>
      </c>
      <c r="K30" s="71">
        <v>1.5</v>
      </c>
      <c r="L30" s="72">
        <v>3</v>
      </c>
      <c r="M30" s="26">
        <v>0</v>
      </c>
      <c r="N30" s="24">
        <v>0</v>
      </c>
      <c r="O30" s="24">
        <v>4.5</v>
      </c>
      <c r="P30" s="24">
        <v>30</v>
      </c>
      <c r="Q30" s="36">
        <v>15000</v>
      </c>
      <c r="R30" s="36">
        <v>1800</v>
      </c>
      <c r="S30" s="36">
        <v>0</v>
      </c>
      <c r="T30" s="36">
        <v>0</v>
      </c>
      <c r="U30" s="36">
        <v>1000</v>
      </c>
      <c r="V30" s="36">
        <v>1000</v>
      </c>
      <c r="W30" s="29">
        <v>18800</v>
      </c>
      <c r="X30" s="30">
        <v>15000</v>
      </c>
      <c r="Y30" s="30">
        <v>1800</v>
      </c>
      <c r="Z30" s="30">
        <v>0</v>
      </c>
      <c r="AA30" s="30">
        <v>0</v>
      </c>
      <c r="AB30" s="82"/>
      <c r="AC30" s="82"/>
      <c r="AD30" s="12"/>
      <c r="AE30" s="10"/>
      <c r="AF30" s="31">
        <v>0</v>
      </c>
      <c r="AG30" s="29">
        <v>1800</v>
      </c>
      <c r="AH30" s="29">
        <v>0</v>
      </c>
      <c r="AI30" s="29">
        <v>126</v>
      </c>
      <c r="AJ30" s="13"/>
      <c r="AK30" s="29">
        <v>16800</v>
      </c>
      <c r="AL30" s="29">
        <v>1926</v>
      </c>
      <c r="AM30" s="29">
        <v>14874</v>
      </c>
      <c r="AN30" s="33">
        <v>14874</v>
      </c>
      <c r="AO30" s="29">
        <v>546</v>
      </c>
      <c r="AP30" s="29">
        <v>1800</v>
      </c>
      <c r="AQ30" s="13"/>
      <c r="AR30" s="29">
        <v>19146</v>
      </c>
      <c r="AS30" s="29">
        <v>0</v>
      </c>
      <c r="AT30" s="29">
        <v>0</v>
      </c>
      <c r="AU30" s="34"/>
      <c r="AV30" s="31">
        <v>0</v>
      </c>
      <c r="AW30" s="79"/>
      <c r="AX30" s="79"/>
      <c r="AY30" s="75">
        <v>0</v>
      </c>
      <c r="AZ30" s="80" t="s">
        <v>165</v>
      </c>
    </row>
    <row r="31" spans="1:52" ht="14.4" x14ac:dyDescent="0.3">
      <c r="A31" s="21">
        <v>1058</v>
      </c>
      <c r="B31" s="22" t="s">
        <v>94</v>
      </c>
      <c r="C31" s="8" t="s">
        <v>11</v>
      </c>
      <c r="D31" s="8">
        <v>101729961853</v>
      </c>
      <c r="E31" s="8" t="s">
        <v>58</v>
      </c>
      <c r="F31" s="8">
        <v>3448101002990</v>
      </c>
      <c r="G31" s="8" t="s">
        <v>90</v>
      </c>
      <c r="H31" s="8"/>
      <c r="I31" s="70">
        <v>30</v>
      </c>
      <c r="J31" s="70">
        <v>30</v>
      </c>
      <c r="K31" s="71">
        <v>2</v>
      </c>
      <c r="L31" s="72">
        <v>3</v>
      </c>
      <c r="M31" s="26">
        <v>0.5</v>
      </c>
      <c r="N31" s="24">
        <v>0</v>
      </c>
      <c r="O31" s="24">
        <v>4.5</v>
      </c>
      <c r="P31" s="24">
        <v>30</v>
      </c>
      <c r="Q31" s="36">
        <v>15000</v>
      </c>
      <c r="R31" s="36">
        <v>1800</v>
      </c>
      <c r="S31" s="36">
        <v>0</v>
      </c>
      <c r="T31" s="36">
        <v>0</v>
      </c>
      <c r="U31" s="36">
        <v>1000</v>
      </c>
      <c r="V31" s="36">
        <v>1000</v>
      </c>
      <c r="W31" s="29">
        <v>18800</v>
      </c>
      <c r="X31" s="30">
        <v>15000</v>
      </c>
      <c r="Y31" s="30">
        <v>1800</v>
      </c>
      <c r="Z31" s="30">
        <v>0</v>
      </c>
      <c r="AA31" s="30">
        <v>0</v>
      </c>
      <c r="AB31" s="82"/>
      <c r="AC31" s="82"/>
      <c r="AD31" s="12"/>
      <c r="AE31" s="10"/>
      <c r="AF31" s="31">
        <v>0</v>
      </c>
      <c r="AG31" s="29">
        <v>1800</v>
      </c>
      <c r="AH31" s="29">
        <v>0</v>
      </c>
      <c r="AI31" s="29">
        <v>126</v>
      </c>
      <c r="AJ31" s="13"/>
      <c r="AK31" s="29">
        <v>16800</v>
      </c>
      <c r="AL31" s="29">
        <v>1926</v>
      </c>
      <c r="AM31" s="29">
        <v>14874</v>
      </c>
      <c r="AN31" s="33">
        <v>14874</v>
      </c>
      <c r="AO31" s="29">
        <v>546</v>
      </c>
      <c r="AP31" s="29">
        <v>1800</v>
      </c>
      <c r="AQ31" s="13"/>
      <c r="AR31" s="29">
        <v>19146</v>
      </c>
      <c r="AS31" s="29">
        <v>0</v>
      </c>
      <c r="AT31" s="29">
        <v>0</v>
      </c>
      <c r="AU31" s="34"/>
      <c r="AV31" s="31">
        <v>0</v>
      </c>
      <c r="AW31" s="79"/>
      <c r="AX31" s="79"/>
      <c r="AY31" s="75">
        <v>0</v>
      </c>
      <c r="AZ31" s="80" t="s">
        <v>165</v>
      </c>
    </row>
    <row r="32" spans="1:52" ht="14.4" x14ac:dyDescent="0.3">
      <c r="A32" s="88">
        <v>1059</v>
      </c>
      <c r="B32" s="69" t="s">
        <v>167</v>
      </c>
      <c r="C32" s="2" t="s">
        <v>11</v>
      </c>
      <c r="D32" s="8"/>
      <c r="E32" s="2" t="s">
        <v>50</v>
      </c>
      <c r="F32" s="2">
        <v>404010100044970</v>
      </c>
      <c r="G32" s="2" t="s">
        <v>168</v>
      </c>
      <c r="H32" s="89"/>
      <c r="I32" s="90">
        <v>21</v>
      </c>
      <c r="J32" s="70">
        <v>14</v>
      </c>
      <c r="K32" s="71">
        <v>2</v>
      </c>
      <c r="L32" s="72">
        <v>1</v>
      </c>
      <c r="M32" s="73">
        <v>2</v>
      </c>
      <c r="N32" s="71">
        <v>0</v>
      </c>
      <c r="O32" s="71">
        <v>1</v>
      </c>
      <c r="P32" s="71">
        <v>14</v>
      </c>
      <c r="Q32" s="74">
        <v>90000</v>
      </c>
      <c r="R32" s="13"/>
      <c r="S32" s="13"/>
      <c r="T32" s="13"/>
      <c r="U32" s="13"/>
      <c r="V32" s="13"/>
      <c r="W32" s="75">
        <v>90000</v>
      </c>
      <c r="X32" s="76">
        <v>60000</v>
      </c>
      <c r="Y32" s="76">
        <v>0</v>
      </c>
      <c r="Z32" s="76">
        <v>0</v>
      </c>
      <c r="AA32" s="76">
        <v>0</v>
      </c>
      <c r="AB32" s="91">
        <v>0</v>
      </c>
      <c r="AC32" s="91">
        <v>0</v>
      </c>
      <c r="AD32" s="12"/>
      <c r="AE32" s="10"/>
      <c r="AF32" s="77">
        <v>0</v>
      </c>
      <c r="AG32" s="75">
        <v>0</v>
      </c>
      <c r="AH32" s="75">
        <v>0</v>
      </c>
      <c r="AI32" s="29">
        <v>0</v>
      </c>
      <c r="AJ32" s="13"/>
      <c r="AK32" s="75">
        <v>60000</v>
      </c>
      <c r="AL32" s="75">
        <v>6000</v>
      </c>
      <c r="AM32" s="75">
        <v>60000</v>
      </c>
      <c r="AN32" s="78">
        <v>54000</v>
      </c>
      <c r="AO32" s="75">
        <v>0</v>
      </c>
      <c r="AP32" s="75">
        <v>0</v>
      </c>
      <c r="AQ32" s="13"/>
      <c r="AR32" s="75">
        <v>60000</v>
      </c>
      <c r="AS32" s="29">
        <v>0</v>
      </c>
      <c r="AT32" s="75">
        <v>0</v>
      </c>
      <c r="AU32" s="92">
        <v>6000</v>
      </c>
      <c r="AV32" s="77">
        <v>0</v>
      </c>
      <c r="AW32" s="93">
        <v>6000</v>
      </c>
      <c r="AX32" s="64"/>
      <c r="AY32" s="75">
        <v>0</v>
      </c>
      <c r="AZ32" s="80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s">
        <v>24</v>
      </c>
      <c r="F33" s="8">
        <v>70670100003120</v>
      </c>
      <c r="G33" s="8" t="s">
        <v>100</v>
      </c>
      <c r="H33" s="1"/>
      <c r="I33" s="21">
        <v>30</v>
      </c>
      <c r="J33" s="21">
        <v>30</v>
      </c>
      <c r="K33" s="71">
        <v>0</v>
      </c>
      <c r="L33" s="72">
        <v>3</v>
      </c>
      <c r="M33" s="73">
        <v>1</v>
      </c>
      <c r="N33" s="71">
        <v>0</v>
      </c>
      <c r="O33" s="71">
        <v>2</v>
      </c>
      <c r="P33" s="71">
        <v>30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v>18500</v>
      </c>
      <c r="X33" s="76">
        <v>15000</v>
      </c>
      <c r="Y33" s="76">
        <v>1500</v>
      </c>
      <c r="Z33" s="76">
        <v>0</v>
      </c>
      <c r="AA33" s="76">
        <v>0</v>
      </c>
      <c r="AB33" s="82"/>
      <c r="AC33" s="82"/>
      <c r="AD33" s="12"/>
      <c r="AE33" s="10"/>
      <c r="AF33" s="77">
        <v>0</v>
      </c>
      <c r="AG33" s="75">
        <v>0</v>
      </c>
      <c r="AH33" s="75">
        <v>0</v>
      </c>
      <c r="AI33" s="75">
        <v>0</v>
      </c>
      <c r="AJ33" s="13"/>
      <c r="AK33" s="75">
        <v>16500</v>
      </c>
      <c r="AL33" s="75">
        <v>0</v>
      </c>
      <c r="AM33" s="75">
        <v>16500</v>
      </c>
      <c r="AN33" s="78">
        <v>16500</v>
      </c>
      <c r="AO33" s="75">
        <v>0</v>
      </c>
      <c r="AP33" s="75">
        <v>0</v>
      </c>
      <c r="AQ33" s="13"/>
      <c r="AR33" s="75">
        <v>16500</v>
      </c>
      <c r="AS33" s="29">
        <v>0</v>
      </c>
      <c r="AT33" s="75">
        <v>0</v>
      </c>
      <c r="AU33" s="34"/>
      <c r="AV33" s="77">
        <v>0</v>
      </c>
      <c r="AW33" s="79"/>
      <c r="AX33" s="64"/>
      <c r="AY33" s="94">
        <v>0</v>
      </c>
      <c r="AZ33" s="80" t="s">
        <v>165</v>
      </c>
    </row>
    <row r="34" spans="1:52" ht="14.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5"/>
      <c r="AO34" s="95"/>
      <c r="AP34" s="6"/>
      <c r="AQ34" s="6"/>
      <c r="AR34" s="6"/>
      <c r="AS34" s="6"/>
      <c r="AT34" s="6"/>
      <c r="AU34" s="6"/>
      <c r="AV34" s="7"/>
      <c r="AW34" s="96"/>
      <c r="AX34" s="96"/>
      <c r="AY34" s="97"/>
      <c r="AZ34" s="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3.2" x14ac:dyDescent="0.25">
      <c r="I995" s="98"/>
      <c r="J995" s="98"/>
      <c r="K995" s="99"/>
      <c r="L995" s="99"/>
      <c r="M995" s="98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</sheetData>
  <mergeCells count="2">
    <mergeCell ref="X1:AF1"/>
    <mergeCell ref="AG1:A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45778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7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'Apr 2025'!O3</f>
        <v>11</v>
      </c>
      <c r="L3" s="101">
        <v>0</v>
      </c>
      <c r="M3" s="73">
        <v>0</v>
      </c>
      <c r="N3" s="71">
        <f t="shared" ref="N3:N33" si="0">IF(K3+L3-M3 &gt;= 0,0,M3-(K3+L3))</f>
        <v>0</v>
      </c>
      <c r="O3" s="71">
        <f t="shared" ref="O3:O33" si="1">IF(K3+L3-M3&gt;0,K3+L3-M3,0)</f>
        <v>11</v>
      </c>
      <c r="P3" s="71">
        <f t="shared" ref="P3:P33" si="2">J3-N3</f>
        <v>31</v>
      </c>
      <c r="Q3" s="74">
        <v>30000</v>
      </c>
      <c r="R3" s="74">
        <v>12500</v>
      </c>
      <c r="S3" s="74">
        <v>5000</v>
      </c>
      <c r="T3" s="74">
        <v>7500</v>
      </c>
      <c r="U3" s="74">
        <v>0</v>
      </c>
      <c r="V3" s="74">
        <v>40000</v>
      </c>
      <c r="W3" s="75">
        <f t="shared" ref="W3:W33" si="3">SUM(Q3:V3)</f>
        <v>95000</v>
      </c>
      <c r="X3" s="76">
        <f t="shared" ref="X3:X33" si="4">(Q3/I3*(J3)) * (1-N3/J3)</f>
        <v>30000</v>
      </c>
      <c r="Y3" s="76">
        <f t="shared" ref="Y3:Y33" si="5">(R3/I3*(J3)) * (1-N3/J3)</f>
        <v>12500</v>
      </c>
      <c r="Z3" s="76">
        <f t="shared" ref="Z3:Z33" si="6">(S3/I3*(J3)) * (1-N3/J3)</f>
        <v>5000</v>
      </c>
      <c r="AA3" s="76">
        <f t="shared" ref="AA3:AA33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83000</v>
      </c>
      <c r="AL3" s="75">
        <f t="shared" ref="AL3:AL33" si="13">SUM(AG3:AJ3)+AU3</f>
        <v>2000</v>
      </c>
      <c r="AM3" s="75">
        <f t="shared" ref="AM3:AM4" si="14">SUM(X3:AF3)-SUM(AG3:AJ3)</f>
        <v>81000</v>
      </c>
      <c r="AN3" s="78">
        <f t="shared" ref="AN3:AN4" si="15">ROUND(AM3-AF3,0)+AV3-AU3</f>
        <v>81000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84800</v>
      </c>
      <c r="AS3" s="29">
        <f>'Apr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80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'Apr 2025'!O4</f>
        <v>11</v>
      </c>
      <c r="L4" s="101">
        <v>0</v>
      </c>
      <c r="M4" s="73">
        <v>0</v>
      </c>
      <c r="N4" s="71">
        <f t="shared" si="0"/>
        <v>0</v>
      </c>
      <c r="O4" s="71">
        <f t="shared" si="1"/>
        <v>11</v>
      </c>
      <c r="P4" s="71">
        <f t="shared" si="2"/>
        <v>31</v>
      </c>
      <c r="Q4" s="74">
        <v>30000</v>
      </c>
      <c r="R4" s="74">
        <v>12500</v>
      </c>
      <c r="S4" s="74">
        <v>5000</v>
      </c>
      <c r="T4" s="74">
        <v>7500</v>
      </c>
      <c r="U4" s="74">
        <v>0</v>
      </c>
      <c r="V4" s="74">
        <v>40000</v>
      </c>
      <c r="W4" s="75">
        <f t="shared" si="3"/>
        <v>95000</v>
      </c>
      <c r="X4" s="76">
        <f t="shared" si="4"/>
        <v>30000</v>
      </c>
      <c r="Y4" s="76">
        <f t="shared" si="5"/>
        <v>12500</v>
      </c>
      <c r="Z4" s="76">
        <f t="shared" si="6"/>
        <v>5000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83000</v>
      </c>
      <c r="AL4" s="75">
        <f t="shared" si="13"/>
        <v>2000</v>
      </c>
      <c r="AM4" s="75">
        <f t="shared" si="14"/>
        <v>81000</v>
      </c>
      <c r="AN4" s="78">
        <f t="shared" si="15"/>
        <v>81000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84800</v>
      </c>
      <c r="AS4" s="29">
        <f>'Apr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80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'Apr 2025'!O5</f>
        <v>2.5</v>
      </c>
      <c r="L5" s="101">
        <v>0</v>
      </c>
      <c r="M5" s="38">
        <v>1</v>
      </c>
      <c r="N5" s="24">
        <f t="shared" si="0"/>
        <v>0</v>
      </c>
      <c r="O5" s="24">
        <f t="shared" si="1"/>
        <v>1.5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29">
        <v>2123</v>
      </c>
      <c r="V5" s="29">
        <v>2123</v>
      </c>
      <c r="W5" s="29">
        <f t="shared" si="3"/>
        <v>25146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82"/>
      <c r="AC5" s="82"/>
      <c r="AD5" s="9">
        <v>0</v>
      </c>
      <c r="AE5" s="10"/>
      <c r="AF5" s="42">
        <v>2277</v>
      </c>
      <c r="AG5" s="29">
        <f t="shared" si="9"/>
        <v>1800</v>
      </c>
      <c r="AH5" s="29">
        <f t="shared" ref="AH5:AH9" si="22">IF(SUM(X5:AA5)&gt;=25000, 200, 0)</f>
        <v>0</v>
      </c>
      <c r="AI5" s="29">
        <f t="shared" ref="AI5:AI6" si="23">IF(SUM(Q5:T5) &lt; 21000, SUM(X5:AA5)*0.75%, 0)</f>
        <v>156.75</v>
      </c>
      <c r="AJ5" s="29">
        <v>3000</v>
      </c>
      <c r="AK5" s="29">
        <f t="shared" ref="AK5:AK6" si="24">SUM(X5:AF5)-AD5</f>
        <v>23177</v>
      </c>
      <c r="AL5" s="29">
        <f t="shared" si="13"/>
        <v>4956.75</v>
      </c>
      <c r="AM5" s="29">
        <f t="shared" ref="AM5:AM6" si="25">SUM(X5:AF5)-SUM(AG5:AJ5)-AD5</f>
        <v>18220.25</v>
      </c>
      <c r="AN5" s="78">
        <f t="shared" ref="AN5:AN7" si="26">ROUND(AM5-AF5,0)-AU5</f>
        <v>15943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'Apr 2025'!AT5</f>
        <v>160000</v>
      </c>
      <c r="AT5" s="29">
        <f t="shared" ref="AT5:AT28" si="28">AS5+AD5-AJ5-AY5</f>
        <v>157000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80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'Apr 2025'!O6</f>
        <v>4.5</v>
      </c>
      <c r="L6" s="101">
        <v>0</v>
      </c>
      <c r="M6" s="38">
        <v>1.5</v>
      </c>
      <c r="N6" s="24">
        <f t="shared" si="0"/>
        <v>0</v>
      </c>
      <c r="O6" s="24">
        <f t="shared" si="1"/>
        <v>3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29">
        <v>2668</v>
      </c>
      <c r="V6" s="29">
        <v>2668</v>
      </c>
      <c r="W6" s="29">
        <f t="shared" si="3"/>
        <v>26236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82"/>
      <c r="AC6" s="82"/>
      <c r="AD6" s="9">
        <v>0</v>
      </c>
      <c r="AE6" s="10"/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1956.75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25919.25</v>
      </c>
      <c r="AS6" s="29">
        <f>'Apr 2025'!AT6</f>
        <v>185000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185000</v>
      </c>
      <c r="AZ6" s="80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'Apr 2025'!O7</f>
        <v>4</v>
      </c>
      <c r="L7" s="101">
        <v>0</v>
      </c>
      <c r="M7" s="38">
        <v>2</v>
      </c>
      <c r="N7" s="24">
        <f t="shared" si="0"/>
        <v>0</v>
      </c>
      <c r="O7" s="24">
        <f t="shared" si="1"/>
        <v>2</v>
      </c>
      <c r="P7" s="24">
        <f t="shared" si="2"/>
        <v>31</v>
      </c>
      <c r="Q7" s="29">
        <v>15000</v>
      </c>
      <c r="R7" s="29">
        <v>2388</v>
      </c>
      <c r="S7" s="29">
        <v>796</v>
      </c>
      <c r="T7" s="29">
        <v>796</v>
      </c>
      <c r="U7" s="29">
        <v>500</v>
      </c>
      <c r="V7" s="29">
        <v>500</v>
      </c>
      <c r="W7" s="29">
        <f t="shared" si="3"/>
        <v>19980</v>
      </c>
      <c r="X7" s="30">
        <f t="shared" si="4"/>
        <v>15000</v>
      </c>
      <c r="Y7" s="30">
        <f t="shared" si="5"/>
        <v>2388</v>
      </c>
      <c r="Z7" s="30">
        <f t="shared" si="6"/>
        <v>796</v>
      </c>
      <c r="AA7" s="30">
        <f t="shared" si="7"/>
        <v>796</v>
      </c>
      <c r="AB7" s="82"/>
      <c r="AC7" s="82"/>
      <c r="AD7" s="10"/>
      <c r="AE7" s="10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142.35</v>
      </c>
      <c r="AJ7" s="32">
        <v>2000</v>
      </c>
      <c r="AK7" s="29">
        <f t="shared" ref="AK7:AK33" si="30">SUM(X7:AF7)</f>
        <v>20803</v>
      </c>
      <c r="AL7" s="29">
        <f t="shared" si="13"/>
        <v>3942.35</v>
      </c>
      <c r="AM7" s="29">
        <f t="shared" ref="AM7:AM33" si="31">SUM(X7:AF7)-SUM(AG7:AJ7)</f>
        <v>16860.650000000001</v>
      </c>
      <c r="AN7" s="78">
        <f t="shared" si="26"/>
        <v>15038</v>
      </c>
      <c r="AO7" s="29">
        <f t="shared" si="16"/>
        <v>616.85</v>
      </c>
      <c r="AP7" s="29">
        <f t="shared" ref="AP7:AP32" si="32">AG7</f>
        <v>1800</v>
      </c>
      <c r="AQ7" s="34"/>
      <c r="AR7" s="29">
        <f t="shared" si="18"/>
        <v>23219.85</v>
      </c>
      <c r="AS7" s="29">
        <f>'Apr 2025'!AT7</f>
        <v>19500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17500</v>
      </c>
      <c r="AZ7" s="80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31</v>
      </c>
      <c r="J8" s="100">
        <v>31</v>
      </c>
      <c r="K8" s="71">
        <f>'Apr 2025'!O8</f>
        <v>2</v>
      </c>
      <c r="L8" s="101">
        <v>0</v>
      </c>
      <c r="M8" s="38">
        <v>2</v>
      </c>
      <c r="N8" s="24">
        <f t="shared" si="0"/>
        <v>0</v>
      </c>
      <c r="O8" s="24">
        <f t="shared" si="1"/>
        <v>0</v>
      </c>
      <c r="P8" s="24">
        <f t="shared" si="2"/>
        <v>31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15000</v>
      </c>
      <c r="Y8" s="30">
        <f t="shared" si="5"/>
        <v>7000</v>
      </c>
      <c r="Z8" s="30">
        <f t="shared" si="6"/>
        <v>6000</v>
      </c>
      <c r="AA8" s="30">
        <f t="shared" si="7"/>
        <v>5000</v>
      </c>
      <c r="AB8" s="77">
        <f>U8*1</f>
        <v>5000</v>
      </c>
      <c r="AC8" s="77">
        <f>V8*0.7</f>
        <v>3500</v>
      </c>
      <c r="AD8" s="10"/>
      <c r="AE8" s="10"/>
      <c r="AF8" s="31">
        <v>0</v>
      </c>
      <c r="AG8" s="29">
        <f t="shared" si="9"/>
        <v>1800</v>
      </c>
      <c r="AH8" s="29">
        <f t="shared" si="22"/>
        <v>200</v>
      </c>
      <c r="AI8" s="29">
        <f t="shared" si="29"/>
        <v>0</v>
      </c>
      <c r="AJ8" s="34"/>
      <c r="AK8" s="29">
        <f t="shared" si="30"/>
        <v>41500</v>
      </c>
      <c r="AL8" s="29">
        <f t="shared" si="13"/>
        <v>2000</v>
      </c>
      <c r="AM8" s="29">
        <f t="shared" si="31"/>
        <v>39500</v>
      </c>
      <c r="AN8" s="78">
        <f t="shared" ref="AN8:AN33" si="33">ROUND(AM8-AF8,0)+AV8-AU8</f>
        <v>39500</v>
      </c>
      <c r="AO8" s="29">
        <f t="shared" si="16"/>
        <v>0</v>
      </c>
      <c r="AP8" s="29">
        <f t="shared" si="32"/>
        <v>1800</v>
      </c>
      <c r="AQ8" s="34"/>
      <c r="AR8" s="29">
        <f t="shared" si="18"/>
        <v>43300</v>
      </c>
      <c r="AS8" s="29">
        <f>'Apr 2025'!AT8</f>
        <v>0</v>
      </c>
      <c r="AT8" s="29">
        <f t="shared" si="28"/>
        <v>0</v>
      </c>
      <c r="AU8" s="34"/>
      <c r="AV8" s="31">
        <f t="shared" ref="AV8:AV32" si="34">AF8*12</f>
        <v>0</v>
      </c>
      <c r="AW8" s="79">
        <f t="shared" si="21"/>
        <v>0</v>
      </c>
      <c r="AX8" s="79"/>
      <c r="AY8" s="75">
        <v>0</v>
      </c>
      <c r="AZ8" s="80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'Apr 2025'!O9</f>
        <v>3</v>
      </c>
      <c r="L9" s="101">
        <v>0</v>
      </c>
      <c r="M9" s="38">
        <v>3</v>
      </c>
      <c r="N9" s="24">
        <f t="shared" si="0"/>
        <v>0</v>
      </c>
      <c r="O9" s="24">
        <f t="shared" si="1"/>
        <v>0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6">
        <v>2150</v>
      </c>
      <c r="V9" s="36">
        <v>2150</v>
      </c>
      <c r="W9" s="29">
        <f t="shared" si="3"/>
        <v>25200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82"/>
      <c r="AC9" s="82"/>
      <c r="AD9" s="10"/>
      <c r="AE9" s="10"/>
      <c r="AF9" s="31">
        <v>0</v>
      </c>
      <c r="AG9" s="29">
        <f t="shared" si="9"/>
        <v>1800</v>
      </c>
      <c r="AH9" s="29">
        <f t="shared" si="22"/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'Apr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80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'Apr 2025'!O10</f>
        <v>2</v>
      </c>
      <c r="L10" s="101">
        <v>1</v>
      </c>
      <c r="M10" s="104">
        <v>2.5</v>
      </c>
      <c r="N10" s="24">
        <f t="shared" si="0"/>
        <v>0</v>
      </c>
      <c r="O10" s="71">
        <f t="shared" si="1"/>
        <v>0.5</v>
      </c>
      <c r="P10" s="71">
        <f t="shared" si="2"/>
        <v>31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15000</v>
      </c>
      <c r="Y10" s="76">
        <f t="shared" si="5"/>
        <v>9000</v>
      </c>
      <c r="Z10" s="76">
        <f t="shared" si="6"/>
        <v>8000</v>
      </c>
      <c r="AA10" s="76">
        <f t="shared" si="7"/>
        <v>3000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1800</v>
      </c>
      <c r="AH10" s="75">
        <f>IF(SUM(X10:AC10)&gt;=25000, 200, 0)</f>
        <v>200</v>
      </c>
      <c r="AI10" s="84">
        <v>0</v>
      </c>
      <c r="AJ10" s="34"/>
      <c r="AK10" s="75">
        <f t="shared" si="30"/>
        <v>46400</v>
      </c>
      <c r="AL10" s="75">
        <f t="shared" si="13"/>
        <v>2000</v>
      </c>
      <c r="AM10" s="75">
        <f t="shared" si="31"/>
        <v>44400</v>
      </c>
      <c r="AN10" s="78">
        <f t="shared" si="33"/>
        <v>44400</v>
      </c>
      <c r="AO10" s="75">
        <f t="shared" si="16"/>
        <v>0</v>
      </c>
      <c r="AP10" s="75">
        <f t="shared" si="32"/>
        <v>1800</v>
      </c>
      <c r="AQ10" s="34"/>
      <c r="AR10" s="75">
        <f t="shared" si="18"/>
        <v>48200</v>
      </c>
      <c r="AS10" s="29">
        <f>'Apr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80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'Apr 2025'!O11</f>
        <v>1</v>
      </c>
      <c r="L11" s="101">
        <v>0</v>
      </c>
      <c r="M11" s="38">
        <v>23</v>
      </c>
      <c r="N11" s="24">
        <f t="shared" si="0"/>
        <v>22</v>
      </c>
      <c r="O11" s="24">
        <f t="shared" si="1"/>
        <v>0</v>
      </c>
      <c r="P11" s="24">
        <f t="shared" si="2"/>
        <v>9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4354.8387096774186</v>
      </c>
      <c r="Y11" s="30">
        <f t="shared" si="5"/>
        <v>1027.7419354838707</v>
      </c>
      <c r="Z11" s="30">
        <f t="shared" si="6"/>
        <v>342.58064516129031</v>
      </c>
      <c r="AA11" s="30">
        <f t="shared" si="7"/>
        <v>342.58064516129031</v>
      </c>
      <c r="AB11" s="82"/>
      <c r="AC11" s="82"/>
      <c r="AD11" s="10"/>
      <c r="AE11" s="10"/>
      <c r="AF11" s="31">
        <v>0</v>
      </c>
      <c r="AG11" s="29">
        <f t="shared" si="9"/>
        <v>522.58064516129025</v>
      </c>
      <c r="AH11" s="29">
        <f t="shared" ref="AH11:AH13" si="35">IF(SUM(X11:AA11)&gt;=25000, 200, 0)</f>
        <v>0</v>
      </c>
      <c r="AI11" s="29">
        <f t="shared" ref="AI11:AI14" si="36">IF(SUM(Q11:T11) &lt; 21000, SUM(X11:AA11)*0.0075, 0)</f>
        <v>45.508064516129032</v>
      </c>
      <c r="AJ11" s="34"/>
      <c r="AK11" s="29">
        <f t="shared" si="30"/>
        <v>6067.7419354838712</v>
      </c>
      <c r="AL11" s="29">
        <f t="shared" si="13"/>
        <v>568.08870967741927</v>
      </c>
      <c r="AM11" s="29">
        <f t="shared" si="31"/>
        <v>5499.6532258064517</v>
      </c>
      <c r="AN11" s="33">
        <f t="shared" si="33"/>
        <v>5500</v>
      </c>
      <c r="AO11" s="29">
        <f t="shared" si="16"/>
        <v>197.20161290322582</v>
      </c>
      <c r="AP11" s="29">
        <f t="shared" si="32"/>
        <v>522.58064516129025</v>
      </c>
      <c r="AQ11" s="34"/>
      <c r="AR11" s="29">
        <f t="shared" si="18"/>
        <v>6787.5241935483864</v>
      </c>
      <c r="AS11" s="29">
        <f>'Apr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80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71">
        <f>'Apr 2025'!O12</f>
        <v>0</v>
      </c>
      <c r="L12" s="101">
        <v>0</v>
      </c>
      <c r="M12" s="38">
        <v>2</v>
      </c>
      <c r="N12" s="24">
        <f t="shared" si="0"/>
        <v>2</v>
      </c>
      <c r="O12" s="24">
        <f t="shared" si="1"/>
        <v>0</v>
      </c>
      <c r="P12" s="24">
        <f t="shared" si="2"/>
        <v>29</v>
      </c>
      <c r="Q12" s="36">
        <v>15000</v>
      </c>
      <c r="R12" s="29">
        <v>3540</v>
      </c>
      <c r="S12" s="29">
        <v>1180</v>
      </c>
      <c r="T12" s="29">
        <v>1180</v>
      </c>
      <c r="U12" s="36">
        <v>2050</v>
      </c>
      <c r="V12" s="36">
        <v>2050</v>
      </c>
      <c r="W12" s="29">
        <f t="shared" si="3"/>
        <v>25000</v>
      </c>
      <c r="X12" s="30">
        <f t="shared" si="4"/>
        <v>14032.258064516131</v>
      </c>
      <c r="Y12" s="30">
        <f t="shared" si="5"/>
        <v>3311.6129032258068</v>
      </c>
      <c r="Z12" s="30">
        <f t="shared" si="6"/>
        <v>1103.8709677419356</v>
      </c>
      <c r="AA12" s="30">
        <f t="shared" si="7"/>
        <v>1103.8709677419356</v>
      </c>
      <c r="AB12" s="82"/>
      <c r="AC12" s="82"/>
      <c r="AD12" s="10"/>
      <c r="AE12" s="10"/>
      <c r="AF12" s="31">
        <v>0</v>
      </c>
      <c r="AG12" s="29">
        <f t="shared" si="9"/>
        <v>1683.8709677419356</v>
      </c>
      <c r="AH12" s="29">
        <f t="shared" si="35"/>
        <v>0</v>
      </c>
      <c r="AI12" s="29">
        <f t="shared" si="36"/>
        <v>146.63709677419357</v>
      </c>
      <c r="AJ12" s="34"/>
      <c r="AK12" s="29">
        <f t="shared" si="30"/>
        <v>19551.61290322581</v>
      </c>
      <c r="AL12" s="29">
        <f t="shared" si="13"/>
        <v>1830.5080645161293</v>
      </c>
      <c r="AM12" s="29">
        <f t="shared" si="31"/>
        <v>17721.104838709682</v>
      </c>
      <c r="AN12" s="33">
        <f t="shared" si="33"/>
        <v>17721</v>
      </c>
      <c r="AO12" s="29">
        <f t="shared" si="16"/>
        <v>635.42741935483889</v>
      </c>
      <c r="AP12" s="29">
        <f t="shared" si="32"/>
        <v>1683.8709677419356</v>
      </c>
      <c r="AQ12" s="34"/>
      <c r="AR12" s="29">
        <f t="shared" si="18"/>
        <v>21870.911290322583</v>
      </c>
      <c r="AS12" s="29">
        <f>'Apr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80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'Apr 2025'!O13</f>
        <v>0</v>
      </c>
      <c r="L13" s="101">
        <v>0</v>
      </c>
      <c r="M13" s="26">
        <v>3</v>
      </c>
      <c r="N13" s="24">
        <f t="shared" si="0"/>
        <v>3</v>
      </c>
      <c r="O13" s="24">
        <f t="shared" si="1"/>
        <v>0</v>
      </c>
      <c r="P13" s="24">
        <f t="shared" si="2"/>
        <v>28</v>
      </c>
      <c r="Q13" s="36">
        <v>15000</v>
      </c>
      <c r="R13" s="29">
        <v>3540</v>
      </c>
      <c r="S13" s="29">
        <v>1180</v>
      </c>
      <c r="T13" s="29">
        <v>1180</v>
      </c>
      <c r="U13" s="36">
        <v>2200</v>
      </c>
      <c r="V13" s="36">
        <v>2200</v>
      </c>
      <c r="W13" s="29">
        <f t="shared" si="3"/>
        <v>25300</v>
      </c>
      <c r="X13" s="30">
        <f t="shared" si="4"/>
        <v>13548.387096774193</v>
      </c>
      <c r="Y13" s="30">
        <f t="shared" si="5"/>
        <v>3197.4193548387098</v>
      </c>
      <c r="Z13" s="30">
        <f t="shared" si="6"/>
        <v>1065.8064516129032</v>
      </c>
      <c r="AA13" s="30">
        <f t="shared" si="7"/>
        <v>1065.8064516129032</v>
      </c>
      <c r="AB13" s="82"/>
      <c r="AC13" s="82"/>
      <c r="AD13" s="12"/>
      <c r="AE13" s="10"/>
      <c r="AF13" s="31">
        <v>0</v>
      </c>
      <c r="AG13" s="29">
        <f t="shared" si="9"/>
        <v>1625.8064516129032</v>
      </c>
      <c r="AH13" s="29">
        <f t="shared" si="35"/>
        <v>0</v>
      </c>
      <c r="AI13" s="29">
        <f t="shared" si="36"/>
        <v>141.58064516129028</v>
      </c>
      <c r="AJ13" s="13"/>
      <c r="AK13" s="29">
        <f t="shared" si="30"/>
        <v>18877.419354838705</v>
      </c>
      <c r="AL13" s="29">
        <f t="shared" si="13"/>
        <v>1767.3870967741934</v>
      </c>
      <c r="AM13" s="29">
        <f t="shared" si="31"/>
        <v>17110.032258064512</v>
      </c>
      <c r="AN13" s="33">
        <f t="shared" si="33"/>
        <v>17110</v>
      </c>
      <c r="AO13" s="29">
        <f t="shared" si="16"/>
        <v>613.51612903225794</v>
      </c>
      <c r="AP13" s="29">
        <f t="shared" si="32"/>
        <v>1625.8064516129032</v>
      </c>
      <c r="AQ13" s="13"/>
      <c r="AR13" s="29">
        <f t="shared" si="18"/>
        <v>21116.741935483864</v>
      </c>
      <c r="AS13" s="29">
        <f>'Apr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80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'Apr 2025'!O14</f>
        <v>2.5</v>
      </c>
      <c r="L14" s="101">
        <v>0</v>
      </c>
      <c r="M14" s="104">
        <v>2</v>
      </c>
      <c r="N14" s="71">
        <f t="shared" si="0"/>
        <v>0</v>
      </c>
      <c r="O14" s="71">
        <f t="shared" si="1"/>
        <v>0.5</v>
      </c>
      <c r="P14" s="71">
        <f t="shared" si="2"/>
        <v>31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26000</v>
      </c>
      <c r="Y14" s="76">
        <f t="shared" si="5"/>
        <v>14808</v>
      </c>
      <c r="Z14" s="76">
        <f t="shared" si="6"/>
        <v>11106</v>
      </c>
      <c r="AA14" s="76">
        <f t="shared" si="7"/>
        <v>11106</v>
      </c>
      <c r="AB14" s="77">
        <f>U14*0.8</f>
        <v>4316</v>
      </c>
      <c r="AC14" s="77">
        <f t="shared" ref="AC14:AC17" si="37">V14*0.7</f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ref="AH14:AH17" si="38">IF(SUM(X14:AC14)&gt;=25000, 200, 0)</f>
        <v>200</v>
      </c>
      <c r="AI14" s="75">
        <f t="shared" si="36"/>
        <v>0</v>
      </c>
      <c r="AJ14" s="13"/>
      <c r="AK14" s="75">
        <f t="shared" si="30"/>
        <v>71112.5</v>
      </c>
      <c r="AL14" s="75">
        <f t="shared" si="13"/>
        <v>2000</v>
      </c>
      <c r="AM14" s="75">
        <f t="shared" si="31"/>
        <v>69112.5</v>
      </c>
      <c r="AN14" s="78">
        <f t="shared" si="33"/>
        <v>69113</v>
      </c>
      <c r="AO14" s="75">
        <f t="shared" si="16"/>
        <v>0</v>
      </c>
      <c r="AP14" s="75">
        <f t="shared" si="32"/>
        <v>1800</v>
      </c>
      <c r="AQ14" s="13"/>
      <c r="AR14" s="75">
        <f t="shared" si="18"/>
        <v>72912.5</v>
      </c>
      <c r="AS14" s="29">
        <f>'Apr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80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'Apr 2025'!O15</f>
        <v>6</v>
      </c>
      <c r="L15" s="101">
        <v>0</v>
      </c>
      <c r="M15" s="104">
        <v>1</v>
      </c>
      <c r="N15" s="71">
        <f t="shared" si="0"/>
        <v>0</v>
      </c>
      <c r="O15" s="71">
        <f t="shared" si="1"/>
        <v>5</v>
      </c>
      <c r="P15" s="71">
        <f t="shared" si="2"/>
        <v>31</v>
      </c>
      <c r="Q15" s="85">
        <v>30000</v>
      </c>
      <c r="R15" s="85">
        <v>17040</v>
      </c>
      <c r="S15" s="85">
        <v>12780</v>
      </c>
      <c r="T15" s="85">
        <v>12780</v>
      </c>
      <c r="U15" s="85">
        <v>6600</v>
      </c>
      <c r="V15" s="85">
        <v>6600</v>
      </c>
      <c r="W15" s="75">
        <f t="shared" si="3"/>
        <v>85800</v>
      </c>
      <c r="X15" s="76">
        <f t="shared" si="4"/>
        <v>30000</v>
      </c>
      <c r="Y15" s="76">
        <f t="shared" si="5"/>
        <v>17040</v>
      </c>
      <c r="Z15" s="76">
        <f t="shared" si="6"/>
        <v>12780</v>
      </c>
      <c r="AA15" s="76">
        <f t="shared" si="7"/>
        <v>12780</v>
      </c>
      <c r="AB15" s="77">
        <f t="shared" ref="AB15:AB17" si="39">U15*1</f>
        <v>6600</v>
      </c>
      <c r="AC15" s="77">
        <f t="shared" si="37"/>
        <v>4620</v>
      </c>
      <c r="AD15" s="10"/>
      <c r="AE15" s="10"/>
      <c r="AF15" s="77">
        <v>0</v>
      </c>
      <c r="AG15" s="75">
        <f t="shared" si="9"/>
        <v>1800</v>
      </c>
      <c r="AH15" s="75">
        <f t="shared" si="38"/>
        <v>200</v>
      </c>
      <c r="AI15" s="85">
        <v>0</v>
      </c>
      <c r="AJ15" s="34"/>
      <c r="AK15" s="75">
        <f t="shared" si="30"/>
        <v>83820</v>
      </c>
      <c r="AL15" s="75">
        <f t="shared" si="13"/>
        <v>2000</v>
      </c>
      <c r="AM15" s="75">
        <f t="shared" si="31"/>
        <v>81820</v>
      </c>
      <c r="AN15" s="78">
        <f t="shared" si="33"/>
        <v>81820</v>
      </c>
      <c r="AO15" s="75">
        <v>0</v>
      </c>
      <c r="AP15" s="75">
        <f t="shared" si="32"/>
        <v>1800</v>
      </c>
      <c r="AQ15" s="34"/>
      <c r="AR15" s="75">
        <f t="shared" si="18"/>
        <v>85620</v>
      </c>
      <c r="AS15" s="29">
        <f>'Apr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80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'Apr 2025'!O16</f>
        <v>0</v>
      </c>
      <c r="L16" s="101">
        <v>0</v>
      </c>
      <c r="M16" s="104">
        <v>2</v>
      </c>
      <c r="N16" s="71">
        <f t="shared" si="0"/>
        <v>2</v>
      </c>
      <c r="O16" s="71">
        <f t="shared" si="1"/>
        <v>0</v>
      </c>
      <c r="P16" s="71">
        <f t="shared" si="2"/>
        <v>29</v>
      </c>
      <c r="Q16" s="74">
        <v>26000</v>
      </c>
      <c r="R16" s="74">
        <v>11600</v>
      </c>
      <c r="S16" s="74">
        <v>8700</v>
      </c>
      <c r="T16" s="74">
        <v>8700</v>
      </c>
      <c r="U16" s="74">
        <v>0</v>
      </c>
      <c r="V16" s="74">
        <v>27500</v>
      </c>
      <c r="W16" s="75">
        <f t="shared" si="3"/>
        <v>82500</v>
      </c>
      <c r="X16" s="76">
        <f t="shared" si="4"/>
        <v>24322.580645161292</v>
      </c>
      <c r="Y16" s="76">
        <f t="shared" si="5"/>
        <v>10851.612903225807</v>
      </c>
      <c r="Z16" s="76">
        <f t="shared" si="6"/>
        <v>8138.7096774193551</v>
      </c>
      <c r="AA16" s="76">
        <f t="shared" si="7"/>
        <v>8138.7096774193551</v>
      </c>
      <c r="AB16" s="77">
        <f t="shared" si="39"/>
        <v>0</v>
      </c>
      <c r="AC16" s="77">
        <f t="shared" si="37"/>
        <v>19250</v>
      </c>
      <c r="AD16" s="12"/>
      <c r="AE16" s="10"/>
      <c r="AF16" s="77">
        <v>0</v>
      </c>
      <c r="AG16" s="75">
        <f t="shared" si="9"/>
        <v>1800</v>
      </c>
      <c r="AH16" s="75">
        <f t="shared" si="38"/>
        <v>200</v>
      </c>
      <c r="AI16" s="75">
        <f t="shared" ref="AI16:AI33" si="40">IF(SUM(Q16:T16) &lt; 21000, SUM(X16:AA16)*0.0075, 0)</f>
        <v>0</v>
      </c>
      <c r="AJ16" s="13"/>
      <c r="AK16" s="75">
        <f t="shared" si="30"/>
        <v>70701.612903225818</v>
      </c>
      <c r="AL16" s="75">
        <f t="shared" si="13"/>
        <v>2000</v>
      </c>
      <c r="AM16" s="75">
        <f t="shared" si="31"/>
        <v>68701.612903225818</v>
      </c>
      <c r="AN16" s="78">
        <f t="shared" si="33"/>
        <v>68702</v>
      </c>
      <c r="AO16" s="75">
        <f t="shared" ref="AO16:AO32" si="41">AI16/0.0075*0.0325</f>
        <v>0</v>
      </c>
      <c r="AP16" s="75">
        <f t="shared" si="32"/>
        <v>1800</v>
      </c>
      <c r="AQ16" s="13"/>
      <c r="AR16" s="75">
        <f t="shared" si="18"/>
        <v>72501.612903225818</v>
      </c>
      <c r="AS16" s="29">
        <f>'Apr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80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'Apr 2025'!O17</f>
        <v>7.5</v>
      </c>
      <c r="L17" s="101">
        <v>0</v>
      </c>
      <c r="M17" s="73">
        <v>1.5</v>
      </c>
      <c r="N17" s="71">
        <f t="shared" si="0"/>
        <v>0</v>
      </c>
      <c r="O17" s="71">
        <f t="shared" si="1"/>
        <v>6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85">
        <f t="shared" ref="U17:V17" si="42">195000/12/2</f>
        <v>8125</v>
      </c>
      <c r="V17" s="85">
        <f t="shared" si="42"/>
        <v>8125</v>
      </c>
      <c r="W17" s="75">
        <f t="shared" si="3"/>
        <v>73083.333333333343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39"/>
        <v>8125</v>
      </c>
      <c r="AC17" s="77">
        <f t="shared" si="37"/>
        <v>5687.5</v>
      </c>
      <c r="AD17" s="12"/>
      <c r="AE17" s="10"/>
      <c r="AF17" s="77">
        <v>0</v>
      </c>
      <c r="AG17" s="75">
        <f t="shared" si="9"/>
        <v>1800</v>
      </c>
      <c r="AH17" s="75">
        <f t="shared" si="38"/>
        <v>200</v>
      </c>
      <c r="AI17" s="75">
        <f t="shared" si="40"/>
        <v>0</v>
      </c>
      <c r="AJ17" s="13"/>
      <c r="AK17" s="75">
        <f t="shared" si="30"/>
        <v>70645.833333333343</v>
      </c>
      <c r="AL17" s="75">
        <f t="shared" si="13"/>
        <v>2000</v>
      </c>
      <c r="AM17" s="75">
        <f t="shared" si="31"/>
        <v>68645.833333333343</v>
      </c>
      <c r="AN17" s="78">
        <f t="shared" si="33"/>
        <v>68646</v>
      </c>
      <c r="AO17" s="75">
        <f t="shared" si="41"/>
        <v>0</v>
      </c>
      <c r="AP17" s="75">
        <f t="shared" si="32"/>
        <v>1800</v>
      </c>
      <c r="AQ17" s="13"/>
      <c r="AR17" s="75">
        <f t="shared" si="18"/>
        <v>72445.833333333343</v>
      </c>
      <c r="AS17" s="29">
        <f>'Apr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80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'Apr 2025'!O18</f>
        <v>2</v>
      </c>
      <c r="L18" s="101">
        <v>0</v>
      </c>
      <c r="M18" s="38">
        <v>1</v>
      </c>
      <c r="N18" s="24">
        <f t="shared" si="0"/>
        <v>0</v>
      </c>
      <c r="O18" s="24">
        <f t="shared" si="1"/>
        <v>1</v>
      </c>
      <c r="P18" s="24">
        <f t="shared" si="2"/>
        <v>31</v>
      </c>
      <c r="Q18" s="36">
        <v>15000</v>
      </c>
      <c r="R18" s="36">
        <v>2850</v>
      </c>
      <c r="S18" s="36">
        <v>950</v>
      </c>
      <c r="T18" s="36">
        <v>950</v>
      </c>
      <c r="U18" s="36">
        <v>1015</v>
      </c>
      <c r="V18" s="36">
        <v>1015</v>
      </c>
      <c r="W18" s="29">
        <f t="shared" si="3"/>
        <v>21780</v>
      </c>
      <c r="X18" s="30">
        <f t="shared" si="4"/>
        <v>15000</v>
      </c>
      <c r="Y18" s="30">
        <f t="shared" si="5"/>
        <v>2850</v>
      </c>
      <c r="Z18" s="30">
        <f t="shared" si="6"/>
        <v>950</v>
      </c>
      <c r="AA18" s="30">
        <f t="shared" si="7"/>
        <v>950</v>
      </c>
      <c r="AB18" s="82"/>
      <c r="AC18" s="82"/>
      <c r="AD18" s="12"/>
      <c r="AE18" s="10"/>
      <c r="AF18" s="31">
        <v>0</v>
      </c>
      <c r="AG18" s="29">
        <f t="shared" si="9"/>
        <v>1800</v>
      </c>
      <c r="AH18" s="29">
        <f t="shared" ref="AH18:AH31" si="43">IF(SUM(X18:AA18)&gt;=25000, 200, 0)</f>
        <v>0</v>
      </c>
      <c r="AI18" s="29">
        <f t="shared" si="40"/>
        <v>148.125</v>
      </c>
      <c r="AJ18" s="13"/>
      <c r="AK18" s="29">
        <f t="shared" si="30"/>
        <v>19750</v>
      </c>
      <c r="AL18" s="29">
        <f t="shared" si="13"/>
        <v>1948.125</v>
      </c>
      <c r="AM18" s="29">
        <f t="shared" si="31"/>
        <v>17801.875</v>
      </c>
      <c r="AN18" s="33">
        <f t="shared" si="33"/>
        <v>17802</v>
      </c>
      <c r="AO18" s="29">
        <f t="shared" si="41"/>
        <v>641.875</v>
      </c>
      <c r="AP18" s="29">
        <f t="shared" si="32"/>
        <v>1800</v>
      </c>
      <c r="AQ18" s="13"/>
      <c r="AR18" s="29">
        <f t="shared" si="18"/>
        <v>22191.875</v>
      </c>
      <c r="AS18" s="29">
        <f>'Apr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79"/>
      <c r="AY18" s="75">
        <v>0</v>
      </c>
      <c r="AZ18" s="80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'Apr 2025'!O19</f>
        <v>3</v>
      </c>
      <c r="L19" s="101">
        <v>0</v>
      </c>
      <c r="M19" s="38">
        <v>2</v>
      </c>
      <c r="N19" s="24">
        <f t="shared" si="0"/>
        <v>0</v>
      </c>
      <c r="O19" s="24">
        <f t="shared" si="1"/>
        <v>1</v>
      </c>
      <c r="P19" s="24">
        <f t="shared" si="2"/>
        <v>31</v>
      </c>
      <c r="Q19" s="36">
        <v>15000</v>
      </c>
      <c r="R19" s="36">
        <v>2850</v>
      </c>
      <c r="S19" s="36">
        <v>950</v>
      </c>
      <c r="T19" s="36">
        <v>950</v>
      </c>
      <c r="U19" s="36">
        <v>1195</v>
      </c>
      <c r="V19" s="36">
        <v>1195</v>
      </c>
      <c r="W19" s="29">
        <f t="shared" si="3"/>
        <v>22140</v>
      </c>
      <c r="X19" s="30">
        <f t="shared" si="4"/>
        <v>15000</v>
      </c>
      <c r="Y19" s="30">
        <f t="shared" si="5"/>
        <v>2850</v>
      </c>
      <c r="Z19" s="30">
        <f t="shared" si="6"/>
        <v>950</v>
      </c>
      <c r="AA19" s="30">
        <f t="shared" si="7"/>
        <v>950</v>
      </c>
      <c r="AB19" s="82"/>
      <c r="AC19" s="82"/>
      <c r="AD19" s="12"/>
      <c r="AE19" s="10"/>
      <c r="AF19" s="31">
        <v>0</v>
      </c>
      <c r="AG19" s="29">
        <f t="shared" si="9"/>
        <v>1800</v>
      </c>
      <c r="AH19" s="29">
        <f t="shared" si="43"/>
        <v>0</v>
      </c>
      <c r="AI19" s="29">
        <f t="shared" si="40"/>
        <v>148.125</v>
      </c>
      <c r="AJ19" s="13"/>
      <c r="AK19" s="29">
        <f t="shared" si="30"/>
        <v>19750</v>
      </c>
      <c r="AL19" s="29">
        <f t="shared" si="13"/>
        <v>1948.125</v>
      </c>
      <c r="AM19" s="29">
        <f t="shared" si="31"/>
        <v>17801.875</v>
      </c>
      <c r="AN19" s="33">
        <f t="shared" si="33"/>
        <v>17802</v>
      </c>
      <c r="AO19" s="29">
        <f t="shared" si="41"/>
        <v>641.875</v>
      </c>
      <c r="AP19" s="29">
        <f t="shared" si="32"/>
        <v>1800</v>
      </c>
      <c r="AQ19" s="13"/>
      <c r="AR19" s="29">
        <f t="shared" si="18"/>
        <v>22191.875</v>
      </c>
      <c r="AS19" s="29">
        <f>'Apr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80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'Apr 2025'!O20</f>
        <v>1.5</v>
      </c>
      <c r="L20" s="101">
        <v>0</v>
      </c>
      <c r="M20" s="26">
        <v>1.5</v>
      </c>
      <c r="N20" s="24">
        <f t="shared" si="0"/>
        <v>0</v>
      </c>
      <c r="O20" s="24">
        <f t="shared" si="1"/>
        <v>0</v>
      </c>
      <c r="P20" s="24">
        <f t="shared" si="2"/>
        <v>31</v>
      </c>
      <c r="Q20" s="36">
        <v>15000</v>
      </c>
      <c r="R20" s="36">
        <v>2850</v>
      </c>
      <c r="S20" s="36">
        <v>950</v>
      </c>
      <c r="T20" s="36">
        <v>950</v>
      </c>
      <c r="U20" s="36">
        <v>1015</v>
      </c>
      <c r="V20" s="36">
        <v>1015</v>
      </c>
      <c r="W20" s="29">
        <f t="shared" si="3"/>
        <v>21780</v>
      </c>
      <c r="X20" s="30">
        <f t="shared" si="4"/>
        <v>15000</v>
      </c>
      <c r="Y20" s="30">
        <f t="shared" si="5"/>
        <v>2850</v>
      </c>
      <c r="Z20" s="30">
        <f t="shared" si="6"/>
        <v>950</v>
      </c>
      <c r="AA20" s="30">
        <f t="shared" si="7"/>
        <v>950</v>
      </c>
      <c r="AB20" s="82"/>
      <c r="AC20" s="82"/>
      <c r="AD20" s="12"/>
      <c r="AE20" s="10"/>
      <c r="AF20" s="31">
        <v>0</v>
      </c>
      <c r="AG20" s="29">
        <f t="shared" si="9"/>
        <v>1800</v>
      </c>
      <c r="AH20" s="29">
        <f t="shared" si="43"/>
        <v>0</v>
      </c>
      <c r="AI20" s="29">
        <f t="shared" si="40"/>
        <v>148.125</v>
      </c>
      <c r="AJ20" s="13"/>
      <c r="AK20" s="29">
        <f t="shared" si="30"/>
        <v>19750</v>
      </c>
      <c r="AL20" s="29">
        <f t="shared" si="13"/>
        <v>1948.125</v>
      </c>
      <c r="AM20" s="29">
        <f t="shared" si="31"/>
        <v>17801.875</v>
      </c>
      <c r="AN20" s="33">
        <f t="shared" si="33"/>
        <v>17802</v>
      </c>
      <c r="AO20" s="29">
        <f t="shared" si="41"/>
        <v>641.875</v>
      </c>
      <c r="AP20" s="29">
        <f t="shared" si="32"/>
        <v>1800</v>
      </c>
      <c r="AQ20" s="13"/>
      <c r="AR20" s="29">
        <f t="shared" si="18"/>
        <v>22191.875</v>
      </c>
      <c r="AS20" s="29">
        <f>'Apr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80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31</v>
      </c>
      <c r="J21" s="100">
        <v>31</v>
      </c>
      <c r="K21" s="71">
        <f>'Apr 2025'!O21</f>
        <v>3</v>
      </c>
      <c r="L21" s="101">
        <v>0</v>
      </c>
      <c r="M21" s="38">
        <v>1</v>
      </c>
      <c r="N21" s="24">
        <f t="shared" si="0"/>
        <v>0</v>
      </c>
      <c r="O21" s="24">
        <f t="shared" si="1"/>
        <v>2</v>
      </c>
      <c r="P21" s="24">
        <f t="shared" si="2"/>
        <v>31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>
        <f t="shared" si="4"/>
        <v>15000</v>
      </c>
      <c r="Y21" s="30">
        <f t="shared" si="5"/>
        <v>2850</v>
      </c>
      <c r="Z21" s="30">
        <f t="shared" si="6"/>
        <v>950</v>
      </c>
      <c r="AA21" s="30">
        <f t="shared" si="7"/>
        <v>950</v>
      </c>
      <c r="AB21" s="82"/>
      <c r="AC21" s="82"/>
      <c r="AD21" s="12"/>
      <c r="AE21" s="10"/>
      <c r="AF21" s="31">
        <v>0</v>
      </c>
      <c r="AG21" s="29">
        <f t="shared" si="9"/>
        <v>1800</v>
      </c>
      <c r="AH21" s="29">
        <f t="shared" si="43"/>
        <v>0</v>
      </c>
      <c r="AI21" s="29">
        <f t="shared" si="40"/>
        <v>148.125</v>
      </c>
      <c r="AJ21" s="13"/>
      <c r="AK21" s="29">
        <f t="shared" si="30"/>
        <v>19750</v>
      </c>
      <c r="AL21" s="29">
        <f t="shared" si="13"/>
        <v>1948.125</v>
      </c>
      <c r="AM21" s="29">
        <f t="shared" si="31"/>
        <v>17801.875</v>
      </c>
      <c r="AN21" s="33">
        <f t="shared" si="33"/>
        <v>17802</v>
      </c>
      <c r="AO21" s="29">
        <f t="shared" si="41"/>
        <v>641.875</v>
      </c>
      <c r="AP21" s="29">
        <f t="shared" si="32"/>
        <v>1800</v>
      </c>
      <c r="AQ21" s="13"/>
      <c r="AR21" s="29">
        <f t="shared" si="18"/>
        <v>22191.875</v>
      </c>
      <c r="AS21" s="29">
        <f>'Apr 2025'!AT21</f>
        <v>0</v>
      </c>
      <c r="AT21" s="29">
        <f t="shared" si="28"/>
        <v>0</v>
      </c>
      <c r="AU21" s="34"/>
      <c r="AV21" s="31">
        <f t="shared" si="34"/>
        <v>0</v>
      </c>
      <c r="AW21" s="79"/>
      <c r="AX21" s="79"/>
      <c r="AY21" s="75">
        <v>0</v>
      </c>
      <c r="AZ21" s="80" t="s">
        <v>165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'Apr 2025'!O22</f>
        <v>2</v>
      </c>
      <c r="L22" s="101">
        <v>0</v>
      </c>
      <c r="M22" s="38">
        <v>0</v>
      </c>
      <c r="N22" s="24">
        <f t="shared" si="0"/>
        <v>0</v>
      </c>
      <c r="O22" s="24">
        <f t="shared" si="1"/>
        <v>2</v>
      </c>
      <c r="P22" s="24">
        <f t="shared" si="2"/>
        <v>31</v>
      </c>
      <c r="Q22" s="36">
        <v>15000</v>
      </c>
      <c r="R22" s="36">
        <v>2850</v>
      </c>
      <c r="S22" s="36">
        <v>950</v>
      </c>
      <c r="T22" s="36">
        <v>950</v>
      </c>
      <c r="U22" s="36">
        <v>1133</v>
      </c>
      <c r="V22" s="36">
        <v>1133</v>
      </c>
      <c r="W22" s="29">
        <f t="shared" si="3"/>
        <v>22016</v>
      </c>
      <c r="X22" s="30">
        <f t="shared" si="4"/>
        <v>15000</v>
      </c>
      <c r="Y22" s="30">
        <f t="shared" si="5"/>
        <v>2850</v>
      </c>
      <c r="Z22" s="30">
        <f t="shared" si="6"/>
        <v>950</v>
      </c>
      <c r="AA22" s="30">
        <f t="shared" si="7"/>
        <v>950</v>
      </c>
      <c r="AB22" s="82"/>
      <c r="AC22" s="82"/>
      <c r="AD22" s="12"/>
      <c r="AE22" s="10"/>
      <c r="AF22" s="31">
        <v>0</v>
      </c>
      <c r="AG22" s="29">
        <f t="shared" si="9"/>
        <v>1800</v>
      </c>
      <c r="AH22" s="29">
        <f t="shared" si="43"/>
        <v>0</v>
      </c>
      <c r="AI22" s="29">
        <f t="shared" si="40"/>
        <v>148.125</v>
      </c>
      <c r="AJ22" s="13"/>
      <c r="AK22" s="29">
        <f t="shared" si="30"/>
        <v>19750</v>
      </c>
      <c r="AL22" s="29">
        <f t="shared" si="13"/>
        <v>1948.125</v>
      </c>
      <c r="AM22" s="29">
        <f t="shared" si="31"/>
        <v>17801.875</v>
      </c>
      <c r="AN22" s="33">
        <f t="shared" si="33"/>
        <v>17802</v>
      </c>
      <c r="AO22" s="29">
        <f t="shared" si="41"/>
        <v>641.875</v>
      </c>
      <c r="AP22" s="29">
        <f t="shared" si="32"/>
        <v>1800</v>
      </c>
      <c r="AQ22" s="13"/>
      <c r="AR22" s="29">
        <f t="shared" si="18"/>
        <v>22191.875</v>
      </c>
      <c r="AS22" s="29">
        <f>'Apr 2025'!AT22</f>
        <v>0</v>
      </c>
      <c r="AT22" s="29">
        <f t="shared" si="28"/>
        <v>0</v>
      </c>
      <c r="AU22" s="34"/>
      <c r="AV22" s="31">
        <f t="shared" si="34"/>
        <v>0</v>
      </c>
      <c r="AW22" s="79"/>
      <c r="AX22" s="79"/>
      <c r="AY22" s="75">
        <v>0</v>
      </c>
      <c r="AZ22" s="80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'Apr 2025'!O23</f>
        <v>3</v>
      </c>
      <c r="L23" s="101">
        <v>0</v>
      </c>
      <c r="M23" s="38">
        <v>2</v>
      </c>
      <c r="N23" s="24">
        <f t="shared" si="0"/>
        <v>0</v>
      </c>
      <c r="O23" s="24">
        <f t="shared" si="1"/>
        <v>1</v>
      </c>
      <c r="P23" s="24">
        <f t="shared" si="2"/>
        <v>31</v>
      </c>
      <c r="Q23" s="36">
        <v>15000</v>
      </c>
      <c r="R23" s="36">
        <v>2610</v>
      </c>
      <c r="S23" s="36">
        <v>870</v>
      </c>
      <c r="T23" s="36">
        <v>870</v>
      </c>
      <c r="U23" s="36">
        <v>675</v>
      </c>
      <c r="V23" s="36">
        <v>675</v>
      </c>
      <c r="W23" s="29">
        <f t="shared" si="3"/>
        <v>20700</v>
      </c>
      <c r="X23" s="30">
        <f t="shared" si="4"/>
        <v>15000</v>
      </c>
      <c r="Y23" s="30">
        <f t="shared" si="5"/>
        <v>2610</v>
      </c>
      <c r="Z23" s="30">
        <f t="shared" si="6"/>
        <v>870</v>
      </c>
      <c r="AA23" s="30">
        <f t="shared" si="7"/>
        <v>870</v>
      </c>
      <c r="AB23" s="82"/>
      <c r="AC23" s="82"/>
      <c r="AD23" s="12"/>
      <c r="AE23" s="10"/>
      <c r="AF23" s="31">
        <v>0</v>
      </c>
      <c r="AG23" s="29">
        <f t="shared" si="9"/>
        <v>1800</v>
      </c>
      <c r="AH23" s="29">
        <f t="shared" si="43"/>
        <v>0</v>
      </c>
      <c r="AI23" s="29">
        <f t="shared" si="40"/>
        <v>145.125</v>
      </c>
      <c r="AJ23" s="13"/>
      <c r="AK23" s="29">
        <f t="shared" si="30"/>
        <v>19350</v>
      </c>
      <c r="AL23" s="29">
        <f t="shared" si="13"/>
        <v>1945.125</v>
      </c>
      <c r="AM23" s="29">
        <f t="shared" si="31"/>
        <v>17404.875</v>
      </c>
      <c r="AN23" s="33">
        <f t="shared" si="33"/>
        <v>17405</v>
      </c>
      <c r="AO23" s="29">
        <f t="shared" si="41"/>
        <v>628.875</v>
      </c>
      <c r="AP23" s="29">
        <f t="shared" si="32"/>
        <v>1800</v>
      </c>
      <c r="AQ23" s="13"/>
      <c r="AR23" s="29">
        <f t="shared" si="18"/>
        <v>21778.875</v>
      </c>
      <c r="AS23" s="29">
        <f>'Apr 2025'!AT23</f>
        <v>0</v>
      </c>
      <c r="AT23" s="29">
        <f t="shared" si="28"/>
        <v>0</v>
      </c>
      <c r="AU23" s="34"/>
      <c r="AV23" s="31">
        <f t="shared" si="34"/>
        <v>0</v>
      </c>
      <c r="AW23" s="79"/>
      <c r="AX23" s="79"/>
      <c r="AY23" s="75">
        <v>0</v>
      </c>
      <c r="AZ23" s="80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'Apr 2025'!O24</f>
        <v>0</v>
      </c>
      <c r="L24" s="101">
        <v>0</v>
      </c>
      <c r="M24" s="38">
        <v>1</v>
      </c>
      <c r="N24" s="24">
        <f t="shared" si="0"/>
        <v>1</v>
      </c>
      <c r="O24" s="24">
        <f t="shared" si="1"/>
        <v>0</v>
      </c>
      <c r="P24" s="24">
        <f t="shared" si="2"/>
        <v>30</v>
      </c>
      <c r="Q24" s="86">
        <v>15000</v>
      </c>
      <c r="R24" s="86">
        <v>5000</v>
      </c>
      <c r="S24" s="86">
        <v>4000</v>
      </c>
      <c r="T24" s="86">
        <v>5000</v>
      </c>
      <c r="U24" s="86">
        <v>3000</v>
      </c>
      <c r="V24" s="86">
        <v>3000</v>
      </c>
      <c r="W24" s="83">
        <f t="shared" si="3"/>
        <v>35000</v>
      </c>
      <c r="X24" s="30">
        <f t="shared" si="4"/>
        <v>14516.129032258064</v>
      </c>
      <c r="Y24" s="30">
        <f t="shared" si="5"/>
        <v>4838.7096774193551</v>
      </c>
      <c r="Z24" s="30">
        <f t="shared" si="6"/>
        <v>3870.9677419354839</v>
      </c>
      <c r="AA24" s="30">
        <f t="shared" si="7"/>
        <v>4838.7096774193551</v>
      </c>
      <c r="AB24" s="77">
        <f>U24*1</f>
        <v>3000</v>
      </c>
      <c r="AC24" s="77">
        <f>V24*0.7</f>
        <v>2100</v>
      </c>
      <c r="AD24" s="12"/>
      <c r="AE24" s="10"/>
      <c r="AF24" s="31">
        <v>0</v>
      </c>
      <c r="AG24" s="29">
        <f t="shared" si="9"/>
        <v>1741.9354838709676</v>
      </c>
      <c r="AH24" s="29">
        <f t="shared" si="43"/>
        <v>200</v>
      </c>
      <c r="AI24" s="29">
        <f t="shared" si="40"/>
        <v>0</v>
      </c>
      <c r="AJ24" s="13"/>
      <c r="AK24" s="29">
        <f t="shared" si="30"/>
        <v>33164.516129032258</v>
      </c>
      <c r="AL24" s="29">
        <f t="shared" si="13"/>
        <v>1941.9354838709676</v>
      </c>
      <c r="AM24" s="29">
        <f t="shared" si="31"/>
        <v>31222.580645161292</v>
      </c>
      <c r="AN24" s="33">
        <f t="shared" si="33"/>
        <v>31223</v>
      </c>
      <c r="AO24" s="29">
        <f t="shared" si="41"/>
        <v>0</v>
      </c>
      <c r="AP24" s="29">
        <f t="shared" si="32"/>
        <v>1741.9354838709676</v>
      </c>
      <c r="AQ24" s="13"/>
      <c r="AR24" s="29">
        <f t="shared" si="18"/>
        <v>34906.451612903227</v>
      </c>
      <c r="AS24" s="29">
        <f>'Apr 2025'!AT24</f>
        <v>0</v>
      </c>
      <c r="AT24" s="29">
        <f t="shared" si="28"/>
        <v>0</v>
      </c>
      <c r="AU24" s="34"/>
      <c r="AV24" s="31">
        <f t="shared" si="34"/>
        <v>0</v>
      </c>
      <c r="AW24" s="79"/>
      <c r="AX24" s="79"/>
      <c r="AY24" s="75">
        <v>0</v>
      </c>
      <c r="AZ24" s="80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'Apr 2025'!O25</f>
        <v>4.5</v>
      </c>
      <c r="L25" s="101">
        <v>0</v>
      </c>
      <c r="M25" s="38">
        <v>3.5</v>
      </c>
      <c r="N25" s="24">
        <f t="shared" si="0"/>
        <v>0</v>
      </c>
      <c r="O25" s="24">
        <f t="shared" si="1"/>
        <v>1</v>
      </c>
      <c r="P25" s="24">
        <f t="shared" si="2"/>
        <v>31</v>
      </c>
      <c r="Q25" s="36">
        <v>15000</v>
      </c>
      <c r="R25" s="36">
        <v>2850</v>
      </c>
      <c r="S25" s="36">
        <v>950</v>
      </c>
      <c r="T25" s="36">
        <v>950</v>
      </c>
      <c r="U25" s="36">
        <v>1133</v>
      </c>
      <c r="V25" s="36">
        <v>1133</v>
      </c>
      <c r="W25" s="29">
        <f t="shared" si="3"/>
        <v>22016</v>
      </c>
      <c r="X25" s="30">
        <f t="shared" si="4"/>
        <v>15000</v>
      </c>
      <c r="Y25" s="30">
        <f t="shared" si="5"/>
        <v>2850</v>
      </c>
      <c r="Z25" s="30">
        <f t="shared" si="6"/>
        <v>950</v>
      </c>
      <c r="AA25" s="30">
        <f t="shared" si="7"/>
        <v>950</v>
      </c>
      <c r="AB25" s="82"/>
      <c r="AC25" s="82"/>
      <c r="AD25" s="12"/>
      <c r="AE25" s="10"/>
      <c r="AF25" s="31">
        <v>0</v>
      </c>
      <c r="AG25" s="29">
        <f t="shared" si="9"/>
        <v>1800</v>
      </c>
      <c r="AH25" s="29">
        <f t="shared" si="43"/>
        <v>0</v>
      </c>
      <c r="AI25" s="29">
        <f t="shared" si="40"/>
        <v>148.125</v>
      </c>
      <c r="AJ25" s="13"/>
      <c r="AK25" s="29">
        <f t="shared" si="30"/>
        <v>19750</v>
      </c>
      <c r="AL25" s="29">
        <f t="shared" si="13"/>
        <v>1948.125</v>
      </c>
      <c r="AM25" s="29">
        <f t="shared" si="31"/>
        <v>17801.875</v>
      </c>
      <c r="AN25" s="33">
        <f t="shared" si="33"/>
        <v>17802</v>
      </c>
      <c r="AO25" s="29">
        <f t="shared" si="41"/>
        <v>641.875</v>
      </c>
      <c r="AP25" s="29">
        <f t="shared" si="32"/>
        <v>1800</v>
      </c>
      <c r="AQ25" s="13"/>
      <c r="AR25" s="29">
        <f t="shared" si="18"/>
        <v>22191.875</v>
      </c>
      <c r="AS25" s="29">
        <f>'Apr 2025'!AT25</f>
        <v>0</v>
      </c>
      <c r="AT25" s="29">
        <f t="shared" si="28"/>
        <v>0</v>
      </c>
      <c r="AU25" s="34"/>
      <c r="AV25" s="31">
        <f t="shared" si="34"/>
        <v>0</v>
      </c>
      <c r="AW25" s="79"/>
      <c r="AX25" s="79"/>
      <c r="AY25" s="75">
        <v>0</v>
      </c>
      <c r="AZ25" s="80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'Apr 2025'!O26</f>
        <v>0</v>
      </c>
      <c r="L26" s="101">
        <v>0</v>
      </c>
      <c r="M26" s="38">
        <v>3</v>
      </c>
      <c r="N26" s="24">
        <f t="shared" si="0"/>
        <v>3</v>
      </c>
      <c r="O26" s="24">
        <f t="shared" si="1"/>
        <v>0</v>
      </c>
      <c r="P26" s="24">
        <f t="shared" si="2"/>
        <v>28</v>
      </c>
      <c r="Q26" s="36">
        <v>15000</v>
      </c>
      <c r="R26" s="36">
        <v>2550</v>
      </c>
      <c r="S26" s="36">
        <v>850</v>
      </c>
      <c r="T26" s="36">
        <v>850</v>
      </c>
      <c r="U26" s="36">
        <v>725</v>
      </c>
      <c r="V26" s="36">
        <v>725</v>
      </c>
      <c r="W26" s="29">
        <f t="shared" si="3"/>
        <v>20700</v>
      </c>
      <c r="X26" s="30">
        <f t="shared" si="4"/>
        <v>13548.387096774193</v>
      </c>
      <c r="Y26" s="30">
        <f t="shared" si="5"/>
        <v>2303.2258064516127</v>
      </c>
      <c r="Z26" s="30">
        <f t="shared" si="6"/>
        <v>767.74193548387098</v>
      </c>
      <c r="AA26" s="30">
        <f t="shared" si="7"/>
        <v>767.74193548387098</v>
      </c>
      <c r="AB26" s="82"/>
      <c r="AC26" s="82"/>
      <c r="AD26" s="12"/>
      <c r="AE26" s="10"/>
      <c r="AF26" s="31">
        <v>0</v>
      </c>
      <c r="AG26" s="29">
        <f t="shared" si="9"/>
        <v>1625.8064516129032</v>
      </c>
      <c r="AH26" s="29">
        <f t="shared" si="43"/>
        <v>0</v>
      </c>
      <c r="AI26" s="29">
        <f t="shared" si="40"/>
        <v>130.40322580645162</v>
      </c>
      <c r="AJ26" s="13"/>
      <c r="AK26" s="29">
        <f t="shared" si="30"/>
        <v>17387.096774193549</v>
      </c>
      <c r="AL26" s="29">
        <f t="shared" si="13"/>
        <v>1756.2096774193549</v>
      </c>
      <c r="AM26" s="29">
        <f t="shared" si="31"/>
        <v>15630.887096774195</v>
      </c>
      <c r="AN26" s="33">
        <f t="shared" si="33"/>
        <v>15631</v>
      </c>
      <c r="AO26" s="29">
        <f t="shared" si="41"/>
        <v>565.08064516129036</v>
      </c>
      <c r="AP26" s="29">
        <f t="shared" si="32"/>
        <v>1625.8064516129032</v>
      </c>
      <c r="AQ26" s="13"/>
      <c r="AR26" s="29">
        <f t="shared" si="18"/>
        <v>19577.983870967742</v>
      </c>
      <c r="AS26" s="29">
        <f>'Apr 2025'!AT26</f>
        <v>0</v>
      </c>
      <c r="AT26" s="29">
        <f t="shared" si="28"/>
        <v>0</v>
      </c>
      <c r="AU26" s="34"/>
      <c r="AV26" s="31">
        <f t="shared" si="34"/>
        <v>0</v>
      </c>
      <c r="AW26" s="79"/>
      <c r="AX26" s="79"/>
      <c r="AY26" s="75">
        <v>0</v>
      </c>
      <c r="AZ26" s="80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'Apr 2025'!O27</f>
        <v>2</v>
      </c>
      <c r="L27" s="101">
        <v>0</v>
      </c>
      <c r="M27" s="38">
        <v>3</v>
      </c>
      <c r="N27" s="24">
        <f t="shared" si="0"/>
        <v>1</v>
      </c>
      <c r="O27" s="24">
        <f t="shared" si="1"/>
        <v>0</v>
      </c>
      <c r="P27" s="24">
        <f t="shared" si="2"/>
        <v>30</v>
      </c>
      <c r="Q27" s="36">
        <v>15000</v>
      </c>
      <c r="R27" s="36">
        <v>2550</v>
      </c>
      <c r="S27" s="36">
        <v>850</v>
      </c>
      <c r="T27" s="36">
        <v>850</v>
      </c>
      <c r="U27" s="36">
        <v>725</v>
      </c>
      <c r="V27" s="36">
        <v>725</v>
      </c>
      <c r="W27" s="29">
        <f t="shared" si="3"/>
        <v>20700</v>
      </c>
      <c r="X27" s="30">
        <f t="shared" si="4"/>
        <v>14516.129032258064</v>
      </c>
      <c r="Y27" s="30">
        <f t="shared" si="5"/>
        <v>2467.7419354838712</v>
      </c>
      <c r="Z27" s="30">
        <f t="shared" si="6"/>
        <v>822.58064516129036</v>
      </c>
      <c r="AA27" s="30">
        <f t="shared" si="7"/>
        <v>822.58064516129036</v>
      </c>
      <c r="AB27" s="82"/>
      <c r="AC27" s="82"/>
      <c r="AD27" s="12"/>
      <c r="AE27" s="10"/>
      <c r="AF27" s="31">
        <v>0</v>
      </c>
      <c r="AG27" s="29">
        <f t="shared" si="9"/>
        <v>1741.9354838709676</v>
      </c>
      <c r="AH27" s="29">
        <f t="shared" si="43"/>
        <v>0</v>
      </c>
      <c r="AI27" s="29">
        <f t="shared" si="40"/>
        <v>139.71774193548387</v>
      </c>
      <c r="AJ27" s="13"/>
      <c r="AK27" s="29">
        <f t="shared" si="30"/>
        <v>18629.032258064519</v>
      </c>
      <c r="AL27" s="29">
        <f t="shared" si="13"/>
        <v>1881.6532258064515</v>
      </c>
      <c r="AM27" s="29">
        <f t="shared" si="31"/>
        <v>16747.379032258068</v>
      </c>
      <c r="AN27" s="33">
        <f t="shared" si="33"/>
        <v>16747</v>
      </c>
      <c r="AO27" s="29">
        <f t="shared" si="41"/>
        <v>605.44354838709671</v>
      </c>
      <c r="AP27" s="29">
        <f t="shared" si="32"/>
        <v>1741.9354838709676</v>
      </c>
      <c r="AQ27" s="13"/>
      <c r="AR27" s="29">
        <f t="shared" si="18"/>
        <v>20976.411290322583</v>
      </c>
      <c r="AS27" s="29">
        <f>'Apr 2025'!AT27</f>
        <v>0</v>
      </c>
      <c r="AT27" s="29">
        <f t="shared" si="28"/>
        <v>0</v>
      </c>
      <c r="AU27" s="34"/>
      <c r="AV27" s="31">
        <f t="shared" si="34"/>
        <v>0</v>
      </c>
      <c r="AW27" s="79"/>
      <c r="AX27" s="79"/>
      <c r="AY27" s="75">
        <v>0</v>
      </c>
      <c r="AZ27" s="80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'Apr 2025'!O28</f>
        <v>5.5</v>
      </c>
      <c r="L28" s="101">
        <v>0</v>
      </c>
      <c r="M28" s="38">
        <v>2.5</v>
      </c>
      <c r="N28" s="24">
        <f t="shared" si="0"/>
        <v>0</v>
      </c>
      <c r="O28" s="24">
        <f t="shared" si="1"/>
        <v>3</v>
      </c>
      <c r="P28" s="24">
        <f t="shared" si="2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</v>
      </c>
      <c r="Z28" s="30">
        <f t="shared" si="6"/>
        <v>4000</v>
      </c>
      <c r="AA28" s="30">
        <f t="shared" si="7"/>
        <v>4000</v>
      </c>
      <c r="AB28" s="77">
        <f>U28*1</f>
        <v>3000</v>
      </c>
      <c r="AC28" s="77">
        <f>V28*0.7</f>
        <v>2100</v>
      </c>
      <c r="AD28" s="12"/>
      <c r="AE28" s="10"/>
      <c r="AF28" s="31">
        <v>0</v>
      </c>
      <c r="AG28" s="29">
        <f t="shared" si="9"/>
        <v>1800</v>
      </c>
      <c r="AH28" s="29">
        <f t="shared" si="43"/>
        <v>200</v>
      </c>
      <c r="AI28" s="29">
        <f t="shared" si="40"/>
        <v>0</v>
      </c>
      <c r="AJ28" s="13"/>
      <c r="AK28" s="29">
        <f t="shared" si="30"/>
        <v>32100</v>
      </c>
      <c r="AL28" s="29">
        <f t="shared" si="13"/>
        <v>2000</v>
      </c>
      <c r="AM28" s="29">
        <f t="shared" si="31"/>
        <v>30100</v>
      </c>
      <c r="AN28" s="33">
        <f t="shared" si="33"/>
        <v>30100</v>
      </c>
      <c r="AO28" s="29">
        <f t="shared" si="41"/>
        <v>0</v>
      </c>
      <c r="AP28" s="29">
        <f t="shared" si="32"/>
        <v>1800</v>
      </c>
      <c r="AQ28" s="13"/>
      <c r="AR28" s="29">
        <f t="shared" si="18"/>
        <v>33900</v>
      </c>
      <c r="AS28" s="32">
        <v>200000</v>
      </c>
      <c r="AT28" s="29">
        <f t="shared" si="28"/>
        <v>100000</v>
      </c>
      <c r="AU28" s="34"/>
      <c r="AV28" s="31">
        <f t="shared" si="34"/>
        <v>0</v>
      </c>
      <c r="AW28" s="79"/>
      <c r="AX28" s="79"/>
      <c r="AY28" s="103">
        <v>100000</v>
      </c>
      <c r="AZ28" s="80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'Apr 2025'!O29</f>
        <v>5.5</v>
      </c>
      <c r="L29" s="101">
        <v>0</v>
      </c>
      <c r="M29" s="38">
        <v>3</v>
      </c>
      <c r="N29" s="24">
        <f t="shared" si="0"/>
        <v>0</v>
      </c>
      <c r="O29" s="24">
        <f t="shared" si="1"/>
        <v>2.5</v>
      </c>
      <c r="P29" s="24">
        <f t="shared" si="2"/>
        <v>31</v>
      </c>
      <c r="Q29" s="36">
        <v>15000</v>
      </c>
      <c r="R29" s="36">
        <v>2000</v>
      </c>
      <c r="S29" s="36">
        <v>0</v>
      </c>
      <c r="T29" s="36">
        <v>0</v>
      </c>
      <c r="U29" s="36">
        <v>1000</v>
      </c>
      <c r="V29" s="36">
        <v>1000</v>
      </c>
      <c r="W29" s="29">
        <f t="shared" si="3"/>
        <v>19000</v>
      </c>
      <c r="X29" s="30">
        <f t="shared" si="4"/>
        <v>15000</v>
      </c>
      <c r="Y29" s="30">
        <f t="shared" si="5"/>
        <v>2000</v>
      </c>
      <c r="Z29" s="30">
        <f t="shared" si="6"/>
        <v>0</v>
      </c>
      <c r="AA29" s="30">
        <f t="shared" si="7"/>
        <v>0</v>
      </c>
      <c r="AB29" s="82"/>
      <c r="AC29" s="82"/>
      <c r="AD29" s="12"/>
      <c r="AE29" s="10"/>
      <c r="AF29" s="31">
        <v>0</v>
      </c>
      <c r="AG29" s="29">
        <f t="shared" si="9"/>
        <v>1800</v>
      </c>
      <c r="AH29" s="29">
        <f t="shared" si="43"/>
        <v>0</v>
      </c>
      <c r="AI29" s="29">
        <f t="shared" si="40"/>
        <v>127.5</v>
      </c>
      <c r="AJ29" s="13"/>
      <c r="AK29" s="29">
        <f t="shared" si="30"/>
        <v>17000</v>
      </c>
      <c r="AL29" s="29">
        <f t="shared" si="13"/>
        <v>1927.5</v>
      </c>
      <c r="AM29" s="29">
        <f t="shared" si="31"/>
        <v>15072.5</v>
      </c>
      <c r="AN29" s="33">
        <f t="shared" si="33"/>
        <v>15073</v>
      </c>
      <c r="AO29" s="29">
        <f t="shared" si="41"/>
        <v>552.5</v>
      </c>
      <c r="AP29" s="29">
        <f t="shared" si="32"/>
        <v>1800</v>
      </c>
      <c r="AQ29" s="13"/>
      <c r="AR29" s="29">
        <f t="shared" si="18"/>
        <v>19352.5</v>
      </c>
      <c r="AS29" s="29">
        <f>'Apr 2025'!AT29</f>
        <v>0</v>
      </c>
      <c r="AT29" s="29">
        <f t="shared" ref="AT29:AT33" si="44">AS29+AD29-AJ29</f>
        <v>0</v>
      </c>
      <c r="AU29" s="34"/>
      <c r="AV29" s="31">
        <f t="shared" si="34"/>
        <v>0</v>
      </c>
      <c r="AW29" s="79"/>
      <c r="AX29" s="79"/>
      <c r="AY29" s="75">
        <v>0</v>
      </c>
      <c r="AZ29" s="80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'Apr 2025'!O30</f>
        <v>4.5</v>
      </c>
      <c r="L30" s="101">
        <v>0</v>
      </c>
      <c r="M30" s="38">
        <v>2</v>
      </c>
      <c r="N30" s="24">
        <f t="shared" si="0"/>
        <v>0</v>
      </c>
      <c r="O30" s="24">
        <f t="shared" si="1"/>
        <v>2.5</v>
      </c>
      <c r="P30" s="24">
        <f t="shared" si="2"/>
        <v>31</v>
      </c>
      <c r="Q30" s="36">
        <v>15000</v>
      </c>
      <c r="R30" s="36">
        <v>1800</v>
      </c>
      <c r="S30" s="36">
        <v>0</v>
      </c>
      <c r="T30" s="36">
        <v>0</v>
      </c>
      <c r="U30" s="36">
        <v>1000</v>
      </c>
      <c r="V30" s="36">
        <v>1000</v>
      </c>
      <c r="W30" s="29">
        <f t="shared" si="3"/>
        <v>18800</v>
      </c>
      <c r="X30" s="30">
        <f t="shared" si="4"/>
        <v>15000</v>
      </c>
      <c r="Y30" s="30">
        <f t="shared" si="5"/>
        <v>1800</v>
      </c>
      <c r="Z30" s="30">
        <f t="shared" si="6"/>
        <v>0</v>
      </c>
      <c r="AA30" s="30">
        <f t="shared" si="7"/>
        <v>0</v>
      </c>
      <c r="AB30" s="82"/>
      <c r="AC30" s="82"/>
      <c r="AD30" s="12"/>
      <c r="AE30" s="10"/>
      <c r="AF30" s="31">
        <v>0</v>
      </c>
      <c r="AG30" s="29">
        <f t="shared" si="9"/>
        <v>1800</v>
      </c>
      <c r="AH30" s="29">
        <f t="shared" si="43"/>
        <v>0</v>
      </c>
      <c r="AI30" s="29">
        <f t="shared" si="40"/>
        <v>126</v>
      </c>
      <c r="AJ30" s="13"/>
      <c r="AK30" s="29">
        <f t="shared" si="30"/>
        <v>16800</v>
      </c>
      <c r="AL30" s="29">
        <f t="shared" si="13"/>
        <v>1926</v>
      </c>
      <c r="AM30" s="29">
        <f t="shared" si="31"/>
        <v>14874</v>
      </c>
      <c r="AN30" s="33">
        <f t="shared" si="33"/>
        <v>14874</v>
      </c>
      <c r="AO30" s="29">
        <f t="shared" si="41"/>
        <v>546</v>
      </c>
      <c r="AP30" s="29">
        <f t="shared" si="32"/>
        <v>1800</v>
      </c>
      <c r="AQ30" s="13"/>
      <c r="AR30" s="29">
        <f t="shared" si="18"/>
        <v>19146</v>
      </c>
      <c r="AS30" s="29">
        <f>'Apr 2025'!AT30</f>
        <v>0</v>
      </c>
      <c r="AT30" s="29">
        <f t="shared" si="44"/>
        <v>0</v>
      </c>
      <c r="AU30" s="34"/>
      <c r="AV30" s="31">
        <f t="shared" si="34"/>
        <v>0</v>
      </c>
      <c r="AW30" s="79"/>
      <c r="AX30" s="79"/>
      <c r="AY30" s="75">
        <v>0</v>
      </c>
      <c r="AZ30" s="80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'Apr 2025'!O31</f>
        <v>4.5</v>
      </c>
      <c r="L31" s="101">
        <v>0</v>
      </c>
      <c r="M31" s="38">
        <v>1</v>
      </c>
      <c r="N31" s="24">
        <f t="shared" si="0"/>
        <v>0</v>
      </c>
      <c r="O31" s="24">
        <f t="shared" si="1"/>
        <v>3.5</v>
      </c>
      <c r="P31" s="24">
        <f t="shared" si="2"/>
        <v>31</v>
      </c>
      <c r="Q31" s="36">
        <v>15000</v>
      </c>
      <c r="R31" s="36">
        <v>1800</v>
      </c>
      <c r="S31" s="36">
        <v>0</v>
      </c>
      <c r="T31" s="36">
        <v>0</v>
      </c>
      <c r="U31" s="36">
        <v>1000</v>
      </c>
      <c r="V31" s="36">
        <v>1000</v>
      </c>
      <c r="W31" s="29">
        <f t="shared" si="3"/>
        <v>18800</v>
      </c>
      <c r="X31" s="30">
        <f t="shared" si="4"/>
        <v>15000</v>
      </c>
      <c r="Y31" s="30">
        <f t="shared" si="5"/>
        <v>1800</v>
      </c>
      <c r="Z31" s="30">
        <f t="shared" si="6"/>
        <v>0</v>
      </c>
      <c r="AA31" s="30">
        <f t="shared" si="7"/>
        <v>0</v>
      </c>
      <c r="AB31" s="82"/>
      <c r="AC31" s="82"/>
      <c r="AD31" s="12"/>
      <c r="AE31" s="10"/>
      <c r="AF31" s="31">
        <v>0</v>
      </c>
      <c r="AG31" s="29">
        <f t="shared" si="9"/>
        <v>1800</v>
      </c>
      <c r="AH31" s="29">
        <f t="shared" si="43"/>
        <v>0</v>
      </c>
      <c r="AI31" s="29">
        <f t="shared" si="40"/>
        <v>126</v>
      </c>
      <c r="AJ31" s="13"/>
      <c r="AK31" s="29">
        <f t="shared" si="30"/>
        <v>16800</v>
      </c>
      <c r="AL31" s="29">
        <f t="shared" si="13"/>
        <v>1926</v>
      </c>
      <c r="AM31" s="29">
        <f t="shared" si="31"/>
        <v>14874</v>
      </c>
      <c r="AN31" s="33">
        <f t="shared" si="33"/>
        <v>14874</v>
      </c>
      <c r="AO31" s="29">
        <f t="shared" si="41"/>
        <v>546</v>
      </c>
      <c r="AP31" s="29">
        <f t="shared" si="32"/>
        <v>1800</v>
      </c>
      <c r="AQ31" s="13"/>
      <c r="AR31" s="29">
        <f t="shared" si="18"/>
        <v>19146</v>
      </c>
      <c r="AS31" s="29">
        <f>'Apr 2025'!AT31</f>
        <v>0</v>
      </c>
      <c r="AT31" s="29">
        <f t="shared" si="44"/>
        <v>0</v>
      </c>
      <c r="AU31" s="34"/>
      <c r="AV31" s="31">
        <f t="shared" si="34"/>
        <v>0</v>
      </c>
      <c r="AW31" s="79"/>
      <c r="AX31" s="79"/>
      <c r="AY31" s="75">
        <v>0</v>
      </c>
      <c r="AZ31" s="80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90">
        <v>21</v>
      </c>
      <c r="J32" s="100">
        <v>11</v>
      </c>
      <c r="K32" s="71">
        <f>'Apr 2025'!O32</f>
        <v>1</v>
      </c>
      <c r="L32" s="101">
        <v>1</v>
      </c>
      <c r="M32" s="104">
        <v>0</v>
      </c>
      <c r="N32" s="71">
        <f t="shared" si="0"/>
        <v>0</v>
      </c>
      <c r="O32" s="71">
        <f t="shared" si="1"/>
        <v>2</v>
      </c>
      <c r="P32" s="71">
        <f t="shared" si="2"/>
        <v>11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47142.857142857138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10"/>
      <c r="AF32" s="77">
        <v>0</v>
      </c>
      <c r="AG32" s="75">
        <v>0</v>
      </c>
      <c r="AH32" s="75">
        <v>0</v>
      </c>
      <c r="AI32" s="29">
        <f t="shared" si="40"/>
        <v>0</v>
      </c>
      <c r="AJ32" s="13"/>
      <c r="AK32" s="75">
        <f t="shared" si="30"/>
        <v>47142.857142857138</v>
      </c>
      <c r="AL32" s="75">
        <f t="shared" si="13"/>
        <v>4714.2857142857138</v>
      </c>
      <c r="AM32" s="75">
        <f t="shared" si="31"/>
        <v>47142.857142857138</v>
      </c>
      <c r="AN32" s="78">
        <f t="shared" si="33"/>
        <v>42428.71428571429</v>
      </c>
      <c r="AO32" s="75">
        <f t="shared" si="41"/>
        <v>0</v>
      </c>
      <c r="AP32" s="75">
        <f t="shared" si="32"/>
        <v>0</v>
      </c>
      <c r="AQ32" s="13"/>
      <c r="AR32" s="75">
        <f t="shared" si="18"/>
        <v>47142.857142857138</v>
      </c>
      <c r="AS32" s="29">
        <f>'Apr 2025'!AT32</f>
        <v>0</v>
      </c>
      <c r="AT32" s="75">
        <f t="shared" si="44"/>
        <v>0</v>
      </c>
      <c r="AU32" s="92">
        <f>(0.1*AK32)</f>
        <v>4714.2857142857138</v>
      </c>
      <c r="AV32" s="77">
        <f t="shared" si="34"/>
        <v>0</v>
      </c>
      <c r="AW32" s="93">
        <f>AU32+'Apr 2025'!AU32</f>
        <v>10714.285714285714</v>
      </c>
      <c r="AX32" s="64"/>
      <c r="AY32" s="75">
        <v>0</v>
      </c>
      <c r="AZ32" s="80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5">
        <v>31</v>
      </c>
      <c r="J33" s="105">
        <v>31</v>
      </c>
      <c r="K33" s="71">
        <f>'Apr 2025'!O33</f>
        <v>2</v>
      </c>
      <c r="L33" s="101">
        <v>0</v>
      </c>
      <c r="M33" s="104">
        <v>3</v>
      </c>
      <c r="N33" s="71">
        <f t="shared" si="0"/>
        <v>1</v>
      </c>
      <c r="O33" s="71">
        <f t="shared" si="1"/>
        <v>0</v>
      </c>
      <c r="P33" s="71">
        <f t="shared" si="2"/>
        <v>30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14516.129032258064</v>
      </c>
      <c r="Y33" s="76">
        <f t="shared" si="5"/>
        <v>1451.6129032258066</v>
      </c>
      <c r="Z33" s="76">
        <f t="shared" si="6"/>
        <v>0</v>
      </c>
      <c r="AA33" s="76">
        <f t="shared" si="7"/>
        <v>0</v>
      </c>
      <c r="AB33" s="82"/>
      <c r="AC33" s="82"/>
      <c r="AD33" s="12"/>
      <c r="AE33" s="10"/>
      <c r="AF33" s="77">
        <v>0</v>
      </c>
      <c r="AG33" s="29">
        <f>IF(X33&gt;15000,(15000 * 12%),X33*0.12)</f>
        <v>1741.9354838709676</v>
      </c>
      <c r="AH33" s="29">
        <f>IF(SUM(X33:AA33)&gt;=25000, 200, 0)</f>
        <v>0</v>
      </c>
      <c r="AI33" s="29">
        <f t="shared" si="40"/>
        <v>119.75806451612902</v>
      </c>
      <c r="AJ33" s="13"/>
      <c r="AK33" s="75">
        <f t="shared" si="30"/>
        <v>15967.741935483871</v>
      </c>
      <c r="AL33" s="75">
        <f t="shared" si="13"/>
        <v>1861.6935483870966</v>
      </c>
      <c r="AM33" s="75">
        <f t="shared" si="31"/>
        <v>14106.048387096775</v>
      </c>
      <c r="AN33" s="78">
        <f t="shared" si="33"/>
        <v>14106</v>
      </c>
      <c r="AO33" s="75">
        <v>0</v>
      </c>
      <c r="AP33" s="75">
        <v>0</v>
      </c>
      <c r="AQ33" s="13"/>
      <c r="AR33" s="75">
        <f t="shared" si="18"/>
        <v>15967.741935483871</v>
      </c>
      <c r="AS33" s="29">
        <f>'Apr 2025'!AT33</f>
        <v>0</v>
      </c>
      <c r="AT33" s="75">
        <f t="shared" si="44"/>
        <v>0</v>
      </c>
      <c r="AU33" s="34"/>
      <c r="AV33" s="77">
        <v>0</v>
      </c>
      <c r="AW33" s="79"/>
      <c r="AX33" s="64"/>
      <c r="AY33" s="94">
        <v>0</v>
      </c>
      <c r="AZ33" s="80" t="s">
        <v>165</v>
      </c>
    </row>
    <row r="34" spans="1:52" ht="14.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5"/>
      <c r="AO34" s="95"/>
      <c r="AP34" s="6"/>
      <c r="AQ34" s="6"/>
      <c r="AR34" s="6"/>
      <c r="AS34" s="6"/>
      <c r="AT34" s="6"/>
      <c r="AU34" s="6"/>
      <c r="AV34" s="7"/>
      <c r="AW34" s="96"/>
      <c r="AX34" s="96"/>
      <c r="AY34" s="97"/>
      <c r="AZ34" s="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3.2" x14ac:dyDescent="0.25">
      <c r="I995" s="98"/>
      <c r="J995" s="98"/>
      <c r="K995" s="99"/>
      <c r="L995" s="99"/>
      <c r="M995" s="98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45809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7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30</v>
      </c>
      <c r="J3" s="100">
        <v>30</v>
      </c>
      <c r="K3" s="71">
        <f>'May 2025'!O3</f>
        <v>11</v>
      </c>
      <c r="L3" s="101">
        <v>0</v>
      </c>
      <c r="M3" s="73">
        <v>0</v>
      </c>
      <c r="N3" s="71">
        <f t="shared" ref="N3:N33" si="0">IF(K3+L3-M3 &gt;= 0,0,M3-(K3+L3))</f>
        <v>0</v>
      </c>
      <c r="O3" s="71">
        <f t="shared" ref="O3:O33" si="1">IF(K3+L3-M3&gt;0,K3+L3-M3,0)</f>
        <v>11</v>
      </c>
      <c r="P3" s="71">
        <f t="shared" ref="P3:P33" si="2">J3-N3</f>
        <v>30</v>
      </c>
      <c r="Q3" s="74">
        <v>30000</v>
      </c>
      <c r="R3" s="74">
        <v>12500</v>
      </c>
      <c r="S3" s="74">
        <v>5000</v>
      </c>
      <c r="T3" s="74">
        <v>7500</v>
      </c>
      <c r="U3" s="74">
        <v>0</v>
      </c>
      <c r="V3" s="74">
        <v>40000</v>
      </c>
      <c r="W3" s="75">
        <f t="shared" ref="W3:W33" si="3">SUM(Q3:V3)</f>
        <v>95000</v>
      </c>
      <c r="X3" s="76">
        <f t="shared" ref="X3:X33" si="4">(Q3/I3*(J3)) * (1-N3/J3)</f>
        <v>30000</v>
      </c>
      <c r="Y3" s="76">
        <f t="shared" ref="Y3:Y33" si="5">(R3/I3*(J3)) * (1-N3/J3)</f>
        <v>12500</v>
      </c>
      <c r="Z3" s="76">
        <f t="shared" ref="Z3:Z33" si="6">(S3/I3*(J3)) * (1-N3/J3)</f>
        <v>5000</v>
      </c>
      <c r="AA3" s="76">
        <f t="shared" ref="AA3:AA33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83000</v>
      </c>
      <c r="AL3" s="75">
        <f t="shared" ref="AL3:AL33" si="13">SUM(AG3:AJ3)+AU3</f>
        <v>2000</v>
      </c>
      <c r="AM3" s="75">
        <f t="shared" ref="AM3:AM4" si="14">SUM(X3:AF3)-SUM(AG3:AJ3)</f>
        <v>81000</v>
      </c>
      <c r="AN3" s="78">
        <f t="shared" ref="AN3:AN4" si="15">ROUND(AM3-AF3,0)+AV3-AU3</f>
        <v>81000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84800</v>
      </c>
      <c r="AS3" s="29">
        <f>'May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80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30</v>
      </c>
      <c r="J4" s="100">
        <v>30</v>
      </c>
      <c r="K4" s="71">
        <f>'May 2025'!O4</f>
        <v>11</v>
      </c>
      <c r="L4" s="101">
        <v>0</v>
      </c>
      <c r="M4" s="73">
        <v>0</v>
      </c>
      <c r="N4" s="71">
        <f t="shared" si="0"/>
        <v>0</v>
      </c>
      <c r="O4" s="71">
        <f t="shared" si="1"/>
        <v>11</v>
      </c>
      <c r="P4" s="71">
        <f t="shared" si="2"/>
        <v>30</v>
      </c>
      <c r="Q4" s="74">
        <v>30000</v>
      </c>
      <c r="R4" s="74">
        <v>12500</v>
      </c>
      <c r="S4" s="74">
        <v>5000</v>
      </c>
      <c r="T4" s="74">
        <v>7500</v>
      </c>
      <c r="U4" s="74">
        <v>0</v>
      </c>
      <c r="V4" s="74">
        <v>40000</v>
      </c>
      <c r="W4" s="75">
        <f t="shared" si="3"/>
        <v>95000</v>
      </c>
      <c r="X4" s="76">
        <f t="shared" si="4"/>
        <v>30000</v>
      </c>
      <c r="Y4" s="76">
        <f t="shared" si="5"/>
        <v>12500</v>
      </c>
      <c r="Z4" s="76">
        <f t="shared" si="6"/>
        <v>5000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83000</v>
      </c>
      <c r="AL4" s="75">
        <f t="shared" si="13"/>
        <v>2000</v>
      </c>
      <c r="AM4" s="75">
        <f t="shared" si="14"/>
        <v>81000</v>
      </c>
      <c r="AN4" s="78">
        <f t="shared" si="15"/>
        <v>81000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84800</v>
      </c>
      <c r="AS4" s="29">
        <f>'May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80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30</v>
      </c>
      <c r="J5" s="100">
        <v>30</v>
      </c>
      <c r="K5" s="71">
        <f>'May 2025'!O5</f>
        <v>1.5</v>
      </c>
      <c r="L5" s="101">
        <v>0</v>
      </c>
      <c r="M5" s="38">
        <v>0</v>
      </c>
      <c r="N5" s="24">
        <f t="shared" si="0"/>
        <v>0</v>
      </c>
      <c r="O5" s="24">
        <f t="shared" si="1"/>
        <v>1.5</v>
      </c>
      <c r="P5" s="24">
        <f t="shared" si="2"/>
        <v>30</v>
      </c>
      <c r="Q5" s="29">
        <v>15000</v>
      </c>
      <c r="R5" s="29">
        <v>3540</v>
      </c>
      <c r="S5" s="29">
        <v>1180</v>
      </c>
      <c r="T5" s="29">
        <v>1180</v>
      </c>
      <c r="U5" s="29">
        <v>2123</v>
      </c>
      <c r="V5" s="29">
        <v>2123</v>
      </c>
      <c r="W5" s="29">
        <f t="shared" si="3"/>
        <v>25146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>
        <f>U5*0.9*3</f>
        <v>5732.1</v>
      </c>
      <c r="AC5" s="106">
        <f t="shared" ref="AC5:AC7" si="22">ROUND(V5*0.7*3, 0)</f>
        <v>4458</v>
      </c>
      <c r="AD5" s="9">
        <v>0</v>
      </c>
      <c r="AE5" s="10">
        <f>(3*400)+(3*600)</f>
        <v>3000</v>
      </c>
      <c r="AF5" s="42">
        <v>2277</v>
      </c>
      <c r="AG5" s="29">
        <f t="shared" si="9"/>
        <v>1800</v>
      </c>
      <c r="AH5" s="29">
        <f t="shared" ref="AH5:AH9" si="23">IF(SUM(X5:AA5)&gt;=25000, 200, 0)</f>
        <v>0</v>
      </c>
      <c r="AI5" s="29">
        <f t="shared" ref="AI5:AI6" si="24">IF(SUM(Q5:T5) &lt; 21000, SUM(X5:AA5)*0.75%, 0)</f>
        <v>156.75</v>
      </c>
      <c r="AJ5" s="29">
        <v>3000</v>
      </c>
      <c r="AK5" s="29">
        <f t="shared" ref="AK5:AK6" si="25">SUM(X5:AF5)-AD5</f>
        <v>36367.1</v>
      </c>
      <c r="AL5" s="29">
        <f t="shared" si="13"/>
        <v>4956.75</v>
      </c>
      <c r="AM5" s="29">
        <f t="shared" ref="AM5:AM6" si="26">SUM(X5:AF5)-SUM(AG5:AJ5)-AD5</f>
        <v>31410.35</v>
      </c>
      <c r="AN5" s="78">
        <f t="shared" ref="AN5:AN7" si="27">ROUND(AM5-AF5,0)-AU5</f>
        <v>29133</v>
      </c>
      <c r="AO5" s="29">
        <f t="shared" si="16"/>
        <v>679.25</v>
      </c>
      <c r="AP5" s="29">
        <f t="shared" ref="AP5:AP6" si="28">AG5/0.12*0.13</f>
        <v>1950</v>
      </c>
      <c r="AQ5" s="34"/>
      <c r="AR5" s="29">
        <f t="shared" si="18"/>
        <v>38996.35</v>
      </c>
      <c r="AS5" s="29">
        <f>'May 2025'!AT5</f>
        <v>157000</v>
      </c>
      <c r="AT5" s="29">
        <f t="shared" ref="AT5:AT28" si="29">AS5+AD5-AJ5-AY5</f>
        <v>154000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80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30</v>
      </c>
      <c r="J6" s="100">
        <v>30</v>
      </c>
      <c r="K6" s="71">
        <f>'May 2025'!O6</f>
        <v>3</v>
      </c>
      <c r="L6" s="101">
        <v>0</v>
      </c>
      <c r="M6" s="38">
        <v>0</v>
      </c>
      <c r="N6" s="24">
        <f t="shared" si="0"/>
        <v>0</v>
      </c>
      <c r="O6" s="24">
        <f t="shared" si="1"/>
        <v>3</v>
      </c>
      <c r="P6" s="24">
        <f t="shared" si="2"/>
        <v>30</v>
      </c>
      <c r="Q6" s="29">
        <v>15000</v>
      </c>
      <c r="R6" s="29">
        <v>3540</v>
      </c>
      <c r="S6" s="29">
        <v>1180</v>
      </c>
      <c r="T6" s="29">
        <v>1180</v>
      </c>
      <c r="U6" s="29">
        <v>2668</v>
      </c>
      <c r="V6" s="29">
        <v>2668</v>
      </c>
      <c r="W6" s="29">
        <f t="shared" si="3"/>
        <v>26236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>
        <f>U6*1*3</f>
        <v>8004</v>
      </c>
      <c r="AC6" s="106">
        <f t="shared" si="22"/>
        <v>5603</v>
      </c>
      <c r="AD6" s="9">
        <v>0</v>
      </c>
      <c r="AE6" s="10">
        <f>(5*400)+(5*600)</f>
        <v>5000</v>
      </c>
      <c r="AF6" s="42">
        <v>2390</v>
      </c>
      <c r="AG6" s="29">
        <f t="shared" si="9"/>
        <v>1800</v>
      </c>
      <c r="AH6" s="29">
        <f t="shared" si="23"/>
        <v>0</v>
      </c>
      <c r="AI6" s="29">
        <f t="shared" si="24"/>
        <v>156.75</v>
      </c>
      <c r="AJ6" s="32">
        <v>0</v>
      </c>
      <c r="AK6" s="29">
        <f t="shared" si="25"/>
        <v>41897</v>
      </c>
      <c r="AL6" s="29">
        <f t="shared" si="13"/>
        <v>1956.75</v>
      </c>
      <c r="AM6" s="29">
        <f t="shared" si="26"/>
        <v>39940.25</v>
      </c>
      <c r="AN6" s="78">
        <f t="shared" si="27"/>
        <v>37550</v>
      </c>
      <c r="AO6" s="29">
        <f t="shared" si="16"/>
        <v>679.25</v>
      </c>
      <c r="AP6" s="29">
        <f t="shared" si="28"/>
        <v>1950</v>
      </c>
      <c r="AQ6" s="34"/>
      <c r="AR6" s="29">
        <f t="shared" si="18"/>
        <v>44526.25</v>
      </c>
      <c r="AS6" s="29">
        <f>'May 2025'!AT6</f>
        <v>0</v>
      </c>
      <c r="AT6" s="29">
        <f t="shared" si="29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80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30</v>
      </c>
      <c r="J7" s="100">
        <v>30</v>
      </c>
      <c r="K7" s="71">
        <f>'May 2025'!O7</f>
        <v>2</v>
      </c>
      <c r="L7" s="101">
        <v>0</v>
      </c>
      <c r="M7" s="38">
        <v>1</v>
      </c>
      <c r="N7" s="24">
        <f t="shared" si="0"/>
        <v>0</v>
      </c>
      <c r="O7" s="24">
        <f t="shared" si="1"/>
        <v>1</v>
      </c>
      <c r="P7" s="24">
        <f t="shared" si="2"/>
        <v>30</v>
      </c>
      <c r="Q7" s="29">
        <v>15000</v>
      </c>
      <c r="R7" s="29">
        <v>2388</v>
      </c>
      <c r="S7" s="29">
        <v>796</v>
      </c>
      <c r="T7" s="29">
        <v>796</v>
      </c>
      <c r="U7" s="29">
        <v>500</v>
      </c>
      <c r="V7" s="29">
        <v>500</v>
      </c>
      <c r="W7" s="29">
        <f t="shared" si="3"/>
        <v>19980</v>
      </c>
      <c r="X7" s="30">
        <f t="shared" si="4"/>
        <v>15000</v>
      </c>
      <c r="Y7" s="30">
        <f t="shared" si="5"/>
        <v>2388</v>
      </c>
      <c r="Z7" s="30">
        <f t="shared" si="6"/>
        <v>796</v>
      </c>
      <c r="AA7" s="30">
        <f t="shared" si="7"/>
        <v>796</v>
      </c>
      <c r="AB7" s="91">
        <f>U7*0.9*3</f>
        <v>1350</v>
      </c>
      <c r="AC7" s="106">
        <f t="shared" si="22"/>
        <v>1050</v>
      </c>
      <c r="AD7" s="10"/>
      <c r="AE7" s="10">
        <f>(3*400)+(3*600)</f>
        <v>3000</v>
      </c>
      <c r="AF7" s="42">
        <v>1823</v>
      </c>
      <c r="AG7" s="29">
        <f t="shared" si="9"/>
        <v>1800</v>
      </c>
      <c r="AH7" s="29">
        <f t="shared" si="23"/>
        <v>0</v>
      </c>
      <c r="AI7" s="29">
        <f t="shared" ref="AI7:AI9" si="30">IF(SUM(Q7:T7) &lt; 21000, SUM(X7:AA7)*0.0075, 0)</f>
        <v>142.35</v>
      </c>
      <c r="AJ7" s="32">
        <v>0</v>
      </c>
      <c r="AK7" s="29">
        <f t="shared" ref="AK7:AK33" si="31">SUM(X7:AF7)</f>
        <v>26203</v>
      </c>
      <c r="AL7" s="29">
        <f t="shared" si="13"/>
        <v>1942.35</v>
      </c>
      <c r="AM7" s="29">
        <f t="shared" ref="AM7:AM33" si="32">SUM(X7:AF7)-SUM(AG7:AJ7)</f>
        <v>24260.65</v>
      </c>
      <c r="AN7" s="78">
        <f t="shared" si="27"/>
        <v>22438</v>
      </c>
      <c r="AO7" s="29">
        <f t="shared" si="16"/>
        <v>616.85</v>
      </c>
      <c r="AP7" s="29">
        <f t="shared" ref="AP7:AP32" si="33">AG7</f>
        <v>1800</v>
      </c>
      <c r="AQ7" s="34"/>
      <c r="AR7" s="29">
        <f t="shared" si="18"/>
        <v>28619.85</v>
      </c>
      <c r="AS7" s="29">
        <f>'May 2025'!AT7</f>
        <v>0</v>
      </c>
      <c r="AT7" s="29">
        <f t="shared" si="29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80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30</v>
      </c>
      <c r="J8" s="100">
        <v>30</v>
      </c>
      <c r="K8" s="71">
        <f>'May 2025'!O8</f>
        <v>0</v>
      </c>
      <c r="L8" s="101">
        <v>0</v>
      </c>
      <c r="M8" s="38">
        <v>1</v>
      </c>
      <c r="N8" s="24">
        <f t="shared" si="0"/>
        <v>1</v>
      </c>
      <c r="O8" s="24">
        <f t="shared" si="1"/>
        <v>0</v>
      </c>
      <c r="P8" s="24">
        <f t="shared" si="2"/>
        <v>29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14500</v>
      </c>
      <c r="Y8" s="30">
        <f t="shared" si="5"/>
        <v>6766.666666666667</v>
      </c>
      <c r="Z8" s="30">
        <f t="shared" si="6"/>
        <v>5800</v>
      </c>
      <c r="AA8" s="30">
        <f t="shared" si="7"/>
        <v>4833.333333333333</v>
      </c>
      <c r="AB8" s="77">
        <f>U8*1</f>
        <v>5000</v>
      </c>
      <c r="AC8" s="77">
        <f>V8*0.7</f>
        <v>3500</v>
      </c>
      <c r="AD8" s="10"/>
      <c r="AE8" s="10"/>
      <c r="AF8" s="31">
        <v>0</v>
      </c>
      <c r="AG8" s="29">
        <f t="shared" si="9"/>
        <v>1740</v>
      </c>
      <c r="AH8" s="29">
        <f t="shared" si="23"/>
        <v>200</v>
      </c>
      <c r="AI8" s="29">
        <f t="shared" si="30"/>
        <v>0</v>
      </c>
      <c r="AJ8" s="34"/>
      <c r="AK8" s="29">
        <f t="shared" si="31"/>
        <v>40400</v>
      </c>
      <c r="AL8" s="29">
        <f t="shared" si="13"/>
        <v>1940</v>
      </c>
      <c r="AM8" s="29">
        <f t="shared" si="32"/>
        <v>38460</v>
      </c>
      <c r="AN8" s="78">
        <f t="shared" ref="AN8:AN33" si="34">ROUND(AM8-AF8,0)+AV8-AU8</f>
        <v>38460</v>
      </c>
      <c r="AO8" s="29">
        <f t="shared" si="16"/>
        <v>0</v>
      </c>
      <c r="AP8" s="29">
        <f t="shared" si="33"/>
        <v>1740</v>
      </c>
      <c r="AQ8" s="34"/>
      <c r="AR8" s="29">
        <f t="shared" si="18"/>
        <v>42140</v>
      </c>
      <c r="AS8" s="29">
        <f>'May 2025'!AT8</f>
        <v>0</v>
      </c>
      <c r="AT8" s="29">
        <f t="shared" si="29"/>
        <v>0</v>
      </c>
      <c r="AU8" s="34"/>
      <c r="AV8" s="31">
        <f t="shared" ref="AV8:AV32" si="35">AF8*12</f>
        <v>0</v>
      </c>
      <c r="AW8" s="79">
        <f t="shared" si="21"/>
        <v>0</v>
      </c>
      <c r="AX8" s="79"/>
      <c r="AY8" s="75">
        <v>0</v>
      </c>
      <c r="AZ8" s="80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30</v>
      </c>
      <c r="J9" s="100">
        <v>30</v>
      </c>
      <c r="K9" s="71">
        <f>'May 2025'!O9</f>
        <v>0</v>
      </c>
      <c r="L9" s="101">
        <v>0</v>
      </c>
      <c r="M9" s="38">
        <v>0</v>
      </c>
      <c r="N9" s="24">
        <f t="shared" si="0"/>
        <v>0</v>
      </c>
      <c r="O9" s="24">
        <f t="shared" si="1"/>
        <v>0</v>
      </c>
      <c r="P9" s="24">
        <f t="shared" si="2"/>
        <v>30</v>
      </c>
      <c r="Q9" s="36">
        <v>15000</v>
      </c>
      <c r="R9" s="29">
        <v>3540</v>
      </c>
      <c r="S9" s="29">
        <v>1180</v>
      </c>
      <c r="T9" s="29">
        <v>1180</v>
      </c>
      <c r="U9" s="36">
        <v>2150</v>
      </c>
      <c r="V9" s="36">
        <v>2150</v>
      </c>
      <c r="W9" s="29">
        <f t="shared" si="3"/>
        <v>25200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91">
        <f>U9*0.8*3</f>
        <v>5160</v>
      </c>
      <c r="AC9" s="91">
        <f>V9*0.7*3</f>
        <v>4515</v>
      </c>
      <c r="AD9" s="10"/>
      <c r="AE9" s="10"/>
      <c r="AF9" s="31">
        <v>0</v>
      </c>
      <c r="AG9" s="29">
        <f t="shared" si="9"/>
        <v>1800</v>
      </c>
      <c r="AH9" s="29">
        <f t="shared" si="23"/>
        <v>0</v>
      </c>
      <c r="AI9" s="29">
        <f t="shared" si="30"/>
        <v>156.75</v>
      </c>
      <c r="AJ9" s="34"/>
      <c r="AK9" s="29">
        <f t="shared" si="31"/>
        <v>30575</v>
      </c>
      <c r="AL9" s="29">
        <f t="shared" si="13"/>
        <v>1956.75</v>
      </c>
      <c r="AM9" s="29">
        <f t="shared" si="32"/>
        <v>28618.25</v>
      </c>
      <c r="AN9" s="33">
        <f t="shared" si="34"/>
        <v>28618</v>
      </c>
      <c r="AO9" s="29">
        <f t="shared" si="16"/>
        <v>679.25</v>
      </c>
      <c r="AP9" s="29">
        <f t="shared" si="33"/>
        <v>1800</v>
      </c>
      <c r="AQ9" s="34"/>
      <c r="AR9" s="29">
        <f t="shared" si="18"/>
        <v>33054.25</v>
      </c>
      <c r="AS9" s="29">
        <f>'May 2025'!AT9</f>
        <v>0</v>
      </c>
      <c r="AT9" s="29">
        <f t="shared" si="29"/>
        <v>0</v>
      </c>
      <c r="AU9" s="34"/>
      <c r="AV9" s="31">
        <f t="shared" si="35"/>
        <v>0</v>
      </c>
      <c r="AW9" s="79">
        <f t="shared" si="21"/>
        <v>0</v>
      </c>
      <c r="AX9" s="79"/>
      <c r="AY9" s="75">
        <v>0</v>
      </c>
      <c r="AZ9" s="80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30</v>
      </c>
      <c r="J10" s="100">
        <v>30</v>
      </c>
      <c r="K10" s="71">
        <f>'May 2025'!O10</f>
        <v>0.5</v>
      </c>
      <c r="L10" s="101">
        <v>0</v>
      </c>
      <c r="M10" s="104">
        <v>0.5</v>
      </c>
      <c r="N10" s="24">
        <f t="shared" si="0"/>
        <v>0</v>
      </c>
      <c r="O10" s="71">
        <f t="shared" si="1"/>
        <v>0</v>
      </c>
      <c r="P10" s="71">
        <f t="shared" si="2"/>
        <v>30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15000</v>
      </c>
      <c r="Y10" s="76">
        <f t="shared" si="5"/>
        <v>9000</v>
      </c>
      <c r="Z10" s="76">
        <f t="shared" si="6"/>
        <v>8000.0000000000009</v>
      </c>
      <c r="AA10" s="76">
        <f t="shared" si="7"/>
        <v>3000</v>
      </c>
      <c r="AB10" s="77">
        <f>U10*1.2</f>
        <v>7200</v>
      </c>
      <c r="AC10" s="77">
        <f t="shared" ref="AC10:AC11" si="36">V10*0.7</f>
        <v>4200</v>
      </c>
      <c r="AD10" s="10"/>
      <c r="AE10" s="10"/>
      <c r="AF10" s="77">
        <v>0</v>
      </c>
      <c r="AG10" s="75">
        <f t="shared" si="9"/>
        <v>1800</v>
      </c>
      <c r="AH10" s="75">
        <f>IF(SUM(X10:AC10)&gt;=25000, 200, 0)</f>
        <v>200</v>
      </c>
      <c r="AI10" s="84">
        <v>0</v>
      </c>
      <c r="AJ10" s="34"/>
      <c r="AK10" s="75">
        <f t="shared" si="31"/>
        <v>46400</v>
      </c>
      <c r="AL10" s="75">
        <f t="shared" si="13"/>
        <v>2000</v>
      </c>
      <c r="AM10" s="75">
        <f t="shared" si="32"/>
        <v>44400</v>
      </c>
      <c r="AN10" s="78">
        <f t="shared" si="34"/>
        <v>44400</v>
      </c>
      <c r="AO10" s="75">
        <f t="shared" si="16"/>
        <v>0</v>
      </c>
      <c r="AP10" s="75">
        <f t="shared" si="33"/>
        <v>1800</v>
      </c>
      <c r="AQ10" s="34"/>
      <c r="AR10" s="75">
        <f t="shared" si="18"/>
        <v>48200</v>
      </c>
      <c r="AS10" s="29">
        <f>'May 2025'!AT10</f>
        <v>0</v>
      </c>
      <c r="AT10" s="29">
        <f t="shared" si="29"/>
        <v>0</v>
      </c>
      <c r="AU10" s="34"/>
      <c r="AV10" s="77">
        <f t="shared" si="35"/>
        <v>0</v>
      </c>
      <c r="AW10" s="79">
        <f t="shared" si="21"/>
        <v>0</v>
      </c>
      <c r="AX10" s="79"/>
      <c r="AY10" s="75">
        <v>0</v>
      </c>
      <c r="AZ10" s="80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30</v>
      </c>
      <c r="J11" s="100">
        <v>30</v>
      </c>
      <c r="K11" s="71">
        <f>'May 2025'!O11</f>
        <v>0</v>
      </c>
      <c r="L11" s="101">
        <v>0</v>
      </c>
      <c r="M11" s="38">
        <v>30</v>
      </c>
      <c r="N11" s="24">
        <f t="shared" si="0"/>
        <v>30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>
        <f>U11*0.9</f>
        <v>495</v>
      </c>
      <c r="AC11" s="91">
        <f t="shared" si="36"/>
        <v>385</v>
      </c>
      <c r="AD11" s="10"/>
      <c r="AE11" s="10"/>
      <c r="AF11" s="31">
        <v>0</v>
      </c>
      <c r="AG11" s="29">
        <f t="shared" si="9"/>
        <v>0</v>
      </c>
      <c r="AH11" s="29">
        <f t="shared" ref="AH11:AH13" si="37">IF(SUM(X11:AA11)&gt;=25000, 200, 0)</f>
        <v>0</v>
      </c>
      <c r="AI11" s="29">
        <f t="shared" ref="AI11:AI14" si="38">IF(SUM(Q11:T11) &lt; 21000, SUM(X11:AA11)*0.0075, 0)</f>
        <v>0</v>
      </c>
      <c r="AJ11" s="34"/>
      <c r="AK11" s="29">
        <f t="shared" si="31"/>
        <v>880</v>
      </c>
      <c r="AL11" s="29">
        <f t="shared" si="13"/>
        <v>0</v>
      </c>
      <c r="AM11" s="29">
        <f t="shared" si="32"/>
        <v>880</v>
      </c>
      <c r="AN11" s="33">
        <f t="shared" si="34"/>
        <v>880</v>
      </c>
      <c r="AO11" s="29">
        <f t="shared" si="16"/>
        <v>0</v>
      </c>
      <c r="AP11" s="29">
        <f t="shared" si="33"/>
        <v>0</v>
      </c>
      <c r="AQ11" s="34"/>
      <c r="AR11" s="29">
        <f t="shared" si="18"/>
        <v>880</v>
      </c>
      <c r="AS11" s="29">
        <f>'May 2025'!AT11</f>
        <v>0</v>
      </c>
      <c r="AT11" s="29">
        <f t="shared" si="29"/>
        <v>0</v>
      </c>
      <c r="AU11" s="34"/>
      <c r="AV11" s="31">
        <f t="shared" si="35"/>
        <v>0</v>
      </c>
      <c r="AW11" s="79">
        <f t="shared" si="21"/>
        <v>0</v>
      </c>
      <c r="AX11" s="79"/>
      <c r="AY11" s="29">
        <v>0</v>
      </c>
      <c r="AZ11" s="80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30</v>
      </c>
      <c r="J12" s="100">
        <v>30</v>
      </c>
      <c r="K12" s="71">
        <f>'May 2025'!O12</f>
        <v>0</v>
      </c>
      <c r="L12" s="101">
        <v>0</v>
      </c>
      <c r="M12" s="38">
        <v>4</v>
      </c>
      <c r="N12" s="24">
        <f t="shared" si="0"/>
        <v>4</v>
      </c>
      <c r="O12" s="24">
        <f t="shared" si="1"/>
        <v>0</v>
      </c>
      <c r="P12" s="24">
        <f t="shared" si="2"/>
        <v>26</v>
      </c>
      <c r="Q12" s="36">
        <v>15000</v>
      </c>
      <c r="R12" s="29">
        <v>3540</v>
      </c>
      <c r="S12" s="29">
        <v>1180</v>
      </c>
      <c r="T12" s="29">
        <v>1180</v>
      </c>
      <c r="U12" s="36">
        <v>2050</v>
      </c>
      <c r="V12" s="36">
        <v>2050</v>
      </c>
      <c r="W12" s="29">
        <f t="shared" si="3"/>
        <v>25000</v>
      </c>
      <c r="X12" s="30">
        <f t="shared" si="4"/>
        <v>13000</v>
      </c>
      <c r="Y12" s="30">
        <f t="shared" si="5"/>
        <v>3068</v>
      </c>
      <c r="Z12" s="30">
        <f t="shared" si="6"/>
        <v>1022.6666666666667</v>
      </c>
      <c r="AA12" s="30">
        <f t="shared" si="7"/>
        <v>1022.6666666666667</v>
      </c>
      <c r="AB12" s="91">
        <f t="shared" ref="AB12:AB13" si="39">U12*0.9*3</f>
        <v>5535</v>
      </c>
      <c r="AC12" s="91">
        <f t="shared" ref="AC12:AC13" si="40">V12*0.7*3</f>
        <v>4305</v>
      </c>
      <c r="AD12" s="10"/>
      <c r="AE12" s="10"/>
      <c r="AF12" s="31">
        <v>0</v>
      </c>
      <c r="AG12" s="29">
        <f t="shared" si="9"/>
        <v>1560</v>
      </c>
      <c r="AH12" s="29">
        <f t="shared" si="37"/>
        <v>0</v>
      </c>
      <c r="AI12" s="29">
        <f t="shared" si="38"/>
        <v>135.85000000000002</v>
      </c>
      <c r="AJ12" s="34"/>
      <c r="AK12" s="29">
        <f t="shared" si="31"/>
        <v>27953.333333333336</v>
      </c>
      <c r="AL12" s="29">
        <f t="shared" si="13"/>
        <v>1695.85</v>
      </c>
      <c r="AM12" s="29">
        <f t="shared" si="32"/>
        <v>26257.483333333337</v>
      </c>
      <c r="AN12" s="33">
        <f t="shared" si="34"/>
        <v>26257</v>
      </c>
      <c r="AO12" s="29">
        <f t="shared" si="16"/>
        <v>588.68333333333339</v>
      </c>
      <c r="AP12" s="29">
        <f t="shared" si="33"/>
        <v>1560</v>
      </c>
      <c r="AQ12" s="34"/>
      <c r="AR12" s="29">
        <f t="shared" si="18"/>
        <v>30102.01666666667</v>
      </c>
      <c r="AS12" s="29">
        <f>'May 2025'!AT12</f>
        <v>0</v>
      </c>
      <c r="AT12" s="29">
        <f t="shared" si="29"/>
        <v>0</v>
      </c>
      <c r="AU12" s="34"/>
      <c r="AV12" s="31">
        <f t="shared" si="35"/>
        <v>0</v>
      </c>
      <c r="AW12" s="79">
        <f t="shared" si="21"/>
        <v>0</v>
      </c>
      <c r="AX12" s="79"/>
      <c r="AY12" s="75">
        <v>0</v>
      </c>
      <c r="AZ12" s="80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30</v>
      </c>
      <c r="J13" s="100">
        <v>30</v>
      </c>
      <c r="K13" s="71">
        <f>'May 2025'!O13</f>
        <v>0</v>
      </c>
      <c r="L13" s="101">
        <v>0</v>
      </c>
      <c r="M13" s="38">
        <v>1</v>
      </c>
      <c r="N13" s="24">
        <f t="shared" si="0"/>
        <v>1</v>
      </c>
      <c r="O13" s="24">
        <f t="shared" si="1"/>
        <v>0</v>
      </c>
      <c r="P13" s="24">
        <f t="shared" si="2"/>
        <v>29</v>
      </c>
      <c r="Q13" s="36">
        <v>15000</v>
      </c>
      <c r="R13" s="29">
        <v>3540</v>
      </c>
      <c r="S13" s="29">
        <v>1180</v>
      </c>
      <c r="T13" s="29">
        <v>1180</v>
      </c>
      <c r="U13" s="36">
        <v>2200</v>
      </c>
      <c r="V13" s="36">
        <v>2200</v>
      </c>
      <c r="W13" s="29">
        <f t="shared" si="3"/>
        <v>25300</v>
      </c>
      <c r="X13" s="30">
        <f t="shared" si="4"/>
        <v>14500</v>
      </c>
      <c r="Y13" s="30">
        <f t="shared" si="5"/>
        <v>3422</v>
      </c>
      <c r="Z13" s="30">
        <f t="shared" si="6"/>
        <v>1140.6666666666667</v>
      </c>
      <c r="AA13" s="30">
        <f t="shared" si="7"/>
        <v>1140.6666666666667</v>
      </c>
      <c r="AB13" s="91">
        <f t="shared" si="39"/>
        <v>5940</v>
      </c>
      <c r="AC13" s="91">
        <f t="shared" si="40"/>
        <v>4620</v>
      </c>
      <c r="AD13" s="12"/>
      <c r="AE13" s="10"/>
      <c r="AF13" s="31">
        <v>0</v>
      </c>
      <c r="AG13" s="29">
        <f t="shared" si="9"/>
        <v>1740</v>
      </c>
      <c r="AH13" s="29">
        <f t="shared" si="37"/>
        <v>0</v>
      </c>
      <c r="AI13" s="29">
        <f t="shared" si="38"/>
        <v>151.52500000000001</v>
      </c>
      <c r="AJ13" s="13"/>
      <c r="AK13" s="29">
        <f t="shared" si="31"/>
        <v>30763.333333333336</v>
      </c>
      <c r="AL13" s="29">
        <f t="shared" si="13"/>
        <v>1891.5250000000001</v>
      </c>
      <c r="AM13" s="29">
        <f t="shared" si="32"/>
        <v>28871.808333333334</v>
      </c>
      <c r="AN13" s="33">
        <f t="shared" si="34"/>
        <v>28872</v>
      </c>
      <c r="AO13" s="29">
        <f t="shared" si="16"/>
        <v>656.60833333333346</v>
      </c>
      <c r="AP13" s="29">
        <f t="shared" si="33"/>
        <v>1740</v>
      </c>
      <c r="AQ13" s="13"/>
      <c r="AR13" s="29">
        <f t="shared" si="18"/>
        <v>33159.941666666666</v>
      </c>
      <c r="AS13" s="29">
        <f>'May 2025'!AT13</f>
        <v>0</v>
      </c>
      <c r="AT13" s="29">
        <f t="shared" si="29"/>
        <v>0</v>
      </c>
      <c r="AU13" s="34"/>
      <c r="AV13" s="31">
        <f t="shared" si="35"/>
        <v>0</v>
      </c>
      <c r="AW13" s="79">
        <f t="shared" si="21"/>
        <v>0</v>
      </c>
      <c r="AX13" s="79"/>
      <c r="AY13" s="75">
        <v>0</v>
      </c>
      <c r="AZ13" s="80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30</v>
      </c>
      <c r="J14" s="100">
        <v>30</v>
      </c>
      <c r="K14" s="71">
        <f>'May 2025'!O14</f>
        <v>0.5</v>
      </c>
      <c r="L14" s="101">
        <v>0</v>
      </c>
      <c r="M14" s="104">
        <v>0.5</v>
      </c>
      <c r="N14" s="71">
        <f t="shared" si="0"/>
        <v>0</v>
      </c>
      <c r="O14" s="71">
        <f t="shared" si="1"/>
        <v>0</v>
      </c>
      <c r="P14" s="71">
        <f t="shared" si="2"/>
        <v>30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26000</v>
      </c>
      <c r="Y14" s="76">
        <f t="shared" si="5"/>
        <v>14808</v>
      </c>
      <c r="Z14" s="76">
        <f t="shared" si="6"/>
        <v>11106</v>
      </c>
      <c r="AA14" s="76">
        <f t="shared" si="7"/>
        <v>11106</v>
      </c>
      <c r="AB14" s="77">
        <f t="shared" ref="AB14:AC14" si="41">U14*0.7</f>
        <v>3776.4999999999995</v>
      </c>
      <c r="AC14" s="77">
        <f t="shared" si="41"/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ref="AH14:AH17" si="42">IF(SUM(X14:AC14)&gt;=25000, 200, 0)</f>
        <v>200</v>
      </c>
      <c r="AI14" s="75">
        <f t="shared" si="38"/>
        <v>0</v>
      </c>
      <c r="AJ14" s="13"/>
      <c r="AK14" s="75">
        <f t="shared" si="31"/>
        <v>70573</v>
      </c>
      <c r="AL14" s="75">
        <f t="shared" si="13"/>
        <v>2000</v>
      </c>
      <c r="AM14" s="75">
        <f t="shared" si="32"/>
        <v>68573</v>
      </c>
      <c r="AN14" s="78">
        <f t="shared" si="34"/>
        <v>68573</v>
      </c>
      <c r="AO14" s="75">
        <f t="shared" si="16"/>
        <v>0</v>
      </c>
      <c r="AP14" s="75">
        <f t="shared" si="33"/>
        <v>1800</v>
      </c>
      <c r="AQ14" s="13"/>
      <c r="AR14" s="75">
        <f t="shared" si="18"/>
        <v>72373</v>
      </c>
      <c r="AS14" s="29">
        <f>'May 2025'!AT14</f>
        <v>0</v>
      </c>
      <c r="AT14" s="29">
        <f t="shared" si="29"/>
        <v>0</v>
      </c>
      <c r="AU14" s="34"/>
      <c r="AV14" s="77">
        <f t="shared" si="35"/>
        <v>0</v>
      </c>
      <c r="AW14" s="79">
        <f t="shared" si="21"/>
        <v>0</v>
      </c>
      <c r="AX14" s="79"/>
      <c r="AY14" s="75">
        <v>0</v>
      </c>
      <c r="AZ14" s="80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30</v>
      </c>
      <c r="J15" s="100">
        <v>30</v>
      </c>
      <c r="K15" s="71">
        <f>'May 2025'!O15</f>
        <v>5</v>
      </c>
      <c r="L15" s="101">
        <v>0</v>
      </c>
      <c r="M15" s="104">
        <v>0</v>
      </c>
      <c r="N15" s="71">
        <f t="shared" si="0"/>
        <v>0</v>
      </c>
      <c r="O15" s="71">
        <f t="shared" si="1"/>
        <v>5</v>
      </c>
      <c r="P15" s="71">
        <f t="shared" si="2"/>
        <v>30</v>
      </c>
      <c r="Q15" s="85">
        <v>30000</v>
      </c>
      <c r="R15" s="85">
        <v>17040</v>
      </c>
      <c r="S15" s="85">
        <v>12780</v>
      </c>
      <c r="T15" s="85">
        <v>12780</v>
      </c>
      <c r="U15" s="85">
        <v>6600</v>
      </c>
      <c r="V15" s="85">
        <v>6600</v>
      </c>
      <c r="W15" s="75">
        <f t="shared" si="3"/>
        <v>85800</v>
      </c>
      <c r="X15" s="76">
        <f t="shared" si="4"/>
        <v>30000</v>
      </c>
      <c r="Y15" s="76">
        <f t="shared" si="5"/>
        <v>17040</v>
      </c>
      <c r="Z15" s="76">
        <f t="shared" si="6"/>
        <v>12780</v>
      </c>
      <c r="AA15" s="76">
        <f t="shared" si="7"/>
        <v>12780</v>
      </c>
      <c r="AB15" s="77">
        <f t="shared" ref="AB15:AB17" si="43">U15*1</f>
        <v>6600</v>
      </c>
      <c r="AC15" s="77">
        <f t="shared" ref="AC15:AC17" si="44">V15*0.7</f>
        <v>4620</v>
      </c>
      <c r="AD15" s="10"/>
      <c r="AE15" s="10"/>
      <c r="AF15" s="77">
        <v>0</v>
      </c>
      <c r="AG15" s="75">
        <f t="shared" si="9"/>
        <v>1800</v>
      </c>
      <c r="AH15" s="75">
        <f t="shared" si="42"/>
        <v>200</v>
      </c>
      <c r="AI15" s="85">
        <v>0</v>
      </c>
      <c r="AJ15" s="34"/>
      <c r="AK15" s="75">
        <f t="shared" si="31"/>
        <v>83820</v>
      </c>
      <c r="AL15" s="75">
        <f t="shared" si="13"/>
        <v>2000</v>
      </c>
      <c r="AM15" s="75">
        <f t="shared" si="32"/>
        <v>81820</v>
      </c>
      <c r="AN15" s="78">
        <f t="shared" si="34"/>
        <v>81820</v>
      </c>
      <c r="AO15" s="75">
        <v>0</v>
      </c>
      <c r="AP15" s="75">
        <f t="shared" si="33"/>
        <v>1800</v>
      </c>
      <c r="AQ15" s="34"/>
      <c r="AR15" s="75">
        <f t="shared" si="18"/>
        <v>85620</v>
      </c>
      <c r="AS15" s="29">
        <f>'May 2025'!AT15</f>
        <v>0</v>
      </c>
      <c r="AT15" s="29">
        <f t="shared" si="29"/>
        <v>0</v>
      </c>
      <c r="AU15" s="34"/>
      <c r="AV15" s="77">
        <f t="shared" si="35"/>
        <v>0</v>
      </c>
      <c r="AW15" s="79">
        <f t="shared" si="21"/>
        <v>0</v>
      </c>
      <c r="AX15" s="79"/>
      <c r="AY15" s="75">
        <v>0</v>
      </c>
      <c r="AZ15" s="80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30</v>
      </c>
      <c r="J16" s="100">
        <v>30</v>
      </c>
      <c r="K16" s="71">
        <f>'May 2025'!O16</f>
        <v>0</v>
      </c>
      <c r="L16" s="101">
        <v>0</v>
      </c>
      <c r="M16" s="104">
        <v>1</v>
      </c>
      <c r="N16" s="71">
        <f t="shared" si="0"/>
        <v>1</v>
      </c>
      <c r="O16" s="71">
        <f t="shared" si="1"/>
        <v>0</v>
      </c>
      <c r="P16" s="71">
        <f t="shared" si="2"/>
        <v>29</v>
      </c>
      <c r="Q16" s="74">
        <v>26000</v>
      </c>
      <c r="R16" s="74">
        <v>11600</v>
      </c>
      <c r="S16" s="74">
        <v>8700</v>
      </c>
      <c r="T16" s="74">
        <v>8700</v>
      </c>
      <c r="U16" s="74">
        <v>0</v>
      </c>
      <c r="V16" s="74">
        <v>27500</v>
      </c>
      <c r="W16" s="75">
        <f t="shared" si="3"/>
        <v>82500</v>
      </c>
      <c r="X16" s="76">
        <f t="shared" si="4"/>
        <v>25133.333333333332</v>
      </c>
      <c r="Y16" s="76">
        <f t="shared" si="5"/>
        <v>11213.333333333334</v>
      </c>
      <c r="Z16" s="76">
        <f t="shared" si="6"/>
        <v>8410</v>
      </c>
      <c r="AA16" s="76">
        <f t="shared" si="7"/>
        <v>8410</v>
      </c>
      <c r="AB16" s="77">
        <f t="shared" si="43"/>
        <v>0</v>
      </c>
      <c r="AC16" s="77">
        <f t="shared" si="44"/>
        <v>19250</v>
      </c>
      <c r="AD16" s="12"/>
      <c r="AE16" s="10"/>
      <c r="AF16" s="77">
        <v>0</v>
      </c>
      <c r="AG16" s="75">
        <f t="shared" si="9"/>
        <v>1800</v>
      </c>
      <c r="AH16" s="75">
        <f t="shared" si="42"/>
        <v>200</v>
      </c>
      <c r="AI16" s="75">
        <f t="shared" ref="AI16:AI33" si="45">IF(SUM(Q16:T16) &lt; 21000, SUM(X16:AA16)*0.0075, 0)</f>
        <v>0</v>
      </c>
      <c r="AJ16" s="13"/>
      <c r="AK16" s="75">
        <f t="shared" si="31"/>
        <v>72416.666666666657</v>
      </c>
      <c r="AL16" s="75">
        <f t="shared" si="13"/>
        <v>2000</v>
      </c>
      <c r="AM16" s="75">
        <f t="shared" si="32"/>
        <v>70416.666666666657</v>
      </c>
      <c r="AN16" s="78">
        <f t="shared" si="34"/>
        <v>70417</v>
      </c>
      <c r="AO16" s="75">
        <f t="shared" ref="AO16:AO32" si="46">AI16/0.0075*0.0325</f>
        <v>0</v>
      </c>
      <c r="AP16" s="75">
        <f t="shared" si="33"/>
        <v>1800</v>
      </c>
      <c r="AQ16" s="13"/>
      <c r="AR16" s="75">
        <f t="shared" si="18"/>
        <v>74216.666666666657</v>
      </c>
      <c r="AS16" s="29">
        <f>'May 2025'!AT16</f>
        <v>0</v>
      </c>
      <c r="AT16" s="29">
        <f t="shared" si="29"/>
        <v>0</v>
      </c>
      <c r="AU16" s="34"/>
      <c r="AV16" s="77">
        <f t="shared" si="35"/>
        <v>0</v>
      </c>
      <c r="AW16" s="79">
        <f t="shared" si="21"/>
        <v>0</v>
      </c>
      <c r="AX16" s="79"/>
      <c r="AY16" s="75">
        <v>0</v>
      </c>
      <c r="AZ16" s="80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30</v>
      </c>
      <c r="J17" s="100">
        <v>30</v>
      </c>
      <c r="K17" s="71">
        <f>'May 2025'!O17</f>
        <v>6</v>
      </c>
      <c r="L17" s="101">
        <v>0</v>
      </c>
      <c r="M17" s="104">
        <v>0</v>
      </c>
      <c r="N17" s="71">
        <f t="shared" si="0"/>
        <v>0</v>
      </c>
      <c r="O17" s="71">
        <f t="shared" si="1"/>
        <v>6</v>
      </c>
      <c r="P17" s="71">
        <f t="shared" si="2"/>
        <v>30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85">
        <f t="shared" ref="U17:V17" si="47">195000/12/2</f>
        <v>8125</v>
      </c>
      <c r="V17" s="85">
        <f t="shared" si="47"/>
        <v>8125</v>
      </c>
      <c r="W17" s="75">
        <f t="shared" si="3"/>
        <v>73083.333333333343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43"/>
        <v>8125</v>
      </c>
      <c r="AC17" s="77">
        <f t="shared" si="44"/>
        <v>5687.5</v>
      </c>
      <c r="AD17" s="12"/>
      <c r="AE17" s="10"/>
      <c r="AF17" s="77">
        <v>0</v>
      </c>
      <c r="AG17" s="75">
        <f t="shared" si="9"/>
        <v>1800</v>
      </c>
      <c r="AH17" s="75">
        <f t="shared" si="42"/>
        <v>200</v>
      </c>
      <c r="AI17" s="75">
        <f t="shared" si="45"/>
        <v>0</v>
      </c>
      <c r="AJ17" s="13"/>
      <c r="AK17" s="75">
        <f t="shared" si="31"/>
        <v>70645.833333333343</v>
      </c>
      <c r="AL17" s="75">
        <f t="shared" si="13"/>
        <v>2000</v>
      </c>
      <c r="AM17" s="75">
        <f t="shared" si="32"/>
        <v>68645.833333333343</v>
      </c>
      <c r="AN17" s="78">
        <f t="shared" si="34"/>
        <v>68646</v>
      </c>
      <c r="AO17" s="75">
        <f t="shared" si="46"/>
        <v>0</v>
      </c>
      <c r="AP17" s="75">
        <f t="shared" si="33"/>
        <v>1800</v>
      </c>
      <c r="AQ17" s="13"/>
      <c r="AR17" s="75">
        <f t="shared" si="18"/>
        <v>72445.833333333343</v>
      </c>
      <c r="AS17" s="29">
        <f>'May 2025'!AT17</f>
        <v>0</v>
      </c>
      <c r="AT17" s="29">
        <f t="shared" si="29"/>
        <v>0</v>
      </c>
      <c r="AU17" s="34"/>
      <c r="AV17" s="77">
        <f t="shared" si="35"/>
        <v>0</v>
      </c>
      <c r="AW17" s="79">
        <f t="shared" si="21"/>
        <v>0</v>
      </c>
      <c r="AX17" s="79"/>
      <c r="AY17" s="75">
        <v>0</v>
      </c>
      <c r="AZ17" s="80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30</v>
      </c>
      <c r="J18" s="100">
        <v>30</v>
      </c>
      <c r="K18" s="71">
        <f>'May 2025'!O18</f>
        <v>1</v>
      </c>
      <c r="L18" s="101">
        <v>0</v>
      </c>
      <c r="M18" s="38">
        <v>1</v>
      </c>
      <c r="N18" s="24">
        <f t="shared" si="0"/>
        <v>0</v>
      </c>
      <c r="O18" s="24">
        <f t="shared" si="1"/>
        <v>0</v>
      </c>
      <c r="P18" s="24">
        <f t="shared" si="2"/>
        <v>30</v>
      </c>
      <c r="Q18" s="36">
        <v>15000</v>
      </c>
      <c r="R18" s="36">
        <v>2850</v>
      </c>
      <c r="S18" s="36">
        <v>950</v>
      </c>
      <c r="T18" s="36">
        <v>950</v>
      </c>
      <c r="U18" s="36">
        <v>1015</v>
      </c>
      <c r="V18" s="36">
        <v>1015</v>
      </c>
      <c r="W18" s="29">
        <f t="shared" si="3"/>
        <v>21780</v>
      </c>
      <c r="X18" s="30">
        <f t="shared" si="4"/>
        <v>15000</v>
      </c>
      <c r="Y18" s="30">
        <f t="shared" si="5"/>
        <v>2850</v>
      </c>
      <c r="Z18" s="30">
        <f t="shared" si="6"/>
        <v>950</v>
      </c>
      <c r="AA18" s="30">
        <f t="shared" si="7"/>
        <v>950</v>
      </c>
      <c r="AB18" s="91">
        <f t="shared" ref="AB18:AB23" si="48">U18*0.9*3</f>
        <v>2740.5</v>
      </c>
      <c r="AC18" s="91">
        <f t="shared" ref="AC18:AC23" si="49">V18*0.7*3</f>
        <v>2131.5</v>
      </c>
      <c r="AD18" s="12"/>
      <c r="AE18" s="10"/>
      <c r="AF18" s="31">
        <v>0</v>
      </c>
      <c r="AG18" s="29">
        <f t="shared" si="9"/>
        <v>1800</v>
      </c>
      <c r="AH18" s="29">
        <f t="shared" ref="AH18:AH31" si="50">IF(SUM(X18:AA18)&gt;=25000, 200, 0)</f>
        <v>0</v>
      </c>
      <c r="AI18" s="29">
        <f t="shared" si="45"/>
        <v>148.125</v>
      </c>
      <c r="AJ18" s="13"/>
      <c r="AK18" s="29">
        <f t="shared" si="31"/>
        <v>24622</v>
      </c>
      <c r="AL18" s="29">
        <f t="shared" si="13"/>
        <v>1948.125</v>
      </c>
      <c r="AM18" s="29">
        <f t="shared" si="32"/>
        <v>22673.875</v>
      </c>
      <c r="AN18" s="33">
        <f t="shared" si="34"/>
        <v>22674</v>
      </c>
      <c r="AO18" s="29">
        <f t="shared" si="46"/>
        <v>641.875</v>
      </c>
      <c r="AP18" s="29">
        <f t="shared" si="33"/>
        <v>1800</v>
      </c>
      <c r="AQ18" s="13"/>
      <c r="AR18" s="29">
        <f t="shared" si="18"/>
        <v>27063.875</v>
      </c>
      <c r="AS18" s="29">
        <f>'May 2025'!AT18</f>
        <v>0</v>
      </c>
      <c r="AT18" s="29">
        <f t="shared" si="29"/>
        <v>0</v>
      </c>
      <c r="AU18" s="34"/>
      <c r="AV18" s="31">
        <f t="shared" si="35"/>
        <v>0</v>
      </c>
      <c r="AW18" s="79"/>
      <c r="AX18" s="79"/>
      <c r="AY18" s="75">
        <v>0</v>
      </c>
      <c r="AZ18" s="80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30</v>
      </c>
      <c r="J19" s="100">
        <v>30</v>
      </c>
      <c r="K19" s="71">
        <f>'May 2025'!O19</f>
        <v>1</v>
      </c>
      <c r="L19" s="101">
        <v>0</v>
      </c>
      <c r="M19" s="38">
        <v>1</v>
      </c>
      <c r="N19" s="24">
        <f t="shared" si="0"/>
        <v>0</v>
      </c>
      <c r="O19" s="24">
        <f t="shared" si="1"/>
        <v>0</v>
      </c>
      <c r="P19" s="24">
        <f t="shared" si="2"/>
        <v>30</v>
      </c>
      <c r="Q19" s="36">
        <v>15000</v>
      </c>
      <c r="R19" s="36">
        <v>2850</v>
      </c>
      <c r="S19" s="36">
        <v>950</v>
      </c>
      <c r="T19" s="36">
        <v>950</v>
      </c>
      <c r="U19" s="36">
        <v>1195</v>
      </c>
      <c r="V19" s="36">
        <v>1195</v>
      </c>
      <c r="W19" s="29">
        <f t="shared" si="3"/>
        <v>22140</v>
      </c>
      <c r="X19" s="30">
        <f t="shared" si="4"/>
        <v>15000</v>
      </c>
      <c r="Y19" s="30">
        <f t="shared" si="5"/>
        <v>2850</v>
      </c>
      <c r="Z19" s="30">
        <f t="shared" si="6"/>
        <v>950</v>
      </c>
      <c r="AA19" s="30">
        <f t="shared" si="7"/>
        <v>950</v>
      </c>
      <c r="AB19" s="91">
        <f t="shared" si="48"/>
        <v>3226.5</v>
      </c>
      <c r="AC19" s="91">
        <f t="shared" si="49"/>
        <v>2509.5</v>
      </c>
      <c r="AD19" s="12"/>
      <c r="AE19" s="10"/>
      <c r="AF19" s="31">
        <v>0</v>
      </c>
      <c r="AG19" s="29">
        <f t="shared" si="9"/>
        <v>1800</v>
      </c>
      <c r="AH19" s="29">
        <f t="shared" si="50"/>
        <v>0</v>
      </c>
      <c r="AI19" s="29">
        <f t="shared" si="45"/>
        <v>148.125</v>
      </c>
      <c r="AJ19" s="13"/>
      <c r="AK19" s="29">
        <f t="shared" si="31"/>
        <v>25486</v>
      </c>
      <c r="AL19" s="29">
        <f t="shared" si="13"/>
        <v>1948.125</v>
      </c>
      <c r="AM19" s="29">
        <f t="shared" si="32"/>
        <v>23537.875</v>
      </c>
      <c r="AN19" s="33">
        <f t="shared" si="34"/>
        <v>23538</v>
      </c>
      <c r="AO19" s="29">
        <f t="shared" si="46"/>
        <v>641.875</v>
      </c>
      <c r="AP19" s="29">
        <f t="shared" si="33"/>
        <v>1800</v>
      </c>
      <c r="AQ19" s="13"/>
      <c r="AR19" s="29">
        <f t="shared" si="18"/>
        <v>27927.875</v>
      </c>
      <c r="AS19" s="29">
        <f>'May 2025'!AT19</f>
        <v>0</v>
      </c>
      <c r="AT19" s="29">
        <f t="shared" si="29"/>
        <v>0</v>
      </c>
      <c r="AU19" s="34"/>
      <c r="AV19" s="31">
        <f t="shared" si="35"/>
        <v>0</v>
      </c>
      <c r="AW19" s="79"/>
      <c r="AX19" s="79"/>
      <c r="AY19" s="75">
        <v>0</v>
      </c>
      <c r="AZ19" s="80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30</v>
      </c>
      <c r="J20" s="100">
        <v>30</v>
      </c>
      <c r="K20" s="71">
        <f>'May 2025'!O20</f>
        <v>0</v>
      </c>
      <c r="L20" s="101">
        <v>0</v>
      </c>
      <c r="M20" s="38">
        <v>0.5</v>
      </c>
      <c r="N20" s="24">
        <f t="shared" si="0"/>
        <v>0.5</v>
      </c>
      <c r="O20" s="24">
        <f t="shared" si="1"/>
        <v>0</v>
      </c>
      <c r="P20" s="24">
        <f t="shared" si="2"/>
        <v>29.5</v>
      </c>
      <c r="Q20" s="36">
        <v>15000</v>
      </c>
      <c r="R20" s="36">
        <v>2850</v>
      </c>
      <c r="S20" s="36">
        <v>950</v>
      </c>
      <c r="T20" s="36">
        <v>950</v>
      </c>
      <c r="U20" s="36">
        <v>1015</v>
      </c>
      <c r="V20" s="36">
        <v>1015</v>
      </c>
      <c r="W20" s="29">
        <f t="shared" si="3"/>
        <v>21780</v>
      </c>
      <c r="X20" s="30">
        <f t="shared" si="4"/>
        <v>14750</v>
      </c>
      <c r="Y20" s="30">
        <f t="shared" si="5"/>
        <v>2802.5</v>
      </c>
      <c r="Z20" s="30">
        <f t="shared" si="6"/>
        <v>934.16666666666663</v>
      </c>
      <c r="AA20" s="30">
        <f t="shared" si="7"/>
        <v>934.16666666666663</v>
      </c>
      <c r="AB20" s="91">
        <f t="shared" si="48"/>
        <v>2740.5</v>
      </c>
      <c r="AC20" s="91">
        <f t="shared" si="49"/>
        <v>2131.5</v>
      </c>
      <c r="AD20" s="12"/>
      <c r="AE20" s="10"/>
      <c r="AF20" s="31">
        <v>0</v>
      </c>
      <c r="AG20" s="29">
        <f t="shared" si="9"/>
        <v>1770</v>
      </c>
      <c r="AH20" s="29">
        <f t="shared" si="50"/>
        <v>0</v>
      </c>
      <c r="AI20" s="29">
        <f t="shared" si="45"/>
        <v>145.65625</v>
      </c>
      <c r="AJ20" s="13"/>
      <c r="AK20" s="29">
        <f t="shared" si="31"/>
        <v>24292.833333333336</v>
      </c>
      <c r="AL20" s="29">
        <f t="shared" si="13"/>
        <v>1915.65625</v>
      </c>
      <c r="AM20" s="29">
        <f t="shared" si="32"/>
        <v>22377.177083333336</v>
      </c>
      <c r="AN20" s="33">
        <f t="shared" si="34"/>
        <v>22377</v>
      </c>
      <c r="AO20" s="29">
        <f t="shared" si="46"/>
        <v>631.17708333333348</v>
      </c>
      <c r="AP20" s="29">
        <f t="shared" si="33"/>
        <v>1770</v>
      </c>
      <c r="AQ20" s="13"/>
      <c r="AR20" s="29">
        <f t="shared" si="18"/>
        <v>26694.010416666668</v>
      </c>
      <c r="AS20" s="29">
        <f>'May 2025'!AT20</f>
        <v>0</v>
      </c>
      <c r="AT20" s="29">
        <f t="shared" si="29"/>
        <v>0</v>
      </c>
      <c r="AU20" s="34"/>
      <c r="AV20" s="31">
        <f t="shared" si="35"/>
        <v>0</v>
      </c>
      <c r="AW20" s="79"/>
      <c r="AX20" s="79"/>
      <c r="AY20" s="75">
        <v>0</v>
      </c>
      <c r="AZ20" s="80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30</v>
      </c>
      <c r="J21" s="100">
        <v>30</v>
      </c>
      <c r="K21" s="71">
        <f>'May 2025'!O21</f>
        <v>2</v>
      </c>
      <c r="L21" s="101">
        <v>0</v>
      </c>
      <c r="M21" s="38">
        <v>2</v>
      </c>
      <c r="N21" s="24">
        <f t="shared" si="0"/>
        <v>0</v>
      </c>
      <c r="O21" s="24">
        <f t="shared" si="1"/>
        <v>0</v>
      </c>
      <c r="P21" s="24">
        <f t="shared" si="2"/>
        <v>30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>
        <f t="shared" si="4"/>
        <v>15000</v>
      </c>
      <c r="Y21" s="30">
        <f t="shared" si="5"/>
        <v>2850</v>
      </c>
      <c r="Z21" s="30">
        <f t="shared" si="6"/>
        <v>950</v>
      </c>
      <c r="AA21" s="30">
        <f t="shared" si="7"/>
        <v>950</v>
      </c>
      <c r="AB21" s="91">
        <f t="shared" si="48"/>
        <v>3226.5</v>
      </c>
      <c r="AC21" s="91">
        <f t="shared" si="49"/>
        <v>2509.5</v>
      </c>
      <c r="AD21" s="12"/>
      <c r="AE21" s="41">
        <v>2613</v>
      </c>
      <c r="AF21" s="31">
        <v>0</v>
      </c>
      <c r="AG21" s="29">
        <f t="shared" si="9"/>
        <v>1800</v>
      </c>
      <c r="AH21" s="29">
        <f t="shared" si="50"/>
        <v>0</v>
      </c>
      <c r="AI21" s="29">
        <f t="shared" si="45"/>
        <v>148.125</v>
      </c>
      <c r="AJ21" s="13"/>
      <c r="AK21" s="29">
        <f t="shared" si="31"/>
        <v>28099</v>
      </c>
      <c r="AL21" s="29">
        <f t="shared" si="13"/>
        <v>1948.125</v>
      </c>
      <c r="AM21" s="29">
        <f t="shared" si="32"/>
        <v>26150.875</v>
      </c>
      <c r="AN21" s="33">
        <f t="shared" si="34"/>
        <v>26151</v>
      </c>
      <c r="AO21" s="29">
        <f t="shared" si="46"/>
        <v>641.875</v>
      </c>
      <c r="AP21" s="29">
        <f t="shared" si="33"/>
        <v>1800</v>
      </c>
      <c r="AQ21" s="13"/>
      <c r="AR21" s="29">
        <f t="shared" si="18"/>
        <v>30540.875</v>
      </c>
      <c r="AS21" s="29">
        <f>'May 2025'!AT21</f>
        <v>0</v>
      </c>
      <c r="AT21" s="29">
        <f t="shared" si="29"/>
        <v>0</v>
      </c>
      <c r="AU21" s="34"/>
      <c r="AV21" s="31">
        <f t="shared" si="35"/>
        <v>0</v>
      </c>
      <c r="AW21" s="79"/>
      <c r="AX21" s="79" t="s">
        <v>171</v>
      </c>
      <c r="AY21" s="75">
        <v>0</v>
      </c>
      <c r="AZ21" s="80" t="s">
        <v>165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30</v>
      </c>
      <c r="J22" s="100">
        <v>30</v>
      </c>
      <c r="K22" s="71">
        <f>'May 2025'!O22</f>
        <v>2</v>
      </c>
      <c r="L22" s="101">
        <v>0</v>
      </c>
      <c r="M22" s="38">
        <v>0</v>
      </c>
      <c r="N22" s="24">
        <f t="shared" si="0"/>
        <v>0</v>
      </c>
      <c r="O22" s="24">
        <f t="shared" si="1"/>
        <v>2</v>
      </c>
      <c r="P22" s="24">
        <f t="shared" si="2"/>
        <v>30</v>
      </c>
      <c r="Q22" s="36">
        <v>15000</v>
      </c>
      <c r="R22" s="36">
        <v>2850</v>
      </c>
      <c r="S22" s="36">
        <v>950</v>
      </c>
      <c r="T22" s="36">
        <v>950</v>
      </c>
      <c r="U22" s="36">
        <v>1133</v>
      </c>
      <c r="V22" s="36">
        <v>1133</v>
      </c>
      <c r="W22" s="29">
        <f t="shared" si="3"/>
        <v>22016</v>
      </c>
      <c r="X22" s="30">
        <f t="shared" si="4"/>
        <v>15000</v>
      </c>
      <c r="Y22" s="30">
        <f t="shared" si="5"/>
        <v>2850</v>
      </c>
      <c r="Z22" s="30">
        <f t="shared" si="6"/>
        <v>950</v>
      </c>
      <c r="AA22" s="30">
        <f t="shared" si="7"/>
        <v>950</v>
      </c>
      <c r="AB22" s="91">
        <f t="shared" si="48"/>
        <v>3059.1000000000004</v>
      </c>
      <c r="AC22" s="91">
        <f t="shared" si="49"/>
        <v>2379.2999999999997</v>
      </c>
      <c r="AD22" s="12"/>
      <c r="AE22" s="10"/>
      <c r="AF22" s="31">
        <v>0</v>
      </c>
      <c r="AG22" s="29">
        <f t="shared" si="9"/>
        <v>1800</v>
      </c>
      <c r="AH22" s="29">
        <f t="shared" si="50"/>
        <v>0</v>
      </c>
      <c r="AI22" s="29">
        <f t="shared" si="45"/>
        <v>148.125</v>
      </c>
      <c r="AJ22" s="13"/>
      <c r="AK22" s="29">
        <f t="shared" si="31"/>
        <v>25188.399999999998</v>
      </c>
      <c r="AL22" s="29">
        <f t="shared" si="13"/>
        <v>1948.125</v>
      </c>
      <c r="AM22" s="29">
        <f t="shared" si="32"/>
        <v>23240.274999999998</v>
      </c>
      <c r="AN22" s="33">
        <f t="shared" si="34"/>
        <v>23240</v>
      </c>
      <c r="AO22" s="29">
        <f t="shared" si="46"/>
        <v>641.875</v>
      </c>
      <c r="AP22" s="29">
        <f t="shared" si="33"/>
        <v>1800</v>
      </c>
      <c r="AQ22" s="13"/>
      <c r="AR22" s="29">
        <f t="shared" si="18"/>
        <v>27630.274999999998</v>
      </c>
      <c r="AS22" s="29">
        <f>'May 2025'!AT22</f>
        <v>0</v>
      </c>
      <c r="AT22" s="29">
        <f t="shared" si="29"/>
        <v>0</v>
      </c>
      <c r="AU22" s="34"/>
      <c r="AV22" s="31">
        <f t="shared" si="35"/>
        <v>0</v>
      </c>
      <c r="AW22" s="79"/>
      <c r="AX22" s="79"/>
      <c r="AY22" s="75">
        <v>0</v>
      </c>
      <c r="AZ22" s="80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30</v>
      </c>
      <c r="J23" s="100">
        <v>30</v>
      </c>
      <c r="K23" s="71">
        <f>'May 2025'!O23</f>
        <v>1</v>
      </c>
      <c r="L23" s="101">
        <v>0</v>
      </c>
      <c r="M23" s="38">
        <v>3</v>
      </c>
      <c r="N23" s="24">
        <f t="shared" si="0"/>
        <v>2</v>
      </c>
      <c r="O23" s="24">
        <f t="shared" si="1"/>
        <v>0</v>
      </c>
      <c r="P23" s="24">
        <f t="shared" si="2"/>
        <v>28</v>
      </c>
      <c r="Q23" s="36">
        <v>15000</v>
      </c>
      <c r="R23" s="36">
        <v>2610</v>
      </c>
      <c r="S23" s="36">
        <v>870</v>
      </c>
      <c r="T23" s="36">
        <v>870</v>
      </c>
      <c r="U23" s="36">
        <v>675</v>
      </c>
      <c r="V23" s="36">
        <v>675</v>
      </c>
      <c r="W23" s="29">
        <f t="shared" si="3"/>
        <v>20700</v>
      </c>
      <c r="X23" s="30">
        <f t="shared" si="4"/>
        <v>14000</v>
      </c>
      <c r="Y23" s="30">
        <f t="shared" si="5"/>
        <v>2436</v>
      </c>
      <c r="Z23" s="30">
        <f t="shared" si="6"/>
        <v>812</v>
      </c>
      <c r="AA23" s="30">
        <f t="shared" si="7"/>
        <v>812</v>
      </c>
      <c r="AB23" s="91">
        <f t="shared" si="48"/>
        <v>1822.5</v>
      </c>
      <c r="AC23" s="91">
        <f t="shared" si="49"/>
        <v>1417.4999999999998</v>
      </c>
      <c r="AD23" s="12"/>
      <c r="AE23" s="10"/>
      <c r="AF23" s="31">
        <v>0</v>
      </c>
      <c r="AG23" s="29">
        <f t="shared" si="9"/>
        <v>1680</v>
      </c>
      <c r="AH23" s="29">
        <f t="shared" si="50"/>
        <v>0</v>
      </c>
      <c r="AI23" s="29">
        <f t="shared" si="45"/>
        <v>135.44999999999999</v>
      </c>
      <c r="AJ23" s="13"/>
      <c r="AK23" s="29">
        <f t="shared" si="31"/>
        <v>21300</v>
      </c>
      <c r="AL23" s="29">
        <f t="shared" si="13"/>
        <v>1815.45</v>
      </c>
      <c r="AM23" s="29">
        <f t="shared" si="32"/>
        <v>19484.55</v>
      </c>
      <c r="AN23" s="33">
        <f t="shared" si="34"/>
        <v>19485</v>
      </c>
      <c r="AO23" s="29">
        <f t="shared" si="46"/>
        <v>586.95000000000005</v>
      </c>
      <c r="AP23" s="29">
        <f t="shared" si="33"/>
        <v>1680</v>
      </c>
      <c r="AQ23" s="13"/>
      <c r="AR23" s="29">
        <f t="shared" si="18"/>
        <v>23566.95</v>
      </c>
      <c r="AS23" s="29">
        <f>'May 2025'!AT23</f>
        <v>0</v>
      </c>
      <c r="AT23" s="29">
        <f t="shared" si="29"/>
        <v>0</v>
      </c>
      <c r="AU23" s="34"/>
      <c r="AV23" s="31">
        <f t="shared" si="35"/>
        <v>0</v>
      </c>
      <c r="AW23" s="79"/>
      <c r="AX23" s="79"/>
      <c r="AY23" s="75">
        <v>0</v>
      </c>
      <c r="AZ23" s="80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30</v>
      </c>
      <c r="J24" s="100">
        <v>30</v>
      </c>
      <c r="K24" s="71">
        <f>'May 2025'!O24</f>
        <v>0</v>
      </c>
      <c r="L24" s="101">
        <v>0</v>
      </c>
      <c r="M24" s="38">
        <v>3</v>
      </c>
      <c r="N24" s="24">
        <f t="shared" si="0"/>
        <v>3</v>
      </c>
      <c r="O24" s="24">
        <f t="shared" si="1"/>
        <v>0</v>
      </c>
      <c r="P24" s="24">
        <f t="shared" si="2"/>
        <v>27</v>
      </c>
      <c r="Q24" s="86">
        <v>15000</v>
      </c>
      <c r="R24" s="86">
        <v>5000</v>
      </c>
      <c r="S24" s="86">
        <v>4000</v>
      </c>
      <c r="T24" s="86">
        <v>5000</v>
      </c>
      <c r="U24" s="86">
        <v>3000</v>
      </c>
      <c r="V24" s="86">
        <v>3000</v>
      </c>
      <c r="W24" s="83">
        <f t="shared" si="3"/>
        <v>35000</v>
      </c>
      <c r="X24" s="30">
        <f t="shared" si="4"/>
        <v>13500</v>
      </c>
      <c r="Y24" s="30">
        <f t="shared" si="5"/>
        <v>4500</v>
      </c>
      <c r="Z24" s="30">
        <f t="shared" si="6"/>
        <v>3600.0000000000005</v>
      </c>
      <c r="AA24" s="30">
        <f t="shared" si="7"/>
        <v>4500</v>
      </c>
      <c r="AB24" s="77">
        <f>U24*1</f>
        <v>3000</v>
      </c>
      <c r="AC24" s="77">
        <f>V24*0.7</f>
        <v>2100</v>
      </c>
      <c r="AD24" s="12"/>
      <c r="AE24" s="10"/>
      <c r="AF24" s="31">
        <v>0</v>
      </c>
      <c r="AG24" s="29">
        <f t="shared" si="9"/>
        <v>1620</v>
      </c>
      <c r="AH24" s="29">
        <f t="shared" si="50"/>
        <v>200</v>
      </c>
      <c r="AI24" s="29">
        <f t="shared" si="45"/>
        <v>0</v>
      </c>
      <c r="AJ24" s="13"/>
      <c r="AK24" s="29">
        <f t="shared" si="31"/>
        <v>31200</v>
      </c>
      <c r="AL24" s="29">
        <f t="shared" si="13"/>
        <v>1820</v>
      </c>
      <c r="AM24" s="29">
        <f t="shared" si="32"/>
        <v>29380</v>
      </c>
      <c r="AN24" s="33">
        <f t="shared" si="34"/>
        <v>29380</v>
      </c>
      <c r="AO24" s="29">
        <f t="shared" si="46"/>
        <v>0</v>
      </c>
      <c r="AP24" s="29">
        <f t="shared" si="33"/>
        <v>1620</v>
      </c>
      <c r="AQ24" s="13"/>
      <c r="AR24" s="29">
        <f t="shared" si="18"/>
        <v>32820</v>
      </c>
      <c r="AS24" s="29">
        <f>'May 2025'!AT24</f>
        <v>0</v>
      </c>
      <c r="AT24" s="29">
        <f t="shared" si="29"/>
        <v>0</v>
      </c>
      <c r="AU24" s="34"/>
      <c r="AV24" s="31">
        <f t="shared" si="35"/>
        <v>0</v>
      </c>
      <c r="AW24" s="79"/>
      <c r="AX24" s="79"/>
      <c r="AY24" s="75">
        <v>0</v>
      </c>
      <c r="AZ24" s="80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30</v>
      </c>
      <c r="J25" s="100">
        <v>30</v>
      </c>
      <c r="K25" s="71">
        <f>'May 2025'!O25</f>
        <v>1</v>
      </c>
      <c r="L25" s="101">
        <v>0</v>
      </c>
      <c r="M25" s="38">
        <v>2</v>
      </c>
      <c r="N25" s="24">
        <f t="shared" si="0"/>
        <v>1</v>
      </c>
      <c r="O25" s="24">
        <f t="shared" si="1"/>
        <v>0</v>
      </c>
      <c r="P25" s="24">
        <f t="shared" si="2"/>
        <v>29</v>
      </c>
      <c r="Q25" s="36">
        <v>15000</v>
      </c>
      <c r="R25" s="36">
        <v>2850</v>
      </c>
      <c r="S25" s="36">
        <v>950</v>
      </c>
      <c r="T25" s="36">
        <v>950</v>
      </c>
      <c r="U25" s="36">
        <v>1133</v>
      </c>
      <c r="V25" s="36">
        <v>1133</v>
      </c>
      <c r="W25" s="29">
        <f t="shared" si="3"/>
        <v>22016</v>
      </c>
      <c r="X25" s="30">
        <f t="shared" si="4"/>
        <v>14500</v>
      </c>
      <c r="Y25" s="30">
        <f t="shared" si="5"/>
        <v>2755</v>
      </c>
      <c r="Z25" s="30">
        <f t="shared" si="6"/>
        <v>918.33333333333337</v>
      </c>
      <c r="AA25" s="30">
        <f t="shared" si="7"/>
        <v>918.33333333333337</v>
      </c>
      <c r="AB25" s="91">
        <f>U25*1*3</f>
        <v>3399</v>
      </c>
      <c r="AC25" s="91">
        <f t="shared" ref="AC25:AC27" si="51">V25*0.7*3</f>
        <v>2379.2999999999997</v>
      </c>
      <c r="AD25" s="12"/>
      <c r="AE25" s="10"/>
      <c r="AF25" s="31">
        <v>0</v>
      </c>
      <c r="AG25" s="29">
        <f t="shared" si="9"/>
        <v>1740</v>
      </c>
      <c r="AH25" s="29">
        <f t="shared" si="50"/>
        <v>0</v>
      </c>
      <c r="AI25" s="29">
        <f t="shared" si="45"/>
        <v>143.18749999999997</v>
      </c>
      <c r="AJ25" s="13"/>
      <c r="AK25" s="29">
        <f t="shared" si="31"/>
        <v>24869.966666666664</v>
      </c>
      <c r="AL25" s="29">
        <f t="shared" si="13"/>
        <v>1883.1875</v>
      </c>
      <c r="AM25" s="29">
        <f t="shared" si="32"/>
        <v>22986.779166666664</v>
      </c>
      <c r="AN25" s="33">
        <f t="shared" si="34"/>
        <v>22987</v>
      </c>
      <c r="AO25" s="29">
        <f t="shared" si="46"/>
        <v>620.47916666666663</v>
      </c>
      <c r="AP25" s="29">
        <f t="shared" si="33"/>
        <v>1740</v>
      </c>
      <c r="AQ25" s="13"/>
      <c r="AR25" s="29">
        <f t="shared" si="18"/>
        <v>27230.445833333331</v>
      </c>
      <c r="AS25" s="29">
        <f>'May 2025'!AT25</f>
        <v>0</v>
      </c>
      <c r="AT25" s="29">
        <f t="shared" si="29"/>
        <v>0</v>
      </c>
      <c r="AU25" s="34"/>
      <c r="AV25" s="31">
        <f t="shared" si="35"/>
        <v>0</v>
      </c>
      <c r="AW25" s="79"/>
      <c r="AX25" s="79"/>
      <c r="AY25" s="75">
        <v>0</v>
      </c>
      <c r="AZ25" s="80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30</v>
      </c>
      <c r="J26" s="100">
        <v>30</v>
      </c>
      <c r="K26" s="71">
        <f>'May 2025'!O26</f>
        <v>0</v>
      </c>
      <c r="L26" s="101">
        <v>0</v>
      </c>
      <c r="M26" s="38">
        <v>0</v>
      </c>
      <c r="N26" s="24">
        <f t="shared" si="0"/>
        <v>0</v>
      </c>
      <c r="O26" s="24">
        <f t="shared" si="1"/>
        <v>0</v>
      </c>
      <c r="P26" s="24">
        <f t="shared" si="2"/>
        <v>30</v>
      </c>
      <c r="Q26" s="36">
        <v>15000</v>
      </c>
      <c r="R26" s="36">
        <v>2550</v>
      </c>
      <c r="S26" s="36">
        <v>850</v>
      </c>
      <c r="T26" s="36">
        <v>850</v>
      </c>
      <c r="U26" s="36">
        <v>725</v>
      </c>
      <c r="V26" s="36">
        <v>725</v>
      </c>
      <c r="W26" s="29">
        <f t="shared" si="3"/>
        <v>20700</v>
      </c>
      <c r="X26" s="30">
        <f t="shared" si="4"/>
        <v>15000</v>
      </c>
      <c r="Y26" s="30">
        <f t="shared" si="5"/>
        <v>2550</v>
      </c>
      <c r="Z26" s="30">
        <f t="shared" si="6"/>
        <v>850</v>
      </c>
      <c r="AA26" s="30">
        <f t="shared" si="7"/>
        <v>850</v>
      </c>
      <c r="AB26" s="91">
        <f t="shared" ref="AB26:AB27" si="52">U26*0.9*3</f>
        <v>1957.5</v>
      </c>
      <c r="AC26" s="91">
        <f t="shared" si="51"/>
        <v>1522.4999999999998</v>
      </c>
      <c r="AD26" s="12"/>
      <c r="AE26" s="10"/>
      <c r="AF26" s="31">
        <v>0</v>
      </c>
      <c r="AG26" s="29">
        <f t="shared" si="9"/>
        <v>1800</v>
      </c>
      <c r="AH26" s="29">
        <f t="shared" si="50"/>
        <v>0</v>
      </c>
      <c r="AI26" s="29">
        <f t="shared" si="45"/>
        <v>144.375</v>
      </c>
      <c r="AJ26" s="13"/>
      <c r="AK26" s="29">
        <f t="shared" si="31"/>
        <v>22730</v>
      </c>
      <c r="AL26" s="29">
        <f t="shared" si="13"/>
        <v>1944.375</v>
      </c>
      <c r="AM26" s="29">
        <f t="shared" si="32"/>
        <v>20785.625</v>
      </c>
      <c r="AN26" s="33">
        <f t="shared" si="34"/>
        <v>20786</v>
      </c>
      <c r="AO26" s="29">
        <f t="shared" si="46"/>
        <v>625.625</v>
      </c>
      <c r="AP26" s="29">
        <f t="shared" si="33"/>
        <v>1800</v>
      </c>
      <c r="AQ26" s="13"/>
      <c r="AR26" s="29">
        <f t="shared" si="18"/>
        <v>25155.625</v>
      </c>
      <c r="AS26" s="29">
        <f>'May 2025'!AT26</f>
        <v>0</v>
      </c>
      <c r="AT26" s="29">
        <f t="shared" si="29"/>
        <v>0</v>
      </c>
      <c r="AU26" s="34"/>
      <c r="AV26" s="31">
        <f t="shared" si="35"/>
        <v>0</v>
      </c>
      <c r="AW26" s="79"/>
      <c r="AX26" s="79"/>
      <c r="AY26" s="75">
        <v>0</v>
      </c>
      <c r="AZ26" s="80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30</v>
      </c>
      <c r="J27" s="100">
        <v>30</v>
      </c>
      <c r="K27" s="71">
        <f>'May 2025'!O27</f>
        <v>0</v>
      </c>
      <c r="L27" s="101">
        <v>0</v>
      </c>
      <c r="M27" s="38">
        <v>1.5</v>
      </c>
      <c r="N27" s="24">
        <f t="shared" si="0"/>
        <v>1.5</v>
      </c>
      <c r="O27" s="24">
        <f t="shared" si="1"/>
        <v>0</v>
      </c>
      <c r="P27" s="24">
        <f t="shared" si="2"/>
        <v>28.5</v>
      </c>
      <c r="Q27" s="36">
        <v>15000</v>
      </c>
      <c r="R27" s="36">
        <v>2550</v>
      </c>
      <c r="S27" s="36">
        <v>850</v>
      </c>
      <c r="T27" s="36">
        <v>850</v>
      </c>
      <c r="U27" s="36">
        <v>725</v>
      </c>
      <c r="V27" s="36">
        <v>725</v>
      </c>
      <c r="W27" s="29">
        <f t="shared" si="3"/>
        <v>20700</v>
      </c>
      <c r="X27" s="30">
        <f t="shared" si="4"/>
        <v>14250</v>
      </c>
      <c r="Y27" s="30">
        <f t="shared" si="5"/>
        <v>2422.5</v>
      </c>
      <c r="Z27" s="30">
        <f t="shared" si="6"/>
        <v>807.5</v>
      </c>
      <c r="AA27" s="30">
        <f t="shared" si="7"/>
        <v>807.5</v>
      </c>
      <c r="AB27" s="91">
        <f t="shared" si="52"/>
        <v>1957.5</v>
      </c>
      <c r="AC27" s="91">
        <f t="shared" si="51"/>
        <v>1522.4999999999998</v>
      </c>
      <c r="AD27" s="12"/>
      <c r="AE27" s="10"/>
      <c r="AF27" s="31">
        <v>0</v>
      </c>
      <c r="AG27" s="29">
        <f t="shared" si="9"/>
        <v>1710</v>
      </c>
      <c r="AH27" s="29">
        <f t="shared" si="50"/>
        <v>0</v>
      </c>
      <c r="AI27" s="29">
        <f t="shared" si="45"/>
        <v>137.15625</v>
      </c>
      <c r="AJ27" s="13"/>
      <c r="AK27" s="29">
        <f t="shared" si="31"/>
        <v>21767.5</v>
      </c>
      <c r="AL27" s="29">
        <f t="shared" si="13"/>
        <v>1847.15625</v>
      </c>
      <c r="AM27" s="29">
        <f t="shared" si="32"/>
        <v>19920.34375</v>
      </c>
      <c r="AN27" s="33">
        <f t="shared" si="34"/>
        <v>19920</v>
      </c>
      <c r="AO27" s="29">
        <f t="shared" si="46"/>
        <v>594.34375</v>
      </c>
      <c r="AP27" s="29">
        <f t="shared" si="33"/>
        <v>1710</v>
      </c>
      <c r="AQ27" s="13"/>
      <c r="AR27" s="29">
        <f t="shared" si="18"/>
        <v>24071.84375</v>
      </c>
      <c r="AS27" s="29">
        <f>'May 2025'!AT27</f>
        <v>0</v>
      </c>
      <c r="AT27" s="29">
        <f t="shared" si="29"/>
        <v>0</v>
      </c>
      <c r="AU27" s="34"/>
      <c r="AV27" s="31">
        <f t="shared" si="35"/>
        <v>0</v>
      </c>
      <c r="AW27" s="79"/>
      <c r="AX27" s="79"/>
      <c r="AY27" s="75">
        <v>0</v>
      </c>
      <c r="AZ27" s="80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30</v>
      </c>
      <c r="J28" s="100">
        <v>30</v>
      </c>
      <c r="K28" s="71">
        <f>'May 2025'!O28</f>
        <v>3</v>
      </c>
      <c r="L28" s="101">
        <v>0</v>
      </c>
      <c r="M28" s="38">
        <v>0</v>
      </c>
      <c r="N28" s="24">
        <f t="shared" si="0"/>
        <v>0</v>
      </c>
      <c r="O28" s="24">
        <f t="shared" si="1"/>
        <v>3</v>
      </c>
      <c r="P28" s="24">
        <f t="shared" si="2"/>
        <v>30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4000.0000000000005</v>
      </c>
      <c r="Z28" s="30">
        <f t="shared" si="6"/>
        <v>4000.0000000000005</v>
      </c>
      <c r="AA28" s="30">
        <f t="shared" si="7"/>
        <v>4000.0000000000005</v>
      </c>
      <c r="AB28" s="77">
        <f>U28*1</f>
        <v>3000</v>
      </c>
      <c r="AC28" s="77">
        <f>V28*0.7</f>
        <v>2100</v>
      </c>
      <c r="AD28" s="12"/>
      <c r="AE28" s="10"/>
      <c r="AF28" s="31">
        <v>0</v>
      </c>
      <c r="AG28" s="29">
        <f t="shared" si="9"/>
        <v>1800</v>
      </c>
      <c r="AH28" s="29">
        <f t="shared" si="50"/>
        <v>200</v>
      </c>
      <c r="AI28" s="29">
        <f t="shared" si="45"/>
        <v>0</v>
      </c>
      <c r="AJ28" s="13"/>
      <c r="AK28" s="29">
        <f t="shared" si="31"/>
        <v>32100</v>
      </c>
      <c r="AL28" s="29">
        <f t="shared" si="13"/>
        <v>2000</v>
      </c>
      <c r="AM28" s="29">
        <f t="shared" si="32"/>
        <v>30100</v>
      </c>
      <c r="AN28" s="33">
        <f t="shared" si="34"/>
        <v>30100</v>
      </c>
      <c r="AO28" s="29">
        <f t="shared" si="46"/>
        <v>0</v>
      </c>
      <c r="AP28" s="29">
        <f t="shared" si="33"/>
        <v>1800</v>
      </c>
      <c r="AQ28" s="13"/>
      <c r="AR28" s="29">
        <f t="shared" si="18"/>
        <v>33900</v>
      </c>
      <c r="AS28" s="29">
        <f>'May 2025'!AT28</f>
        <v>100000</v>
      </c>
      <c r="AT28" s="29">
        <f t="shared" si="29"/>
        <v>50000</v>
      </c>
      <c r="AU28" s="34"/>
      <c r="AV28" s="31">
        <f t="shared" si="35"/>
        <v>0</v>
      </c>
      <c r="AW28" s="79"/>
      <c r="AX28" s="79"/>
      <c r="AY28" s="103">
        <v>50000</v>
      </c>
      <c r="AZ28" s="80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30</v>
      </c>
      <c r="J29" s="100">
        <v>30</v>
      </c>
      <c r="K29" s="71">
        <f>'May 2025'!O29</f>
        <v>2.5</v>
      </c>
      <c r="L29" s="101">
        <v>0</v>
      </c>
      <c r="M29" s="38">
        <v>0.5</v>
      </c>
      <c r="N29" s="24">
        <f t="shared" si="0"/>
        <v>0</v>
      </c>
      <c r="O29" s="24">
        <f t="shared" si="1"/>
        <v>2</v>
      </c>
      <c r="P29" s="24">
        <f t="shared" si="2"/>
        <v>30</v>
      </c>
      <c r="Q29" s="36">
        <v>15000</v>
      </c>
      <c r="R29" s="36">
        <v>2000</v>
      </c>
      <c r="S29" s="36">
        <v>0</v>
      </c>
      <c r="T29" s="36">
        <v>0</v>
      </c>
      <c r="U29" s="36">
        <v>1000</v>
      </c>
      <c r="V29" s="36">
        <v>1000</v>
      </c>
      <c r="W29" s="29">
        <f t="shared" si="3"/>
        <v>19000</v>
      </c>
      <c r="X29" s="30">
        <f t="shared" si="4"/>
        <v>15000</v>
      </c>
      <c r="Y29" s="30">
        <f t="shared" si="5"/>
        <v>2000.0000000000002</v>
      </c>
      <c r="Z29" s="30">
        <f t="shared" si="6"/>
        <v>0</v>
      </c>
      <c r="AA29" s="30">
        <f t="shared" si="7"/>
        <v>0</v>
      </c>
      <c r="AB29" s="91">
        <f>U29*1*3</f>
        <v>3000</v>
      </c>
      <c r="AC29" s="91">
        <f t="shared" ref="AC29:AC31" si="53">V29*0.7*3</f>
        <v>2100</v>
      </c>
      <c r="AD29" s="12"/>
      <c r="AE29" s="10"/>
      <c r="AF29" s="31">
        <v>0</v>
      </c>
      <c r="AG29" s="29">
        <f t="shared" si="9"/>
        <v>1800</v>
      </c>
      <c r="AH29" s="29">
        <f t="shared" si="50"/>
        <v>0</v>
      </c>
      <c r="AI29" s="29">
        <f t="shared" si="45"/>
        <v>127.5</v>
      </c>
      <c r="AJ29" s="13"/>
      <c r="AK29" s="29">
        <f t="shared" si="31"/>
        <v>22100</v>
      </c>
      <c r="AL29" s="29">
        <f t="shared" si="13"/>
        <v>1927.5</v>
      </c>
      <c r="AM29" s="29">
        <f t="shared" si="32"/>
        <v>20172.5</v>
      </c>
      <c r="AN29" s="33">
        <f t="shared" si="34"/>
        <v>20173</v>
      </c>
      <c r="AO29" s="29">
        <f t="shared" si="46"/>
        <v>552.5</v>
      </c>
      <c r="AP29" s="29">
        <f t="shared" si="33"/>
        <v>1800</v>
      </c>
      <c r="AQ29" s="13"/>
      <c r="AR29" s="29">
        <f t="shared" si="18"/>
        <v>24452.5</v>
      </c>
      <c r="AS29" s="29">
        <f>'May 2025'!AT29</f>
        <v>0</v>
      </c>
      <c r="AT29" s="29">
        <f t="shared" ref="AT29:AT33" si="54">AS29+AD29-AJ29</f>
        <v>0</v>
      </c>
      <c r="AU29" s="34"/>
      <c r="AV29" s="31">
        <f t="shared" si="35"/>
        <v>0</v>
      </c>
      <c r="AW29" s="79"/>
      <c r="AX29" s="79"/>
      <c r="AY29" s="75">
        <v>0</v>
      </c>
      <c r="AZ29" s="80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30</v>
      </c>
      <c r="J30" s="100">
        <v>30</v>
      </c>
      <c r="K30" s="71">
        <f>'May 2025'!O30</f>
        <v>2.5</v>
      </c>
      <c r="L30" s="101">
        <v>0</v>
      </c>
      <c r="M30" s="38">
        <v>0</v>
      </c>
      <c r="N30" s="24">
        <f t="shared" si="0"/>
        <v>0</v>
      </c>
      <c r="O30" s="24">
        <f t="shared" si="1"/>
        <v>2.5</v>
      </c>
      <c r="P30" s="24">
        <f t="shared" si="2"/>
        <v>30</v>
      </c>
      <c r="Q30" s="36">
        <v>15000</v>
      </c>
      <c r="R30" s="36">
        <v>1800</v>
      </c>
      <c r="S30" s="36">
        <v>0</v>
      </c>
      <c r="T30" s="36">
        <v>0</v>
      </c>
      <c r="U30" s="36">
        <v>1000</v>
      </c>
      <c r="V30" s="36">
        <v>1000</v>
      </c>
      <c r="W30" s="29">
        <f t="shared" si="3"/>
        <v>18800</v>
      </c>
      <c r="X30" s="30">
        <f t="shared" si="4"/>
        <v>15000</v>
      </c>
      <c r="Y30" s="30">
        <f t="shared" si="5"/>
        <v>1800</v>
      </c>
      <c r="Z30" s="30">
        <f t="shared" si="6"/>
        <v>0</v>
      </c>
      <c r="AA30" s="30">
        <f t="shared" si="7"/>
        <v>0</v>
      </c>
      <c r="AB30" s="91">
        <f t="shared" ref="AB30:AB31" si="55">U30*0.9*3</f>
        <v>2700</v>
      </c>
      <c r="AC30" s="91">
        <f t="shared" si="53"/>
        <v>2100</v>
      </c>
      <c r="AD30" s="12"/>
      <c r="AE30" s="10"/>
      <c r="AF30" s="31">
        <v>0</v>
      </c>
      <c r="AG30" s="29">
        <f t="shared" si="9"/>
        <v>1800</v>
      </c>
      <c r="AH30" s="29">
        <f t="shared" si="50"/>
        <v>0</v>
      </c>
      <c r="AI30" s="29">
        <f t="shared" si="45"/>
        <v>126</v>
      </c>
      <c r="AJ30" s="13"/>
      <c r="AK30" s="29">
        <f t="shared" si="31"/>
        <v>21600</v>
      </c>
      <c r="AL30" s="29">
        <f t="shared" si="13"/>
        <v>1926</v>
      </c>
      <c r="AM30" s="29">
        <f t="shared" si="32"/>
        <v>19674</v>
      </c>
      <c r="AN30" s="33">
        <f t="shared" si="34"/>
        <v>19674</v>
      </c>
      <c r="AO30" s="29">
        <f t="shared" si="46"/>
        <v>546</v>
      </c>
      <c r="AP30" s="29">
        <f t="shared" si="33"/>
        <v>1800</v>
      </c>
      <c r="AQ30" s="13"/>
      <c r="AR30" s="29">
        <f t="shared" si="18"/>
        <v>23946</v>
      </c>
      <c r="AS30" s="29">
        <f>'May 2025'!AT30</f>
        <v>0</v>
      </c>
      <c r="AT30" s="29">
        <f t="shared" si="54"/>
        <v>0</v>
      </c>
      <c r="AU30" s="34"/>
      <c r="AV30" s="31">
        <f t="shared" si="35"/>
        <v>0</v>
      </c>
      <c r="AW30" s="79"/>
      <c r="AX30" s="79"/>
      <c r="AY30" s="75">
        <v>0</v>
      </c>
      <c r="AZ30" s="80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30</v>
      </c>
      <c r="J31" s="100">
        <v>30</v>
      </c>
      <c r="K31" s="71">
        <f>'May 2025'!O31</f>
        <v>3.5</v>
      </c>
      <c r="L31" s="101">
        <v>0</v>
      </c>
      <c r="M31" s="38">
        <v>0</v>
      </c>
      <c r="N31" s="24">
        <f t="shared" si="0"/>
        <v>0</v>
      </c>
      <c r="O31" s="24">
        <f t="shared" si="1"/>
        <v>3.5</v>
      </c>
      <c r="P31" s="24">
        <f t="shared" si="2"/>
        <v>30</v>
      </c>
      <c r="Q31" s="36">
        <v>15000</v>
      </c>
      <c r="R31" s="36">
        <v>1800</v>
      </c>
      <c r="S31" s="36">
        <v>0</v>
      </c>
      <c r="T31" s="36">
        <v>0</v>
      </c>
      <c r="U31" s="36">
        <v>1000</v>
      </c>
      <c r="V31" s="36">
        <v>1000</v>
      </c>
      <c r="W31" s="29">
        <f t="shared" si="3"/>
        <v>18800</v>
      </c>
      <c r="X31" s="30">
        <f t="shared" si="4"/>
        <v>15000</v>
      </c>
      <c r="Y31" s="30">
        <f t="shared" si="5"/>
        <v>1800</v>
      </c>
      <c r="Z31" s="30">
        <f t="shared" si="6"/>
        <v>0</v>
      </c>
      <c r="AA31" s="30">
        <f t="shared" si="7"/>
        <v>0</v>
      </c>
      <c r="AB31" s="91">
        <f t="shared" si="55"/>
        <v>2700</v>
      </c>
      <c r="AC31" s="91">
        <f t="shared" si="53"/>
        <v>2100</v>
      </c>
      <c r="AD31" s="12"/>
      <c r="AE31" s="10"/>
      <c r="AF31" s="31">
        <v>0</v>
      </c>
      <c r="AG31" s="29">
        <f t="shared" si="9"/>
        <v>1800</v>
      </c>
      <c r="AH31" s="29">
        <f t="shared" si="50"/>
        <v>0</v>
      </c>
      <c r="AI31" s="29">
        <f t="shared" si="45"/>
        <v>126</v>
      </c>
      <c r="AJ31" s="13"/>
      <c r="AK31" s="29">
        <f t="shared" si="31"/>
        <v>21600</v>
      </c>
      <c r="AL31" s="29">
        <f t="shared" si="13"/>
        <v>1926</v>
      </c>
      <c r="AM31" s="29">
        <f t="shared" si="32"/>
        <v>19674</v>
      </c>
      <c r="AN31" s="33">
        <f t="shared" si="34"/>
        <v>19674</v>
      </c>
      <c r="AO31" s="29">
        <f t="shared" si="46"/>
        <v>546</v>
      </c>
      <c r="AP31" s="29">
        <f t="shared" si="33"/>
        <v>1800</v>
      </c>
      <c r="AQ31" s="13"/>
      <c r="AR31" s="29">
        <f t="shared" si="18"/>
        <v>23946</v>
      </c>
      <c r="AS31" s="29">
        <f>'May 2025'!AT31</f>
        <v>0</v>
      </c>
      <c r="AT31" s="29">
        <f t="shared" si="54"/>
        <v>0</v>
      </c>
      <c r="AU31" s="34"/>
      <c r="AV31" s="31">
        <f t="shared" si="35"/>
        <v>0</v>
      </c>
      <c r="AW31" s="79"/>
      <c r="AX31" s="79"/>
      <c r="AY31" s="75">
        <v>0</v>
      </c>
      <c r="AZ31" s="80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90">
        <v>21</v>
      </c>
      <c r="J32" s="100">
        <v>14</v>
      </c>
      <c r="K32" s="71">
        <f>'May 2025'!O32</f>
        <v>2</v>
      </c>
      <c r="L32" s="101">
        <v>1</v>
      </c>
      <c r="M32" s="104">
        <v>0</v>
      </c>
      <c r="N32" s="71">
        <f t="shared" si="0"/>
        <v>0</v>
      </c>
      <c r="O32" s="71">
        <f t="shared" si="1"/>
        <v>3</v>
      </c>
      <c r="P32" s="71">
        <f t="shared" si="2"/>
        <v>14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59999.999999999993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10"/>
      <c r="AF32" s="77">
        <v>0</v>
      </c>
      <c r="AG32" s="75">
        <v>0</v>
      </c>
      <c r="AH32" s="75">
        <v>0</v>
      </c>
      <c r="AI32" s="29">
        <f t="shared" si="45"/>
        <v>0</v>
      </c>
      <c r="AJ32" s="13"/>
      <c r="AK32" s="75">
        <f t="shared" si="31"/>
        <v>59999.999999999993</v>
      </c>
      <c r="AL32" s="75">
        <f t="shared" si="13"/>
        <v>6000</v>
      </c>
      <c r="AM32" s="75">
        <f t="shared" si="32"/>
        <v>59999.999999999993</v>
      </c>
      <c r="AN32" s="78">
        <f t="shared" si="34"/>
        <v>54000</v>
      </c>
      <c r="AO32" s="75">
        <f t="shared" si="46"/>
        <v>0</v>
      </c>
      <c r="AP32" s="75">
        <f t="shared" si="33"/>
        <v>0</v>
      </c>
      <c r="AQ32" s="13"/>
      <c r="AR32" s="75">
        <f t="shared" si="18"/>
        <v>59999.999999999993</v>
      </c>
      <c r="AS32" s="29">
        <f>'May 2025'!AT32</f>
        <v>0</v>
      </c>
      <c r="AT32" s="75">
        <f t="shared" si="54"/>
        <v>0</v>
      </c>
      <c r="AU32" s="92">
        <f>(0.1*AK32)</f>
        <v>6000</v>
      </c>
      <c r="AV32" s="77">
        <f t="shared" si="35"/>
        <v>0</v>
      </c>
      <c r="AW32" s="93">
        <f>AU32+'Apr 2025'!AU32</f>
        <v>12000</v>
      </c>
      <c r="AX32" s="64"/>
      <c r="AY32" s="75">
        <v>0</v>
      </c>
      <c r="AZ32" s="80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5">
        <v>30</v>
      </c>
      <c r="J33" s="105">
        <v>30</v>
      </c>
      <c r="K33" s="71">
        <f>'May 2025'!O33</f>
        <v>0</v>
      </c>
      <c r="L33" s="101">
        <v>0</v>
      </c>
      <c r="M33" s="104">
        <v>0</v>
      </c>
      <c r="N33" s="71">
        <f t="shared" si="0"/>
        <v>0</v>
      </c>
      <c r="O33" s="71">
        <f t="shared" si="1"/>
        <v>0</v>
      </c>
      <c r="P33" s="71">
        <f t="shared" si="2"/>
        <v>30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15000</v>
      </c>
      <c r="Y33" s="76">
        <f t="shared" si="5"/>
        <v>1500</v>
      </c>
      <c r="Z33" s="76">
        <f t="shared" si="6"/>
        <v>0</v>
      </c>
      <c r="AA33" s="76">
        <f t="shared" si="7"/>
        <v>0</v>
      </c>
      <c r="AB33" s="91">
        <f>U33*0.8*3</f>
        <v>2400</v>
      </c>
      <c r="AC33" s="91">
        <f>V33*0.7*3</f>
        <v>2100</v>
      </c>
      <c r="AD33" s="12"/>
      <c r="AE33" s="10"/>
      <c r="AF33" s="77">
        <v>0</v>
      </c>
      <c r="AG33" s="29">
        <f>IF(X33&gt;15000,(15000 * 12%),X33*0.12)</f>
        <v>1800</v>
      </c>
      <c r="AH33" s="29">
        <f>IF(SUM(X33:AA33)&gt;=25000, 200, 0)</f>
        <v>0</v>
      </c>
      <c r="AI33" s="29">
        <f t="shared" si="45"/>
        <v>123.75</v>
      </c>
      <c r="AJ33" s="13"/>
      <c r="AK33" s="75">
        <f t="shared" si="31"/>
        <v>21000</v>
      </c>
      <c r="AL33" s="75">
        <f t="shared" si="13"/>
        <v>1923.75</v>
      </c>
      <c r="AM33" s="75">
        <f t="shared" si="32"/>
        <v>19076.25</v>
      </c>
      <c r="AN33" s="78">
        <f t="shared" si="34"/>
        <v>19076</v>
      </c>
      <c r="AO33" s="75">
        <v>0</v>
      </c>
      <c r="AP33" s="75">
        <v>0</v>
      </c>
      <c r="AQ33" s="13"/>
      <c r="AR33" s="75">
        <f t="shared" si="18"/>
        <v>21000</v>
      </c>
      <c r="AS33" s="29">
        <f>'May 2025'!AT33</f>
        <v>0</v>
      </c>
      <c r="AT33" s="75">
        <f t="shared" si="54"/>
        <v>0</v>
      </c>
      <c r="AU33" s="34"/>
      <c r="AV33" s="77">
        <v>0</v>
      </c>
      <c r="AW33" s="79"/>
      <c r="AX33" s="64"/>
      <c r="AY33" s="94">
        <v>0</v>
      </c>
      <c r="AZ33" s="80" t="s">
        <v>165</v>
      </c>
    </row>
    <row r="34" spans="1:52" ht="14.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5"/>
      <c r="AO34" s="95"/>
      <c r="AP34" s="6"/>
      <c r="AQ34" s="6"/>
      <c r="AR34" s="6"/>
      <c r="AS34" s="6"/>
      <c r="AT34" s="6"/>
      <c r="AU34" s="6"/>
      <c r="AV34" s="7"/>
      <c r="AW34" s="96"/>
      <c r="AX34" s="96"/>
      <c r="AY34" s="97"/>
      <c r="AZ34" s="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3.2" x14ac:dyDescent="0.25">
      <c r="I995" s="98"/>
      <c r="J995" s="98"/>
      <c r="K995" s="99"/>
      <c r="L995" s="99"/>
      <c r="M995" s="98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</sheetData>
  <mergeCells count="2">
    <mergeCell ref="X1:AF1"/>
    <mergeCell ref="AG1:A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45839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7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'June 2025'!O3</f>
        <v>11</v>
      </c>
      <c r="L3" s="101">
        <v>3</v>
      </c>
      <c r="M3" s="73">
        <v>0</v>
      </c>
      <c r="N3" s="71">
        <f t="shared" ref="N3:N33" si="0">IF(K3+L3-M3 &gt;= 0,0,M3-(K3+L3))</f>
        <v>0</v>
      </c>
      <c r="O3" s="71">
        <f t="shared" ref="O3:O33" si="1">IF(K3+L3-M3&gt;0,K3+L3-M3,0)</f>
        <v>14</v>
      </c>
      <c r="P3" s="71">
        <f t="shared" ref="P3:P33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33" si="3">SUM(Q3:V3)</f>
        <v>100000</v>
      </c>
      <c r="X3" s="76">
        <f t="shared" ref="X3:X33" si="4">(Q3/I3*(J3)) * (1-N3/J3)</f>
        <v>30000</v>
      </c>
      <c r="Y3" s="76">
        <f t="shared" ref="Y3:Y33" si="5">(R3/I3*(J3)) * (1-N3/J3)</f>
        <v>15000</v>
      </c>
      <c r="Z3" s="76">
        <f t="shared" ref="Z3:Z33" si="6">(S3/I3*(J3)) * (1-N3/J3)</f>
        <v>7500</v>
      </c>
      <c r="AA3" s="76">
        <f t="shared" ref="AA3:AA33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33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89800</v>
      </c>
      <c r="AS3" s="29">
        <f>'May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80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'June 2025'!O4</f>
        <v>11</v>
      </c>
      <c r="L4" s="101">
        <v>3</v>
      </c>
      <c r="M4" s="73">
        <v>0</v>
      </c>
      <c r="N4" s="71">
        <f t="shared" si="0"/>
        <v>0</v>
      </c>
      <c r="O4" s="71">
        <f t="shared" si="1"/>
        <v>14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'May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80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'June 2025'!O5</f>
        <v>1.5</v>
      </c>
      <c r="L5" s="101">
        <v>3</v>
      </c>
      <c r="M5" s="38">
        <v>1.5</v>
      </c>
      <c r="N5" s="24">
        <f t="shared" si="0"/>
        <v>0</v>
      </c>
      <c r="O5" s="24">
        <f t="shared" si="1"/>
        <v>3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/>
      <c r="AC5" s="106"/>
      <c r="AD5" s="9">
        <v>0</v>
      </c>
      <c r="AE5" s="10"/>
      <c r="AF5" s="42">
        <v>2277</v>
      </c>
      <c r="AG5" s="29">
        <f t="shared" si="9"/>
        <v>1800</v>
      </c>
      <c r="AH5" s="29">
        <f t="shared" ref="AH5:AH9" si="22">IF(SUM(X5:AA5)&gt;=25000, 200, 0)</f>
        <v>0</v>
      </c>
      <c r="AI5" s="29">
        <f t="shared" ref="AI5:AI6" si="23">IF(SUM(Q5:T5) &lt; 21000, SUM(X5:AA5)*0.75%, 0)</f>
        <v>156.75</v>
      </c>
      <c r="AJ5" s="32">
        <v>2000</v>
      </c>
      <c r="AK5" s="29">
        <f t="shared" ref="AK5:AK6" si="24">SUM(X5:AF5)-AD5</f>
        <v>23177</v>
      </c>
      <c r="AL5" s="29">
        <f t="shared" si="13"/>
        <v>3956.75</v>
      </c>
      <c r="AM5" s="29">
        <f t="shared" ref="AM5:AM6" si="25">SUM(X5:AF5)-SUM(AG5:AJ5)-AD5</f>
        <v>19220.25</v>
      </c>
      <c r="AN5" s="78">
        <f t="shared" ref="AN5:AN7" si="26">ROUND(AM5-AF5,0)-AU5</f>
        <v>16943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'June 2025'!AT5</f>
        <v>154000</v>
      </c>
      <c r="AT5" s="29">
        <f t="shared" ref="AT5:AT28" si="28">AS5+AD5-AJ5-AY5</f>
        <v>152000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80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'June 2025'!O6</f>
        <v>3</v>
      </c>
      <c r="L6" s="101">
        <v>3</v>
      </c>
      <c r="M6" s="38">
        <v>0.5</v>
      </c>
      <c r="N6" s="24">
        <f t="shared" si="0"/>
        <v>0</v>
      </c>
      <c r="O6" s="24">
        <f t="shared" si="1"/>
        <v>5.5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/>
      <c r="AC6" s="106"/>
      <c r="AD6" s="9">
        <v>0</v>
      </c>
      <c r="AE6" s="10"/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1956.75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25919.25</v>
      </c>
      <c r="AS6" s="29">
        <f>'June 2025'!AT6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80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'June 2025'!O7</f>
        <v>1</v>
      </c>
      <c r="L7" s="101">
        <v>3</v>
      </c>
      <c r="M7" s="38">
        <v>1</v>
      </c>
      <c r="N7" s="24">
        <f t="shared" si="0"/>
        <v>0</v>
      </c>
      <c r="O7" s="24">
        <f t="shared" si="1"/>
        <v>3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91"/>
      <c r="AC7" s="106"/>
      <c r="AD7" s="10"/>
      <c r="AE7" s="10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33" si="30">SUM(X7:AF7)</f>
        <v>22803</v>
      </c>
      <c r="AL7" s="29">
        <f t="shared" si="13"/>
        <v>1957.35</v>
      </c>
      <c r="AM7" s="29">
        <f t="shared" ref="AM7:AM33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32" si="32">AG7</f>
        <v>1800</v>
      </c>
      <c r="AQ7" s="34"/>
      <c r="AR7" s="29">
        <f t="shared" si="18"/>
        <v>25284.85</v>
      </c>
      <c r="AS7" s="29">
        <f>'June 2025'!AT7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80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31</v>
      </c>
      <c r="J8" s="100">
        <v>31</v>
      </c>
      <c r="K8" s="71">
        <f>'June 2025'!O8</f>
        <v>0</v>
      </c>
      <c r="L8" s="101">
        <v>3</v>
      </c>
      <c r="M8" s="38">
        <v>2</v>
      </c>
      <c r="N8" s="24">
        <f t="shared" si="0"/>
        <v>0</v>
      </c>
      <c r="O8" s="24">
        <f t="shared" si="1"/>
        <v>1</v>
      </c>
      <c r="P8" s="24">
        <f t="shared" si="2"/>
        <v>31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15000</v>
      </c>
      <c r="Y8" s="30">
        <f t="shared" si="5"/>
        <v>7000</v>
      </c>
      <c r="Z8" s="30">
        <f t="shared" si="6"/>
        <v>6000</v>
      </c>
      <c r="AA8" s="30">
        <f t="shared" si="7"/>
        <v>5000</v>
      </c>
      <c r="AB8" s="77">
        <f>U8*1</f>
        <v>5000</v>
      </c>
      <c r="AC8" s="77">
        <f>V8*0.7</f>
        <v>3500</v>
      </c>
      <c r="AD8" s="10"/>
      <c r="AE8" s="10"/>
      <c r="AF8" s="31">
        <v>0</v>
      </c>
      <c r="AG8" s="29">
        <f t="shared" si="9"/>
        <v>1800</v>
      </c>
      <c r="AH8" s="29">
        <f t="shared" si="22"/>
        <v>200</v>
      </c>
      <c r="AI8" s="29">
        <f t="shared" si="29"/>
        <v>0</v>
      </c>
      <c r="AJ8" s="34"/>
      <c r="AK8" s="29">
        <f t="shared" si="30"/>
        <v>41500</v>
      </c>
      <c r="AL8" s="29">
        <f t="shared" si="13"/>
        <v>2000</v>
      </c>
      <c r="AM8" s="29">
        <f t="shared" si="31"/>
        <v>39500</v>
      </c>
      <c r="AN8" s="78">
        <f t="shared" ref="AN8:AN33" si="33">ROUND(AM8-AF8,0)+AV8-AU8</f>
        <v>39500</v>
      </c>
      <c r="AO8" s="29">
        <f t="shared" si="16"/>
        <v>0</v>
      </c>
      <c r="AP8" s="29">
        <f t="shared" si="32"/>
        <v>1800</v>
      </c>
      <c r="AQ8" s="34"/>
      <c r="AR8" s="29">
        <f t="shared" si="18"/>
        <v>43300</v>
      </c>
      <c r="AS8" s="29">
        <f>'June 2025'!AT8</f>
        <v>0</v>
      </c>
      <c r="AT8" s="29">
        <f t="shared" si="28"/>
        <v>0</v>
      </c>
      <c r="AU8" s="34"/>
      <c r="AV8" s="31">
        <f t="shared" ref="AV8:AV32" si="34">AF8*12</f>
        <v>0</v>
      </c>
      <c r="AW8" s="79">
        <f t="shared" si="21"/>
        <v>0</v>
      </c>
      <c r="AX8" s="79"/>
      <c r="AY8" s="75">
        <v>0</v>
      </c>
      <c r="AZ8" s="80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'June 2025'!O9</f>
        <v>0</v>
      </c>
      <c r="L9" s="101">
        <v>3</v>
      </c>
      <c r="M9" s="38">
        <v>0</v>
      </c>
      <c r="N9" s="24">
        <f t="shared" si="0"/>
        <v>0</v>
      </c>
      <c r="O9" s="24">
        <f t="shared" si="1"/>
        <v>3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si="3"/>
        <v>31478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108"/>
      <c r="AC9" s="108"/>
      <c r="AD9" s="10"/>
      <c r="AE9" s="10"/>
      <c r="AF9" s="31">
        <v>0</v>
      </c>
      <c r="AG9" s="29">
        <f t="shared" si="9"/>
        <v>1800</v>
      </c>
      <c r="AH9" s="29">
        <f t="shared" si="22"/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'June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80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'June 2025'!O10</f>
        <v>0</v>
      </c>
      <c r="L10" s="101">
        <v>3</v>
      </c>
      <c r="M10" s="104">
        <v>3.5</v>
      </c>
      <c r="N10" s="24">
        <f t="shared" si="0"/>
        <v>0.5</v>
      </c>
      <c r="O10" s="71">
        <f t="shared" si="1"/>
        <v>0</v>
      </c>
      <c r="P10" s="71">
        <f t="shared" si="2"/>
        <v>30.5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14758.064516129032</v>
      </c>
      <c r="Y10" s="76">
        <f t="shared" si="5"/>
        <v>8854.8387096774186</v>
      </c>
      <c r="Z10" s="76">
        <f t="shared" si="6"/>
        <v>7870.9677419354839</v>
      </c>
      <c r="AA10" s="76">
        <f t="shared" si="7"/>
        <v>2951.6129032258063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1770.9677419354839</v>
      </c>
      <c r="AH10" s="75">
        <f>IF(SUM(X10:AC10)&gt;=25000, 200, 0)</f>
        <v>200</v>
      </c>
      <c r="AI10" s="84">
        <v>0</v>
      </c>
      <c r="AJ10" s="34"/>
      <c r="AK10" s="75">
        <f t="shared" si="30"/>
        <v>45835.483870967742</v>
      </c>
      <c r="AL10" s="75">
        <f t="shared" si="13"/>
        <v>1970.9677419354839</v>
      </c>
      <c r="AM10" s="75">
        <f t="shared" si="31"/>
        <v>43864.516129032258</v>
      </c>
      <c r="AN10" s="78">
        <f t="shared" si="33"/>
        <v>43865</v>
      </c>
      <c r="AO10" s="75">
        <f t="shared" si="16"/>
        <v>0</v>
      </c>
      <c r="AP10" s="75">
        <f t="shared" si="32"/>
        <v>1770.9677419354839</v>
      </c>
      <c r="AQ10" s="34"/>
      <c r="AR10" s="75">
        <f t="shared" si="18"/>
        <v>47606.451612903227</v>
      </c>
      <c r="AS10" s="29">
        <f>'June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80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'June 2025'!O11</f>
        <v>0</v>
      </c>
      <c r="L11" s="101">
        <v>0</v>
      </c>
      <c r="M11" s="38">
        <v>31</v>
      </c>
      <c r="N11" s="24">
        <f t="shared" si="0"/>
        <v>31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/>
      <c r="AC11" s="91"/>
      <c r="AD11" s="10"/>
      <c r="AE11" s="10"/>
      <c r="AF11" s="31">
        <v>0</v>
      </c>
      <c r="AG11" s="29">
        <f t="shared" si="9"/>
        <v>0</v>
      </c>
      <c r="AH11" s="29">
        <f>IF(SUM(X11:AA11)&gt;=25000, 200, 0)</f>
        <v>0</v>
      </c>
      <c r="AI11" s="29">
        <f t="shared" ref="AI11:AI14" si="35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'June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80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71">
        <f>'June 2025'!O12</f>
        <v>0</v>
      </c>
      <c r="L12" s="101">
        <v>3</v>
      </c>
      <c r="M12" s="38">
        <v>5.5</v>
      </c>
      <c r="N12" s="24">
        <f t="shared" si="0"/>
        <v>2.5</v>
      </c>
      <c r="O12" s="24">
        <f t="shared" si="1"/>
        <v>0</v>
      </c>
      <c r="P12" s="24">
        <f t="shared" si="2"/>
        <v>28.5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"/>
        <v>30758</v>
      </c>
      <c r="X12" s="30">
        <f t="shared" si="4"/>
        <v>13790.322580645161</v>
      </c>
      <c r="Y12" s="30">
        <f t="shared" si="5"/>
        <v>4556.322580645161</v>
      </c>
      <c r="Z12" s="30">
        <f t="shared" si="6"/>
        <v>1518.7741935483871</v>
      </c>
      <c r="AA12" s="30">
        <f t="shared" si="7"/>
        <v>1627.258064516129</v>
      </c>
      <c r="AB12" s="91">
        <f t="shared" ref="AB12:AB13" si="36">U12*0.9</f>
        <v>3321</v>
      </c>
      <c r="AC12" s="91">
        <f t="shared" ref="AC12:AC13" si="37">V12*0.7</f>
        <v>2583</v>
      </c>
      <c r="AD12" s="10"/>
      <c r="AE12" s="10"/>
      <c r="AF12" s="31">
        <v>0</v>
      </c>
      <c r="AG12" s="29">
        <f t="shared" si="9"/>
        <v>1654.8387096774193</v>
      </c>
      <c r="AH12" s="29">
        <f t="shared" ref="AH12:AH23" si="38">IF(SUM(X12:AC12)&gt;=25000, 200, 0)</f>
        <v>200</v>
      </c>
      <c r="AI12" s="29">
        <f t="shared" si="35"/>
        <v>0</v>
      </c>
      <c r="AJ12" s="34"/>
      <c r="AK12" s="29">
        <f t="shared" si="30"/>
        <v>27396.677419354837</v>
      </c>
      <c r="AL12" s="29">
        <f t="shared" si="13"/>
        <v>1854.8387096774193</v>
      </c>
      <c r="AM12" s="29">
        <f t="shared" si="31"/>
        <v>25541.838709677417</v>
      </c>
      <c r="AN12" s="33">
        <f t="shared" si="33"/>
        <v>25542</v>
      </c>
      <c r="AO12" s="29">
        <f t="shared" si="16"/>
        <v>0</v>
      </c>
      <c r="AP12" s="29">
        <f t="shared" si="32"/>
        <v>1654.8387096774193</v>
      </c>
      <c r="AQ12" s="34"/>
      <c r="AR12" s="29">
        <f t="shared" si="18"/>
        <v>29051.516129032258</v>
      </c>
      <c r="AS12" s="29">
        <f>'June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80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'June 2025'!O13</f>
        <v>0</v>
      </c>
      <c r="L13" s="101">
        <v>3</v>
      </c>
      <c r="M13" s="38">
        <v>1</v>
      </c>
      <c r="N13" s="24">
        <f t="shared" si="0"/>
        <v>0</v>
      </c>
      <c r="O13" s="24">
        <f t="shared" si="1"/>
        <v>2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"/>
        <v>29828</v>
      </c>
      <c r="X13" s="30">
        <f t="shared" si="4"/>
        <v>15000</v>
      </c>
      <c r="Y13" s="30">
        <f t="shared" si="5"/>
        <v>4956</v>
      </c>
      <c r="Z13" s="30">
        <f t="shared" si="6"/>
        <v>1652</v>
      </c>
      <c r="AA13" s="30">
        <f t="shared" si="7"/>
        <v>1180</v>
      </c>
      <c r="AB13" s="91">
        <f t="shared" si="36"/>
        <v>3168</v>
      </c>
      <c r="AC13" s="91">
        <f t="shared" si="37"/>
        <v>2464</v>
      </c>
      <c r="AD13" s="12"/>
      <c r="AE13" s="10"/>
      <c r="AF13" s="31">
        <v>0</v>
      </c>
      <c r="AG13" s="29">
        <f t="shared" si="9"/>
        <v>1800</v>
      </c>
      <c r="AH13" s="29">
        <f t="shared" si="38"/>
        <v>200</v>
      </c>
      <c r="AI13" s="29">
        <f t="shared" si="35"/>
        <v>0</v>
      </c>
      <c r="AJ13" s="13"/>
      <c r="AK13" s="29">
        <f t="shared" si="30"/>
        <v>28420</v>
      </c>
      <c r="AL13" s="29">
        <f t="shared" si="13"/>
        <v>2000</v>
      </c>
      <c r="AM13" s="29">
        <f t="shared" si="31"/>
        <v>26420</v>
      </c>
      <c r="AN13" s="33">
        <f t="shared" si="33"/>
        <v>26420</v>
      </c>
      <c r="AO13" s="29">
        <f t="shared" si="16"/>
        <v>0</v>
      </c>
      <c r="AP13" s="29">
        <f t="shared" si="32"/>
        <v>1800</v>
      </c>
      <c r="AQ13" s="13"/>
      <c r="AR13" s="29">
        <f t="shared" si="18"/>
        <v>30220</v>
      </c>
      <c r="AS13" s="29">
        <f>'June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80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'June 2025'!O14</f>
        <v>0</v>
      </c>
      <c r="L14" s="101">
        <v>3</v>
      </c>
      <c r="M14" s="104">
        <v>1.5</v>
      </c>
      <c r="N14" s="71">
        <f t="shared" si="0"/>
        <v>0</v>
      </c>
      <c r="O14" s="71">
        <f t="shared" si="1"/>
        <v>1.5</v>
      </c>
      <c r="P14" s="71">
        <f t="shared" si="2"/>
        <v>31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26000</v>
      </c>
      <c r="Y14" s="76">
        <f t="shared" si="5"/>
        <v>14808</v>
      </c>
      <c r="Z14" s="76">
        <f t="shared" si="6"/>
        <v>11106</v>
      </c>
      <c r="AA14" s="76">
        <f t="shared" si="7"/>
        <v>11106</v>
      </c>
      <c r="AB14" s="77">
        <f t="shared" ref="AB14:AC14" si="39">U14*0.7</f>
        <v>3776.4999999999995</v>
      </c>
      <c r="AC14" s="77">
        <f t="shared" si="39"/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si="38"/>
        <v>200</v>
      </c>
      <c r="AI14" s="75">
        <f t="shared" si="35"/>
        <v>0</v>
      </c>
      <c r="AJ14" s="13"/>
      <c r="AK14" s="75">
        <f t="shared" si="30"/>
        <v>70573</v>
      </c>
      <c r="AL14" s="75">
        <f t="shared" si="13"/>
        <v>2000</v>
      </c>
      <c r="AM14" s="75">
        <f t="shared" si="31"/>
        <v>68573</v>
      </c>
      <c r="AN14" s="78">
        <f t="shared" si="33"/>
        <v>68573</v>
      </c>
      <c r="AO14" s="75">
        <f t="shared" si="16"/>
        <v>0</v>
      </c>
      <c r="AP14" s="75">
        <f t="shared" si="32"/>
        <v>1800</v>
      </c>
      <c r="AQ14" s="13"/>
      <c r="AR14" s="75">
        <f t="shared" si="18"/>
        <v>72373</v>
      </c>
      <c r="AS14" s="29">
        <f>'June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80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'June 2025'!O15</f>
        <v>5</v>
      </c>
      <c r="L15" s="101">
        <v>3</v>
      </c>
      <c r="M15" s="104">
        <v>3</v>
      </c>
      <c r="N15" s="71">
        <f t="shared" si="0"/>
        <v>0</v>
      </c>
      <c r="O15" s="71">
        <f t="shared" si="1"/>
        <v>5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"/>
        <v>95895</v>
      </c>
      <c r="X15" s="76">
        <f t="shared" si="4"/>
        <v>30000</v>
      </c>
      <c r="Y15" s="76">
        <f t="shared" si="5"/>
        <v>21300</v>
      </c>
      <c r="Z15" s="76">
        <f t="shared" si="6"/>
        <v>15975.000000000002</v>
      </c>
      <c r="AA15" s="76">
        <f t="shared" si="7"/>
        <v>12780</v>
      </c>
      <c r="AB15" s="77">
        <f t="shared" ref="AB15:AB17" si="40">U15*1</f>
        <v>7920</v>
      </c>
      <c r="AC15" s="77">
        <f t="shared" ref="AC15:AC20" si="41">V15*0.7</f>
        <v>5544</v>
      </c>
      <c r="AD15" s="10"/>
      <c r="AE15" s="10">
        <f>(SUM(X15:AC15)-SUM('Apr 2025'!X15:AC15)) + (SUM(X15:AC15)-SUM('May 2025'!X15:AC15)) +(SUM(X15:AC15)-SUM('June 2025'!X15:AC15))</f>
        <v>29097</v>
      </c>
      <c r="AF15" s="77">
        <v>0</v>
      </c>
      <c r="AG15" s="75">
        <f t="shared" si="9"/>
        <v>1800</v>
      </c>
      <c r="AH15" s="75">
        <f t="shared" si="38"/>
        <v>200</v>
      </c>
      <c r="AI15" s="85">
        <v>0</v>
      </c>
      <c r="AJ15" s="34"/>
      <c r="AK15" s="75">
        <f t="shared" si="30"/>
        <v>122616</v>
      </c>
      <c r="AL15" s="75">
        <f t="shared" si="13"/>
        <v>2000</v>
      </c>
      <c r="AM15" s="75">
        <f t="shared" si="31"/>
        <v>120616</v>
      </c>
      <c r="AN15" s="78">
        <f t="shared" si="33"/>
        <v>120616</v>
      </c>
      <c r="AO15" s="75">
        <v>0</v>
      </c>
      <c r="AP15" s="75">
        <f t="shared" si="32"/>
        <v>1800</v>
      </c>
      <c r="AQ15" s="34"/>
      <c r="AR15" s="75">
        <f t="shared" si="18"/>
        <v>124416</v>
      </c>
      <c r="AS15" s="29">
        <f>'June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80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'June 2025'!O16</f>
        <v>0</v>
      </c>
      <c r="L16" s="101">
        <v>3</v>
      </c>
      <c r="M16" s="104">
        <v>2.5</v>
      </c>
      <c r="N16" s="71">
        <f t="shared" si="0"/>
        <v>0</v>
      </c>
      <c r="O16" s="71">
        <f t="shared" si="1"/>
        <v>0.5</v>
      </c>
      <c r="P16" s="71">
        <f t="shared" si="2"/>
        <v>31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"/>
        <v>85615</v>
      </c>
      <c r="X16" s="76">
        <f t="shared" si="4"/>
        <v>26000</v>
      </c>
      <c r="Y16" s="76">
        <f t="shared" si="5"/>
        <v>11600</v>
      </c>
      <c r="Z16" s="76">
        <f t="shared" si="6"/>
        <v>10440</v>
      </c>
      <c r="AA16" s="76">
        <f t="shared" si="7"/>
        <v>8700</v>
      </c>
      <c r="AB16" s="77">
        <f t="shared" si="40"/>
        <v>0</v>
      </c>
      <c r="AC16" s="77">
        <f t="shared" si="41"/>
        <v>20212.5</v>
      </c>
      <c r="AD16" s="12"/>
      <c r="AE16" s="10"/>
      <c r="AF16" s="77">
        <v>0</v>
      </c>
      <c r="AG16" s="75">
        <f t="shared" si="9"/>
        <v>1800</v>
      </c>
      <c r="AH16" s="75">
        <f t="shared" si="38"/>
        <v>200</v>
      </c>
      <c r="AI16" s="75">
        <f t="shared" ref="AI16:AI33" si="42">IF(SUM(Q16:T16) &lt; 21000, SUM(X16:AA16)*0.0075, 0)</f>
        <v>0</v>
      </c>
      <c r="AJ16" s="13"/>
      <c r="AK16" s="75">
        <f t="shared" si="30"/>
        <v>76952.5</v>
      </c>
      <c r="AL16" s="75">
        <f t="shared" si="13"/>
        <v>2000</v>
      </c>
      <c r="AM16" s="75">
        <f t="shared" si="31"/>
        <v>74952.5</v>
      </c>
      <c r="AN16" s="78">
        <f t="shared" si="33"/>
        <v>74953</v>
      </c>
      <c r="AO16" s="75">
        <f t="shared" ref="AO16:AO32" si="43">AI16/0.0075*0.0325</f>
        <v>0</v>
      </c>
      <c r="AP16" s="75">
        <f t="shared" si="32"/>
        <v>1800</v>
      </c>
      <c r="AQ16" s="13"/>
      <c r="AR16" s="75">
        <f t="shared" si="18"/>
        <v>78752.5</v>
      </c>
      <c r="AS16" s="29">
        <f>'June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80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'June 2025'!O17</f>
        <v>6</v>
      </c>
      <c r="L17" s="101">
        <v>3</v>
      </c>
      <c r="M17" s="104">
        <v>0</v>
      </c>
      <c r="N17" s="71">
        <f t="shared" si="0"/>
        <v>0</v>
      </c>
      <c r="O17" s="71">
        <f t="shared" si="1"/>
        <v>9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40"/>
        <v>13125</v>
      </c>
      <c r="AC17" s="77">
        <f t="shared" si="41"/>
        <v>9187.5</v>
      </c>
      <c r="AD17" s="12"/>
      <c r="AE17" s="10"/>
      <c r="AF17" s="77">
        <v>0</v>
      </c>
      <c r="AG17" s="75">
        <f t="shared" si="9"/>
        <v>1800</v>
      </c>
      <c r="AH17" s="75">
        <f t="shared" si="38"/>
        <v>200</v>
      </c>
      <c r="AI17" s="75">
        <f t="shared" si="42"/>
        <v>0</v>
      </c>
      <c r="AJ17" s="13"/>
      <c r="AK17" s="75">
        <f t="shared" si="30"/>
        <v>79145.833333333343</v>
      </c>
      <c r="AL17" s="75">
        <f t="shared" si="13"/>
        <v>2000</v>
      </c>
      <c r="AM17" s="75">
        <f t="shared" si="31"/>
        <v>77145.833333333343</v>
      </c>
      <c r="AN17" s="78">
        <f t="shared" si="33"/>
        <v>77146</v>
      </c>
      <c r="AO17" s="75">
        <f t="shared" si="43"/>
        <v>0</v>
      </c>
      <c r="AP17" s="75">
        <f t="shared" si="32"/>
        <v>1800</v>
      </c>
      <c r="AQ17" s="13"/>
      <c r="AR17" s="75">
        <f t="shared" si="18"/>
        <v>80945.833333333343</v>
      </c>
      <c r="AS17" s="29">
        <f>'June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80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'June 2025'!O18</f>
        <v>0</v>
      </c>
      <c r="L18" s="101">
        <v>3</v>
      </c>
      <c r="M18" s="38">
        <v>1</v>
      </c>
      <c r="N18" s="24">
        <f t="shared" si="0"/>
        <v>0</v>
      </c>
      <c r="O18" s="24">
        <f t="shared" si="1"/>
        <v>2</v>
      </c>
      <c r="P18" s="24">
        <f t="shared" si="2"/>
        <v>31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"/>
        <v>28560</v>
      </c>
      <c r="X18" s="30">
        <f t="shared" si="4"/>
        <v>15000</v>
      </c>
      <c r="Y18" s="30">
        <f t="shared" si="5"/>
        <v>5700</v>
      </c>
      <c r="Z18" s="30">
        <f t="shared" si="6"/>
        <v>1900</v>
      </c>
      <c r="AA18" s="30">
        <f t="shared" si="7"/>
        <v>1900</v>
      </c>
      <c r="AB18" s="91">
        <f t="shared" ref="AB18:AB20" si="44">U18*0.9</f>
        <v>1827</v>
      </c>
      <c r="AC18" s="91">
        <f t="shared" si="41"/>
        <v>1421</v>
      </c>
      <c r="AD18" s="12"/>
      <c r="AE18" s="10"/>
      <c r="AF18" s="31">
        <v>0</v>
      </c>
      <c r="AG18" s="29">
        <f t="shared" si="9"/>
        <v>1800</v>
      </c>
      <c r="AH18" s="29">
        <f t="shared" si="38"/>
        <v>200</v>
      </c>
      <c r="AI18" s="29">
        <f t="shared" si="42"/>
        <v>0</v>
      </c>
      <c r="AJ18" s="13"/>
      <c r="AK18" s="29">
        <f t="shared" si="30"/>
        <v>27748</v>
      </c>
      <c r="AL18" s="29">
        <f t="shared" si="13"/>
        <v>2000</v>
      </c>
      <c r="AM18" s="29">
        <f t="shared" si="31"/>
        <v>25748</v>
      </c>
      <c r="AN18" s="33">
        <f t="shared" si="33"/>
        <v>25748</v>
      </c>
      <c r="AO18" s="29">
        <f t="shared" si="43"/>
        <v>0</v>
      </c>
      <c r="AP18" s="29">
        <f t="shared" si="32"/>
        <v>1800</v>
      </c>
      <c r="AQ18" s="13"/>
      <c r="AR18" s="29">
        <f t="shared" si="18"/>
        <v>29548</v>
      </c>
      <c r="AS18" s="29">
        <f>'June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79"/>
      <c r="AY18" s="75">
        <v>0</v>
      </c>
      <c r="AZ18" s="80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'June 2025'!O19</f>
        <v>0</v>
      </c>
      <c r="L19" s="101">
        <v>3</v>
      </c>
      <c r="M19" s="38">
        <v>1</v>
      </c>
      <c r="N19" s="24">
        <f t="shared" si="0"/>
        <v>0</v>
      </c>
      <c r="O19" s="24">
        <f t="shared" si="1"/>
        <v>2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"/>
        <v>29280</v>
      </c>
      <c r="X19" s="30">
        <f t="shared" si="4"/>
        <v>15000</v>
      </c>
      <c r="Y19" s="30">
        <f t="shared" si="5"/>
        <v>5700</v>
      </c>
      <c r="Z19" s="30">
        <f t="shared" si="6"/>
        <v>1900</v>
      </c>
      <c r="AA19" s="30">
        <f t="shared" si="7"/>
        <v>1900</v>
      </c>
      <c r="AB19" s="91">
        <f t="shared" si="44"/>
        <v>2151</v>
      </c>
      <c r="AC19" s="91">
        <f t="shared" si="41"/>
        <v>1673</v>
      </c>
      <c r="AD19" s="12"/>
      <c r="AE19" s="10">
        <f>(SUM(X19:AC19)-SUM('Apr 2025'!X19:AC19)) + (SUM(X19:AC19)-SUM('May 2025'!X19:AC19)) +(SUM(X19:AC19)-SUM('June 2025'!X19:AC19))</f>
        <v>19986</v>
      </c>
      <c r="AF19" s="31">
        <v>0</v>
      </c>
      <c r="AG19" s="29">
        <f t="shared" si="9"/>
        <v>1800</v>
      </c>
      <c r="AH19" s="29">
        <f t="shared" si="38"/>
        <v>200</v>
      </c>
      <c r="AI19" s="29">
        <f t="shared" si="42"/>
        <v>0</v>
      </c>
      <c r="AJ19" s="13"/>
      <c r="AK19" s="29">
        <f t="shared" si="30"/>
        <v>48310</v>
      </c>
      <c r="AL19" s="29">
        <f t="shared" si="13"/>
        <v>2000</v>
      </c>
      <c r="AM19" s="29">
        <f t="shared" si="31"/>
        <v>46310</v>
      </c>
      <c r="AN19" s="33">
        <f t="shared" si="33"/>
        <v>46310</v>
      </c>
      <c r="AO19" s="29">
        <f t="shared" si="43"/>
        <v>0</v>
      </c>
      <c r="AP19" s="29">
        <f t="shared" si="32"/>
        <v>1800</v>
      </c>
      <c r="AQ19" s="13"/>
      <c r="AR19" s="29">
        <f t="shared" si="18"/>
        <v>50110</v>
      </c>
      <c r="AS19" s="29">
        <f>'June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80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'June 2025'!O20</f>
        <v>0</v>
      </c>
      <c r="L20" s="101">
        <v>3</v>
      </c>
      <c r="M20" s="38">
        <v>1.5</v>
      </c>
      <c r="N20" s="24">
        <f t="shared" si="0"/>
        <v>0</v>
      </c>
      <c r="O20" s="24">
        <f t="shared" si="1"/>
        <v>1.5</v>
      </c>
      <c r="P20" s="24">
        <f t="shared" si="2"/>
        <v>31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"/>
        <v>27204</v>
      </c>
      <c r="X20" s="30">
        <f t="shared" si="4"/>
        <v>15000</v>
      </c>
      <c r="Y20" s="30">
        <f t="shared" si="5"/>
        <v>5130</v>
      </c>
      <c r="Z20" s="30">
        <f t="shared" si="6"/>
        <v>1710</v>
      </c>
      <c r="AA20" s="30">
        <f t="shared" si="7"/>
        <v>1710</v>
      </c>
      <c r="AB20" s="91">
        <f t="shared" si="44"/>
        <v>1644.3</v>
      </c>
      <c r="AC20" s="91">
        <f t="shared" si="41"/>
        <v>1278.8999999999999</v>
      </c>
      <c r="AD20" s="12"/>
      <c r="AE20" s="10"/>
      <c r="AF20" s="31">
        <v>0</v>
      </c>
      <c r="AG20" s="29">
        <f t="shared" si="9"/>
        <v>1800</v>
      </c>
      <c r="AH20" s="29">
        <f t="shared" si="38"/>
        <v>200</v>
      </c>
      <c r="AI20" s="29">
        <f t="shared" si="42"/>
        <v>0</v>
      </c>
      <c r="AJ20" s="13"/>
      <c r="AK20" s="29">
        <f t="shared" si="30"/>
        <v>26473.200000000001</v>
      </c>
      <c r="AL20" s="29">
        <f t="shared" si="13"/>
        <v>2000</v>
      </c>
      <c r="AM20" s="29">
        <f t="shared" si="31"/>
        <v>24473.200000000001</v>
      </c>
      <c r="AN20" s="33">
        <f t="shared" si="33"/>
        <v>24473</v>
      </c>
      <c r="AO20" s="29">
        <f t="shared" si="43"/>
        <v>0</v>
      </c>
      <c r="AP20" s="29">
        <f t="shared" si="32"/>
        <v>1800</v>
      </c>
      <c r="AQ20" s="13"/>
      <c r="AR20" s="29">
        <f t="shared" si="18"/>
        <v>28273.200000000001</v>
      </c>
      <c r="AS20" s="29">
        <f>'June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80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31</v>
      </c>
      <c r="J21" s="100">
        <v>0</v>
      </c>
      <c r="K21" s="71">
        <f>'June 2025'!O21</f>
        <v>0</v>
      </c>
      <c r="L21" s="101">
        <v>3</v>
      </c>
      <c r="M21" s="38">
        <v>0</v>
      </c>
      <c r="N21" s="24">
        <f t="shared" si="0"/>
        <v>0</v>
      </c>
      <c r="O21" s="24">
        <f t="shared" si="1"/>
        <v>3</v>
      </c>
      <c r="P21" s="24">
        <f t="shared" si="2"/>
        <v>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 t="e">
        <f t="shared" si="4"/>
        <v>#DIV/0!</v>
      </c>
      <c r="Y21" s="30" t="e">
        <f t="shared" si="5"/>
        <v>#DIV/0!</v>
      </c>
      <c r="Z21" s="30" t="e">
        <f t="shared" si="6"/>
        <v>#DIV/0!</v>
      </c>
      <c r="AA21" s="30" t="e">
        <f t="shared" si="7"/>
        <v>#DIV/0!</v>
      </c>
      <c r="AB21" s="91">
        <f>U21*0.9*3</f>
        <v>3226.5</v>
      </c>
      <c r="AC21" s="91">
        <f>V21*0.7*3</f>
        <v>2509.5</v>
      </c>
      <c r="AD21" s="12"/>
      <c r="AE21" s="41"/>
      <c r="AF21" s="31">
        <v>0</v>
      </c>
      <c r="AG21" s="29" t="e">
        <f t="shared" si="9"/>
        <v>#DIV/0!</v>
      </c>
      <c r="AH21" s="29" t="e">
        <f t="shared" si="38"/>
        <v>#DIV/0!</v>
      </c>
      <c r="AI21" s="29" t="e">
        <f t="shared" si="42"/>
        <v>#DIV/0!</v>
      </c>
      <c r="AJ21" s="13"/>
      <c r="AK21" s="29" t="e">
        <f t="shared" si="30"/>
        <v>#DIV/0!</v>
      </c>
      <c r="AL21" s="29" t="e">
        <f t="shared" si="13"/>
        <v>#DIV/0!</v>
      </c>
      <c r="AM21" s="29" t="e">
        <f t="shared" si="31"/>
        <v>#DIV/0!</v>
      </c>
      <c r="AN21" s="33" t="e">
        <f t="shared" si="33"/>
        <v>#DIV/0!</v>
      </c>
      <c r="AO21" s="29" t="e">
        <f t="shared" si="43"/>
        <v>#DIV/0!</v>
      </c>
      <c r="AP21" s="29" t="e">
        <f t="shared" si="32"/>
        <v>#DIV/0!</v>
      </c>
      <c r="AQ21" s="13"/>
      <c r="AR21" s="29" t="e">
        <f t="shared" si="18"/>
        <v>#DIV/0!</v>
      </c>
      <c r="AS21" s="29">
        <f>'June 2025'!AT21</f>
        <v>0</v>
      </c>
      <c r="AT21" s="29">
        <f t="shared" si="28"/>
        <v>0</v>
      </c>
      <c r="AU21" s="34"/>
      <c r="AV21" s="31">
        <f t="shared" si="34"/>
        <v>0</v>
      </c>
      <c r="AW21" s="79"/>
      <c r="AX21" s="79"/>
      <c r="AY21" s="75">
        <v>0</v>
      </c>
      <c r="AZ21" s="110" t="s">
        <v>166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'June 2025'!O22</f>
        <v>2</v>
      </c>
      <c r="L22" s="101">
        <v>4</v>
      </c>
      <c r="M22" s="38">
        <v>1</v>
      </c>
      <c r="N22" s="24">
        <f t="shared" si="0"/>
        <v>0</v>
      </c>
      <c r="O22" s="24">
        <f t="shared" si="1"/>
        <v>5</v>
      </c>
      <c r="P22" s="24">
        <f t="shared" si="2"/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si="3"/>
        <v>28804</v>
      </c>
      <c r="X22" s="30">
        <f t="shared" si="4"/>
        <v>15000</v>
      </c>
      <c r="Y22" s="30">
        <f t="shared" si="5"/>
        <v>5700</v>
      </c>
      <c r="Z22" s="30">
        <f t="shared" si="6"/>
        <v>1900</v>
      </c>
      <c r="AA22" s="30">
        <f t="shared" si="7"/>
        <v>1900</v>
      </c>
      <c r="AB22" s="91">
        <f t="shared" ref="AB22:AB23" si="45">U22*0.9</f>
        <v>1936.8</v>
      </c>
      <c r="AC22" s="91">
        <f t="shared" ref="AC22:AC25" si="46">V22*0.7</f>
        <v>1506.3999999999999</v>
      </c>
      <c r="AD22" s="12"/>
      <c r="AE22" s="10"/>
      <c r="AF22" s="31">
        <v>0</v>
      </c>
      <c r="AG22" s="29">
        <f t="shared" si="9"/>
        <v>1800</v>
      </c>
      <c r="AH22" s="29">
        <f t="shared" si="38"/>
        <v>200</v>
      </c>
      <c r="AI22" s="29">
        <f t="shared" si="42"/>
        <v>0</v>
      </c>
      <c r="AJ22" s="13"/>
      <c r="AK22" s="29">
        <f t="shared" si="30"/>
        <v>27943.200000000001</v>
      </c>
      <c r="AL22" s="29">
        <f t="shared" si="13"/>
        <v>2000</v>
      </c>
      <c r="AM22" s="29">
        <f t="shared" si="31"/>
        <v>25943.200000000001</v>
      </c>
      <c r="AN22" s="33">
        <f t="shared" si="33"/>
        <v>25943</v>
      </c>
      <c r="AO22" s="29">
        <f t="shared" si="43"/>
        <v>0</v>
      </c>
      <c r="AP22" s="29">
        <f t="shared" si="32"/>
        <v>1800</v>
      </c>
      <c r="AQ22" s="13"/>
      <c r="AR22" s="29">
        <f t="shared" si="18"/>
        <v>29743.200000000001</v>
      </c>
      <c r="AS22" s="29">
        <f>'June 2025'!AT22</f>
        <v>0</v>
      </c>
      <c r="AT22" s="29">
        <f t="shared" si="28"/>
        <v>0</v>
      </c>
      <c r="AU22" s="34"/>
      <c r="AV22" s="31">
        <f t="shared" si="34"/>
        <v>0</v>
      </c>
      <c r="AW22" s="79"/>
      <c r="AX22" s="79"/>
      <c r="AY22" s="75">
        <v>0</v>
      </c>
      <c r="AZ22" s="80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'June 2025'!O23</f>
        <v>0</v>
      </c>
      <c r="L23" s="101">
        <v>3</v>
      </c>
      <c r="M23" s="38">
        <v>1</v>
      </c>
      <c r="N23" s="24">
        <f t="shared" si="0"/>
        <v>0</v>
      </c>
      <c r="O23" s="24">
        <f t="shared" si="1"/>
        <v>2</v>
      </c>
      <c r="P23" s="24">
        <f t="shared" si="2"/>
        <v>31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3"/>
        <v>25831</v>
      </c>
      <c r="X23" s="30">
        <f t="shared" si="4"/>
        <v>15000</v>
      </c>
      <c r="Y23" s="30">
        <f t="shared" si="5"/>
        <v>4959</v>
      </c>
      <c r="Z23" s="30">
        <f t="shared" si="6"/>
        <v>1653</v>
      </c>
      <c r="AA23" s="30">
        <f t="shared" si="7"/>
        <v>1653</v>
      </c>
      <c r="AB23" s="91">
        <f t="shared" si="45"/>
        <v>1154.7</v>
      </c>
      <c r="AC23" s="91">
        <f t="shared" si="46"/>
        <v>898.09999999999991</v>
      </c>
      <c r="AD23" s="12"/>
      <c r="AE23" s="10"/>
      <c r="AF23" s="31">
        <v>0</v>
      </c>
      <c r="AG23" s="29">
        <f t="shared" si="9"/>
        <v>1800</v>
      </c>
      <c r="AH23" s="29">
        <f t="shared" si="38"/>
        <v>200</v>
      </c>
      <c r="AI23" s="29">
        <f t="shared" si="42"/>
        <v>0</v>
      </c>
      <c r="AJ23" s="13"/>
      <c r="AK23" s="29">
        <f t="shared" si="30"/>
        <v>25317.8</v>
      </c>
      <c r="AL23" s="29">
        <f t="shared" si="13"/>
        <v>2000</v>
      </c>
      <c r="AM23" s="29">
        <f t="shared" si="31"/>
        <v>23317.8</v>
      </c>
      <c r="AN23" s="33">
        <f t="shared" si="33"/>
        <v>23318</v>
      </c>
      <c r="AO23" s="29">
        <f t="shared" si="43"/>
        <v>0</v>
      </c>
      <c r="AP23" s="29">
        <f t="shared" si="32"/>
        <v>1800</v>
      </c>
      <c r="AQ23" s="13"/>
      <c r="AR23" s="29">
        <f t="shared" si="18"/>
        <v>27117.8</v>
      </c>
      <c r="AS23" s="29">
        <f>'June 2025'!AT23</f>
        <v>0</v>
      </c>
      <c r="AT23" s="29">
        <f t="shared" si="28"/>
        <v>0</v>
      </c>
      <c r="AU23" s="34"/>
      <c r="AV23" s="31">
        <f t="shared" si="34"/>
        <v>0</v>
      </c>
      <c r="AW23" s="79"/>
      <c r="AX23" s="79"/>
      <c r="AY23" s="75">
        <v>0</v>
      </c>
      <c r="AZ23" s="80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'June 2025'!O24</f>
        <v>0</v>
      </c>
      <c r="L24" s="101">
        <v>3</v>
      </c>
      <c r="M24" s="38">
        <v>2.5</v>
      </c>
      <c r="N24" s="24">
        <f t="shared" si="0"/>
        <v>0</v>
      </c>
      <c r="O24" s="24">
        <f t="shared" si="1"/>
        <v>0.5</v>
      </c>
      <c r="P24" s="24">
        <f t="shared" si="2"/>
        <v>31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3"/>
        <v>40000</v>
      </c>
      <c r="X24" s="30">
        <f t="shared" si="4"/>
        <v>15000</v>
      </c>
      <c r="Y24" s="30">
        <f t="shared" si="5"/>
        <v>6000</v>
      </c>
      <c r="Z24" s="30">
        <f t="shared" si="6"/>
        <v>5000</v>
      </c>
      <c r="AA24" s="30">
        <f t="shared" si="7"/>
        <v>6000</v>
      </c>
      <c r="AB24" s="77">
        <f>U24*1.2</f>
        <v>4800</v>
      </c>
      <c r="AC24" s="77">
        <f t="shared" si="46"/>
        <v>2800</v>
      </c>
      <c r="AD24" s="12"/>
      <c r="AE24" s="10"/>
      <c r="AF24" s="31">
        <v>0</v>
      </c>
      <c r="AG24" s="29">
        <f t="shared" si="9"/>
        <v>1800</v>
      </c>
      <c r="AH24" s="29">
        <f>IF(SUM(X24:AA24)&gt;=25000, 200, 0)</f>
        <v>200</v>
      </c>
      <c r="AI24" s="29">
        <f t="shared" si="42"/>
        <v>0</v>
      </c>
      <c r="AJ24" s="13"/>
      <c r="AK24" s="29">
        <f t="shared" si="30"/>
        <v>39600</v>
      </c>
      <c r="AL24" s="29">
        <f t="shared" si="13"/>
        <v>2000</v>
      </c>
      <c r="AM24" s="29">
        <f t="shared" si="31"/>
        <v>37600</v>
      </c>
      <c r="AN24" s="33">
        <f t="shared" si="33"/>
        <v>37600</v>
      </c>
      <c r="AO24" s="29">
        <f t="shared" si="43"/>
        <v>0</v>
      </c>
      <c r="AP24" s="29">
        <f t="shared" si="32"/>
        <v>1800</v>
      </c>
      <c r="AQ24" s="13"/>
      <c r="AR24" s="29">
        <f t="shared" si="18"/>
        <v>41400</v>
      </c>
      <c r="AS24" s="29">
        <f>'June 2025'!AT24</f>
        <v>0</v>
      </c>
      <c r="AT24" s="29">
        <f t="shared" si="28"/>
        <v>0</v>
      </c>
      <c r="AU24" s="34"/>
      <c r="AV24" s="31">
        <f t="shared" si="34"/>
        <v>0</v>
      </c>
      <c r="AW24" s="79"/>
      <c r="AX24" s="79"/>
      <c r="AY24" s="75">
        <v>0</v>
      </c>
      <c r="AZ24" s="80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'June 2025'!O25</f>
        <v>0</v>
      </c>
      <c r="L25" s="101">
        <v>3</v>
      </c>
      <c r="M25" s="38">
        <v>0</v>
      </c>
      <c r="N25" s="24">
        <f t="shared" si="0"/>
        <v>0</v>
      </c>
      <c r="O25" s="24">
        <f t="shared" si="1"/>
        <v>3</v>
      </c>
      <c r="P25" s="24">
        <f t="shared" si="2"/>
        <v>31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3"/>
        <v>30166</v>
      </c>
      <c r="X25" s="30">
        <f t="shared" si="4"/>
        <v>15000</v>
      </c>
      <c r="Y25" s="30">
        <f t="shared" si="5"/>
        <v>5700</v>
      </c>
      <c r="Z25" s="30">
        <f t="shared" si="6"/>
        <v>1900</v>
      </c>
      <c r="AA25" s="30">
        <f t="shared" si="7"/>
        <v>1900</v>
      </c>
      <c r="AB25" s="91">
        <f>U25*1</f>
        <v>2833</v>
      </c>
      <c r="AC25" s="91">
        <f t="shared" si="46"/>
        <v>1983.1</v>
      </c>
      <c r="AD25" s="12"/>
      <c r="AE25" s="10">
        <f>(SUM(X25:AC25)-SUM('Apr 2025'!X25:AC25)) + (SUM(X25:AC25)-SUM('May 2025'!X25:AC25)) +(SUM(X25:AC25)-SUM('June 2025'!X25:AC25))</f>
        <v>23578.333333333332</v>
      </c>
      <c r="AF25" s="31">
        <v>0</v>
      </c>
      <c r="AG25" s="29">
        <f t="shared" si="9"/>
        <v>1800</v>
      </c>
      <c r="AH25" s="29">
        <f>IF(SUM(X25:AC25)&gt;=25000, 200, 0)</f>
        <v>200</v>
      </c>
      <c r="AI25" s="29">
        <f t="shared" si="42"/>
        <v>0</v>
      </c>
      <c r="AJ25" s="13"/>
      <c r="AK25" s="29">
        <f t="shared" si="30"/>
        <v>52894.433333333334</v>
      </c>
      <c r="AL25" s="29">
        <f t="shared" si="13"/>
        <v>2000</v>
      </c>
      <c r="AM25" s="29">
        <f t="shared" si="31"/>
        <v>50894.433333333334</v>
      </c>
      <c r="AN25" s="33">
        <f t="shared" si="33"/>
        <v>50894</v>
      </c>
      <c r="AO25" s="29">
        <f t="shared" si="43"/>
        <v>0</v>
      </c>
      <c r="AP25" s="29">
        <f t="shared" si="32"/>
        <v>1800</v>
      </c>
      <c r="AQ25" s="13"/>
      <c r="AR25" s="29">
        <f t="shared" si="18"/>
        <v>54694.433333333334</v>
      </c>
      <c r="AS25" s="29">
        <f>'June 2025'!AT25</f>
        <v>0</v>
      </c>
      <c r="AT25" s="29">
        <f t="shared" si="28"/>
        <v>0</v>
      </c>
      <c r="AU25" s="34"/>
      <c r="AV25" s="31">
        <f t="shared" si="34"/>
        <v>0</v>
      </c>
      <c r="AW25" s="79"/>
      <c r="AX25" s="79"/>
      <c r="AY25" s="75">
        <v>0</v>
      </c>
      <c r="AZ25" s="80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'June 2025'!O26</f>
        <v>0</v>
      </c>
      <c r="L26" s="101">
        <v>3</v>
      </c>
      <c r="M26" s="38">
        <v>0</v>
      </c>
      <c r="N26" s="24">
        <f t="shared" si="0"/>
        <v>0</v>
      </c>
      <c r="O26" s="24">
        <f t="shared" si="1"/>
        <v>3</v>
      </c>
      <c r="P26" s="24">
        <f t="shared" si="2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3"/>
        <v>25865</v>
      </c>
      <c r="X26" s="30">
        <f t="shared" si="4"/>
        <v>15000</v>
      </c>
      <c r="Y26" s="30">
        <f t="shared" si="5"/>
        <v>3825</v>
      </c>
      <c r="Z26" s="30">
        <f t="shared" si="6"/>
        <v>1020.0000000000001</v>
      </c>
      <c r="AA26" s="30">
        <f t="shared" si="7"/>
        <v>1020.0000000000001</v>
      </c>
      <c r="AB26" s="91"/>
      <c r="AC26" s="91"/>
      <c r="AD26" s="12"/>
      <c r="AE26" s="10"/>
      <c r="AF26" s="31">
        <v>0</v>
      </c>
      <c r="AG26" s="29">
        <f t="shared" si="9"/>
        <v>1800</v>
      </c>
      <c r="AH26" s="29">
        <f>IF(SUM(X26:AA26)&gt;=25000, 200, 0)</f>
        <v>0</v>
      </c>
      <c r="AI26" s="29">
        <f t="shared" si="42"/>
        <v>156.48749999999998</v>
      </c>
      <c r="AJ26" s="13"/>
      <c r="AK26" s="29">
        <f t="shared" si="30"/>
        <v>20865</v>
      </c>
      <c r="AL26" s="29">
        <f t="shared" si="13"/>
        <v>1956.4875</v>
      </c>
      <c r="AM26" s="29">
        <f t="shared" si="31"/>
        <v>18908.512500000001</v>
      </c>
      <c r="AN26" s="33">
        <f t="shared" si="33"/>
        <v>18909</v>
      </c>
      <c r="AO26" s="29">
        <f t="shared" si="43"/>
        <v>678.11250000000007</v>
      </c>
      <c r="AP26" s="29">
        <f t="shared" si="32"/>
        <v>1800</v>
      </c>
      <c r="AQ26" s="13"/>
      <c r="AR26" s="29">
        <f t="shared" si="18"/>
        <v>23343.112499999999</v>
      </c>
      <c r="AS26" s="29">
        <f>'June 2025'!AT26</f>
        <v>0</v>
      </c>
      <c r="AT26" s="29">
        <f t="shared" si="28"/>
        <v>0</v>
      </c>
      <c r="AU26" s="34"/>
      <c r="AV26" s="31">
        <f t="shared" si="34"/>
        <v>0</v>
      </c>
      <c r="AW26" s="79"/>
      <c r="AX26" s="79"/>
      <c r="AY26" s="75">
        <v>0</v>
      </c>
      <c r="AZ26" s="80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'June 2025'!O27</f>
        <v>0</v>
      </c>
      <c r="L27" s="101">
        <v>3</v>
      </c>
      <c r="M27" s="38">
        <v>1</v>
      </c>
      <c r="N27" s="24">
        <f t="shared" si="0"/>
        <v>0</v>
      </c>
      <c r="O27" s="24">
        <f t="shared" si="1"/>
        <v>2</v>
      </c>
      <c r="P27" s="24">
        <f t="shared" si="2"/>
        <v>31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3"/>
        <v>25831</v>
      </c>
      <c r="X27" s="30">
        <f t="shared" si="4"/>
        <v>15000</v>
      </c>
      <c r="Y27" s="30">
        <f t="shared" si="5"/>
        <v>4845</v>
      </c>
      <c r="Z27" s="30">
        <f t="shared" si="6"/>
        <v>1615</v>
      </c>
      <c r="AA27" s="30">
        <f t="shared" si="7"/>
        <v>1615</v>
      </c>
      <c r="AB27" s="91">
        <f>U27*0.9</f>
        <v>1240.2</v>
      </c>
      <c r="AC27" s="91">
        <f t="shared" ref="AC27:AC29" si="47">V27*0.7</f>
        <v>964.59999999999991</v>
      </c>
      <c r="AD27" s="12"/>
      <c r="AE27" s="10"/>
      <c r="AF27" s="31">
        <v>0</v>
      </c>
      <c r="AG27" s="29">
        <f t="shared" si="9"/>
        <v>1800</v>
      </c>
      <c r="AH27" s="29">
        <f>IF(SUM(X27:AC27)&gt;=25000, 200, 0)</f>
        <v>200</v>
      </c>
      <c r="AI27" s="29">
        <f t="shared" si="42"/>
        <v>0</v>
      </c>
      <c r="AJ27" s="13"/>
      <c r="AK27" s="29">
        <f t="shared" si="30"/>
        <v>25279.8</v>
      </c>
      <c r="AL27" s="29">
        <f t="shared" si="13"/>
        <v>2000</v>
      </c>
      <c r="AM27" s="29">
        <f t="shared" si="31"/>
        <v>23279.8</v>
      </c>
      <c r="AN27" s="33">
        <f t="shared" si="33"/>
        <v>23280</v>
      </c>
      <c r="AO27" s="29">
        <f t="shared" si="43"/>
        <v>0</v>
      </c>
      <c r="AP27" s="29">
        <f t="shared" si="32"/>
        <v>1800</v>
      </c>
      <c r="AQ27" s="13"/>
      <c r="AR27" s="29">
        <f t="shared" si="18"/>
        <v>27079.8</v>
      </c>
      <c r="AS27" s="29">
        <f>'June 2025'!AT27</f>
        <v>0</v>
      </c>
      <c r="AT27" s="29">
        <f t="shared" si="28"/>
        <v>0</v>
      </c>
      <c r="AU27" s="34"/>
      <c r="AV27" s="31">
        <f t="shared" si="34"/>
        <v>0</v>
      </c>
      <c r="AW27" s="79"/>
      <c r="AX27" s="79"/>
      <c r="AY27" s="75">
        <v>0</v>
      </c>
      <c r="AZ27" s="80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'June 2025'!O28</f>
        <v>3</v>
      </c>
      <c r="L28" s="101">
        <v>3.5</v>
      </c>
      <c r="M28" s="38">
        <v>0.5</v>
      </c>
      <c r="N28" s="24">
        <f t="shared" si="0"/>
        <v>0</v>
      </c>
      <c r="O28" s="24">
        <f t="shared" si="1"/>
        <v>6</v>
      </c>
      <c r="P28" s="24">
        <f t="shared" si="2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</v>
      </c>
      <c r="Z28" s="30">
        <f t="shared" si="6"/>
        <v>4000</v>
      </c>
      <c r="AA28" s="30">
        <f t="shared" si="7"/>
        <v>4000</v>
      </c>
      <c r="AB28" s="77">
        <f t="shared" ref="AB28:AB29" si="48">U28*1</f>
        <v>3000</v>
      </c>
      <c r="AC28" s="77">
        <f t="shared" si="47"/>
        <v>2100</v>
      </c>
      <c r="AD28" s="12"/>
      <c r="AE28" s="10"/>
      <c r="AF28" s="31">
        <v>0</v>
      </c>
      <c r="AG28" s="29">
        <f t="shared" si="9"/>
        <v>1800</v>
      </c>
      <c r="AH28" s="29">
        <f>IF(SUM(X28:AA28)&gt;=25000, 200, 0)</f>
        <v>200</v>
      </c>
      <c r="AI28" s="29">
        <f t="shared" si="42"/>
        <v>0</v>
      </c>
      <c r="AJ28" s="13"/>
      <c r="AK28" s="29">
        <f t="shared" si="30"/>
        <v>32100</v>
      </c>
      <c r="AL28" s="29">
        <f t="shared" si="13"/>
        <v>2000</v>
      </c>
      <c r="AM28" s="29">
        <f t="shared" si="31"/>
        <v>30100</v>
      </c>
      <c r="AN28" s="33">
        <f t="shared" si="33"/>
        <v>30100</v>
      </c>
      <c r="AO28" s="29">
        <f t="shared" si="43"/>
        <v>0</v>
      </c>
      <c r="AP28" s="29">
        <f t="shared" si="32"/>
        <v>1800</v>
      </c>
      <c r="AQ28" s="13"/>
      <c r="AR28" s="29">
        <f t="shared" si="18"/>
        <v>33900</v>
      </c>
      <c r="AS28" s="29">
        <f>'June 2025'!AT28</f>
        <v>50000</v>
      </c>
      <c r="AT28" s="29">
        <f t="shared" si="28"/>
        <v>0</v>
      </c>
      <c r="AU28" s="34"/>
      <c r="AV28" s="31">
        <f t="shared" si="34"/>
        <v>0</v>
      </c>
      <c r="AW28" s="79"/>
      <c r="AX28" s="79"/>
      <c r="AY28" s="103">
        <v>50000</v>
      </c>
      <c r="AZ28" s="80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'June 2025'!O29</f>
        <v>2</v>
      </c>
      <c r="L29" s="101">
        <v>3.5</v>
      </c>
      <c r="M29" s="38">
        <v>0.5</v>
      </c>
      <c r="N29" s="24">
        <f t="shared" si="0"/>
        <v>0</v>
      </c>
      <c r="O29" s="24">
        <f t="shared" si="1"/>
        <v>5</v>
      </c>
      <c r="P29" s="24">
        <f t="shared" si="2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3"/>
        <v>25400</v>
      </c>
      <c r="X29" s="30">
        <f t="shared" si="4"/>
        <v>15000</v>
      </c>
      <c r="Y29" s="30">
        <f t="shared" si="5"/>
        <v>3000</v>
      </c>
      <c r="Z29" s="30">
        <f t="shared" si="6"/>
        <v>1800</v>
      </c>
      <c r="AA29" s="30">
        <f t="shared" si="7"/>
        <v>1800</v>
      </c>
      <c r="AB29" s="91">
        <f t="shared" si="48"/>
        <v>1900</v>
      </c>
      <c r="AC29" s="91">
        <f t="shared" si="47"/>
        <v>1330</v>
      </c>
      <c r="AD29" s="12"/>
      <c r="AE29" s="10">
        <f>(SUM(X29:AC29)-SUM('Apr 2025'!X29:AC29)) + (SUM(X29:AC29)-SUM('May 2025'!X29:AC29)) +(SUM(X29:AC29)-SUM('June 2025'!X29:AC29))</f>
        <v>18390</v>
      </c>
      <c r="AF29" s="31">
        <v>0</v>
      </c>
      <c r="AG29" s="29">
        <f t="shared" si="9"/>
        <v>1800</v>
      </c>
      <c r="AH29" s="29">
        <f>IF(SUM(X29:AC29)&gt;=25000, 200, 0)</f>
        <v>0</v>
      </c>
      <c r="AI29" s="29">
        <f t="shared" si="42"/>
        <v>0</v>
      </c>
      <c r="AJ29" s="13"/>
      <c r="AK29" s="29">
        <f t="shared" si="30"/>
        <v>43220</v>
      </c>
      <c r="AL29" s="29">
        <f t="shared" si="13"/>
        <v>1800</v>
      </c>
      <c r="AM29" s="29">
        <f t="shared" si="31"/>
        <v>41420</v>
      </c>
      <c r="AN29" s="33">
        <f t="shared" si="33"/>
        <v>41420</v>
      </c>
      <c r="AO29" s="29">
        <f t="shared" si="43"/>
        <v>0</v>
      </c>
      <c r="AP29" s="29">
        <f t="shared" si="32"/>
        <v>1800</v>
      </c>
      <c r="AQ29" s="13"/>
      <c r="AR29" s="29">
        <f t="shared" si="18"/>
        <v>45020</v>
      </c>
      <c r="AS29" s="29">
        <f>'June 2025'!AT29</f>
        <v>0</v>
      </c>
      <c r="AT29" s="29">
        <f t="shared" ref="AT29:AT33" si="49">AS29+AD29-AJ29</f>
        <v>0</v>
      </c>
      <c r="AU29" s="34"/>
      <c r="AV29" s="31">
        <f t="shared" si="34"/>
        <v>0</v>
      </c>
      <c r="AW29" s="79"/>
      <c r="AX29" s="79"/>
      <c r="AY29" s="75">
        <v>0</v>
      </c>
      <c r="AZ29" s="80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'June 2025'!O30</f>
        <v>2.5</v>
      </c>
      <c r="L30" s="101">
        <v>3</v>
      </c>
      <c r="M30" s="38">
        <v>0</v>
      </c>
      <c r="N30" s="24">
        <f t="shared" si="0"/>
        <v>0</v>
      </c>
      <c r="O30" s="24">
        <f t="shared" si="1"/>
        <v>5.5</v>
      </c>
      <c r="P30" s="24">
        <f t="shared" si="2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3"/>
        <v>24100</v>
      </c>
      <c r="X30" s="30">
        <f t="shared" si="4"/>
        <v>15000</v>
      </c>
      <c r="Y30" s="30">
        <f t="shared" si="5"/>
        <v>2800</v>
      </c>
      <c r="Z30" s="30">
        <f t="shared" si="6"/>
        <v>1800</v>
      </c>
      <c r="AA30" s="30">
        <f t="shared" si="7"/>
        <v>1300</v>
      </c>
      <c r="AB30" s="91"/>
      <c r="AC30" s="91"/>
      <c r="AD30" s="12"/>
      <c r="AE30" s="10"/>
      <c r="AF30" s="31">
        <v>0</v>
      </c>
      <c r="AG30" s="29">
        <f t="shared" si="9"/>
        <v>1800</v>
      </c>
      <c r="AH30" s="29">
        <f t="shared" ref="AH30:AH31" si="50">IF(SUM(X30:AA30)&gt;=25000, 200, 0)</f>
        <v>0</v>
      </c>
      <c r="AI30" s="29">
        <f t="shared" si="42"/>
        <v>156.75</v>
      </c>
      <c r="AJ30" s="13"/>
      <c r="AK30" s="29">
        <f t="shared" si="30"/>
        <v>20900</v>
      </c>
      <c r="AL30" s="29">
        <f t="shared" si="13"/>
        <v>1956.75</v>
      </c>
      <c r="AM30" s="29">
        <f t="shared" si="31"/>
        <v>18943.25</v>
      </c>
      <c r="AN30" s="33">
        <f t="shared" si="33"/>
        <v>18943</v>
      </c>
      <c r="AO30" s="29">
        <f t="shared" si="43"/>
        <v>679.25</v>
      </c>
      <c r="AP30" s="29">
        <f t="shared" si="32"/>
        <v>1800</v>
      </c>
      <c r="AQ30" s="13"/>
      <c r="AR30" s="29">
        <f t="shared" si="18"/>
        <v>23379.25</v>
      </c>
      <c r="AS30" s="29">
        <f>'June 2025'!AT30</f>
        <v>0</v>
      </c>
      <c r="AT30" s="29">
        <f t="shared" si="49"/>
        <v>0</v>
      </c>
      <c r="AU30" s="34"/>
      <c r="AV30" s="31">
        <f t="shared" si="34"/>
        <v>0</v>
      </c>
      <c r="AW30" s="79"/>
      <c r="AX30" s="79"/>
      <c r="AY30" s="75">
        <v>0</v>
      </c>
      <c r="AZ30" s="80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'June 2025'!O31</f>
        <v>3.5</v>
      </c>
      <c r="L31" s="101">
        <v>3</v>
      </c>
      <c r="M31" s="38">
        <v>1.5</v>
      </c>
      <c r="N31" s="24">
        <f t="shared" si="0"/>
        <v>0</v>
      </c>
      <c r="O31" s="24">
        <f t="shared" si="1"/>
        <v>5</v>
      </c>
      <c r="P31" s="24">
        <f t="shared" si="2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3"/>
        <v>24100</v>
      </c>
      <c r="X31" s="30">
        <f t="shared" si="4"/>
        <v>15000</v>
      </c>
      <c r="Y31" s="30">
        <f t="shared" si="5"/>
        <v>2800</v>
      </c>
      <c r="Z31" s="30">
        <f t="shared" si="6"/>
        <v>1800</v>
      </c>
      <c r="AA31" s="30">
        <f t="shared" si="7"/>
        <v>1300</v>
      </c>
      <c r="AB31" s="91"/>
      <c r="AC31" s="91"/>
      <c r="AD31" s="12"/>
      <c r="AE31" s="10"/>
      <c r="AF31" s="31">
        <v>0</v>
      </c>
      <c r="AG31" s="29">
        <f t="shared" si="9"/>
        <v>1800</v>
      </c>
      <c r="AH31" s="29">
        <f t="shared" si="50"/>
        <v>0</v>
      </c>
      <c r="AI31" s="29">
        <f t="shared" si="42"/>
        <v>156.75</v>
      </c>
      <c r="AJ31" s="13"/>
      <c r="AK31" s="29">
        <f t="shared" si="30"/>
        <v>20900</v>
      </c>
      <c r="AL31" s="29">
        <f t="shared" si="13"/>
        <v>1956.75</v>
      </c>
      <c r="AM31" s="29">
        <f t="shared" si="31"/>
        <v>18943.25</v>
      </c>
      <c r="AN31" s="33">
        <f t="shared" si="33"/>
        <v>18943</v>
      </c>
      <c r="AO31" s="29">
        <f t="shared" si="43"/>
        <v>679.25</v>
      </c>
      <c r="AP31" s="29">
        <f t="shared" si="32"/>
        <v>1800</v>
      </c>
      <c r="AQ31" s="13"/>
      <c r="AR31" s="29">
        <f t="shared" si="18"/>
        <v>23379.25</v>
      </c>
      <c r="AS31" s="29">
        <f>'June 2025'!AT31</f>
        <v>0</v>
      </c>
      <c r="AT31" s="29">
        <f t="shared" si="49"/>
        <v>0</v>
      </c>
      <c r="AU31" s="34"/>
      <c r="AV31" s="31">
        <f t="shared" si="34"/>
        <v>0</v>
      </c>
      <c r="AW31" s="79"/>
      <c r="AX31" s="79"/>
      <c r="AY31" s="75">
        <v>0</v>
      </c>
      <c r="AZ31" s="80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12">
        <v>23</v>
      </c>
      <c r="J32" s="100">
        <v>15</v>
      </c>
      <c r="K32" s="71">
        <f>'June 2025'!O32</f>
        <v>3</v>
      </c>
      <c r="L32" s="101">
        <v>1</v>
      </c>
      <c r="M32" s="104">
        <v>0</v>
      </c>
      <c r="N32" s="71">
        <f t="shared" si="0"/>
        <v>0</v>
      </c>
      <c r="O32" s="71">
        <f t="shared" si="1"/>
        <v>4</v>
      </c>
      <c r="P32" s="71">
        <f t="shared" si="2"/>
        <v>15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58695.65217391304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41">
        <v>3000</v>
      </c>
      <c r="AF32" s="77">
        <v>0</v>
      </c>
      <c r="AG32" s="75">
        <v>0</v>
      </c>
      <c r="AH32" s="75">
        <v>0</v>
      </c>
      <c r="AI32" s="29">
        <f t="shared" si="42"/>
        <v>0</v>
      </c>
      <c r="AJ32" s="13"/>
      <c r="AK32" s="75">
        <f t="shared" si="30"/>
        <v>61695.65217391304</v>
      </c>
      <c r="AL32" s="75">
        <f t="shared" si="13"/>
        <v>6169.565217391304</v>
      </c>
      <c r="AM32" s="75">
        <f t="shared" si="31"/>
        <v>61695.65217391304</v>
      </c>
      <c r="AN32" s="78">
        <f t="shared" si="33"/>
        <v>55526.434782608696</v>
      </c>
      <c r="AO32" s="75">
        <f t="shared" si="43"/>
        <v>0</v>
      </c>
      <c r="AP32" s="75">
        <f t="shared" si="32"/>
        <v>0</v>
      </c>
      <c r="AQ32" s="13"/>
      <c r="AR32" s="75">
        <f t="shared" si="18"/>
        <v>61695.65217391304</v>
      </c>
      <c r="AS32" s="29">
        <f>'June 2025'!AT32</f>
        <v>0</v>
      </c>
      <c r="AT32" s="75">
        <f t="shared" si="49"/>
        <v>0</v>
      </c>
      <c r="AU32" s="92">
        <f>(0.1*AK32)</f>
        <v>6169.565217391304</v>
      </c>
      <c r="AV32" s="77">
        <f t="shared" si="34"/>
        <v>0</v>
      </c>
      <c r="AW32" s="93">
        <f>AU32+'Apr 2025'!AU32</f>
        <v>12169.565217391304</v>
      </c>
      <c r="AX32" s="113" t="s">
        <v>172</v>
      </c>
      <c r="AY32" s="75">
        <v>0</v>
      </c>
      <c r="AZ32" s="80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5">
        <v>31</v>
      </c>
      <c r="J33" s="105">
        <v>31</v>
      </c>
      <c r="K33" s="71">
        <f>'June 2025'!O33</f>
        <v>0</v>
      </c>
      <c r="L33" s="101">
        <v>3</v>
      </c>
      <c r="M33" s="104">
        <v>2.5</v>
      </c>
      <c r="N33" s="71">
        <f t="shared" si="0"/>
        <v>0</v>
      </c>
      <c r="O33" s="71">
        <f t="shared" si="1"/>
        <v>0.5</v>
      </c>
      <c r="P33" s="71">
        <f t="shared" si="2"/>
        <v>31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15000</v>
      </c>
      <c r="Y33" s="76">
        <f t="shared" si="5"/>
        <v>1500</v>
      </c>
      <c r="Z33" s="76">
        <f t="shared" si="6"/>
        <v>0</v>
      </c>
      <c r="AA33" s="76">
        <f t="shared" si="7"/>
        <v>0</v>
      </c>
      <c r="AB33" s="91"/>
      <c r="AC33" s="91"/>
      <c r="AD33" s="53"/>
      <c r="AE33" s="10"/>
      <c r="AF33" s="77">
        <v>0</v>
      </c>
      <c r="AG33" s="29">
        <f>IF(X33&gt;15000,(15000 * 12%),X33*0.12)</f>
        <v>1800</v>
      </c>
      <c r="AH33" s="29">
        <f>IF(SUM(X33:AA33)&gt;=25000, 200, 0)</f>
        <v>0</v>
      </c>
      <c r="AI33" s="29">
        <f t="shared" si="42"/>
        <v>123.75</v>
      </c>
      <c r="AJ33" s="54">
        <v>1500</v>
      </c>
      <c r="AK33" s="75">
        <f t="shared" si="30"/>
        <v>16500</v>
      </c>
      <c r="AL33" s="75">
        <f t="shared" si="13"/>
        <v>3423.75</v>
      </c>
      <c r="AM33" s="75">
        <f t="shared" si="31"/>
        <v>13076.25</v>
      </c>
      <c r="AN33" s="78">
        <f t="shared" si="33"/>
        <v>13076</v>
      </c>
      <c r="AO33" s="75">
        <v>0</v>
      </c>
      <c r="AP33" s="75">
        <v>0</v>
      </c>
      <c r="AQ33" s="13"/>
      <c r="AR33" s="75">
        <f t="shared" si="18"/>
        <v>16500</v>
      </c>
      <c r="AS33" s="32">
        <v>20000</v>
      </c>
      <c r="AT33" s="75">
        <f t="shared" si="49"/>
        <v>18500</v>
      </c>
      <c r="AU33" s="34"/>
      <c r="AV33" s="77">
        <v>0</v>
      </c>
      <c r="AW33" s="79"/>
      <c r="AX33" s="64"/>
      <c r="AY33" s="94">
        <v>0</v>
      </c>
      <c r="AZ33" s="80" t="s">
        <v>165</v>
      </c>
    </row>
    <row r="34" spans="1:52" ht="14.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5"/>
      <c r="AO34" s="95"/>
      <c r="AP34" s="6"/>
      <c r="AQ34" s="6"/>
      <c r="AR34" s="6"/>
      <c r="AS34" s="6"/>
      <c r="AT34" s="6"/>
      <c r="AU34" s="6"/>
      <c r="AV34" s="7"/>
      <c r="AW34" s="96"/>
      <c r="AX34" s="96"/>
      <c r="AY34" s="97"/>
      <c r="AZ34" s="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3.2" x14ac:dyDescent="0.25">
      <c r="I995" s="98"/>
      <c r="J995" s="98"/>
      <c r="K995" s="99"/>
      <c r="L995" s="99"/>
      <c r="M995" s="98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45870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'July 2025'!O3</f>
        <v>14</v>
      </c>
      <c r="L3" s="101">
        <v>0</v>
      </c>
      <c r="M3" s="73">
        <v>0</v>
      </c>
      <c r="N3" s="71">
        <f t="shared" ref="N3:N34" si="0">IF(K3+L3-M3 &gt;= 0,0,M3-(K3+L3))</f>
        <v>0</v>
      </c>
      <c r="O3" s="71">
        <f t="shared" ref="O3:O34" si="1">IF(K3+L3-M3&gt;0,K3+L3-M3,0)</f>
        <v>14</v>
      </c>
      <c r="P3" s="71">
        <f t="shared" ref="P3:P34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34" si="3">SUM(Q3:V3)</f>
        <v>100000</v>
      </c>
      <c r="X3" s="76">
        <f t="shared" ref="X3:X34" si="4">(Q3/I3*(J3)) * (1-N3/J3)</f>
        <v>30000</v>
      </c>
      <c r="Y3" s="76">
        <f t="shared" ref="Y3:Y34" si="5">(R3/I3*(J3)) * (1-N3/J3)</f>
        <v>15000</v>
      </c>
      <c r="Z3" s="76">
        <f t="shared" ref="Z3:Z34" si="6">(S3/I3*(J3)) * (1-N3/J3)</f>
        <v>7500</v>
      </c>
      <c r="AA3" s="76">
        <f t="shared" ref="AA3:AA34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34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89800</v>
      </c>
      <c r="AS3" s="29">
        <f>'May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'July 2025'!O4</f>
        <v>14</v>
      </c>
      <c r="L4" s="101">
        <v>0</v>
      </c>
      <c r="M4" s="73">
        <v>0</v>
      </c>
      <c r="N4" s="71">
        <f t="shared" si="0"/>
        <v>0</v>
      </c>
      <c r="O4" s="71">
        <f t="shared" si="1"/>
        <v>14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'May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'July 2025'!O5</f>
        <v>3</v>
      </c>
      <c r="L5" s="101">
        <v>0</v>
      </c>
      <c r="M5" s="38">
        <v>1.5</v>
      </c>
      <c r="N5" s="24">
        <f t="shared" si="0"/>
        <v>0</v>
      </c>
      <c r="O5" s="24">
        <f t="shared" si="1"/>
        <v>1.5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/>
      <c r="AC5" s="106"/>
      <c r="AD5" s="9">
        <v>0</v>
      </c>
      <c r="AE5" s="10"/>
      <c r="AF5" s="42">
        <v>2277</v>
      </c>
      <c r="AG5" s="29">
        <f t="shared" si="9"/>
        <v>1800</v>
      </c>
      <c r="AH5" s="29">
        <f t="shared" ref="AH5:AH9" si="22">IF(SUM(X5:AA5)&gt;=25000, 200, 0)</f>
        <v>0</v>
      </c>
      <c r="AI5" s="29">
        <f t="shared" ref="AI5:AI6" si="23">IF(SUM(Q5:T5) &lt; 21000, SUM(X5:AA5)*0.75%, 0)</f>
        <v>156.75</v>
      </c>
      <c r="AJ5" s="32">
        <v>2000</v>
      </c>
      <c r="AK5" s="29">
        <f t="shared" ref="AK5:AK6" si="24">SUM(X5:AF5)-AD5</f>
        <v>23177</v>
      </c>
      <c r="AL5" s="29">
        <f t="shared" si="13"/>
        <v>3956.75</v>
      </c>
      <c r="AM5" s="29">
        <f t="shared" ref="AM5:AM6" si="25">SUM(X5:AF5)-SUM(AG5:AJ5)-AD5</f>
        <v>19220.25</v>
      </c>
      <c r="AN5" s="78">
        <f t="shared" ref="AN5:AN7" si="26">ROUND(AM5-AF5,0)-AU5</f>
        <v>16943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'July 2025'!AT5</f>
        <v>152000</v>
      </c>
      <c r="AT5" s="29">
        <f t="shared" ref="AT5:AT28" si="28">AS5+AD5-AJ5-AY5</f>
        <v>150000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'July 2025'!O6</f>
        <v>5.5</v>
      </c>
      <c r="L6" s="101">
        <v>0</v>
      </c>
      <c r="M6" s="38">
        <v>1</v>
      </c>
      <c r="N6" s="24">
        <f t="shared" si="0"/>
        <v>0</v>
      </c>
      <c r="O6" s="24">
        <f t="shared" si="1"/>
        <v>4.5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/>
      <c r="AC6" s="106"/>
      <c r="AD6" s="9">
        <v>0</v>
      </c>
      <c r="AE6" s="10"/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1956.75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25919.25</v>
      </c>
      <c r="AS6" s="29">
        <f>'July 2025'!AT6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'July 2025'!O7</f>
        <v>3</v>
      </c>
      <c r="L7" s="101">
        <v>0</v>
      </c>
      <c r="M7" s="38">
        <v>0</v>
      </c>
      <c r="N7" s="24">
        <f t="shared" si="0"/>
        <v>0</v>
      </c>
      <c r="O7" s="24">
        <f t="shared" si="1"/>
        <v>3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91"/>
      <c r="AC7" s="106"/>
      <c r="AD7" s="10"/>
      <c r="AE7" s="10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34" si="30">SUM(X7:AF7)</f>
        <v>22803</v>
      </c>
      <c r="AL7" s="29">
        <f t="shared" si="13"/>
        <v>1957.35</v>
      </c>
      <c r="AM7" s="29">
        <f t="shared" ref="AM7:AM34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32" si="32">AG7</f>
        <v>1800</v>
      </c>
      <c r="AQ7" s="34"/>
      <c r="AR7" s="29">
        <f t="shared" si="18"/>
        <v>25284.85</v>
      </c>
      <c r="AS7" s="29">
        <f>'July 2025'!AT7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31</v>
      </c>
      <c r="J8" s="100">
        <v>31</v>
      </c>
      <c r="K8" s="71">
        <f>'July 2025'!O8</f>
        <v>1</v>
      </c>
      <c r="L8" s="101">
        <v>0</v>
      </c>
      <c r="M8" s="38">
        <v>2.5</v>
      </c>
      <c r="N8" s="24">
        <f t="shared" si="0"/>
        <v>1.5</v>
      </c>
      <c r="O8" s="24">
        <f t="shared" si="1"/>
        <v>0</v>
      </c>
      <c r="P8" s="24">
        <f t="shared" si="2"/>
        <v>29.5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14274.193548387097</v>
      </c>
      <c r="Y8" s="30">
        <f t="shared" si="5"/>
        <v>6661.2903225806458</v>
      </c>
      <c r="Z8" s="30">
        <f t="shared" si="6"/>
        <v>5709.677419354839</v>
      </c>
      <c r="AA8" s="30">
        <f t="shared" si="7"/>
        <v>4758.0645161290322</v>
      </c>
      <c r="AB8" s="77">
        <f>U8*1</f>
        <v>5000</v>
      </c>
      <c r="AC8" s="77">
        <f>V8*0.7</f>
        <v>3500</v>
      </c>
      <c r="AD8" s="10"/>
      <c r="AE8" s="10"/>
      <c r="AF8" s="31">
        <v>0</v>
      </c>
      <c r="AG8" s="29">
        <f t="shared" si="9"/>
        <v>1712.9032258064515</v>
      </c>
      <c r="AH8" s="29">
        <f t="shared" si="22"/>
        <v>200</v>
      </c>
      <c r="AI8" s="29">
        <f t="shared" si="29"/>
        <v>0</v>
      </c>
      <c r="AJ8" s="34"/>
      <c r="AK8" s="29">
        <f t="shared" si="30"/>
        <v>39903.225806451614</v>
      </c>
      <c r="AL8" s="29">
        <f t="shared" si="13"/>
        <v>1912.9032258064515</v>
      </c>
      <c r="AM8" s="29">
        <f t="shared" si="31"/>
        <v>37990.322580645159</v>
      </c>
      <c r="AN8" s="78">
        <f t="shared" ref="AN8:AN34" si="33">ROUND(AM8-AF8,0)+AV8-AU8</f>
        <v>37990</v>
      </c>
      <c r="AO8" s="29">
        <f t="shared" si="16"/>
        <v>0</v>
      </c>
      <c r="AP8" s="29">
        <f t="shared" si="32"/>
        <v>1712.9032258064515</v>
      </c>
      <c r="AQ8" s="34"/>
      <c r="AR8" s="29">
        <f t="shared" si="18"/>
        <v>41616.129032258068</v>
      </c>
      <c r="AS8" s="29">
        <f>'July 2025'!AT8</f>
        <v>0</v>
      </c>
      <c r="AT8" s="29">
        <f t="shared" si="28"/>
        <v>0</v>
      </c>
      <c r="AU8" s="34"/>
      <c r="AV8" s="31">
        <f t="shared" ref="AV8:AV32" si="34">AF8*12</f>
        <v>0</v>
      </c>
      <c r="AW8" s="79">
        <f t="shared" si="21"/>
        <v>0</v>
      </c>
      <c r="AX8" s="79"/>
      <c r="AY8" s="75">
        <v>0</v>
      </c>
      <c r="AZ8" s="77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'July 2025'!O9</f>
        <v>3</v>
      </c>
      <c r="L9" s="101">
        <v>0</v>
      </c>
      <c r="M9" s="38">
        <v>0</v>
      </c>
      <c r="N9" s="24">
        <f t="shared" si="0"/>
        <v>0</v>
      </c>
      <c r="O9" s="24">
        <f t="shared" si="1"/>
        <v>3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si="3"/>
        <v>31478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108"/>
      <c r="AC9" s="108"/>
      <c r="AD9" s="10"/>
      <c r="AE9" s="10"/>
      <c r="AF9" s="31">
        <v>0</v>
      </c>
      <c r="AG9" s="29">
        <f t="shared" si="9"/>
        <v>1800</v>
      </c>
      <c r="AH9" s="29">
        <f t="shared" si="22"/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'July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'July 2025'!O10</f>
        <v>0</v>
      </c>
      <c r="L10" s="101">
        <v>0</v>
      </c>
      <c r="M10" s="104">
        <v>0</v>
      </c>
      <c r="N10" s="24">
        <f t="shared" si="0"/>
        <v>0</v>
      </c>
      <c r="O10" s="71">
        <f t="shared" si="1"/>
        <v>0</v>
      </c>
      <c r="P10" s="71">
        <f t="shared" si="2"/>
        <v>31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15000</v>
      </c>
      <c r="Y10" s="76">
        <f t="shared" si="5"/>
        <v>9000</v>
      </c>
      <c r="Z10" s="76">
        <f t="shared" si="6"/>
        <v>8000</v>
      </c>
      <c r="AA10" s="76">
        <f t="shared" si="7"/>
        <v>3000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1800</v>
      </c>
      <c r="AH10" s="75">
        <f>IF(SUM(X10:AC10)&gt;=25000, 200, 0)</f>
        <v>200</v>
      </c>
      <c r="AI10" s="84">
        <v>0</v>
      </c>
      <c r="AJ10" s="34"/>
      <c r="AK10" s="75">
        <f t="shared" si="30"/>
        <v>46400</v>
      </c>
      <c r="AL10" s="75">
        <f t="shared" si="13"/>
        <v>2000</v>
      </c>
      <c r="AM10" s="75">
        <f t="shared" si="31"/>
        <v>44400</v>
      </c>
      <c r="AN10" s="78">
        <f t="shared" si="33"/>
        <v>44400</v>
      </c>
      <c r="AO10" s="75">
        <f t="shared" si="16"/>
        <v>0</v>
      </c>
      <c r="AP10" s="75">
        <f t="shared" si="32"/>
        <v>1800</v>
      </c>
      <c r="AQ10" s="34"/>
      <c r="AR10" s="75">
        <f t="shared" si="18"/>
        <v>48200</v>
      </c>
      <c r="AS10" s="29">
        <f>'July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'July 2025'!O11</f>
        <v>0</v>
      </c>
      <c r="L11" s="101">
        <v>0</v>
      </c>
      <c r="M11" s="38">
        <v>31</v>
      </c>
      <c r="N11" s="24">
        <f t="shared" si="0"/>
        <v>31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/>
      <c r="AC11" s="91"/>
      <c r="AD11" s="10"/>
      <c r="AE11" s="10"/>
      <c r="AF11" s="31">
        <v>0</v>
      </c>
      <c r="AG11" s="29">
        <f t="shared" si="9"/>
        <v>0</v>
      </c>
      <c r="AH11" s="29">
        <f>IF(SUM(X11:AA11)&gt;=25000, 200, 0)</f>
        <v>0</v>
      </c>
      <c r="AI11" s="29">
        <f t="shared" ref="AI11:AI14" si="35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'July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71">
        <f>'July 2025'!O12</f>
        <v>0</v>
      </c>
      <c r="L12" s="101">
        <v>0</v>
      </c>
      <c r="M12" s="38">
        <v>4</v>
      </c>
      <c r="N12" s="24">
        <f t="shared" si="0"/>
        <v>4</v>
      </c>
      <c r="O12" s="24">
        <f t="shared" si="1"/>
        <v>0</v>
      </c>
      <c r="P12" s="24">
        <f t="shared" si="2"/>
        <v>27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"/>
        <v>30758</v>
      </c>
      <c r="X12" s="30">
        <f t="shared" si="4"/>
        <v>13064.516129032258</v>
      </c>
      <c r="Y12" s="30">
        <f t="shared" si="5"/>
        <v>4316.5161290322585</v>
      </c>
      <c r="Z12" s="30">
        <f t="shared" si="6"/>
        <v>1438.8387096774193</v>
      </c>
      <c r="AA12" s="30">
        <f t="shared" si="7"/>
        <v>1541.6129032258063</v>
      </c>
      <c r="AB12" s="91">
        <f t="shared" ref="AB12:AB13" si="36">U12*0.9</f>
        <v>3321</v>
      </c>
      <c r="AC12" s="91">
        <f t="shared" ref="AC12:AC20" si="37">V12*0.7</f>
        <v>2583</v>
      </c>
      <c r="AD12" s="10"/>
      <c r="AE12" s="10"/>
      <c r="AF12" s="31">
        <v>0</v>
      </c>
      <c r="AG12" s="29">
        <f t="shared" si="9"/>
        <v>1567.7419354838707</v>
      </c>
      <c r="AH12" s="29">
        <f t="shared" ref="AH12:AH23" si="38">IF(SUM(X12:AC12)&gt;=25000, 200, 0)</f>
        <v>200</v>
      </c>
      <c r="AI12" s="29">
        <f t="shared" si="35"/>
        <v>0</v>
      </c>
      <c r="AJ12" s="34"/>
      <c r="AK12" s="29">
        <f t="shared" si="30"/>
        <v>26265.483870967742</v>
      </c>
      <c r="AL12" s="29">
        <f t="shared" si="13"/>
        <v>1767.7419354838707</v>
      </c>
      <c r="AM12" s="29">
        <f t="shared" si="31"/>
        <v>24497.741935483871</v>
      </c>
      <c r="AN12" s="33">
        <f t="shared" si="33"/>
        <v>24498</v>
      </c>
      <c r="AO12" s="29">
        <f t="shared" si="16"/>
        <v>0</v>
      </c>
      <c r="AP12" s="29">
        <f t="shared" si="32"/>
        <v>1567.7419354838707</v>
      </c>
      <c r="AQ12" s="34"/>
      <c r="AR12" s="29">
        <f t="shared" si="18"/>
        <v>27833.225806451614</v>
      </c>
      <c r="AS12" s="29">
        <f>'July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'July 2025'!O13</f>
        <v>2</v>
      </c>
      <c r="L13" s="101">
        <v>0.5</v>
      </c>
      <c r="M13" s="38">
        <v>0</v>
      </c>
      <c r="N13" s="24">
        <f t="shared" si="0"/>
        <v>0</v>
      </c>
      <c r="O13" s="24">
        <f t="shared" si="1"/>
        <v>2.5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"/>
        <v>29828</v>
      </c>
      <c r="X13" s="30">
        <f t="shared" si="4"/>
        <v>15000</v>
      </c>
      <c r="Y13" s="30">
        <f t="shared" si="5"/>
        <v>4956</v>
      </c>
      <c r="Z13" s="30">
        <f t="shared" si="6"/>
        <v>1652</v>
      </c>
      <c r="AA13" s="30">
        <f t="shared" si="7"/>
        <v>1180</v>
      </c>
      <c r="AB13" s="91">
        <f t="shared" si="36"/>
        <v>3168</v>
      </c>
      <c r="AC13" s="91">
        <f t="shared" si="37"/>
        <v>2464</v>
      </c>
      <c r="AD13" s="12"/>
      <c r="AE13" s="10"/>
      <c r="AF13" s="31">
        <v>0</v>
      </c>
      <c r="AG13" s="29">
        <f t="shared" si="9"/>
        <v>1800</v>
      </c>
      <c r="AH13" s="29">
        <f t="shared" si="38"/>
        <v>200</v>
      </c>
      <c r="AI13" s="29">
        <f t="shared" si="35"/>
        <v>0</v>
      </c>
      <c r="AJ13" s="13"/>
      <c r="AK13" s="29">
        <f t="shared" si="30"/>
        <v>28420</v>
      </c>
      <c r="AL13" s="29">
        <f t="shared" si="13"/>
        <v>2000</v>
      </c>
      <c r="AM13" s="29">
        <f t="shared" si="31"/>
        <v>26420</v>
      </c>
      <c r="AN13" s="33">
        <f t="shared" si="33"/>
        <v>26420</v>
      </c>
      <c r="AO13" s="29">
        <f t="shared" si="16"/>
        <v>0</v>
      </c>
      <c r="AP13" s="29">
        <f t="shared" si="32"/>
        <v>1800</v>
      </c>
      <c r="AQ13" s="13"/>
      <c r="AR13" s="29">
        <f t="shared" si="18"/>
        <v>30220</v>
      </c>
      <c r="AS13" s="29">
        <f>'July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'July 2025'!O14</f>
        <v>1.5</v>
      </c>
      <c r="L14" s="101">
        <v>0</v>
      </c>
      <c r="M14" s="104">
        <v>2</v>
      </c>
      <c r="N14" s="71">
        <f t="shared" si="0"/>
        <v>0.5</v>
      </c>
      <c r="O14" s="71">
        <f t="shared" si="1"/>
        <v>0</v>
      </c>
      <c r="P14" s="71">
        <f t="shared" si="2"/>
        <v>30.5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25580.645161290322</v>
      </c>
      <c r="Y14" s="76">
        <f t="shared" si="5"/>
        <v>14569.161290322581</v>
      </c>
      <c r="Z14" s="76">
        <f t="shared" si="6"/>
        <v>10926.870967741936</v>
      </c>
      <c r="AA14" s="76">
        <f t="shared" si="7"/>
        <v>10926.870967741936</v>
      </c>
      <c r="AB14" s="77">
        <f>U14*0.6</f>
        <v>3237</v>
      </c>
      <c r="AC14" s="77">
        <f t="shared" si="37"/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si="38"/>
        <v>200</v>
      </c>
      <c r="AI14" s="75">
        <f t="shared" si="35"/>
        <v>0</v>
      </c>
      <c r="AJ14" s="13"/>
      <c r="AK14" s="75">
        <f t="shared" si="30"/>
        <v>69017.048387096773</v>
      </c>
      <c r="AL14" s="75">
        <f t="shared" si="13"/>
        <v>2000</v>
      </c>
      <c r="AM14" s="75">
        <f t="shared" si="31"/>
        <v>67017.048387096773</v>
      </c>
      <c r="AN14" s="78">
        <f t="shared" si="33"/>
        <v>67017</v>
      </c>
      <c r="AO14" s="75">
        <f t="shared" si="16"/>
        <v>0</v>
      </c>
      <c r="AP14" s="75">
        <f t="shared" si="32"/>
        <v>1800</v>
      </c>
      <c r="AQ14" s="13"/>
      <c r="AR14" s="75">
        <f t="shared" si="18"/>
        <v>70817.048387096773</v>
      </c>
      <c r="AS14" s="29">
        <f>'July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77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'July 2025'!O15</f>
        <v>5</v>
      </c>
      <c r="L15" s="101">
        <v>0</v>
      </c>
      <c r="M15" s="104">
        <v>1</v>
      </c>
      <c r="N15" s="71">
        <f t="shared" si="0"/>
        <v>0</v>
      </c>
      <c r="O15" s="71">
        <f t="shared" si="1"/>
        <v>4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"/>
        <v>95895</v>
      </c>
      <c r="X15" s="76">
        <f t="shared" si="4"/>
        <v>30000</v>
      </c>
      <c r="Y15" s="76">
        <f t="shared" si="5"/>
        <v>21300</v>
      </c>
      <c r="Z15" s="76">
        <f t="shared" si="6"/>
        <v>15975.000000000002</v>
      </c>
      <c r="AA15" s="76">
        <f t="shared" si="7"/>
        <v>12780</v>
      </c>
      <c r="AB15" s="77">
        <f t="shared" ref="AB15:AB17" si="39">U15*1</f>
        <v>7920</v>
      </c>
      <c r="AC15" s="77">
        <f t="shared" si="37"/>
        <v>5544</v>
      </c>
      <c r="AD15" s="10"/>
      <c r="AE15" s="10"/>
      <c r="AF15" s="77">
        <v>0</v>
      </c>
      <c r="AG15" s="75">
        <f t="shared" si="9"/>
        <v>1800</v>
      </c>
      <c r="AH15" s="75">
        <f t="shared" si="38"/>
        <v>200</v>
      </c>
      <c r="AI15" s="85">
        <v>0</v>
      </c>
      <c r="AJ15" s="34"/>
      <c r="AK15" s="75">
        <f t="shared" si="30"/>
        <v>93519</v>
      </c>
      <c r="AL15" s="75">
        <f t="shared" si="13"/>
        <v>2000</v>
      </c>
      <c r="AM15" s="75">
        <f t="shared" si="31"/>
        <v>91519</v>
      </c>
      <c r="AN15" s="78">
        <f t="shared" si="33"/>
        <v>91519</v>
      </c>
      <c r="AO15" s="75">
        <v>0</v>
      </c>
      <c r="AP15" s="75">
        <f t="shared" si="32"/>
        <v>1800</v>
      </c>
      <c r="AQ15" s="34"/>
      <c r="AR15" s="75">
        <f t="shared" si="18"/>
        <v>95319</v>
      </c>
      <c r="AS15" s="29">
        <f>'July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'July 2025'!O16</f>
        <v>0.5</v>
      </c>
      <c r="L16" s="101">
        <v>0</v>
      </c>
      <c r="M16" s="104">
        <v>7.5</v>
      </c>
      <c r="N16" s="71">
        <f t="shared" si="0"/>
        <v>7</v>
      </c>
      <c r="O16" s="71">
        <f t="shared" si="1"/>
        <v>0</v>
      </c>
      <c r="P16" s="71">
        <f t="shared" si="2"/>
        <v>24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"/>
        <v>85615</v>
      </c>
      <c r="X16" s="76">
        <f t="shared" si="4"/>
        <v>20129.032258064515</v>
      </c>
      <c r="Y16" s="76">
        <f t="shared" si="5"/>
        <v>8980.645161290322</v>
      </c>
      <c r="Z16" s="76">
        <f t="shared" si="6"/>
        <v>8082.5806451612898</v>
      </c>
      <c r="AA16" s="76">
        <f t="shared" si="7"/>
        <v>6735.4838709677415</v>
      </c>
      <c r="AB16" s="77">
        <f t="shared" si="39"/>
        <v>0</v>
      </c>
      <c r="AC16" s="77">
        <f t="shared" si="37"/>
        <v>20212.5</v>
      </c>
      <c r="AD16" s="12"/>
      <c r="AE16" s="10"/>
      <c r="AF16" s="77">
        <v>0</v>
      </c>
      <c r="AG16" s="75">
        <f t="shared" si="9"/>
        <v>1800</v>
      </c>
      <c r="AH16" s="75">
        <f t="shared" si="38"/>
        <v>200</v>
      </c>
      <c r="AI16" s="75">
        <f t="shared" ref="AI16:AI33" si="40">IF(SUM(Q16:T16) &lt; 21000, SUM(X16:AA16)*0.0075, 0)</f>
        <v>0</v>
      </c>
      <c r="AJ16" s="13"/>
      <c r="AK16" s="75">
        <f t="shared" si="30"/>
        <v>64140.241935483871</v>
      </c>
      <c r="AL16" s="75">
        <f t="shared" si="13"/>
        <v>2000</v>
      </c>
      <c r="AM16" s="75">
        <f t="shared" si="31"/>
        <v>62140.241935483871</v>
      </c>
      <c r="AN16" s="78">
        <f t="shared" si="33"/>
        <v>62140</v>
      </c>
      <c r="AO16" s="75">
        <f t="shared" ref="AO16:AO32" si="41">AI16/0.0075*0.0325</f>
        <v>0</v>
      </c>
      <c r="AP16" s="75">
        <f t="shared" si="32"/>
        <v>1800</v>
      </c>
      <c r="AQ16" s="13"/>
      <c r="AR16" s="75">
        <f t="shared" si="18"/>
        <v>65940.241935483878</v>
      </c>
      <c r="AS16" s="29">
        <f>'July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'July 2025'!O17</f>
        <v>9</v>
      </c>
      <c r="L17" s="101">
        <v>0</v>
      </c>
      <c r="M17" s="104">
        <v>0</v>
      </c>
      <c r="N17" s="71">
        <f t="shared" si="0"/>
        <v>0</v>
      </c>
      <c r="O17" s="71">
        <f t="shared" si="1"/>
        <v>9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39"/>
        <v>13125</v>
      </c>
      <c r="AC17" s="77">
        <f t="shared" si="37"/>
        <v>9187.5</v>
      </c>
      <c r="AD17" s="12"/>
      <c r="AE17" s="10"/>
      <c r="AF17" s="77">
        <v>0</v>
      </c>
      <c r="AG17" s="75">
        <f t="shared" si="9"/>
        <v>1800</v>
      </c>
      <c r="AH17" s="75">
        <f t="shared" si="38"/>
        <v>200</v>
      </c>
      <c r="AI17" s="75">
        <f t="shared" si="40"/>
        <v>0</v>
      </c>
      <c r="AJ17" s="13"/>
      <c r="AK17" s="75">
        <f t="shared" si="30"/>
        <v>79145.833333333343</v>
      </c>
      <c r="AL17" s="75">
        <f t="shared" si="13"/>
        <v>2000</v>
      </c>
      <c r="AM17" s="75">
        <f t="shared" si="31"/>
        <v>77145.833333333343</v>
      </c>
      <c r="AN17" s="78">
        <f t="shared" si="33"/>
        <v>77146</v>
      </c>
      <c r="AO17" s="75">
        <f t="shared" si="41"/>
        <v>0</v>
      </c>
      <c r="AP17" s="75">
        <f t="shared" si="32"/>
        <v>1800</v>
      </c>
      <c r="AQ17" s="13"/>
      <c r="AR17" s="75">
        <f t="shared" si="18"/>
        <v>80945.833333333343</v>
      </c>
      <c r="AS17" s="29">
        <f>'July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'July 2025'!O18</f>
        <v>2</v>
      </c>
      <c r="L18" s="101">
        <v>0</v>
      </c>
      <c r="M18" s="38">
        <v>0.5</v>
      </c>
      <c r="N18" s="24">
        <f t="shared" si="0"/>
        <v>0</v>
      </c>
      <c r="O18" s="24">
        <f t="shared" si="1"/>
        <v>1.5</v>
      </c>
      <c r="P18" s="24">
        <f t="shared" si="2"/>
        <v>31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"/>
        <v>28560</v>
      </c>
      <c r="X18" s="30">
        <f t="shared" si="4"/>
        <v>15000</v>
      </c>
      <c r="Y18" s="30">
        <f t="shared" si="5"/>
        <v>5700</v>
      </c>
      <c r="Z18" s="30">
        <f t="shared" si="6"/>
        <v>1900</v>
      </c>
      <c r="AA18" s="30">
        <f t="shared" si="7"/>
        <v>1900</v>
      </c>
      <c r="AB18" s="91">
        <f t="shared" ref="AB18:AB20" si="42">U18*0.9</f>
        <v>1827</v>
      </c>
      <c r="AC18" s="91">
        <f t="shared" si="37"/>
        <v>1421</v>
      </c>
      <c r="AD18" s="12"/>
      <c r="AE18" s="10"/>
      <c r="AF18" s="31">
        <v>0</v>
      </c>
      <c r="AG18" s="29">
        <f t="shared" si="9"/>
        <v>1800</v>
      </c>
      <c r="AH18" s="29">
        <f t="shared" si="38"/>
        <v>200</v>
      </c>
      <c r="AI18" s="29">
        <f t="shared" si="40"/>
        <v>0</v>
      </c>
      <c r="AJ18" s="13"/>
      <c r="AK18" s="29">
        <f t="shared" si="30"/>
        <v>27748</v>
      </c>
      <c r="AL18" s="29">
        <f t="shared" si="13"/>
        <v>2000</v>
      </c>
      <c r="AM18" s="29">
        <f t="shared" si="31"/>
        <v>25748</v>
      </c>
      <c r="AN18" s="33">
        <f t="shared" si="33"/>
        <v>25748</v>
      </c>
      <c r="AO18" s="29">
        <f t="shared" si="41"/>
        <v>0</v>
      </c>
      <c r="AP18" s="29">
        <f t="shared" si="32"/>
        <v>1800</v>
      </c>
      <c r="AQ18" s="13"/>
      <c r="AR18" s="29">
        <f t="shared" si="18"/>
        <v>29548</v>
      </c>
      <c r="AS18" s="29">
        <f>'July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79"/>
      <c r="AY18" s="75">
        <v>0</v>
      </c>
      <c r="AZ18" s="77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'July 2025'!O19</f>
        <v>2</v>
      </c>
      <c r="L19" s="101">
        <v>0</v>
      </c>
      <c r="M19" s="38">
        <v>0</v>
      </c>
      <c r="N19" s="24">
        <f t="shared" si="0"/>
        <v>0</v>
      </c>
      <c r="O19" s="24">
        <f t="shared" si="1"/>
        <v>2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"/>
        <v>29280</v>
      </c>
      <c r="X19" s="30">
        <f t="shared" si="4"/>
        <v>15000</v>
      </c>
      <c r="Y19" s="30">
        <f t="shared" si="5"/>
        <v>5700</v>
      </c>
      <c r="Z19" s="30">
        <f t="shared" si="6"/>
        <v>1900</v>
      </c>
      <c r="AA19" s="30">
        <f t="shared" si="7"/>
        <v>1900</v>
      </c>
      <c r="AB19" s="91">
        <f t="shared" si="42"/>
        <v>2151</v>
      </c>
      <c r="AC19" s="91">
        <f t="shared" si="37"/>
        <v>1673</v>
      </c>
      <c r="AD19" s="12"/>
      <c r="AE19" s="10"/>
      <c r="AF19" s="31">
        <v>0</v>
      </c>
      <c r="AG19" s="29">
        <f t="shared" si="9"/>
        <v>1800</v>
      </c>
      <c r="AH19" s="29">
        <f t="shared" si="38"/>
        <v>200</v>
      </c>
      <c r="AI19" s="29">
        <f t="shared" si="40"/>
        <v>0</v>
      </c>
      <c r="AJ19" s="13"/>
      <c r="AK19" s="29">
        <f t="shared" si="30"/>
        <v>28324</v>
      </c>
      <c r="AL19" s="29">
        <f t="shared" si="13"/>
        <v>2000</v>
      </c>
      <c r="AM19" s="29">
        <f t="shared" si="31"/>
        <v>26324</v>
      </c>
      <c r="AN19" s="33">
        <f t="shared" si="33"/>
        <v>26324</v>
      </c>
      <c r="AO19" s="29">
        <f t="shared" si="41"/>
        <v>0</v>
      </c>
      <c r="AP19" s="29">
        <f t="shared" si="32"/>
        <v>1800</v>
      </c>
      <c r="AQ19" s="13"/>
      <c r="AR19" s="29">
        <f t="shared" si="18"/>
        <v>30124</v>
      </c>
      <c r="AS19" s="29">
        <f>'July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77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'July 2025'!O20</f>
        <v>1.5</v>
      </c>
      <c r="L20" s="101">
        <v>0</v>
      </c>
      <c r="M20" s="38">
        <v>1</v>
      </c>
      <c r="N20" s="24">
        <f t="shared" si="0"/>
        <v>0</v>
      </c>
      <c r="O20" s="24">
        <f t="shared" si="1"/>
        <v>0.5</v>
      </c>
      <c r="P20" s="24">
        <f t="shared" si="2"/>
        <v>31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"/>
        <v>27204</v>
      </c>
      <c r="X20" s="30">
        <f t="shared" si="4"/>
        <v>15000</v>
      </c>
      <c r="Y20" s="30">
        <f t="shared" si="5"/>
        <v>5130</v>
      </c>
      <c r="Z20" s="30">
        <f t="shared" si="6"/>
        <v>1710</v>
      </c>
      <c r="AA20" s="30">
        <f t="shared" si="7"/>
        <v>1710</v>
      </c>
      <c r="AB20" s="91">
        <f t="shared" si="42"/>
        <v>1644.3</v>
      </c>
      <c r="AC20" s="91">
        <f t="shared" si="37"/>
        <v>1278.8999999999999</v>
      </c>
      <c r="AD20" s="12"/>
      <c r="AE20" s="10"/>
      <c r="AF20" s="31">
        <v>0</v>
      </c>
      <c r="AG20" s="29">
        <f t="shared" si="9"/>
        <v>1800</v>
      </c>
      <c r="AH20" s="29">
        <f t="shared" si="38"/>
        <v>200</v>
      </c>
      <c r="AI20" s="29">
        <f t="shared" si="40"/>
        <v>0</v>
      </c>
      <c r="AJ20" s="13"/>
      <c r="AK20" s="29">
        <f t="shared" si="30"/>
        <v>26473.200000000001</v>
      </c>
      <c r="AL20" s="29">
        <f t="shared" si="13"/>
        <v>2000</v>
      </c>
      <c r="AM20" s="29">
        <f t="shared" si="31"/>
        <v>24473.200000000001</v>
      </c>
      <c r="AN20" s="33">
        <f t="shared" si="33"/>
        <v>24473</v>
      </c>
      <c r="AO20" s="29">
        <f t="shared" si="41"/>
        <v>0</v>
      </c>
      <c r="AP20" s="29">
        <f t="shared" si="32"/>
        <v>1800</v>
      </c>
      <c r="AQ20" s="13"/>
      <c r="AR20" s="29">
        <f t="shared" si="18"/>
        <v>28273.200000000001</v>
      </c>
      <c r="AS20" s="29">
        <f>'July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77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31</v>
      </c>
      <c r="J21" s="100">
        <v>0</v>
      </c>
      <c r="K21" s="71">
        <f>'July 2025'!O21</f>
        <v>3</v>
      </c>
      <c r="L21" s="101">
        <v>0</v>
      </c>
      <c r="M21" s="38">
        <v>0</v>
      </c>
      <c r="N21" s="24">
        <f t="shared" si="0"/>
        <v>0</v>
      </c>
      <c r="O21" s="24">
        <f t="shared" si="1"/>
        <v>3</v>
      </c>
      <c r="P21" s="24">
        <f t="shared" si="2"/>
        <v>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 t="e">
        <f t="shared" si="4"/>
        <v>#DIV/0!</v>
      </c>
      <c r="Y21" s="30" t="e">
        <f t="shared" si="5"/>
        <v>#DIV/0!</v>
      </c>
      <c r="Z21" s="30" t="e">
        <f t="shared" si="6"/>
        <v>#DIV/0!</v>
      </c>
      <c r="AA21" s="30" t="e">
        <f t="shared" si="7"/>
        <v>#DIV/0!</v>
      </c>
      <c r="AB21" s="91">
        <f>U21*0.9*3</f>
        <v>3226.5</v>
      </c>
      <c r="AC21" s="91">
        <f>V21*0.7*3</f>
        <v>2509.5</v>
      </c>
      <c r="AD21" s="12"/>
      <c r="AE21" s="41"/>
      <c r="AF21" s="31">
        <v>0</v>
      </c>
      <c r="AG21" s="29" t="e">
        <f t="shared" si="9"/>
        <v>#DIV/0!</v>
      </c>
      <c r="AH21" s="29" t="e">
        <f t="shared" si="38"/>
        <v>#DIV/0!</v>
      </c>
      <c r="AI21" s="29" t="e">
        <f t="shared" si="40"/>
        <v>#DIV/0!</v>
      </c>
      <c r="AJ21" s="13"/>
      <c r="AK21" s="29" t="e">
        <f t="shared" si="30"/>
        <v>#DIV/0!</v>
      </c>
      <c r="AL21" s="29" t="e">
        <f t="shared" si="13"/>
        <v>#DIV/0!</v>
      </c>
      <c r="AM21" s="29" t="e">
        <f t="shared" si="31"/>
        <v>#DIV/0!</v>
      </c>
      <c r="AN21" s="33" t="e">
        <f t="shared" si="33"/>
        <v>#DIV/0!</v>
      </c>
      <c r="AO21" s="29" t="e">
        <f t="shared" si="41"/>
        <v>#DIV/0!</v>
      </c>
      <c r="AP21" s="29" t="e">
        <f t="shared" si="32"/>
        <v>#DIV/0!</v>
      </c>
      <c r="AQ21" s="13"/>
      <c r="AR21" s="29" t="e">
        <f t="shared" si="18"/>
        <v>#DIV/0!</v>
      </c>
      <c r="AS21" s="29">
        <f>'July 2025'!AT21</f>
        <v>0</v>
      </c>
      <c r="AT21" s="29">
        <f t="shared" si="28"/>
        <v>0</v>
      </c>
      <c r="AU21" s="34"/>
      <c r="AV21" s="31">
        <f t="shared" si="34"/>
        <v>0</v>
      </c>
      <c r="AW21" s="79"/>
      <c r="AX21" s="79"/>
      <c r="AY21" s="75">
        <v>0</v>
      </c>
      <c r="AZ21" s="114" t="s">
        <v>166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'July 2025'!O22</f>
        <v>5</v>
      </c>
      <c r="L22" s="101">
        <v>1</v>
      </c>
      <c r="M22" s="38">
        <v>4</v>
      </c>
      <c r="N22" s="24">
        <f t="shared" si="0"/>
        <v>0</v>
      </c>
      <c r="O22" s="24">
        <f t="shared" si="1"/>
        <v>2</v>
      </c>
      <c r="P22" s="24">
        <f t="shared" si="2"/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si="3"/>
        <v>28804</v>
      </c>
      <c r="X22" s="30">
        <f t="shared" si="4"/>
        <v>15000</v>
      </c>
      <c r="Y22" s="30">
        <f t="shared" si="5"/>
        <v>5700</v>
      </c>
      <c r="Z22" s="30">
        <f t="shared" si="6"/>
        <v>1900</v>
      </c>
      <c r="AA22" s="30">
        <f t="shared" si="7"/>
        <v>1900</v>
      </c>
      <c r="AB22" s="91">
        <f t="shared" ref="AB22:AB23" si="43">U22*0.9</f>
        <v>1936.8</v>
      </c>
      <c r="AC22" s="91">
        <f t="shared" ref="AC22:AC25" si="44">V22*0.7</f>
        <v>1506.3999999999999</v>
      </c>
      <c r="AD22" s="12"/>
      <c r="AE22" s="10"/>
      <c r="AF22" s="31">
        <v>0</v>
      </c>
      <c r="AG22" s="29">
        <f t="shared" si="9"/>
        <v>1800</v>
      </c>
      <c r="AH22" s="29">
        <f t="shared" si="38"/>
        <v>200</v>
      </c>
      <c r="AI22" s="29">
        <f t="shared" si="40"/>
        <v>0</v>
      </c>
      <c r="AJ22" s="13"/>
      <c r="AK22" s="29">
        <f t="shared" si="30"/>
        <v>27943.200000000001</v>
      </c>
      <c r="AL22" s="29">
        <f t="shared" si="13"/>
        <v>2000</v>
      </c>
      <c r="AM22" s="29">
        <f t="shared" si="31"/>
        <v>25943.200000000001</v>
      </c>
      <c r="AN22" s="33">
        <f t="shared" si="33"/>
        <v>25943</v>
      </c>
      <c r="AO22" s="29">
        <f t="shared" si="41"/>
        <v>0</v>
      </c>
      <c r="AP22" s="29">
        <f t="shared" si="32"/>
        <v>1800</v>
      </c>
      <c r="AQ22" s="13"/>
      <c r="AR22" s="29">
        <f t="shared" si="18"/>
        <v>29743.200000000001</v>
      </c>
      <c r="AS22" s="29">
        <f>'July 2025'!AT22</f>
        <v>0</v>
      </c>
      <c r="AT22" s="29">
        <f t="shared" si="28"/>
        <v>0</v>
      </c>
      <c r="AU22" s="34"/>
      <c r="AV22" s="31">
        <f t="shared" si="34"/>
        <v>0</v>
      </c>
      <c r="AW22" s="79"/>
      <c r="AX22" s="79"/>
      <c r="AY22" s="75">
        <v>0</v>
      </c>
      <c r="AZ22" s="77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'July 2025'!O23</f>
        <v>2</v>
      </c>
      <c r="L23" s="101">
        <v>0</v>
      </c>
      <c r="M23" s="38">
        <v>1</v>
      </c>
      <c r="N23" s="24">
        <f t="shared" si="0"/>
        <v>0</v>
      </c>
      <c r="O23" s="24">
        <f t="shared" si="1"/>
        <v>1</v>
      </c>
      <c r="P23" s="24">
        <f t="shared" si="2"/>
        <v>31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3"/>
        <v>25831</v>
      </c>
      <c r="X23" s="30">
        <f t="shared" si="4"/>
        <v>15000</v>
      </c>
      <c r="Y23" s="30">
        <f t="shared" si="5"/>
        <v>4959</v>
      </c>
      <c r="Z23" s="30">
        <f t="shared" si="6"/>
        <v>1653</v>
      </c>
      <c r="AA23" s="30">
        <f t="shared" si="7"/>
        <v>1653</v>
      </c>
      <c r="AB23" s="91">
        <f t="shared" si="43"/>
        <v>1154.7</v>
      </c>
      <c r="AC23" s="91">
        <f t="shared" si="44"/>
        <v>898.09999999999991</v>
      </c>
      <c r="AD23" s="12"/>
      <c r="AE23" s="10"/>
      <c r="AF23" s="31">
        <v>0</v>
      </c>
      <c r="AG23" s="29">
        <f t="shared" si="9"/>
        <v>1800</v>
      </c>
      <c r="AH23" s="29">
        <f t="shared" si="38"/>
        <v>200</v>
      </c>
      <c r="AI23" s="29">
        <f t="shared" si="40"/>
        <v>0</v>
      </c>
      <c r="AJ23" s="13"/>
      <c r="AK23" s="29">
        <f t="shared" si="30"/>
        <v>25317.8</v>
      </c>
      <c r="AL23" s="29">
        <f t="shared" si="13"/>
        <v>2000</v>
      </c>
      <c r="AM23" s="29">
        <f t="shared" si="31"/>
        <v>23317.8</v>
      </c>
      <c r="AN23" s="33">
        <f t="shared" si="33"/>
        <v>23318</v>
      </c>
      <c r="AO23" s="29">
        <f t="shared" si="41"/>
        <v>0</v>
      </c>
      <c r="AP23" s="29">
        <f t="shared" si="32"/>
        <v>1800</v>
      </c>
      <c r="AQ23" s="13"/>
      <c r="AR23" s="29">
        <f t="shared" si="18"/>
        <v>27117.8</v>
      </c>
      <c r="AS23" s="29">
        <f>'July 2025'!AT23</f>
        <v>0</v>
      </c>
      <c r="AT23" s="29">
        <f t="shared" si="28"/>
        <v>0</v>
      </c>
      <c r="AU23" s="34"/>
      <c r="AV23" s="31">
        <f t="shared" si="34"/>
        <v>0</v>
      </c>
      <c r="AW23" s="79"/>
      <c r="AX23" s="79"/>
      <c r="AY23" s="75">
        <v>0</v>
      </c>
      <c r="AZ23" s="77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'July 2025'!O24</f>
        <v>0.5</v>
      </c>
      <c r="L24" s="101">
        <v>0</v>
      </c>
      <c r="M24" s="38">
        <v>0</v>
      </c>
      <c r="N24" s="24">
        <f t="shared" si="0"/>
        <v>0</v>
      </c>
      <c r="O24" s="24">
        <f t="shared" si="1"/>
        <v>0.5</v>
      </c>
      <c r="P24" s="24">
        <f t="shared" si="2"/>
        <v>31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3"/>
        <v>40000</v>
      </c>
      <c r="X24" s="30">
        <f t="shared" si="4"/>
        <v>15000</v>
      </c>
      <c r="Y24" s="30">
        <f t="shared" si="5"/>
        <v>6000</v>
      </c>
      <c r="Z24" s="30">
        <f t="shared" si="6"/>
        <v>5000</v>
      </c>
      <c r="AA24" s="30">
        <f t="shared" si="7"/>
        <v>6000</v>
      </c>
      <c r="AB24" s="77">
        <f>U24*1.1</f>
        <v>4400</v>
      </c>
      <c r="AC24" s="77">
        <f t="shared" si="44"/>
        <v>2800</v>
      </c>
      <c r="AD24" s="12"/>
      <c r="AE24" s="10"/>
      <c r="AF24" s="31">
        <v>0</v>
      </c>
      <c r="AG24" s="29">
        <f t="shared" si="9"/>
        <v>1800</v>
      </c>
      <c r="AH24" s="29">
        <f>IF(SUM(X24:AA24)&gt;=25000, 200, 0)</f>
        <v>200</v>
      </c>
      <c r="AI24" s="29">
        <f t="shared" si="40"/>
        <v>0</v>
      </c>
      <c r="AJ24" s="13"/>
      <c r="AK24" s="29">
        <f t="shared" si="30"/>
        <v>39200</v>
      </c>
      <c r="AL24" s="29">
        <f t="shared" si="13"/>
        <v>2000</v>
      </c>
      <c r="AM24" s="29">
        <f t="shared" si="31"/>
        <v>37200</v>
      </c>
      <c r="AN24" s="33">
        <f t="shared" si="33"/>
        <v>37200</v>
      </c>
      <c r="AO24" s="29">
        <f t="shared" si="41"/>
        <v>0</v>
      </c>
      <c r="AP24" s="29">
        <f t="shared" si="32"/>
        <v>1800</v>
      </c>
      <c r="AQ24" s="13"/>
      <c r="AR24" s="29">
        <f t="shared" si="18"/>
        <v>41000</v>
      </c>
      <c r="AS24" s="32">
        <v>40000</v>
      </c>
      <c r="AT24" s="29">
        <f t="shared" si="28"/>
        <v>40000</v>
      </c>
      <c r="AU24" s="34"/>
      <c r="AV24" s="31">
        <f t="shared" si="34"/>
        <v>0</v>
      </c>
      <c r="AW24" s="79"/>
      <c r="AX24" s="79"/>
      <c r="AY24" s="75">
        <v>0</v>
      </c>
      <c r="AZ24" s="77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'July 2025'!O25</f>
        <v>3</v>
      </c>
      <c r="L25" s="101">
        <v>0</v>
      </c>
      <c r="M25" s="38">
        <v>2</v>
      </c>
      <c r="N25" s="24">
        <f t="shared" si="0"/>
        <v>0</v>
      </c>
      <c r="O25" s="24">
        <f t="shared" si="1"/>
        <v>1</v>
      </c>
      <c r="P25" s="24">
        <f t="shared" si="2"/>
        <v>31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3"/>
        <v>30166</v>
      </c>
      <c r="X25" s="30">
        <f t="shared" si="4"/>
        <v>15000</v>
      </c>
      <c r="Y25" s="30">
        <f t="shared" si="5"/>
        <v>5700</v>
      </c>
      <c r="Z25" s="30">
        <f t="shared" si="6"/>
        <v>1900</v>
      </c>
      <c r="AA25" s="30">
        <f t="shared" si="7"/>
        <v>1900</v>
      </c>
      <c r="AB25" s="91">
        <f>U25*1</f>
        <v>2833</v>
      </c>
      <c r="AC25" s="91">
        <f t="shared" si="44"/>
        <v>1983.1</v>
      </c>
      <c r="AD25" s="12"/>
      <c r="AE25" s="10"/>
      <c r="AF25" s="31">
        <v>0</v>
      </c>
      <c r="AG25" s="29">
        <f t="shared" si="9"/>
        <v>1800</v>
      </c>
      <c r="AH25" s="29">
        <f>IF(SUM(X25:AC25)&gt;=25000, 200, 0)</f>
        <v>200</v>
      </c>
      <c r="AI25" s="29">
        <f t="shared" si="40"/>
        <v>0</v>
      </c>
      <c r="AJ25" s="13"/>
      <c r="AK25" s="29">
        <f t="shared" si="30"/>
        <v>29316.1</v>
      </c>
      <c r="AL25" s="29">
        <f t="shared" si="13"/>
        <v>2000</v>
      </c>
      <c r="AM25" s="29">
        <f t="shared" si="31"/>
        <v>27316.1</v>
      </c>
      <c r="AN25" s="33">
        <f t="shared" si="33"/>
        <v>27316</v>
      </c>
      <c r="AO25" s="29">
        <f t="shared" si="41"/>
        <v>0</v>
      </c>
      <c r="AP25" s="29">
        <f t="shared" si="32"/>
        <v>1800</v>
      </c>
      <c r="AQ25" s="13"/>
      <c r="AR25" s="29">
        <f t="shared" si="18"/>
        <v>31116.1</v>
      </c>
      <c r="AS25" s="29">
        <f>'July 2025'!AT25</f>
        <v>0</v>
      </c>
      <c r="AT25" s="29">
        <f t="shared" si="28"/>
        <v>0</v>
      </c>
      <c r="AU25" s="34"/>
      <c r="AV25" s="31">
        <f t="shared" si="34"/>
        <v>0</v>
      </c>
      <c r="AW25" s="79"/>
      <c r="AX25" s="79"/>
      <c r="AY25" s="75">
        <v>0</v>
      </c>
      <c r="AZ25" s="77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'July 2025'!O26</f>
        <v>3</v>
      </c>
      <c r="L26" s="101">
        <v>0</v>
      </c>
      <c r="M26" s="38">
        <v>0</v>
      </c>
      <c r="N26" s="24">
        <f t="shared" si="0"/>
        <v>0</v>
      </c>
      <c r="O26" s="24">
        <f t="shared" si="1"/>
        <v>3</v>
      </c>
      <c r="P26" s="24">
        <f t="shared" si="2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3"/>
        <v>25865</v>
      </c>
      <c r="X26" s="30">
        <f t="shared" si="4"/>
        <v>15000</v>
      </c>
      <c r="Y26" s="30">
        <f t="shared" si="5"/>
        <v>3825</v>
      </c>
      <c r="Z26" s="30">
        <f t="shared" si="6"/>
        <v>1020.0000000000001</v>
      </c>
      <c r="AA26" s="30">
        <f t="shared" si="7"/>
        <v>1020.0000000000001</v>
      </c>
      <c r="AB26" s="91"/>
      <c r="AC26" s="91"/>
      <c r="AD26" s="12"/>
      <c r="AE26" s="10"/>
      <c r="AF26" s="31">
        <v>0</v>
      </c>
      <c r="AG26" s="29">
        <f t="shared" si="9"/>
        <v>1800</v>
      </c>
      <c r="AH26" s="29">
        <f>IF(SUM(X26:AA26)&gt;=25000, 200, 0)</f>
        <v>0</v>
      </c>
      <c r="AI26" s="29">
        <f t="shared" si="40"/>
        <v>156.48749999999998</v>
      </c>
      <c r="AJ26" s="13"/>
      <c r="AK26" s="29">
        <f t="shared" si="30"/>
        <v>20865</v>
      </c>
      <c r="AL26" s="29">
        <f t="shared" si="13"/>
        <v>1956.4875</v>
      </c>
      <c r="AM26" s="29">
        <f t="shared" si="31"/>
        <v>18908.512500000001</v>
      </c>
      <c r="AN26" s="33">
        <f t="shared" si="33"/>
        <v>18909</v>
      </c>
      <c r="AO26" s="29">
        <f t="shared" si="41"/>
        <v>678.11250000000007</v>
      </c>
      <c r="AP26" s="29">
        <f t="shared" si="32"/>
        <v>1800</v>
      </c>
      <c r="AQ26" s="13"/>
      <c r="AR26" s="29">
        <f t="shared" si="18"/>
        <v>23343.112499999999</v>
      </c>
      <c r="AS26" s="29">
        <f>'July 2025'!AT26</f>
        <v>0</v>
      </c>
      <c r="AT26" s="29">
        <f t="shared" si="28"/>
        <v>0</v>
      </c>
      <c r="AU26" s="34"/>
      <c r="AV26" s="31">
        <f t="shared" si="34"/>
        <v>0</v>
      </c>
      <c r="AW26" s="79"/>
      <c r="AX26" s="79"/>
      <c r="AY26" s="75">
        <v>0</v>
      </c>
      <c r="AZ26" s="77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'July 2025'!O27</f>
        <v>2</v>
      </c>
      <c r="L27" s="101">
        <v>0</v>
      </c>
      <c r="M27" s="38">
        <v>1</v>
      </c>
      <c r="N27" s="24">
        <f t="shared" si="0"/>
        <v>0</v>
      </c>
      <c r="O27" s="24">
        <f t="shared" si="1"/>
        <v>1</v>
      </c>
      <c r="P27" s="24">
        <f t="shared" si="2"/>
        <v>31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3"/>
        <v>25831</v>
      </c>
      <c r="X27" s="30">
        <f t="shared" si="4"/>
        <v>15000</v>
      </c>
      <c r="Y27" s="30">
        <f t="shared" si="5"/>
        <v>4845</v>
      </c>
      <c r="Z27" s="30">
        <f t="shared" si="6"/>
        <v>1615</v>
      </c>
      <c r="AA27" s="30">
        <f t="shared" si="7"/>
        <v>1615</v>
      </c>
      <c r="AB27" s="91">
        <f>U27*0.9</f>
        <v>1240.2</v>
      </c>
      <c r="AC27" s="91">
        <f t="shared" ref="AC27:AC29" si="45">V27*0.7</f>
        <v>964.59999999999991</v>
      </c>
      <c r="AD27" s="12"/>
      <c r="AE27" s="10"/>
      <c r="AF27" s="31">
        <v>0</v>
      </c>
      <c r="AG27" s="29">
        <f t="shared" si="9"/>
        <v>1800</v>
      </c>
      <c r="AH27" s="29">
        <f>IF(SUM(X27:AC27)&gt;=25000, 200, 0)</f>
        <v>200</v>
      </c>
      <c r="AI27" s="29">
        <f t="shared" si="40"/>
        <v>0</v>
      </c>
      <c r="AJ27" s="13"/>
      <c r="AK27" s="29">
        <f t="shared" si="30"/>
        <v>25279.8</v>
      </c>
      <c r="AL27" s="29">
        <f t="shared" si="13"/>
        <v>2000</v>
      </c>
      <c r="AM27" s="29">
        <f t="shared" si="31"/>
        <v>23279.8</v>
      </c>
      <c r="AN27" s="33">
        <f t="shared" si="33"/>
        <v>23280</v>
      </c>
      <c r="AO27" s="29">
        <f t="shared" si="41"/>
        <v>0</v>
      </c>
      <c r="AP27" s="29">
        <f t="shared" si="32"/>
        <v>1800</v>
      </c>
      <c r="AQ27" s="13"/>
      <c r="AR27" s="29">
        <f t="shared" si="18"/>
        <v>27079.8</v>
      </c>
      <c r="AS27" s="29">
        <f>'July 2025'!AT27</f>
        <v>0</v>
      </c>
      <c r="AT27" s="29">
        <f t="shared" si="28"/>
        <v>0</v>
      </c>
      <c r="AU27" s="34"/>
      <c r="AV27" s="31">
        <f t="shared" si="34"/>
        <v>0</v>
      </c>
      <c r="AW27" s="79"/>
      <c r="AX27" s="79"/>
      <c r="AY27" s="75">
        <v>0</v>
      </c>
      <c r="AZ27" s="77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'July 2025'!O28</f>
        <v>6</v>
      </c>
      <c r="L28" s="101">
        <v>0</v>
      </c>
      <c r="M28" s="38">
        <v>4.5</v>
      </c>
      <c r="N28" s="24">
        <f t="shared" si="0"/>
        <v>0</v>
      </c>
      <c r="O28" s="24">
        <f t="shared" si="1"/>
        <v>1.5</v>
      </c>
      <c r="P28" s="24">
        <f t="shared" si="2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</v>
      </c>
      <c r="Z28" s="30">
        <f t="shared" si="6"/>
        <v>4000</v>
      </c>
      <c r="AA28" s="30">
        <f t="shared" si="7"/>
        <v>4000</v>
      </c>
      <c r="AB28" s="77">
        <f t="shared" ref="AB28:AB29" si="46">U28*1</f>
        <v>3000</v>
      </c>
      <c r="AC28" s="77">
        <f t="shared" si="45"/>
        <v>2100</v>
      </c>
      <c r="AD28" s="12"/>
      <c r="AE28" s="10"/>
      <c r="AF28" s="31">
        <v>0</v>
      </c>
      <c r="AG28" s="29">
        <f t="shared" si="9"/>
        <v>1800</v>
      </c>
      <c r="AH28" s="29">
        <f>IF(SUM(X28:AA28)&gt;=25000, 200, 0)</f>
        <v>200</v>
      </c>
      <c r="AI28" s="29">
        <f t="shared" si="40"/>
        <v>0</v>
      </c>
      <c r="AJ28" s="13"/>
      <c r="AK28" s="29">
        <f t="shared" si="30"/>
        <v>32100</v>
      </c>
      <c r="AL28" s="29">
        <f t="shared" si="13"/>
        <v>2000</v>
      </c>
      <c r="AM28" s="29">
        <f t="shared" si="31"/>
        <v>30100</v>
      </c>
      <c r="AN28" s="33">
        <f t="shared" si="33"/>
        <v>30100</v>
      </c>
      <c r="AO28" s="29">
        <f t="shared" si="41"/>
        <v>0</v>
      </c>
      <c r="AP28" s="29">
        <f t="shared" si="32"/>
        <v>1800</v>
      </c>
      <c r="AQ28" s="13"/>
      <c r="AR28" s="29">
        <f t="shared" si="18"/>
        <v>33900</v>
      </c>
      <c r="AS28" s="29">
        <f>'July 2025'!AT28</f>
        <v>0</v>
      </c>
      <c r="AT28" s="29">
        <f t="shared" si="28"/>
        <v>0</v>
      </c>
      <c r="AU28" s="34"/>
      <c r="AV28" s="31">
        <f t="shared" si="34"/>
        <v>0</v>
      </c>
      <c r="AW28" s="79"/>
      <c r="AX28" s="79"/>
      <c r="AY28" s="103">
        <v>0</v>
      </c>
      <c r="AZ28" s="77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'July 2025'!O29</f>
        <v>5</v>
      </c>
      <c r="L29" s="101">
        <v>0.5</v>
      </c>
      <c r="M29" s="38">
        <v>1.5</v>
      </c>
      <c r="N29" s="24">
        <f t="shared" si="0"/>
        <v>0</v>
      </c>
      <c r="O29" s="24">
        <f t="shared" si="1"/>
        <v>4</v>
      </c>
      <c r="P29" s="24">
        <f t="shared" si="2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3"/>
        <v>25400</v>
      </c>
      <c r="X29" s="30">
        <f t="shared" si="4"/>
        <v>15000</v>
      </c>
      <c r="Y29" s="30">
        <f t="shared" si="5"/>
        <v>3000</v>
      </c>
      <c r="Z29" s="30">
        <f t="shared" si="6"/>
        <v>1800</v>
      </c>
      <c r="AA29" s="30">
        <f t="shared" si="7"/>
        <v>1800</v>
      </c>
      <c r="AB29" s="91">
        <f t="shared" si="46"/>
        <v>1900</v>
      </c>
      <c r="AC29" s="91">
        <f t="shared" si="45"/>
        <v>1330</v>
      </c>
      <c r="AD29" s="12"/>
      <c r="AE29" s="10"/>
      <c r="AF29" s="31">
        <v>0</v>
      </c>
      <c r="AG29" s="29">
        <f t="shared" si="9"/>
        <v>1800</v>
      </c>
      <c r="AH29" s="29">
        <f>IF(SUM(X29:AC29)&gt;=25000, 200, 0)</f>
        <v>0</v>
      </c>
      <c r="AI29" s="29">
        <f t="shared" si="40"/>
        <v>0</v>
      </c>
      <c r="AJ29" s="13"/>
      <c r="AK29" s="29">
        <f t="shared" si="30"/>
        <v>24830</v>
      </c>
      <c r="AL29" s="29">
        <f t="shared" si="13"/>
        <v>1800</v>
      </c>
      <c r="AM29" s="29">
        <f t="shared" si="31"/>
        <v>23030</v>
      </c>
      <c r="AN29" s="33">
        <f t="shared" si="33"/>
        <v>23030</v>
      </c>
      <c r="AO29" s="29">
        <f t="shared" si="41"/>
        <v>0</v>
      </c>
      <c r="AP29" s="29">
        <f t="shared" si="32"/>
        <v>1800</v>
      </c>
      <c r="AQ29" s="13"/>
      <c r="AR29" s="29">
        <f t="shared" si="18"/>
        <v>26630</v>
      </c>
      <c r="AS29" s="29">
        <f>'July 2025'!AT29</f>
        <v>0</v>
      </c>
      <c r="AT29" s="29">
        <f t="shared" ref="AT29:AT33" si="47">AS29+AD29-AJ29</f>
        <v>0</v>
      </c>
      <c r="AU29" s="34"/>
      <c r="AV29" s="31">
        <f t="shared" si="34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'July 2025'!O30</f>
        <v>5.5</v>
      </c>
      <c r="L30" s="101">
        <v>0</v>
      </c>
      <c r="M30" s="38">
        <v>0</v>
      </c>
      <c r="N30" s="24">
        <f t="shared" si="0"/>
        <v>0</v>
      </c>
      <c r="O30" s="24">
        <f t="shared" si="1"/>
        <v>5.5</v>
      </c>
      <c r="P30" s="24">
        <f t="shared" si="2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3"/>
        <v>24100</v>
      </c>
      <c r="X30" s="30">
        <f t="shared" si="4"/>
        <v>15000</v>
      </c>
      <c r="Y30" s="30">
        <f t="shared" si="5"/>
        <v>2800</v>
      </c>
      <c r="Z30" s="30">
        <f t="shared" si="6"/>
        <v>1800</v>
      </c>
      <c r="AA30" s="30">
        <f t="shared" si="7"/>
        <v>1300</v>
      </c>
      <c r="AB30" s="91"/>
      <c r="AC30" s="91"/>
      <c r="AD30" s="12"/>
      <c r="AE30" s="10"/>
      <c r="AF30" s="31">
        <v>0</v>
      </c>
      <c r="AG30" s="29">
        <f t="shared" si="9"/>
        <v>1800</v>
      </c>
      <c r="AH30" s="29">
        <f t="shared" ref="AH30:AH31" si="48">IF(SUM(X30:AA30)&gt;=25000, 200, 0)</f>
        <v>0</v>
      </c>
      <c r="AI30" s="29">
        <f t="shared" si="40"/>
        <v>156.75</v>
      </c>
      <c r="AJ30" s="13"/>
      <c r="AK30" s="29">
        <f t="shared" si="30"/>
        <v>20900</v>
      </c>
      <c r="AL30" s="29">
        <f t="shared" si="13"/>
        <v>1956.75</v>
      </c>
      <c r="AM30" s="29">
        <f t="shared" si="31"/>
        <v>18943.25</v>
      </c>
      <c r="AN30" s="33">
        <f t="shared" si="33"/>
        <v>18943</v>
      </c>
      <c r="AO30" s="29">
        <f t="shared" si="41"/>
        <v>679.25</v>
      </c>
      <c r="AP30" s="29">
        <f t="shared" si="32"/>
        <v>1800</v>
      </c>
      <c r="AQ30" s="13"/>
      <c r="AR30" s="29">
        <f t="shared" si="18"/>
        <v>23379.25</v>
      </c>
      <c r="AS30" s="29">
        <f>'July 2025'!AT30</f>
        <v>0</v>
      </c>
      <c r="AT30" s="29">
        <f t="shared" si="47"/>
        <v>0</v>
      </c>
      <c r="AU30" s="34"/>
      <c r="AV30" s="31">
        <f t="shared" si="34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'July 2025'!O31</f>
        <v>5</v>
      </c>
      <c r="L31" s="101">
        <v>0</v>
      </c>
      <c r="M31" s="38">
        <v>0</v>
      </c>
      <c r="N31" s="24">
        <f t="shared" si="0"/>
        <v>0</v>
      </c>
      <c r="O31" s="24">
        <f t="shared" si="1"/>
        <v>5</v>
      </c>
      <c r="P31" s="24">
        <f t="shared" si="2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3"/>
        <v>24100</v>
      </c>
      <c r="X31" s="30">
        <f t="shared" si="4"/>
        <v>15000</v>
      </c>
      <c r="Y31" s="30">
        <f t="shared" si="5"/>
        <v>2800</v>
      </c>
      <c r="Z31" s="30">
        <f t="shared" si="6"/>
        <v>1800</v>
      </c>
      <c r="AA31" s="30">
        <f t="shared" si="7"/>
        <v>1300</v>
      </c>
      <c r="AB31" s="91"/>
      <c r="AC31" s="91"/>
      <c r="AD31" s="12"/>
      <c r="AE31" s="10"/>
      <c r="AF31" s="31">
        <v>0</v>
      </c>
      <c r="AG31" s="29">
        <f t="shared" si="9"/>
        <v>1800</v>
      </c>
      <c r="AH31" s="29">
        <f t="shared" si="48"/>
        <v>0</v>
      </c>
      <c r="AI31" s="29">
        <f t="shared" si="40"/>
        <v>156.75</v>
      </c>
      <c r="AJ31" s="13"/>
      <c r="AK31" s="29">
        <f t="shared" si="30"/>
        <v>20900</v>
      </c>
      <c r="AL31" s="29">
        <f t="shared" si="13"/>
        <v>1956.75</v>
      </c>
      <c r="AM31" s="29">
        <f t="shared" si="31"/>
        <v>18943.25</v>
      </c>
      <c r="AN31" s="33">
        <f t="shared" si="33"/>
        <v>18943</v>
      </c>
      <c r="AO31" s="29">
        <f t="shared" si="41"/>
        <v>679.25</v>
      </c>
      <c r="AP31" s="29">
        <f t="shared" si="32"/>
        <v>1800</v>
      </c>
      <c r="AQ31" s="13"/>
      <c r="AR31" s="29">
        <f t="shared" si="18"/>
        <v>23379.25</v>
      </c>
      <c r="AS31" s="29">
        <f>'July 2025'!AT31</f>
        <v>0</v>
      </c>
      <c r="AT31" s="29">
        <f t="shared" si="47"/>
        <v>0</v>
      </c>
      <c r="AU31" s="34"/>
      <c r="AV31" s="31">
        <f t="shared" si="34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12">
        <v>19</v>
      </c>
      <c r="J32" s="100">
        <v>18</v>
      </c>
      <c r="K32" s="71">
        <f>'July 2025'!O32</f>
        <v>4</v>
      </c>
      <c r="L32" s="101">
        <v>1</v>
      </c>
      <c r="M32" s="104">
        <v>1</v>
      </c>
      <c r="N32" s="71">
        <f t="shared" si="0"/>
        <v>0</v>
      </c>
      <c r="O32" s="71">
        <f t="shared" si="1"/>
        <v>4</v>
      </c>
      <c r="P32" s="71">
        <f t="shared" si="2"/>
        <v>18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85263.15789473684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41">
        <v>1500</v>
      </c>
      <c r="AF32" s="77">
        <v>0</v>
      </c>
      <c r="AG32" s="75">
        <v>0</v>
      </c>
      <c r="AH32" s="75">
        <v>0</v>
      </c>
      <c r="AI32" s="29">
        <f t="shared" si="40"/>
        <v>0</v>
      </c>
      <c r="AJ32" s="13"/>
      <c r="AK32" s="75">
        <f t="shared" si="30"/>
        <v>86763.15789473684</v>
      </c>
      <c r="AL32" s="75">
        <f t="shared" si="13"/>
        <v>8676.3157894736851</v>
      </c>
      <c r="AM32" s="75">
        <f t="shared" si="31"/>
        <v>86763.15789473684</v>
      </c>
      <c r="AN32" s="78">
        <f t="shared" si="33"/>
        <v>78086.68421052632</v>
      </c>
      <c r="AO32" s="75">
        <f t="shared" si="41"/>
        <v>0</v>
      </c>
      <c r="AP32" s="75">
        <f t="shared" si="32"/>
        <v>0</v>
      </c>
      <c r="AQ32" s="13"/>
      <c r="AR32" s="75">
        <f t="shared" si="18"/>
        <v>86763.15789473684</v>
      </c>
      <c r="AS32" s="29">
        <f>'June 2025'!AT32</f>
        <v>0</v>
      </c>
      <c r="AT32" s="75">
        <f t="shared" si="47"/>
        <v>0</v>
      </c>
      <c r="AU32" s="92">
        <f>(0.1*AK32)</f>
        <v>8676.3157894736851</v>
      </c>
      <c r="AV32" s="77">
        <f t="shared" si="34"/>
        <v>0</v>
      </c>
      <c r="AW32" s="93">
        <f>AU32+'Apr 2025'!AU32+'May 2025'!AU32+'June 2025'!AU32+'July 2025'!AU32</f>
        <v>31560.166721150701</v>
      </c>
      <c r="AX32" s="113" t="s">
        <v>172</v>
      </c>
      <c r="AY32" s="75">
        <v>0</v>
      </c>
      <c r="AZ32" s="77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5">
        <v>31</v>
      </c>
      <c r="J33" s="105">
        <v>31</v>
      </c>
      <c r="K33" s="71">
        <f>'July 2025'!O33</f>
        <v>0.5</v>
      </c>
      <c r="L33" s="101">
        <v>0</v>
      </c>
      <c r="M33" s="104">
        <v>0.5</v>
      </c>
      <c r="N33" s="71">
        <f t="shared" si="0"/>
        <v>0</v>
      </c>
      <c r="O33" s="71">
        <f t="shared" si="1"/>
        <v>0</v>
      </c>
      <c r="P33" s="71">
        <f t="shared" si="2"/>
        <v>31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15000</v>
      </c>
      <c r="Y33" s="76">
        <f t="shared" si="5"/>
        <v>1500</v>
      </c>
      <c r="Z33" s="76">
        <f t="shared" si="6"/>
        <v>0</v>
      </c>
      <c r="AA33" s="76">
        <f t="shared" si="7"/>
        <v>0</v>
      </c>
      <c r="AB33" s="91"/>
      <c r="AC33" s="91"/>
      <c r="AD33" s="53"/>
      <c r="AE33" s="10"/>
      <c r="AF33" s="77">
        <v>0</v>
      </c>
      <c r="AG33" s="29">
        <f>IF(X33&gt;15000,(15000 * 12%),X33*0.12)</f>
        <v>1800</v>
      </c>
      <c r="AH33" s="29">
        <f>IF(SUM(X33:AA33)&gt;=25000, 200, 0)</f>
        <v>0</v>
      </c>
      <c r="AI33" s="29">
        <f t="shared" si="40"/>
        <v>123.75</v>
      </c>
      <c r="AJ33" s="54">
        <v>1500</v>
      </c>
      <c r="AK33" s="75">
        <f t="shared" si="30"/>
        <v>16500</v>
      </c>
      <c r="AL33" s="75">
        <f t="shared" si="13"/>
        <v>3423.75</v>
      </c>
      <c r="AM33" s="75">
        <f t="shared" si="31"/>
        <v>13076.25</v>
      </c>
      <c r="AN33" s="78">
        <f t="shared" si="33"/>
        <v>13076</v>
      </c>
      <c r="AO33" s="75">
        <v>0</v>
      </c>
      <c r="AP33" s="75">
        <v>0</v>
      </c>
      <c r="AQ33" s="13"/>
      <c r="AR33" s="75">
        <f t="shared" si="18"/>
        <v>16500</v>
      </c>
      <c r="AS33" s="29">
        <f>'July 2025'!AT33</f>
        <v>18500</v>
      </c>
      <c r="AT33" s="75">
        <f t="shared" si="47"/>
        <v>17000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3" t="s">
        <v>101</v>
      </c>
      <c r="C34" s="3" t="s">
        <v>11</v>
      </c>
      <c r="D34" s="1"/>
      <c r="E34" s="8"/>
      <c r="F34" s="8"/>
      <c r="G34" s="8"/>
      <c r="H34" s="1"/>
      <c r="I34" s="105">
        <v>31</v>
      </c>
      <c r="J34" s="105">
        <v>28</v>
      </c>
      <c r="K34" s="71">
        <f>'July 2025'!O34</f>
        <v>0</v>
      </c>
      <c r="L34" s="101">
        <v>2</v>
      </c>
      <c r="M34" s="104">
        <v>1</v>
      </c>
      <c r="N34" s="71">
        <f t="shared" si="0"/>
        <v>0</v>
      </c>
      <c r="O34" s="71">
        <f t="shared" si="1"/>
        <v>1</v>
      </c>
      <c r="P34" s="71">
        <f t="shared" si="2"/>
        <v>28</v>
      </c>
      <c r="Q34" s="37">
        <v>12000</v>
      </c>
      <c r="R34" s="74"/>
      <c r="S34" s="13"/>
      <c r="T34" s="13"/>
      <c r="U34" s="74"/>
      <c r="V34" s="74"/>
      <c r="W34" s="75">
        <f t="shared" si="3"/>
        <v>12000</v>
      </c>
      <c r="X34" s="76">
        <f t="shared" si="4"/>
        <v>10838.709677419356</v>
      </c>
      <c r="Y34" s="76">
        <f t="shared" si="5"/>
        <v>0</v>
      </c>
      <c r="Z34" s="76">
        <f t="shared" si="6"/>
        <v>0</v>
      </c>
      <c r="AA34" s="76">
        <f t="shared" si="7"/>
        <v>0</v>
      </c>
      <c r="AB34" s="91"/>
      <c r="AC34" s="91"/>
      <c r="AD34" s="53"/>
      <c r="AE34" s="10"/>
      <c r="AF34" s="77"/>
      <c r="AG34" s="29"/>
      <c r="AH34" s="29"/>
      <c r="AI34" s="29"/>
      <c r="AJ34" s="54"/>
      <c r="AK34" s="75">
        <f t="shared" si="30"/>
        <v>10838.709677419356</v>
      </c>
      <c r="AL34" s="75">
        <f t="shared" si="13"/>
        <v>0</v>
      </c>
      <c r="AM34" s="75">
        <f t="shared" si="31"/>
        <v>10838.709677419356</v>
      </c>
      <c r="AN34" s="78">
        <f t="shared" si="33"/>
        <v>10839</v>
      </c>
      <c r="AO34" s="75"/>
      <c r="AP34" s="75"/>
      <c r="AQ34" s="13"/>
      <c r="AR34" s="75"/>
      <c r="AS34" s="32"/>
      <c r="AT34" s="75"/>
      <c r="AU34" s="34"/>
      <c r="AV34" s="77"/>
      <c r="AW34" s="79"/>
      <c r="AX34" s="64"/>
      <c r="AY34" s="94"/>
      <c r="AZ34" s="7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95"/>
      <c r="AO35" s="95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mergeCells count="2">
    <mergeCell ref="X1:AF1"/>
    <mergeCell ref="AG1:A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45901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30</v>
      </c>
      <c r="J3" s="100">
        <v>30</v>
      </c>
      <c r="K3" s="71">
        <f>'Aug 2025'!O3</f>
        <v>14</v>
      </c>
      <c r="L3" s="101">
        <v>0</v>
      </c>
      <c r="M3" s="73">
        <v>0</v>
      </c>
      <c r="N3" s="71">
        <f t="shared" ref="N3:N23" si="0">IF(K3+L3-M3 &gt;= 0,0,M3-(K3+L3))</f>
        <v>0</v>
      </c>
      <c r="O3" s="71">
        <f t="shared" ref="O3:O34" si="1">IF(K3+L3-M3&gt;0,K3+L3-M3,0)</f>
        <v>14</v>
      </c>
      <c r="P3" s="71">
        <f t="shared" ref="P3:P34" si="2">J3-N3</f>
        <v>30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34" si="3">SUM(Q3:V3)</f>
        <v>100000</v>
      </c>
      <c r="X3" s="76">
        <f t="shared" ref="X3:X34" si="4">(Q3/I3*(J3)) * (1-N3/J3)</f>
        <v>30000</v>
      </c>
      <c r="Y3" s="76">
        <f t="shared" ref="Y3:Y34" si="5">(R3/I3*(J3)) * (1-N3/J3)</f>
        <v>15000</v>
      </c>
      <c r="Z3" s="76">
        <f t="shared" ref="Z3:Z34" si="6">(S3/I3*(J3)) * (1-N3/J3)</f>
        <v>7500</v>
      </c>
      <c r="AA3" s="76">
        <f t="shared" ref="AA3:AA34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34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89800</v>
      </c>
      <c r="AS3" s="29">
        <f>'May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30</v>
      </c>
      <c r="J4" s="100">
        <v>30</v>
      </c>
      <c r="K4" s="71">
        <f>'Aug 2025'!O4</f>
        <v>14</v>
      </c>
      <c r="L4" s="101">
        <v>0</v>
      </c>
      <c r="M4" s="73">
        <v>0</v>
      </c>
      <c r="N4" s="71">
        <f t="shared" si="0"/>
        <v>0</v>
      </c>
      <c r="O4" s="71">
        <f t="shared" si="1"/>
        <v>14</v>
      </c>
      <c r="P4" s="71">
        <f t="shared" si="2"/>
        <v>30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'May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30</v>
      </c>
      <c r="J5" s="100">
        <v>30</v>
      </c>
      <c r="K5" s="115">
        <v>2.5</v>
      </c>
      <c r="L5" s="101">
        <v>1</v>
      </c>
      <c r="M5" s="38">
        <v>2</v>
      </c>
      <c r="N5" s="24">
        <f t="shared" si="0"/>
        <v>0</v>
      </c>
      <c r="O5" s="24">
        <f t="shared" si="1"/>
        <v>1.5</v>
      </c>
      <c r="P5" s="24">
        <f t="shared" si="2"/>
        <v>30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>
        <f>U5*0.9*3</f>
        <v>8972.1</v>
      </c>
      <c r="AC5" s="106">
        <f t="shared" ref="AC5:AC7" si="22">V5*0.7*3</f>
        <v>6978.2999999999993</v>
      </c>
      <c r="AD5" s="9">
        <v>0</v>
      </c>
      <c r="AE5" s="10">
        <f>(5*300)+(4*600)</f>
        <v>3900</v>
      </c>
      <c r="AF5" s="42">
        <v>2277</v>
      </c>
      <c r="AG5" s="29">
        <f t="shared" si="9"/>
        <v>1800</v>
      </c>
      <c r="AH5" s="29">
        <f t="shared" ref="AH5:AH9" si="23">IF(SUM(X5:AA5)&gt;=25000, 200, 0)</f>
        <v>0</v>
      </c>
      <c r="AI5" s="29">
        <f t="shared" ref="AI5:AI6" si="24">IF(SUM(Q5:T5) &lt; 21000, SUM(X5:AA5)*0.75%, 0)</f>
        <v>156.75</v>
      </c>
      <c r="AJ5" s="32">
        <v>3000</v>
      </c>
      <c r="AK5" s="29">
        <f t="shared" ref="AK5:AK6" si="25">SUM(X5:AF5)-AD5</f>
        <v>43027.399999999994</v>
      </c>
      <c r="AL5" s="29">
        <f t="shared" si="13"/>
        <v>4956.75</v>
      </c>
      <c r="AM5" s="29">
        <f t="shared" ref="AM5:AM6" si="26">SUM(X5:AF5)-SUM(AG5:AJ5)-AD5</f>
        <v>38070.649999999994</v>
      </c>
      <c r="AN5" s="78">
        <f t="shared" ref="AN5:AN7" si="27">ROUND(AM5-AF5,0)-AU5</f>
        <v>35794</v>
      </c>
      <c r="AO5" s="29">
        <f t="shared" si="16"/>
        <v>679.25</v>
      </c>
      <c r="AP5" s="29">
        <f t="shared" ref="AP5:AP6" si="28">AG5/0.12*0.13</f>
        <v>1950</v>
      </c>
      <c r="AQ5" s="34"/>
      <c r="AR5" s="29">
        <f t="shared" si="18"/>
        <v>45656.649999999994</v>
      </c>
      <c r="AS5" s="29">
        <f>'Aug 2025'!AT5</f>
        <v>150000</v>
      </c>
      <c r="AT5" s="29">
        <f t="shared" ref="AT5:AT28" si="29">AS5+AD5-AJ5-AY5</f>
        <v>147000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30</v>
      </c>
      <c r="J6" s="100">
        <v>30</v>
      </c>
      <c r="K6" s="71">
        <f>'Aug 2025'!O6</f>
        <v>4.5</v>
      </c>
      <c r="L6" s="101">
        <v>0</v>
      </c>
      <c r="M6" s="38">
        <v>1</v>
      </c>
      <c r="N6" s="24">
        <f t="shared" si="0"/>
        <v>0</v>
      </c>
      <c r="O6" s="24">
        <f t="shared" si="1"/>
        <v>3.5</v>
      </c>
      <c r="P6" s="24">
        <f t="shared" si="2"/>
        <v>30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>
        <f>U6*1*3</f>
        <v>13104</v>
      </c>
      <c r="AC6" s="106">
        <f t="shared" si="22"/>
        <v>9172.7999999999993</v>
      </c>
      <c r="AD6" s="9">
        <v>0</v>
      </c>
      <c r="AE6" s="10">
        <f>(5*300)+(5*600)</f>
        <v>4500</v>
      </c>
      <c r="AF6" s="42">
        <v>2390</v>
      </c>
      <c r="AG6" s="29">
        <f t="shared" si="9"/>
        <v>1800</v>
      </c>
      <c r="AH6" s="29">
        <f t="shared" si="23"/>
        <v>0</v>
      </c>
      <c r="AI6" s="29">
        <f t="shared" si="24"/>
        <v>156.75</v>
      </c>
      <c r="AJ6" s="32">
        <v>0</v>
      </c>
      <c r="AK6" s="29">
        <f t="shared" si="25"/>
        <v>50066.8</v>
      </c>
      <c r="AL6" s="29">
        <f t="shared" si="13"/>
        <v>1956.75</v>
      </c>
      <c r="AM6" s="29">
        <f t="shared" si="26"/>
        <v>48110.05</v>
      </c>
      <c r="AN6" s="78">
        <f t="shared" si="27"/>
        <v>45720</v>
      </c>
      <c r="AO6" s="29">
        <f t="shared" si="16"/>
        <v>679.25</v>
      </c>
      <c r="AP6" s="29">
        <f t="shared" si="28"/>
        <v>1950</v>
      </c>
      <c r="AQ6" s="34"/>
      <c r="AR6" s="29">
        <f t="shared" si="18"/>
        <v>52696.05</v>
      </c>
      <c r="AS6" s="29">
        <f>'Aug 2025'!AT6</f>
        <v>0</v>
      </c>
      <c r="AT6" s="29">
        <f t="shared" si="29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30</v>
      </c>
      <c r="J7" s="100">
        <v>30</v>
      </c>
      <c r="K7" s="71">
        <f>'Aug 2025'!O7</f>
        <v>3</v>
      </c>
      <c r="L7" s="101">
        <v>0</v>
      </c>
      <c r="M7" s="38">
        <v>2</v>
      </c>
      <c r="N7" s="24">
        <f t="shared" si="0"/>
        <v>0</v>
      </c>
      <c r="O7" s="24">
        <f t="shared" si="1"/>
        <v>1</v>
      </c>
      <c r="P7" s="24">
        <f t="shared" si="2"/>
        <v>30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91">
        <f>U7*0.9*3</f>
        <v>2430</v>
      </c>
      <c r="AC7" s="106">
        <f t="shared" si="22"/>
        <v>1890</v>
      </c>
      <c r="AD7" s="10"/>
      <c r="AE7" s="10">
        <f>(5*300)+(6*600)</f>
        <v>5100</v>
      </c>
      <c r="AF7" s="42">
        <v>1823</v>
      </c>
      <c r="AG7" s="29">
        <f t="shared" si="9"/>
        <v>1800</v>
      </c>
      <c r="AH7" s="29">
        <f t="shared" si="23"/>
        <v>0</v>
      </c>
      <c r="AI7" s="29">
        <f t="shared" ref="AI7:AI9" si="30">IF(SUM(Q7:T7) &lt; 21000, SUM(X7:AA7)*0.0075, 0)</f>
        <v>157.35</v>
      </c>
      <c r="AJ7" s="32">
        <v>0</v>
      </c>
      <c r="AK7" s="29">
        <f t="shared" ref="AK7:AK34" si="31">SUM(X7:AF7)</f>
        <v>32223</v>
      </c>
      <c r="AL7" s="29">
        <f t="shared" si="13"/>
        <v>1957.35</v>
      </c>
      <c r="AM7" s="29">
        <f t="shared" ref="AM7:AM34" si="32">SUM(X7:AF7)-SUM(AG7:AJ7)</f>
        <v>30265.65</v>
      </c>
      <c r="AN7" s="78">
        <f t="shared" si="27"/>
        <v>28443</v>
      </c>
      <c r="AO7" s="29">
        <f t="shared" si="16"/>
        <v>681.85</v>
      </c>
      <c r="AP7" s="29">
        <f t="shared" ref="AP7:AP32" si="33">AG7</f>
        <v>1800</v>
      </c>
      <c r="AQ7" s="34"/>
      <c r="AR7" s="29">
        <f t="shared" si="18"/>
        <v>34704.85</v>
      </c>
      <c r="AS7" s="29">
        <f>'Aug 2025'!AT7</f>
        <v>0</v>
      </c>
      <c r="AT7" s="29">
        <f t="shared" si="29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30</v>
      </c>
      <c r="J8" s="100">
        <v>30</v>
      </c>
      <c r="K8" s="71">
        <f>'Aug 2025'!O8</f>
        <v>0</v>
      </c>
      <c r="L8" s="101">
        <v>0</v>
      </c>
      <c r="M8" s="38">
        <v>17</v>
      </c>
      <c r="N8" s="24">
        <f t="shared" si="0"/>
        <v>17</v>
      </c>
      <c r="O8" s="24">
        <f t="shared" si="1"/>
        <v>0</v>
      </c>
      <c r="P8" s="24">
        <f t="shared" si="2"/>
        <v>13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6500</v>
      </c>
      <c r="Y8" s="30">
        <f t="shared" si="5"/>
        <v>3033.3333333333335</v>
      </c>
      <c r="Z8" s="30">
        <f t="shared" si="6"/>
        <v>2600</v>
      </c>
      <c r="AA8" s="30">
        <f t="shared" si="7"/>
        <v>2166.6666666666665</v>
      </c>
      <c r="AB8" s="77">
        <f>U8*1</f>
        <v>5000</v>
      </c>
      <c r="AC8" s="77">
        <f>V8*0.7</f>
        <v>3500</v>
      </c>
      <c r="AD8" s="10"/>
      <c r="AE8" s="10"/>
      <c r="AF8" s="31">
        <v>0</v>
      </c>
      <c r="AG8" s="29">
        <f t="shared" si="9"/>
        <v>780</v>
      </c>
      <c r="AH8" s="29">
        <f t="shared" si="23"/>
        <v>0</v>
      </c>
      <c r="AI8" s="29">
        <f t="shared" si="30"/>
        <v>0</v>
      </c>
      <c r="AJ8" s="34"/>
      <c r="AK8" s="29">
        <f t="shared" si="31"/>
        <v>22800</v>
      </c>
      <c r="AL8" s="29">
        <f t="shared" si="13"/>
        <v>780</v>
      </c>
      <c r="AM8" s="29">
        <f t="shared" si="32"/>
        <v>22020</v>
      </c>
      <c r="AN8" s="78">
        <f t="shared" ref="AN8:AN34" si="34">ROUND(AM8-AF8,0)+AV8-AU8</f>
        <v>22020</v>
      </c>
      <c r="AO8" s="29">
        <f t="shared" si="16"/>
        <v>0</v>
      </c>
      <c r="AP8" s="29">
        <f t="shared" si="33"/>
        <v>780</v>
      </c>
      <c r="AQ8" s="34"/>
      <c r="AR8" s="29">
        <f t="shared" si="18"/>
        <v>23580</v>
      </c>
      <c r="AS8" s="29">
        <f>'Aug 2025'!AT8</f>
        <v>0</v>
      </c>
      <c r="AT8" s="29">
        <f t="shared" si="29"/>
        <v>0</v>
      </c>
      <c r="AU8" s="34"/>
      <c r="AV8" s="31">
        <f t="shared" ref="AV8:AV32" si="35">AF8*12</f>
        <v>0</v>
      </c>
      <c r="AW8" s="79">
        <f t="shared" si="21"/>
        <v>0</v>
      </c>
      <c r="AX8" s="79"/>
      <c r="AY8" s="75">
        <v>0</v>
      </c>
      <c r="AZ8" s="77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30</v>
      </c>
      <c r="J9" s="100">
        <v>30</v>
      </c>
      <c r="K9" s="71">
        <f>'Aug 2025'!O9</f>
        <v>3</v>
      </c>
      <c r="L9" s="101">
        <v>0</v>
      </c>
      <c r="M9" s="38">
        <v>2</v>
      </c>
      <c r="N9" s="24">
        <f t="shared" si="0"/>
        <v>0</v>
      </c>
      <c r="O9" s="24">
        <f t="shared" si="1"/>
        <v>1</v>
      </c>
      <c r="P9" s="24">
        <f t="shared" si="2"/>
        <v>30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si="3"/>
        <v>31478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91">
        <f>U9*0.9*3</f>
        <v>14280.300000000001</v>
      </c>
      <c r="AC9" s="106">
        <f>V9*0.7*3</f>
        <v>11106.9</v>
      </c>
      <c r="AD9" s="10"/>
      <c r="AE9" s="10"/>
      <c r="AF9" s="31">
        <v>0</v>
      </c>
      <c r="AG9" s="29">
        <f t="shared" si="9"/>
        <v>1800</v>
      </c>
      <c r="AH9" s="29">
        <f t="shared" si="23"/>
        <v>0</v>
      </c>
      <c r="AI9" s="29">
        <f t="shared" si="30"/>
        <v>156.75</v>
      </c>
      <c r="AJ9" s="34"/>
      <c r="AK9" s="29">
        <f t="shared" si="31"/>
        <v>46287.200000000004</v>
      </c>
      <c r="AL9" s="29">
        <f t="shared" si="13"/>
        <v>1956.75</v>
      </c>
      <c r="AM9" s="29">
        <f t="shared" si="32"/>
        <v>44330.450000000004</v>
      </c>
      <c r="AN9" s="33">
        <f t="shared" si="34"/>
        <v>44330</v>
      </c>
      <c r="AO9" s="29">
        <f t="shared" si="16"/>
        <v>679.25</v>
      </c>
      <c r="AP9" s="29">
        <f t="shared" si="33"/>
        <v>1800</v>
      </c>
      <c r="AQ9" s="34"/>
      <c r="AR9" s="29">
        <f t="shared" si="18"/>
        <v>48766.450000000004</v>
      </c>
      <c r="AS9" s="29">
        <f>'Aug 2025'!AT9</f>
        <v>0</v>
      </c>
      <c r="AT9" s="29">
        <f t="shared" si="29"/>
        <v>0</v>
      </c>
      <c r="AU9" s="34"/>
      <c r="AV9" s="31">
        <f t="shared" si="35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30</v>
      </c>
      <c r="J10" s="100">
        <v>30</v>
      </c>
      <c r="K10" s="71">
        <f>'Aug 2025'!O10</f>
        <v>0</v>
      </c>
      <c r="L10" s="101">
        <v>0</v>
      </c>
      <c r="M10" s="104">
        <v>1</v>
      </c>
      <c r="N10" s="24">
        <f t="shared" si="0"/>
        <v>1</v>
      </c>
      <c r="O10" s="71">
        <f t="shared" si="1"/>
        <v>0</v>
      </c>
      <c r="P10" s="71">
        <f t="shared" si="2"/>
        <v>29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14500</v>
      </c>
      <c r="Y10" s="76">
        <f t="shared" si="5"/>
        <v>8700</v>
      </c>
      <c r="Z10" s="76">
        <f t="shared" si="6"/>
        <v>7733.3333333333339</v>
      </c>
      <c r="AA10" s="76">
        <f t="shared" si="7"/>
        <v>2900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1740</v>
      </c>
      <c r="AH10" s="75">
        <f>IF(SUM(X10:AC10)&gt;=25000, 200, 0)</f>
        <v>200</v>
      </c>
      <c r="AI10" s="84">
        <v>0</v>
      </c>
      <c r="AJ10" s="34"/>
      <c r="AK10" s="75">
        <f t="shared" si="31"/>
        <v>45233.333333333336</v>
      </c>
      <c r="AL10" s="75">
        <f t="shared" si="13"/>
        <v>1940</v>
      </c>
      <c r="AM10" s="75">
        <f t="shared" si="32"/>
        <v>43293.333333333336</v>
      </c>
      <c r="AN10" s="78">
        <f t="shared" si="34"/>
        <v>43293</v>
      </c>
      <c r="AO10" s="75">
        <f t="shared" si="16"/>
        <v>0</v>
      </c>
      <c r="AP10" s="75">
        <f t="shared" si="33"/>
        <v>1740</v>
      </c>
      <c r="AQ10" s="34"/>
      <c r="AR10" s="75">
        <f t="shared" si="18"/>
        <v>46973.333333333336</v>
      </c>
      <c r="AS10" s="29">
        <f>'Aug 2025'!AT10</f>
        <v>0</v>
      </c>
      <c r="AT10" s="29">
        <f t="shared" si="29"/>
        <v>0</v>
      </c>
      <c r="AU10" s="34"/>
      <c r="AV10" s="77">
        <f t="shared" si="35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30</v>
      </c>
      <c r="J11" s="100">
        <v>30</v>
      </c>
      <c r="K11" s="71">
        <f>'Aug 2025'!O11</f>
        <v>0</v>
      </c>
      <c r="L11" s="101">
        <v>0</v>
      </c>
      <c r="M11" s="38">
        <v>30</v>
      </c>
      <c r="N11" s="24">
        <f t="shared" si="0"/>
        <v>30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/>
      <c r="AC11" s="91"/>
      <c r="AD11" s="10"/>
      <c r="AE11" s="10"/>
      <c r="AF11" s="31">
        <v>0</v>
      </c>
      <c r="AG11" s="29">
        <f t="shared" si="9"/>
        <v>0</v>
      </c>
      <c r="AH11" s="29">
        <f>IF(SUM(X11:AA11)&gt;=25000, 200, 0)</f>
        <v>0</v>
      </c>
      <c r="AI11" s="29">
        <f t="shared" ref="AI11:AI14" si="36">IF(SUM(Q11:T11) &lt; 21000, SUM(X11:AA11)*0.0075, 0)</f>
        <v>0</v>
      </c>
      <c r="AJ11" s="34"/>
      <c r="AK11" s="29">
        <f t="shared" si="31"/>
        <v>0</v>
      </c>
      <c r="AL11" s="29">
        <f t="shared" si="13"/>
        <v>0</v>
      </c>
      <c r="AM11" s="29">
        <f t="shared" si="32"/>
        <v>0</v>
      </c>
      <c r="AN11" s="33">
        <f t="shared" si="34"/>
        <v>0</v>
      </c>
      <c r="AO11" s="29">
        <f t="shared" si="16"/>
        <v>0</v>
      </c>
      <c r="AP11" s="29">
        <f t="shared" si="33"/>
        <v>0</v>
      </c>
      <c r="AQ11" s="34"/>
      <c r="AR11" s="29">
        <f t="shared" si="18"/>
        <v>0</v>
      </c>
      <c r="AS11" s="29">
        <f>'Aug 2025'!AT11</f>
        <v>0</v>
      </c>
      <c r="AT11" s="29">
        <f t="shared" si="29"/>
        <v>0</v>
      </c>
      <c r="AU11" s="34"/>
      <c r="AV11" s="31">
        <f t="shared" si="35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30</v>
      </c>
      <c r="J12" s="100">
        <v>30</v>
      </c>
      <c r="K12" s="71">
        <f>'Aug 2025'!O12</f>
        <v>0</v>
      </c>
      <c r="L12" s="101">
        <v>0</v>
      </c>
      <c r="M12" s="38">
        <v>3</v>
      </c>
      <c r="N12" s="24">
        <f t="shared" si="0"/>
        <v>3</v>
      </c>
      <c r="O12" s="24">
        <f t="shared" si="1"/>
        <v>0</v>
      </c>
      <c r="P12" s="24">
        <f t="shared" si="2"/>
        <v>27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"/>
        <v>30758</v>
      </c>
      <c r="X12" s="30">
        <f t="shared" si="4"/>
        <v>13500</v>
      </c>
      <c r="Y12" s="30">
        <f t="shared" si="5"/>
        <v>4460.4000000000005</v>
      </c>
      <c r="Z12" s="30">
        <f t="shared" si="6"/>
        <v>1486.8</v>
      </c>
      <c r="AA12" s="30">
        <f t="shared" si="7"/>
        <v>1593</v>
      </c>
      <c r="AB12" s="91">
        <f t="shared" ref="AB12:AB13" si="37">U12*0.9</f>
        <v>3321</v>
      </c>
      <c r="AC12" s="91">
        <f t="shared" ref="AC12:AC15" si="38">V12*0.7</f>
        <v>2583</v>
      </c>
      <c r="AD12" s="10"/>
      <c r="AE12" s="10"/>
      <c r="AF12" s="31">
        <v>0</v>
      </c>
      <c r="AG12" s="29">
        <f t="shared" si="9"/>
        <v>1620</v>
      </c>
      <c r="AH12" s="29">
        <f t="shared" ref="AH12:AH23" si="39">IF(SUM(X12:AC12)&gt;=25000, 200, 0)</f>
        <v>200</v>
      </c>
      <c r="AI12" s="29">
        <f t="shared" si="36"/>
        <v>0</v>
      </c>
      <c r="AJ12" s="34"/>
      <c r="AK12" s="29">
        <f t="shared" si="31"/>
        <v>26944.2</v>
      </c>
      <c r="AL12" s="29">
        <f t="shared" si="13"/>
        <v>1820</v>
      </c>
      <c r="AM12" s="29">
        <f t="shared" si="32"/>
        <v>25124.2</v>
      </c>
      <c r="AN12" s="33">
        <f t="shared" si="34"/>
        <v>25124</v>
      </c>
      <c r="AO12" s="29">
        <f t="shared" si="16"/>
        <v>0</v>
      </c>
      <c r="AP12" s="29">
        <f t="shared" si="33"/>
        <v>1620</v>
      </c>
      <c r="AQ12" s="34"/>
      <c r="AR12" s="29">
        <f t="shared" si="18"/>
        <v>28564.2</v>
      </c>
      <c r="AS12" s="29">
        <f>'Aug 2025'!AT12</f>
        <v>0</v>
      </c>
      <c r="AT12" s="29">
        <f t="shared" si="29"/>
        <v>0</v>
      </c>
      <c r="AU12" s="34"/>
      <c r="AV12" s="31">
        <f t="shared" si="35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30</v>
      </c>
      <c r="J13" s="100">
        <v>30</v>
      </c>
      <c r="K13" s="115">
        <v>3</v>
      </c>
      <c r="L13" s="101">
        <v>0</v>
      </c>
      <c r="M13" s="38">
        <v>1</v>
      </c>
      <c r="N13" s="24">
        <f t="shared" si="0"/>
        <v>0</v>
      </c>
      <c r="O13" s="24">
        <f t="shared" si="1"/>
        <v>2</v>
      </c>
      <c r="P13" s="24">
        <f t="shared" si="2"/>
        <v>30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"/>
        <v>29828</v>
      </c>
      <c r="X13" s="30">
        <f t="shared" si="4"/>
        <v>15000</v>
      </c>
      <c r="Y13" s="30">
        <f t="shared" si="5"/>
        <v>4956</v>
      </c>
      <c r="Z13" s="30">
        <f t="shared" si="6"/>
        <v>1652</v>
      </c>
      <c r="AA13" s="30">
        <f t="shared" si="7"/>
        <v>1180</v>
      </c>
      <c r="AB13" s="91">
        <f t="shared" si="37"/>
        <v>3168</v>
      </c>
      <c r="AC13" s="91">
        <f t="shared" si="38"/>
        <v>2464</v>
      </c>
      <c r="AD13" s="12"/>
      <c r="AE13" s="10"/>
      <c r="AF13" s="31">
        <v>0</v>
      </c>
      <c r="AG13" s="29">
        <f t="shared" si="9"/>
        <v>1800</v>
      </c>
      <c r="AH13" s="29">
        <f t="shared" si="39"/>
        <v>200</v>
      </c>
      <c r="AI13" s="29">
        <f t="shared" si="36"/>
        <v>0</v>
      </c>
      <c r="AJ13" s="13"/>
      <c r="AK13" s="29">
        <f t="shared" si="31"/>
        <v>28420</v>
      </c>
      <c r="AL13" s="29">
        <f t="shared" si="13"/>
        <v>2000</v>
      </c>
      <c r="AM13" s="29">
        <f t="shared" si="32"/>
        <v>26420</v>
      </c>
      <c r="AN13" s="33">
        <f t="shared" si="34"/>
        <v>26420</v>
      </c>
      <c r="AO13" s="29">
        <f t="shared" si="16"/>
        <v>0</v>
      </c>
      <c r="AP13" s="29">
        <f t="shared" si="33"/>
        <v>1800</v>
      </c>
      <c r="AQ13" s="13"/>
      <c r="AR13" s="29">
        <f t="shared" si="18"/>
        <v>30220</v>
      </c>
      <c r="AS13" s="29">
        <f>'Aug 2025'!AT13</f>
        <v>0</v>
      </c>
      <c r="AT13" s="29">
        <f t="shared" si="29"/>
        <v>0</v>
      </c>
      <c r="AU13" s="34"/>
      <c r="AV13" s="31">
        <f t="shared" si="35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30</v>
      </c>
      <c r="J14" s="100">
        <v>30</v>
      </c>
      <c r="K14" s="71">
        <f>'Aug 2025'!O14</f>
        <v>0</v>
      </c>
      <c r="L14" s="101">
        <v>0</v>
      </c>
      <c r="M14" s="104">
        <v>0</v>
      </c>
      <c r="N14" s="71">
        <f t="shared" si="0"/>
        <v>0</v>
      </c>
      <c r="O14" s="71">
        <f t="shared" si="1"/>
        <v>0</v>
      </c>
      <c r="P14" s="71">
        <f t="shared" si="2"/>
        <v>30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26000</v>
      </c>
      <c r="Y14" s="76">
        <f t="shared" si="5"/>
        <v>14808</v>
      </c>
      <c r="Z14" s="76">
        <f t="shared" si="6"/>
        <v>11106</v>
      </c>
      <c r="AA14" s="76">
        <f t="shared" si="7"/>
        <v>11106</v>
      </c>
      <c r="AB14" s="77">
        <f>U14*0.5</f>
        <v>2697.5</v>
      </c>
      <c r="AC14" s="77">
        <f t="shared" si="38"/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si="39"/>
        <v>200</v>
      </c>
      <c r="AI14" s="75">
        <f t="shared" si="36"/>
        <v>0</v>
      </c>
      <c r="AJ14" s="13"/>
      <c r="AK14" s="75">
        <f t="shared" si="31"/>
        <v>69494</v>
      </c>
      <c r="AL14" s="75">
        <f t="shared" si="13"/>
        <v>2000</v>
      </c>
      <c r="AM14" s="75">
        <f t="shared" si="32"/>
        <v>67494</v>
      </c>
      <c r="AN14" s="78">
        <f t="shared" si="34"/>
        <v>67494</v>
      </c>
      <c r="AO14" s="75">
        <f t="shared" si="16"/>
        <v>0</v>
      </c>
      <c r="AP14" s="75">
        <f t="shared" si="33"/>
        <v>1800</v>
      </c>
      <c r="AQ14" s="13"/>
      <c r="AR14" s="75">
        <f t="shared" si="18"/>
        <v>71294</v>
      </c>
      <c r="AS14" s="29">
        <f>'Aug 2025'!AT14</f>
        <v>0</v>
      </c>
      <c r="AT14" s="29">
        <f t="shared" si="29"/>
        <v>0</v>
      </c>
      <c r="AU14" s="34"/>
      <c r="AV14" s="77">
        <f t="shared" si="35"/>
        <v>0</v>
      </c>
      <c r="AW14" s="79">
        <f t="shared" si="21"/>
        <v>0</v>
      </c>
      <c r="AX14" s="79"/>
      <c r="AY14" s="75">
        <v>0</v>
      </c>
      <c r="AZ14" s="77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30</v>
      </c>
      <c r="J15" s="100">
        <v>30</v>
      </c>
      <c r="K15" s="71">
        <f>'Aug 2025'!O15</f>
        <v>4</v>
      </c>
      <c r="L15" s="101">
        <v>0</v>
      </c>
      <c r="M15" s="104">
        <v>0</v>
      </c>
      <c r="N15" s="71">
        <f t="shared" si="0"/>
        <v>0</v>
      </c>
      <c r="O15" s="71">
        <f t="shared" si="1"/>
        <v>4</v>
      </c>
      <c r="P15" s="71">
        <f t="shared" si="2"/>
        <v>30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"/>
        <v>95895</v>
      </c>
      <c r="X15" s="76">
        <f t="shared" si="4"/>
        <v>30000</v>
      </c>
      <c r="Y15" s="76">
        <f t="shared" si="5"/>
        <v>21300</v>
      </c>
      <c r="Z15" s="76">
        <f t="shared" si="6"/>
        <v>15975</v>
      </c>
      <c r="AA15" s="76">
        <f t="shared" si="7"/>
        <v>12780</v>
      </c>
      <c r="AB15" s="77">
        <f t="shared" ref="AB15:AB17" si="40">U15*1</f>
        <v>7920</v>
      </c>
      <c r="AC15" s="77">
        <f t="shared" si="38"/>
        <v>5544</v>
      </c>
      <c r="AD15" s="10"/>
      <c r="AE15" s="10"/>
      <c r="AF15" s="77">
        <v>0</v>
      </c>
      <c r="AG15" s="75">
        <f t="shared" si="9"/>
        <v>1800</v>
      </c>
      <c r="AH15" s="75">
        <f t="shared" si="39"/>
        <v>200</v>
      </c>
      <c r="AI15" s="85">
        <v>0</v>
      </c>
      <c r="AJ15" s="34"/>
      <c r="AK15" s="75">
        <f t="shared" si="31"/>
        <v>93519</v>
      </c>
      <c r="AL15" s="75">
        <f t="shared" si="13"/>
        <v>2000</v>
      </c>
      <c r="AM15" s="75">
        <f t="shared" si="32"/>
        <v>91519</v>
      </c>
      <c r="AN15" s="78">
        <f t="shared" si="34"/>
        <v>91519</v>
      </c>
      <c r="AO15" s="75">
        <v>0</v>
      </c>
      <c r="AP15" s="75">
        <f t="shared" si="33"/>
        <v>1800</v>
      </c>
      <c r="AQ15" s="34"/>
      <c r="AR15" s="75">
        <f t="shared" si="18"/>
        <v>95319</v>
      </c>
      <c r="AS15" s="29">
        <f>'Aug 2025'!AT15</f>
        <v>0</v>
      </c>
      <c r="AT15" s="29">
        <f t="shared" si="29"/>
        <v>0</v>
      </c>
      <c r="AU15" s="34"/>
      <c r="AV15" s="77">
        <f t="shared" si="35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30</v>
      </c>
      <c r="J16" s="100">
        <v>30</v>
      </c>
      <c r="K16" s="71">
        <f>'Aug 2025'!O16</f>
        <v>0</v>
      </c>
      <c r="L16" s="101">
        <v>0</v>
      </c>
      <c r="M16" s="104">
        <v>30</v>
      </c>
      <c r="N16" s="71">
        <f t="shared" si="0"/>
        <v>30</v>
      </c>
      <c r="O16" s="71">
        <f t="shared" si="1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"/>
        <v>85615</v>
      </c>
      <c r="X16" s="76">
        <f t="shared" si="4"/>
        <v>0</v>
      </c>
      <c r="Y16" s="76">
        <f t="shared" si="5"/>
        <v>0</v>
      </c>
      <c r="Z16" s="76">
        <f t="shared" si="6"/>
        <v>0</v>
      </c>
      <c r="AA16" s="76">
        <f t="shared" si="7"/>
        <v>0</v>
      </c>
      <c r="AB16" s="77">
        <f t="shared" si="40"/>
        <v>0</v>
      </c>
      <c r="AC16" s="114">
        <v>0</v>
      </c>
      <c r="AD16" s="12"/>
      <c r="AE16" s="10"/>
      <c r="AF16" s="77">
        <v>0</v>
      </c>
      <c r="AG16" s="75">
        <f t="shared" si="9"/>
        <v>0</v>
      </c>
      <c r="AH16" s="75">
        <f t="shared" si="39"/>
        <v>0</v>
      </c>
      <c r="AI16" s="75">
        <f t="shared" ref="AI16:AI33" si="41">IF(SUM(Q16:T16) &lt; 21000, SUM(X16:AA16)*0.0075, 0)</f>
        <v>0</v>
      </c>
      <c r="AJ16" s="13"/>
      <c r="AK16" s="75">
        <f t="shared" si="31"/>
        <v>0</v>
      </c>
      <c r="AL16" s="75">
        <f t="shared" si="13"/>
        <v>0</v>
      </c>
      <c r="AM16" s="75">
        <f t="shared" si="32"/>
        <v>0</v>
      </c>
      <c r="AN16" s="78">
        <f t="shared" si="34"/>
        <v>0</v>
      </c>
      <c r="AO16" s="75">
        <f t="shared" ref="AO16:AO32" si="42">AI16/0.0075*0.0325</f>
        <v>0</v>
      </c>
      <c r="AP16" s="75">
        <f t="shared" si="33"/>
        <v>0</v>
      </c>
      <c r="AQ16" s="13"/>
      <c r="AR16" s="75">
        <f t="shared" si="18"/>
        <v>0</v>
      </c>
      <c r="AS16" s="29">
        <f>'Aug 2025'!AT16</f>
        <v>0</v>
      </c>
      <c r="AT16" s="29">
        <f t="shared" si="29"/>
        <v>0</v>
      </c>
      <c r="AU16" s="34"/>
      <c r="AV16" s="77">
        <f t="shared" si="35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30</v>
      </c>
      <c r="J17" s="100">
        <v>30</v>
      </c>
      <c r="K17" s="71">
        <f>'Aug 2025'!O17</f>
        <v>9</v>
      </c>
      <c r="L17" s="101">
        <v>0</v>
      </c>
      <c r="M17" s="104">
        <v>0</v>
      </c>
      <c r="N17" s="71">
        <f t="shared" si="0"/>
        <v>0</v>
      </c>
      <c r="O17" s="71">
        <f t="shared" si="1"/>
        <v>9</v>
      </c>
      <c r="P17" s="71">
        <f t="shared" si="2"/>
        <v>30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40"/>
        <v>13125</v>
      </c>
      <c r="AC17" s="77">
        <f t="shared" ref="AC17:AC20" si="43">V17*0.7</f>
        <v>9187.5</v>
      </c>
      <c r="AD17" s="12"/>
      <c r="AE17" s="10"/>
      <c r="AF17" s="77">
        <v>0</v>
      </c>
      <c r="AG17" s="75">
        <f t="shared" si="9"/>
        <v>1800</v>
      </c>
      <c r="AH17" s="75">
        <f t="shared" si="39"/>
        <v>200</v>
      </c>
      <c r="AI17" s="75">
        <f t="shared" si="41"/>
        <v>0</v>
      </c>
      <c r="AJ17" s="13"/>
      <c r="AK17" s="75">
        <f t="shared" si="31"/>
        <v>79145.833333333343</v>
      </c>
      <c r="AL17" s="75">
        <f t="shared" si="13"/>
        <v>2000</v>
      </c>
      <c r="AM17" s="75">
        <f t="shared" si="32"/>
        <v>77145.833333333343</v>
      </c>
      <c r="AN17" s="78">
        <f t="shared" si="34"/>
        <v>77146</v>
      </c>
      <c r="AO17" s="75">
        <f t="shared" si="42"/>
        <v>0</v>
      </c>
      <c r="AP17" s="75">
        <f t="shared" si="33"/>
        <v>1800</v>
      </c>
      <c r="AQ17" s="13"/>
      <c r="AR17" s="75">
        <f t="shared" si="18"/>
        <v>80945.833333333343</v>
      </c>
      <c r="AS17" s="29">
        <f>'Aug 2025'!AT17</f>
        <v>0</v>
      </c>
      <c r="AT17" s="29">
        <f t="shared" si="29"/>
        <v>0</v>
      </c>
      <c r="AU17" s="34"/>
      <c r="AV17" s="77">
        <f t="shared" si="35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30</v>
      </c>
      <c r="J18" s="100">
        <v>30</v>
      </c>
      <c r="K18" s="71">
        <f>'Aug 2025'!O18</f>
        <v>1.5</v>
      </c>
      <c r="L18" s="101">
        <v>0</v>
      </c>
      <c r="M18" s="38">
        <v>1.5</v>
      </c>
      <c r="N18" s="24">
        <f t="shared" si="0"/>
        <v>0</v>
      </c>
      <c r="O18" s="24">
        <f t="shared" si="1"/>
        <v>0</v>
      </c>
      <c r="P18" s="24">
        <f t="shared" si="2"/>
        <v>30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"/>
        <v>28560</v>
      </c>
      <c r="X18" s="30">
        <f t="shared" si="4"/>
        <v>15000</v>
      </c>
      <c r="Y18" s="30">
        <f t="shared" si="5"/>
        <v>5700</v>
      </c>
      <c r="Z18" s="30">
        <f t="shared" si="6"/>
        <v>1900</v>
      </c>
      <c r="AA18" s="30">
        <f t="shared" si="7"/>
        <v>1900</v>
      </c>
      <c r="AB18" s="91">
        <f t="shared" ref="AB18:AB20" si="44">U18*0.9</f>
        <v>1827</v>
      </c>
      <c r="AC18" s="91">
        <f t="shared" si="43"/>
        <v>1421</v>
      </c>
      <c r="AD18" s="12"/>
      <c r="AE18" s="10"/>
      <c r="AF18" s="31">
        <v>0</v>
      </c>
      <c r="AG18" s="29">
        <f t="shared" si="9"/>
        <v>1800</v>
      </c>
      <c r="AH18" s="29">
        <f t="shared" si="39"/>
        <v>200</v>
      </c>
      <c r="AI18" s="29">
        <f t="shared" si="41"/>
        <v>0</v>
      </c>
      <c r="AJ18" s="13"/>
      <c r="AK18" s="29">
        <f t="shared" si="31"/>
        <v>27748</v>
      </c>
      <c r="AL18" s="29">
        <f t="shared" si="13"/>
        <v>2000</v>
      </c>
      <c r="AM18" s="29">
        <f t="shared" si="32"/>
        <v>25748</v>
      </c>
      <c r="AN18" s="33">
        <f t="shared" si="34"/>
        <v>25748</v>
      </c>
      <c r="AO18" s="29">
        <f t="shared" si="42"/>
        <v>0</v>
      </c>
      <c r="AP18" s="29">
        <f t="shared" si="33"/>
        <v>1800</v>
      </c>
      <c r="AQ18" s="13"/>
      <c r="AR18" s="29">
        <f t="shared" si="18"/>
        <v>29548</v>
      </c>
      <c r="AS18" s="29">
        <f>'Aug 2025'!AT18</f>
        <v>0</v>
      </c>
      <c r="AT18" s="29">
        <f t="shared" si="29"/>
        <v>0</v>
      </c>
      <c r="AU18" s="34"/>
      <c r="AV18" s="31">
        <f t="shared" si="35"/>
        <v>0</v>
      </c>
      <c r="AW18" s="79"/>
      <c r="AX18" s="79"/>
      <c r="AY18" s="75">
        <v>0</v>
      </c>
      <c r="AZ18" s="77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30</v>
      </c>
      <c r="J19" s="100">
        <v>30</v>
      </c>
      <c r="K19" s="71">
        <f>'Aug 2025'!O19</f>
        <v>2</v>
      </c>
      <c r="L19" s="101">
        <v>0</v>
      </c>
      <c r="M19" s="38">
        <v>0</v>
      </c>
      <c r="N19" s="24">
        <f t="shared" si="0"/>
        <v>0</v>
      </c>
      <c r="O19" s="24">
        <f t="shared" si="1"/>
        <v>2</v>
      </c>
      <c r="P19" s="24">
        <f t="shared" si="2"/>
        <v>30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"/>
        <v>29280</v>
      </c>
      <c r="X19" s="30">
        <f t="shared" si="4"/>
        <v>15000</v>
      </c>
      <c r="Y19" s="30">
        <f t="shared" si="5"/>
        <v>5700</v>
      </c>
      <c r="Z19" s="30">
        <f t="shared" si="6"/>
        <v>1900</v>
      </c>
      <c r="AA19" s="30">
        <f t="shared" si="7"/>
        <v>1900</v>
      </c>
      <c r="AB19" s="91">
        <f t="shared" si="44"/>
        <v>2151</v>
      </c>
      <c r="AC19" s="91">
        <f t="shared" si="43"/>
        <v>1673</v>
      </c>
      <c r="AD19" s="12"/>
      <c r="AE19" s="10"/>
      <c r="AF19" s="31">
        <v>0</v>
      </c>
      <c r="AG19" s="29">
        <f t="shared" si="9"/>
        <v>1800</v>
      </c>
      <c r="AH19" s="29">
        <f t="shared" si="39"/>
        <v>200</v>
      </c>
      <c r="AI19" s="29">
        <f t="shared" si="41"/>
        <v>0</v>
      </c>
      <c r="AJ19" s="13"/>
      <c r="AK19" s="29">
        <f t="shared" si="31"/>
        <v>28324</v>
      </c>
      <c r="AL19" s="29">
        <f t="shared" si="13"/>
        <v>2000</v>
      </c>
      <c r="AM19" s="29">
        <f t="shared" si="32"/>
        <v>26324</v>
      </c>
      <c r="AN19" s="33">
        <f t="shared" si="34"/>
        <v>26324</v>
      </c>
      <c r="AO19" s="29">
        <f t="shared" si="42"/>
        <v>0</v>
      </c>
      <c r="AP19" s="29">
        <f t="shared" si="33"/>
        <v>1800</v>
      </c>
      <c r="AQ19" s="13"/>
      <c r="AR19" s="29">
        <f t="shared" si="18"/>
        <v>30124</v>
      </c>
      <c r="AS19" s="29">
        <f>'Aug 2025'!AT19</f>
        <v>0</v>
      </c>
      <c r="AT19" s="29">
        <f t="shared" si="29"/>
        <v>0</v>
      </c>
      <c r="AU19" s="34"/>
      <c r="AV19" s="31">
        <f t="shared" si="35"/>
        <v>0</v>
      </c>
      <c r="AW19" s="79"/>
      <c r="AX19" s="79"/>
      <c r="AY19" s="75">
        <v>0</v>
      </c>
      <c r="AZ19" s="77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30</v>
      </c>
      <c r="J20" s="100">
        <v>30</v>
      </c>
      <c r="K20" s="71">
        <f>'Aug 2025'!O20</f>
        <v>0.5</v>
      </c>
      <c r="L20" s="101">
        <v>0</v>
      </c>
      <c r="M20" s="38">
        <v>0.5</v>
      </c>
      <c r="N20" s="24">
        <f t="shared" si="0"/>
        <v>0</v>
      </c>
      <c r="O20" s="24">
        <f t="shared" si="1"/>
        <v>0</v>
      </c>
      <c r="P20" s="24">
        <f t="shared" si="2"/>
        <v>30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"/>
        <v>27204</v>
      </c>
      <c r="X20" s="30">
        <f t="shared" si="4"/>
        <v>15000</v>
      </c>
      <c r="Y20" s="30">
        <f t="shared" si="5"/>
        <v>5130</v>
      </c>
      <c r="Z20" s="30">
        <f t="shared" si="6"/>
        <v>1710</v>
      </c>
      <c r="AA20" s="30">
        <f t="shared" si="7"/>
        <v>1710</v>
      </c>
      <c r="AB20" s="91">
        <f t="shared" si="44"/>
        <v>1644.3</v>
      </c>
      <c r="AC20" s="91">
        <f t="shared" si="43"/>
        <v>1278.8999999999999</v>
      </c>
      <c r="AD20" s="12"/>
      <c r="AE20" s="10"/>
      <c r="AF20" s="31">
        <v>0</v>
      </c>
      <c r="AG20" s="29">
        <f t="shared" si="9"/>
        <v>1800</v>
      </c>
      <c r="AH20" s="29">
        <f t="shared" si="39"/>
        <v>200</v>
      </c>
      <c r="AI20" s="29">
        <f t="shared" si="41"/>
        <v>0</v>
      </c>
      <c r="AJ20" s="13"/>
      <c r="AK20" s="29">
        <f t="shared" si="31"/>
        <v>26473.200000000001</v>
      </c>
      <c r="AL20" s="29">
        <f t="shared" si="13"/>
        <v>2000</v>
      </c>
      <c r="AM20" s="29">
        <f t="shared" si="32"/>
        <v>24473.200000000001</v>
      </c>
      <c r="AN20" s="33">
        <f t="shared" si="34"/>
        <v>24473</v>
      </c>
      <c r="AO20" s="29">
        <f t="shared" si="42"/>
        <v>0</v>
      </c>
      <c r="AP20" s="29">
        <f t="shared" si="33"/>
        <v>1800</v>
      </c>
      <c r="AQ20" s="13"/>
      <c r="AR20" s="29">
        <f t="shared" si="18"/>
        <v>28273.200000000001</v>
      </c>
      <c r="AS20" s="29">
        <f>'Aug 2025'!AT20</f>
        <v>0</v>
      </c>
      <c r="AT20" s="29">
        <f t="shared" si="29"/>
        <v>0</v>
      </c>
      <c r="AU20" s="34"/>
      <c r="AV20" s="31">
        <f t="shared" si="35"/>
        <v>0</v>
      </c>
      <c r="AW20" s="79"/>
      <c r="AX20" s="79"/>
      <c r="AY20" s="75">
        <v>0</v>
      </c>
      <c r="AZ20" s="77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30</v>
      </c>
      <c r="J21" s="100">
        <v>0</v>
      </c>
      <c r="K21" s="71">
        <f>'Aug 2025'!O21</f>
        <v>3</v>
      </c>
      <c r="L21" s="101">
        <v>0</v>
      </c>
      <c r="M21" s="38">
        <v>0</v>
      </c>
      <c r="N21" s="24">
        <f t="shared" si="0"/>
        <v>0</v>
      </c>
      <c r="O21" s="24">
        <f t="shared" si="1"/>
        <v>3</v>
      </c>
      <c r="P21" s="24">
        <f t="shared" si="2"/>
        <v>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 t="e">
        <f t="shared" si="4"/>
        <v>#DIV/0!</v>
      </c>
      <c r="Y21" s="30" t="e">
        <f t="shared" si="5"/>
        <v>#DIV/0!</v>
      </c>
      <c r="Z21" s="30" t="e">
        <f t="shared" si="6"/>
        <v>#DIV/0!</v>
      </c>
      <c r="AA21" s="30" t="e">
        <f t="shared" si="7"/>
        <v>#DIV/0!</v>
      </c>
      <c r="AB21" s="91">
        <f>U21*0.9*3</f>
        <v>3226.5</v>
      </c>
      <c r="AC21" s="91">
        <f>V21*0.7*3</f>
        <v>2509.5</v>
      </c>
      <c r="AD21" s="12"/>
      <c r="AE21" s="41"/>
      <c r="AF21" s="31">
        <v>0</v>
      </c>
      <c r="AG21" s="29" t="e">
        <f t="shared" si="9"/>
        <v>#DIV/0!</v>
      </c>
      <c r="AH21" s="29" t="e">
        <f t="shared" si="39"/>
        <v>#DIV/0!</v>
      </c>
      <c r="AI21" s="29" t="e">
        <f t="shared" si="41"/>
        <v>#DIV/0!</v>
      </c>
      <c r="AJ21" s="13"/>
      <c r="AK21" s="29" t="e">
        <f t="shared" si="31"/>
        <v>#DIV/0!</v>
      </c>
      <c r="AL21" s="29" t="e">
        <f t="shared" si="13"/>
        <v>#DIV/0!</v>
      </c>
      <c r="AM21" s="29" t="e">
        <f t="shared" si="32"/>
        <v>#DIV/0!</v>
      </c>
      <c r="AN21" s="33" t="e">
        <f t="shared" si="34"/>
        <v>#DIV/0!</v>
      </c>
      <c r="AO21" s="29" t="e">
        <f t="shared" si="42"/>
        <v>#DIV/0!</v>
      </c>
      <c r="AP21" s="29" t="e">
        <f t="shared" si="33"/>
        <v>#DIV/0!</v>
      </c>
      <c r="AQ21" s="13"/>
      <c r="AR21" s="29" t="e">
        <f t="shared" si="18"/>
        <v>#DIV/0!</v>
      </c>
      <c r="AS21" s="29">
        <f>'Aug 2025'!AT21</f>
        <v>0</v>
      </c>
      <c r="AT21" s="29">
        <f t="shared" si="29"/>
        <v>0</v>
      </c>
      <c r="AU21" s="34"/>
      <c r="AV21" s="31">
        <f t="shared" si="35"/>
        <v>0</v>
      </c>
      <c r="AW21" s="79"/>
      <c r="AX21" s="79"/>
      <c r="AY21" s="75">
        <v>0</v>
      </c>
      <c r="AZ21" s="114" t="s">
        <v>166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30</v>
      </c>
      <c r="J22" s="100">
        <v>30</v>
      </c>
      <c r="K22" s="71">
        <f>'Aug 2025'!O22</f>
        <v>2</v>
      </c>
      <c r="L22" s="101">
        <v>0</v>
      </c>
      <c r="M22" s="38">
        <v>1.5</v>
      </c>
      <c r="N22" s="24">
        <f t="shared" si="0"/>
        <v>0</v>
      </c>
      <c r="O22" s="24">
        <f t="shared" si="1"/>
        <v>0.5</v>
      </c>
      <c r="P22" s="24">
        <f t="shared" si="2"/>
        <v>30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si="3"/>
        <v>28804</v>
      </c>
      <c r="X22" s="30">
        <f t="shared" si="4"/>
        <v>15000</v>
      </c>
      <c r="Y22" s="30">
        <f t="shared" si="5"/>
        <v>5700</v>
      </c>
      <c r="Z22" s="30">
        <f t="shared" si="6"/>
        <v>1900</v>
      </c>
      <c r="AA22" s="30">
        <f t="shared" si="7"/>
        <v>1900</v>
      </c>
      <c r="AB22" s="91">
        <f t="shared" ref="AB22:AB23" si="45">U22*0.9</f>
        <v>1936.8</v>
      </c>
      <c r="AC22" s="91">
        <f t="shared" ref="AC22:AC25" si="46">V22*0.7</f>
        <v>1506.3999999999999</v>
      </c>
      <c r="AD22" s="12"/>
      <c r="AE22" s="10"/>
      <c r="AF22" s="31">
        <v>0</v>
      </c>
      <c r="AG22" s="29">
        <f t="shared" si="9"/>
        <v>1800</v>
      </c>
      <c r="AH22" s="29">
        <f t="shared" si="39"/>
        <v>200</v>
      </c>
      <c r="AI22" s="29">
        <f t="shared" si="41"/>
        <v>0</v>
      </c>
      <c r="AJ22" s="13"/>
      <c r="AK22" s="29">
        <f t="shared" si="31"/>
        <v>27943.200000000001</v>
      </c>
      <c r="AL22" s="29">
        <f t="shared" si="13"/>
        <v>2000</v>
      </c>
      <c r="AM22" s="29">
        <f t="shared" si="32"/>
        <v>25943.200000000001</v>
      </c>
      <c r="AN22" s="33">
        <f t="shared" si="34"/>
        <v>25943</v>
      </c>
      <c r="AO22" s="29">
        <f t="shared" si="42"/>
        <v>0</v>
      </c>
      <c r="AP22" s="29">
        <f t="shared" si="33"/>
        <v>1800</v>
      </c>
      <c r="AQ22" s="13"/>
      <c r="AR22" s="29">
        <f t="shared" si="18"/>
        <v>29743.200000000001</v>
      </c>
      <c r="AS22" s="29">
        <f>'Aug 2025'!AT22</f>
        <v>0</v>
      </c>
      <c r="AT22" s="29">
        <f t="shared" si="29"/>
        <v>0</v>
      </c>
      <c r="AU22" s="34"/>
      <c r="AV22" s="31">
        <f t="shared" si="35"/>
        <v>0</v>
      </c>
      <c r="AW22" s="79"/>
      <c r="AX22" s="79"/>
      <c r="AY22" s="75">
        <v>0</v>
      </c>
      <c r="AZ22" s="77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30</v>
      </c>
      <c r="J23" s="100">
        <v>30</v>
      </c>
      <c r="K23" s="71">
        <f>'Aug 2025'!O23</f>
        <v>1</v>
      </c>
      <c r="L23" s="101">
        <v>0</v>
      </c>
      <c r="M23" s="38">
        <v>2</v>
      </c>
      <c r="N23" s="24">
        <f t="shared" si="0"/>
        <v>1</v>
      </c>
      <c r="O23" s="24">
        <f t="shared" si="1"/>
        <v>0</v>
      </c>
      <c r="P23" s="24">
        <f t="shared" si="2"/>
        <v>29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3"/>
        <v>25831</v>
      </c>
      <c r="X23" s="30">
        <f t="shared" si="4"/>
        <v>14500</v>
      </c>
      <c r="Y23" s="30">
        <f t="shared" si="5"/>
        <v>4793.7</v>
      </c>
      <c r="Z23" s="30">
        <f t="shared" si="6"/>
        <v>1597.9</v>
      </c>
      <c r="AA23" s="30">
        <f t="shared" si="7"/>
        <v>1597.9</v>
      </c>
      <c r="AB23" s="91">
        <f t="shared" si="45"/>
        <v>1154.7</v>
      </c>
      <c r="AC23" s="91">
        <f t="shared" si="46"/>
        <v>898.09999999999991</v>
      </c>
      <c r="AD23" s="12"/>
      <c r="AE23" s="10"/>
      <c r="AF23" s="31">
        <v>0</v>
      </c>
      <c r="AG23" s="29">
        <f t="shared" si="9"/>
        <v>1740</v>
      </c>
      <c r="AH23" s="29">
        <f t="shared" si="39"/>
        <v>0</v>
      </c>
      <c r="AI23" s="29">
        <f t="shared" si="41"/>
        <v>0</v>
      </c>
      <c r="AJ23" s="13"/>
      <c r="AK23" s="29">
        <f t="shared" si="31"/>
        <v>24542.300000000003</v>
      </c>
      <c r="AL23" s="29">
        <f t="shared" si="13"/>
        <v>1740</v>
      </c>
      <c r="AM23" s="29">
        <f t="shared" si="32"/>
        <v>22802.300000000003</v>
      </c>
      <c r="AN23" s="33">
        <f t="shared" si="34"/>
        <v>22802</v>
      </c>
      <c r="AO23" s="29">
        <f t="shared" si="42"/>
        <v>0</v>
      </c>
      <c r="AP23" s="29">
        <f t="shared" si="33"/>
        <v>1740</v>
      </c>
      <c r="AQ23" s="13"/>
      <c r="AR23" s="29">
        <f t="shared" si="18"/>
        <v>26282.300000000003</v>
      </c>
      <c r="AS23" s="29">
        <f>'Aug 2025'!AT23</f>
        <v>0</v>
      </c>
      <c r="AT23" s="29">
        <f t="shared" si="29"/>
        <v>0</v>
      </c>
      <c r="AU23" s="34"/>
      <c r="AV23" s="31">
        <f t="shared" si="35"/>
        <v>0</v>
      </c>
      <c r="AW23" s="79"/>
      <c r="AX23" s="79"/>
      <c r="AY23" s="75">
        <v>0</v>
      </c>
      <c r="AZ23" s="77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30</v>
      </c>
      <c r="J24" s="100">
        <v>30</v>
      </c>
      <c r="K24" s="115">
        <v>1.5</v>
      </c>
      <c r="L24" s="101">
        <v>0</v>
      </c>
      <c r="M24" s="38">
        <v>1</v>
      </c>
      <c r="N24" s="45">
        <v>1</v>
      </c>
      <c r="O24" s="24">
        <f t="shared" si="1"/>
        <v>0.5</v>
      </c>
      <c r="P24" s="24">
        <f t="shared" si="2"/>
        <v>29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3"/>
        <v>40000</v>
      </c>
      <c r="X24" s="30">
        <f t="shared" si="4"/>
        <v>14500</v>
      </c>
      <c r="Y24" s="30">
        <f t="shared" si="5"/>
        <v>5800</v>
      </c>
      <c r="Z24" s="30">
        <f t="shared" si="6"/>
        <v>4833.333333333333</v>
      </c>
      <c r="AA24" s="30">
        <f t="shared" si="7"/>
        <v>5800</v>
      </c>
      <c r="AB24" s="77">
        <f>U24*1.1</f>
        <v>4400</v>
      </c>
      <c r="AC24" s="77">
        <f t="shared" si="46"/>
        <v>2800</v>
      </c>
      <c r="AD24" s="12"/>
      <c r="AE24" s="10"/>
      <c r="AF24" s="31">
        <v>0</v>
      </c>
      <c r="AG24" s="29">
        <f t="shared" si="9"/>
        <v>1740</v>
      </c>
      <c r="AH24" s="29">
        <f>IF(SUM(X24:AA24)&gt;=25000, 200, 0)</f>
        <v>200</v>
      </c>
      <c r="AI24" s="29">
        <f t="shared" si="41"/>
        <v>0</v>
      </c>
      <c r="AJ24" s="13"/>
      <c r="AK24" s="29">
        <f t="shared" si="31"/>
        <v>38133.333333333328</v>
      </c>
      <c r="AL24" s="29">
        <f t="shared" si="13"/>
        <v>1940</v>
      </c>
      <c r="AM24" s="29">
        <f t="shared" si="32"/>
        <v>36193.333333333328</v>
      </c>
      <c r="AN24" s="33">
        <f t="shared" si="34"/>
        <v>36193</v>
      </c>
      <c r="AO24" s="29">
        <f t="shared" si="42"/>
        <v>0</v>
      </c>
      <c r="AP24" s="29">
        <f t="shared" si="33"/>
        <v>1740</v>
      </c>
      <c r="AQ24" s="13"/>
      <c r="AR24" s="29">
        <f t="shared" si="18"/>
        <v>39873.333333333328</v>
      </c>
      <c r="AS24" s="29">
        <f>'Aug 2025'!AT24</f>
        <v>40000</v>
      </c>
      <c r="AT24" s="29">
        <f t="shared" si="29"/>
        <v>40000</v>
      </c>
      <c r="AU24" s="34"/>
      <c r="AV24" s="31">
        <f t="shared" si="35"/>
        <v>0</v>
      </c>
      <c r="AW24" s="79"/>
      <c r="AX24" s="79"/>
      <c r="AY24" s="75">
        <v>0</v>
      </c>
      <c r="AZ24" s="77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30</v>
      </c>
      <c r="J25" s="100">
        <v>30</v>
      </c>
      <c r="K25" s="71">
        <f>'Aug 2025'!O25</f>
        <v>1</v>
      </c>
      <c r="L25" s="101">
        <v>0</v>
      </c>
      <c r="M25" s="38">
        <v>0</v>
      </c>
      <c r="N25" s="24">
        <f t="shared" ref="N25:N34" si="47">IF(K25+L25-M25 &gt;= 0,0,M25-(K25+L25))</f>
        <v>0</v>
      </c>
      <c r="O25" s="24">
        <f t="shared" si="1"/>
        <v>1</v>
      </c>
      <c r="P25" s="24">
        <f t="shared" si="2"/>
        <v>30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3"/>
        <v>30166</v>
      </c>
      <c r="X25" s="30">
        <f t="shared" si="4"/>
        <v>15000</v>
      </c>
      <c r="Y25" s="30">
        <f t="shared" si="5"/>
        <v>5700</v>
      </c>
      <c r="Z25" s="30">
        <f t="shared" si="6"/>
        <v>1900</v>
      </c>
      <c r="AA25" s="30">
        <f t="shared" si="7"/>
        <v>1900</v>
      </c>
      <c r="AB25" s="91">
        <f>U25*1</f>
        <v>2833</v>
      </c>
      <c r="AC25" s="91">
        <f t="shared" si="46"/>
        <v>1983.1</v>
      </c>
      <c r="AD25" s="12"/>
      <c r="AE25" s="10"/>
      <c r="AF25" s="31">
        <v>0</v>
      </c>
      <c r="AG25" s="29">
        <f t="shared" si="9"/>
        <v>1800</v>
      </c>
      <c r="AH25" s="29">
        <f>IF(SUM(X25:AC25)&gt;=25000, 200, 0)</f>
        <v>200</v>
      </c>
      <c r="AI25" s="29">
        <f t="shared" si="41"/>
        <v>0</v>
      </c>
      <c r="AJ25" s="13"/>
      <c r="AK25" s="29">
        <f t="shared" si="31"/>
        <v>29316.1</v>
      </c>
      <c r="AL25" s="29">
        <f t="shared" si="13"/>
        <v>2000</v>
      </c>
      <c r="AM25" s="29">
        <f t="shared" si="32"/>
        <v>27316.1</v>
      </c>
      <c r="AN25" s="33">
        <f t="shared" si="34"/>
        <v>27316</v>
      </c>
      <c r="AO25" s="29">
        <f t="shared" si="42"/>
        <v>0</v>
      </c>
      <c r="AP25" s="29">
        <f t="shared" si="33"/>
        <v>1800</v>
      </c>
      <c r="AQ25" s="13"/>
      <c r="AR25" s="29">
        <f t="shared" si="18"/>
        <v>31116.1</v>
      </c>
      <c r="AS25" s="29">
        <f>'Aug 2025'!AT25</f>
        <v>0</v>
      </c>
      <c r="AT25" s="29">
        <f t="shared" si="29"/>
        <v>0</v>
      </c>
      <c r="AU25" s="34"/>
      <c r="AV25" s="31">
        <f t="shared" si="35"/>
        <v>0</v>
      </c>
      <c r="AW25" s="79"/>
      <c r="AX25" s="79"/>
      <c r="AY25" s="75">
        <v>0</v>
      </c>
      <c r="AZ25" s="77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30</v>
      </c>
      <c r="J26" s="100">
        <v>30</v>
      </c>
      <c r="K26" s="71">
        <f>'Aug 2025'!O26</f>
        <v>3</v>
      </c>
      <c r="L26" s="101">
        <v>0</v>
      </c>
      <c r="M26" s="38">
        <v>3</v>
      </c>
      <c r="N26" s="24">
        <f t="shared" si="47"/>
        <v>0</v>
      </c>
      <c r="O26" s="24">
        <f t="shared" si="1"/>
        <v>0</v>
      </c>
      <c r="P26" s="24">
        <f t="shared" si="2"/>
        <v>30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3"/>
        <v>25865</v>
      </c>
      <c r="X26" s="30">
        <f t="shared" si="4"/>
        <v>15000</v>
      </c>
      <c r="Y26" s="30">
        <f t="shared" si="5"/>
        <v>3825</v>
      </c>
      <c r="Z26" s="30">
        <f t="shared" si="6"/>
        <v>1020</v>
      </c>
      <c r="AA26" s="30">
        <f t="shared" si="7"/>
        <v>1020</v>
      </c>
      <c r="AB26" s="91">
        <f>U26*0.9*3</f>
        <v>6750</v>
      </c>
      <c r="AC26" s="106">
        <f>V26*0.7*3</f>
        <v>5250</v>
      </c>
      <c r="AD26" s="12"/>
      <c r="AE26" s="10"/>
      <c r="AF26" s="31">
        <v>0</v>
      </c>
      <c r="AG26" s="29">
        <f t="shared" si="9"/>
        <v>1800</v>
      </c>
      <c r="AH26" s="29">
        <f>IF(SUM(X26:AA26)&gt;=25000, 200, 0)</f>
        <v>0</v>
      </c>
      <c r="AI26" s="29">
        <f t="shared" si="41"/>
        <v>156.48749999999998</v>
      </c>
      <c r="AJ26" s="13"/>
      <c r="AK26" s="29">
        <f t="shared" si="31"/>
        <v>32865</v>
      </c>
      <c r="AL26" s="29">
        <f t="shared" si="13"/>
        <v>1956.4875</v>
      </c>
      <c r="AM26" s="29">
        <f t="shared" si="32"/>
        <v>30908.512500000001</v>
      </c>
      <c r="AN26" s="33">
        <f t="shared" si="34"/>
        <v>30909</v>
      </c>
      <c r="AO26" s="29">
        <f t="shared" si="42"/>
        <v>678.11250000000007</v>
      </c>
      <c r="AP26" s="29">
        <f t="shared" si="33"/>
        <v>1800</v>
      </c>
      <c r="AQ26" s="13"/>
      <c r="AR26" s="29">
        <f t="shared" si="18"/>
        <v>35343.112500000003</v>
      </c>
      <c r="AS26" s="29">
        <f>'Aug 2025'!AT26</f>
        <v>0</v>
      </c>
      <c r="AT26" s="29">
        <f t="shared" si="29"/>
        <v>0</v>
      </c>
      <c r="AU26" s="34"/>
      <c r="AV26" s="31">
        <f t="shared" si="35"/>
        <v>0</v>
      </c>
      <c r="AW26" s="79"/>
      <c r="AX26" s="79"/>
      <c r="AY26" s="75">
        <v>0</v>
      </c>
      <c r="AZ26" s="77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30</v>
      </c>
      <c r="J27" s="100">
        <v>30</v>
      </c>
      <c r="K27" s="71">
        <f>'Aug 2025'!O27</f>
        <v>1</v>
      </c>
      <c r="L27" s="101">
        <v>0</v>
      </c>
      <c r="M27" s="38">
        <v>0.5</v>
      </c>
      <c r="N27" s="24">
        <f t="shared" si="47"/>
        <v>0</v>
      </c>
      <c r="O27" s="24">
        <f t="shared" si="1"/>
        <v>0.5</v>
      </c>
      <c r="P27" s="24">
        <f t="shared" si="2"/>
        <v>30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3"/>
        <v>25831</v>
      </c>
      <c r="X27" s="30">
        <f t="shared" si="4"/>
        <v>15000</v>
      </c>
      <c r="Y27" s="30">
        <f t="shared" si="5"/>
        <v>4845</v>
      </c>
      <c r="Z27" s="30">
        <f t="shared" si="6"/>
        <v>1615</v>
      </c>
      <c r="AA27" s="30">
        <f t="shared" si="7"/>
        <v>1615</v>
      </c>
      <c r="AB27" s="91">
        <f>U27*0.9</f>
        <v>1240.2</v>
      </c>
      <c r="AC27" s="91">
        <f t="shared" ref="AC27:AC29" si="48">V27*0.7</f>
        <v>964.59999999999991</v>
      </c>
      <c r="AD27" s="12"/>
      <c r="AE27" s="10"/>
      <c r="AF27" s="31">
        <v>0</v>
      </c>
      <c r="AG27" s="29">
        <f t="shared" si="9"/>
        <v>1800</v>
      </c>
      <c r="AH27" s="29">
        <f>IF(SUM(X27:AC27)&gt;=25000, 200, 0)</f>
        <v>200</v>
      </c>
      <c r="AI27" s="29">
        <f t="shared" si="41"/>
        <v>0</v>
      </c>
      <c r="AJ27" s="13"/>
      <c r="AK27" s="29">
        <f t="shared" si="31"/>
        <v>25279.8</v>
      </c>
      <c r="AL27" s="29">
        <f t="shared" si="13"/>
        <v>2000</v>
      </c>
      <c r="AM27" s="29">
        <f t="shared" si="32"/>
        <v>23279.8</v>
      </c>
      <c r="AN27" s="33">
        <f t="shared" si="34"/>
        <v>23280</v>
      </c>
      <c r="AO27" s="29">
        <f t="shared" si="42"/>
        <v>0</v>
      </c>
      <c r="AP27" s="29">
        <f t="shared" si="33"/>
        <v>1800</v>
      </c>
      <c r="AQ27" s="13"/>
      <c r="AR27" s="29">
        <f t="shared" si="18"/>
        <v>27079.8</v>
      </c>
      <c r="AS27" s="29">
        <f>'Aug 2025'!AT27</f>
        <v>0</v>
      </c>
      <c r="AT27" s="29">
        <f t="shared" si="29"/>
        <v>0</v>
      </c>
      <c r="AU27" s="34"/>
      <c r="AV27" s="31">
        <f t="shared" si="35"/>
        <v>0</v>
      </c>
      <c r="AW27" s="79"/>
      <c r="AX27" s="79"/>
      <c r="AY27" s="75">
        <v>0</v>
      </c>
      <c r="AZ27" s="77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30</v>
      </c>
      <c r="J28" s="100">
        <v>30</v>
      </c>
      <c r="K28" s="71">
        <f>'Aug 2025'!O28</f>
        <v>1.5</v>
      </c>
      <c r="L28" s="101">
        <v>0</v>
      </c>
      <c r="M28" s="38">
        <v>0</v>
      </c>
      <c r="N28" s="24">
        <f t="shared" si="47"/>
        <v>0</v>
      </c>
      <c r="O28" s="24">
        <f t="shared" si="1"/>
        <v>1.5</v>
      </c>
      <c r="P28" s="24">
        <f t="shared" si="2"/>
        <v>30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4000.0000000000005</v>
      </c>
      <c r="Z28" s="30">
        <f t="shared" si="6"/>
        <v>4000.0000000000005</v>
      </c>
      <c r="AA28" s="30">
        <f t="shared" si="7"/>
        <v>4000.0000000000005</v>
      </c>
      <c r="AB28" s="77">
        <f t="shared" ref="AB28:AB29" si="49">U28*1</f>
        <v>3000</v>
      </c>
      <c r="AC28" s="77">
        <f t="shared" si="48"/>
        <v>2100</v>
      </c>
      <c r="AD28" s="12"/>
      <c r="AE28" s="10"/>
      <c r="AF28" s="31">
        <v>0</v>
      </c>
      <c r="AG28" s="29">
        <f t="shared" si="9"/>
        <v>1800</v>
      </c>
      <c r="AH28" s="29">
        <f>IF(SUM(X28:AA28)&gt;=25000, 200, 0)</f>
        <v>200</v>
      </c>
      <c r="AI28" s="29">
        <f t="shared" si="41"/>
        <v>0</v>
      </c>
      <c r="AJ28" s="13"/>
      <c r="AK28" s="29">
        <f t="shared" si="31"/>
        <v>32100</v>
      </c>
      <c r="AL28" s="29">
        <f t="shared" si="13"/>
        <v>2000</v>
      </c>
      <c r="AM28" s="29">
        <f t="shared" si="32"/>
        <v>30100</v>
      </c>
      <c r="AN28" s="33">
        <f t="shared" si="34"/>
        <v>30100</v>
      </c>
      <c r="AO28" s="29">
        <f t="shared" si="42"/>
        <v>0</v>
      </c>
      <c r="AP28" s="29">
        <f t="shared" si="33"/>
        <v>1800</v>
      </c>
      <c r="AQ28" s="13"/>
      <c r="AR28" s="29">
        <f t="shared" si="18"/>
        <v>33900</v>
      </c>
      <c r="AS28" s="29">
        <f>'Aug 2025'!AT28</f>
        <v>0</v>
      </c>
      <c r="AT28" s="29">
        <f t="shared" si="29"/>
        <v>0</v>
      </c>
      <c r="AU28" s="34"/>
      <c r="AV28" s="31">
        <f t="shared" si="35"/>
        <v>0</v>
      </c>
      <c r="AW28" s="79"/>
      <c r="AX28" s="79"/>
      <c r="AY28" s="103">
        <v>0</v>
      </c>
      <c r="AZ28" s="77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30</v>
      </c>
      <c r="J29" s="100">
        <v>30</v>
      </c>
      <c r="K29" s="71">
        <f>'Aug 2025'!O29</f>
        <v>4</v>
      </c>
      <c r="L29" s="101">
        <v>0</v>
      </c>
      <c r="M29" s="38">
        <v>1</v>
      </c>
      <c r="N29" s="24">
        <f t="shared" si="47"/>
        <v>0</v>
      </c>
      <c r="O29" s="24">
        <f t="shared" si="1"/>
        <v>3</v>
      </c>
      <c r="P29" s="24">
        <f t="shared" si="2"/>
        <v>30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3"/>
        <v>25400</v>
      </c>
      <c r="X29" s="30">
        <f t="shared" si="4"/>
        <v>15000</v>
      </c>
      <c r="Y29" s="30">
        <f t="shared" si="5"/>
        <v>3000</v>
      </c>
      <c r="Z29" s="30">
        <f t="shared" si="6"/>
        <v>1800</v>
      </c>
      <c r="AA29" s="30">
        <f t="shared" si="7"/>
        <v>1800</v>
      </c>
      <c r="AB29" s="91">
        <f t="shared" si="49"/>
        <v>1900</v>
      </c>
      <c r="AC29" s="91">
        <f t="shared" si="48"/>
        <v>1330</v>
      </c>
      <c r="AD29" s="12"/>
      <c r="AE29" s="10"/>
      <c r="AF29" s="31">
        <v>0</v>
      </c>
      <c r="AG29" s="29">
        <f t="shared" si="9"/>
        <v>1800</v>
      </c>
      <c r="AH29" s="29">
        <f>IF(SUM(X29:AC29)&gt;=25000, 200, 0)</f>
        <v>0</v>
      </c>
      <c r="AI29" s="29">
        <f t="shared" si="41"/>
        <v>0</v>
      </c>
      <c r="AJ29" s="13"/>
      <c r="AK29" s="29">
        <f t="shared" si="31"/>
        <v>24830</v>
      </c>
      <c r="AL29" s="29">
        <f t="shared" si="13"/>
        <v>1800</v>
      </c>
      <c r="AM29" s="29">
        <f t="shared" si="32"/>
        <v>23030</v>
      </c>
      <c r="AN29" s="33">
        <f t="shared" si="34"/>
        <v>23030</v>
      </c>
      <c r="AO29" s="29">
        <f t="shared" si="42"/>
        <v>0</v>
      </c>
      <c r="AP29" s="29">
        <f t="shared" si="33"/>
        <v>1800</v>
      </c>
      <c r="AQ29" s="13"/>
      <c r="AR29" s="29">
        <f t="shared" si="18"/>
        <v>26630</v>
      </c>
      <c r="AS29" s="29">
        <f>'Aug 2025'!AT29</f>
        <v>0</v>
      </c>
      <c r="AT29" s="29">
        <f t="shared" ref="AT29:AT33" si="50">AS29+AD29-AJ29</f>
        <v>0</v>
      </c>
      <c r="AU29" s="34"/>
      <c r="AV29" s="31">
        <f t="shared" si="35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30</v>
      </c>
      <c r="J30" s="100">
        <v>30</v>
      </c>
      <c r="K30" s="71">
        <f>'Aug 2025'!O30</f>
        <v>5.5</v>
      </c>
      <c r="L30" s="101">
        <v>0</v>
      </c>
      <c r="M30" s="38">
        <v>0.5</v>
      </c>
      <c r="N30" s="24">
        <f t="shared" si="47"/>
        <v>0</v>
      </c>
      <c r="O30" s="24">
        <f t="shared" si="1"/>
        <v>5</v>
      </c>
      <c r="P30" s="24">
        <f t="shared" si="2"/>
        <v>30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3"/>
        <v>24100</v>
      </c>
      <c r="X30" s="30">
        <f t="shared" si="4"/>
        <v>15000</v>
      </c>
      <c r="Y30" s="30">
        <f t="shared" si="5"/>
        <v>2800</v>
      </c>
      <c r="Z30" s="30">
        <f t="shared" si="6"/>
        <v>1800</v>
      </c>
      <c r="AA30" s="30">
        <f t="shared" si="7"/>
        <v>1300</v>
      </c>
      <c r="AB30" s="91">
        <f t="shared" ref="AB30:AB31" si="51">U30*0.9*3</f>
        <v>4320</v>
      </c>
      <c r="AC30" s="106">
        <f t="shared" ref="AC30:AC31" si="52">V30*0.7*3</f>
        <v>3360</v>
      </c>
      <c r="AD30" s="12"/>
      <c r="AE30" s="10"/>
      <c r="AF30" s="31">
        <v>0</v>
      </c>
      <c r="AG30" s="29">
        <f t="shared" si="9"/>
        <v>1800</v>
      </c>
      <c r="AH30" s="29">
        <f t="shared" ref="AH30:AH31" si="53">IF(SUM(X30:AA30)&gt;=25000, 200, 0)</f>
        <v>0</v>
      </c>
      <c r="AI30" s="29">
        <f t="shared" si="41"/>
        <v>156.75</v>
      </c>
      <c r="AJ30" s="13"/>
      <c r="AK30" s="29">
        <f t="shared" si="31"/>
        <v>28580</v>
      </c>
      <c r="AL30" s="29">
        <f t="shared" si="13"/>
        <v>1956.75</v>
      </c>
      <c r="AM30" s="29">
        <f t="shared" si="32"/>
        <v>26623.25</v>
      </c>
      <c r="AN30" s="33">
        <f t="shared" si="34"/>
        <v>26623</v>
      </c>
      <c r="AO30" s="29">
        <f t="shared" si="42"/>
        <v>679.25</v>
      </c>
      <c r="AP30" s="29">
        <f t="shared" si="33"/>
        <v>1800</v>
      </c>
      <c r="AQ30" s="13"/>
      <c r="AR30" s="29">
        <f t="shared" si="18"/>
        <v>31059.25</v>
      </c>
      <c r="AS30" s="29">
        <f>'Aug 2025'!AT30</f>
        <v>0</v>
      </c>
      <c r="AT30" s="29">
        <f t="shared" si="50"/>
        <v>0</v>
      </c>
      <c r="AU30" s="34"/>
      <c r="AV30" s="31">
        <f t="shared" si="35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30</v>
      </c>
      <c r="J31" s="100">
        <v>30</v>
      </c>
      <c r="K31" s="71">
        <f>'Aug 2025'!O31</f>
        <v>5</v>
      </c>
      <c r="L31" s="101">
        <v>0</v>
      </c>
      <c r="M31" s="38">
        <v>2</v>
      </c>
      <c r="N31" s="24">
        <f t="shared" si="47"/>
        <v>0</v>
      </c>
      <c r="O31" s="24">
        <f t="shared" si="1"/>
        <v>3</v>
      </c>
      <c r="P31" s="24">
        <f t="shared" si="2"/>
        <v>30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3"/>
        <v>24100</v>
      </c>
      <c r="X31" s="30">
        <f t="shared" si="4"/>
        <v>15000</v>
      </c>
      <c r="Y31" s="30">
        <f t="shared" si="5"/>
        <v>2800</v>
      </c>
      <c r="Z31" s="30">
        <f t="shared" si="6"/>
        <v>1800</v>
      </c>
      <c r="AA31" s="30">
        <f t="shared" si="7"/>
        <v>1300</v>
      </c>
      <c r="AB31" s="91">
        <f t="shared" si="51"/>
        <v>4320</v>
      </c>
      <c r="AC31" s="106">
        <f t="shared" si="52"/>
        <v>3360</v>
      </c>
      <c r="AD31" s="12"/>
      <c r="AE31" s="10"/>
      <c r="AF31" s="31">
        <v>0</v>
      </c>
      <c r="AG31" s="29">
        <f t="shared" si="9"/>
        <v>1800</v>
      </c>
      <c r="AH31" s="29">
        <f t="shared" si="53"/>
        <v>0</v>
      </c>
      <c r="AI31" s="29">
        <f t="shared" si="41"/>
        <v>156.75</v>
      </c>
      <c r="AJ31" s="13"/>
      <c r="AK31" s="29">
        <f t="shared" si="31"/>
        <v>28580</v>
      </c>
      <c r="AL31" s="29">
        <f t="shared" si="13"/>
        <v>1956.75</v>
      </c>
      <c r="AM31" s="29">
        <f t="shared" si="32"/>
        <v>26623.25</v>
      </c>
      <c r="AN31" s="33">
        <f t="shared" si="34"/>
        <v>26623</v>
      </c>
      <c r="AO31" s="29">
        <f t="shared" si="42"/>
        <v>679.25</v>
      </c>
      <c r="AP31" s="29">
        <f t="shared" si="33"/>
        <v>1800</v>
      </c>
      <c r="AQ31" s="13"/>
      <c r="AR31" s="29">
        <f t="shared" si="18"/>
        <v>31059.25</v>
      </c>
      <c r="AS31" s="29">
        <f>'Aug 2025'!AT31</f>
        <v>0</v>
      </c>
      <c r="AT31" s="29">
        <f t="shared" si="50"/>
        <v>0</v>
      </c>
      <c r="AU31" s="34"/>
      <c r="AV31" s="31">
        <f t="shared" si="35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12">
        <v>22</v>
      </c>
      <c r="J32" s="100">
        <v>20</v>
      </c>
      <c r="K32" s="71">
        <f>'Aug 2025'!O32</f>
        <v>4</v>
      </c>
      <c r="L32" s="101">
        <v>1</v>
      </c>
      <c r="M32" s="104">
        <v>1</v>
      </c>
      <c r="N32" s="71">
        <f t="shared" si="47"/>
        <v>0</v>
      </c>
      <c r="O32" s="71">
        <f t="shared" si="1"/>
        <v>4</v>
      </c>
      <c r="P32" s="71">
        <f t="shared" si="2"/>
        <v>20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81818.181818181823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41">
        <v>2000</v>
      </c>
      <c r="AF32" s="77">
        <v>0</v>
      </c>
      <c r="AG32" s="75">
        <v>0</v>
      </c>
      <c r="AH32" s="75">
        <v>0</v>
      </c>
      <c r="AI32" s="29">
        <f t="shared" si="41"/>
        <v>0</v>
      </c>
      <c r="AJ32" s="13"/>
      <c r="AK32" s="75">
        <f t="shared" si="31"/>
        <v>83818.181818181823</v>
      </c>
      <c r="AL32" s="75">
        <f t="shared" si="13"/>
        <v>8381.818181818182</v>
      </c>
      <c r="AM32" s="75">
        <f t="shared" si="32"/>
        <v>83818.181818181823</v>
      </c>
      <c r="AN32" s="78">
        <f t="shared" si="34"/>
        <v>75436.181818181823</v>
      </c>
      <c r="AO32" s="75">
        <f t="shared" si="42"/>
        <v>0</v>
      </c>
      <c r="AP32" s="75">
        <f t="shared" si="33"/>
        <v>0</v>
      </c>
      <c r="AQ32" s="13"/>
      <c r="AR32" s="75">
        <f t="shared" si="18"/>
        <v>83818.181818181823</v>
      </c>
      <c r="AS32" s="29">
        <f>'Aug 2025'!AT32</f>
        <v>0</v>
      </c>
      <c r="AT32" s="75">
        <f t="shared" si="50"/>
        <v>0</v>
      </c>
      <c r="AU32" s="92">
        <f>(0.1*AK32)</f>
        <v>8381.818181818182</v>
      </c>
      <c r="AV32" s="77">
        <f t="shared" si="35"/>
        <v>0</v>
      </c>
      <c r="AW32" s="93">
        <f>AU32+'Apr 2025'!AU32+'May 2025'!AU32+'June 2025'!AU32+'July 2025'!AU32</f>
        <v>31265.669113495198</v>
      </c>
      <c r="AX32" s="113" t="s">
        <v>172</v>
      </c>
      <c r="AY32" s="75">
        <v>0</v>
      </c>
      <c r="AZ32" s="77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5">
        <v>30</v>
      </c>
      <c r="J33" s="105">
        <v>30</v>
      </c>
      <c r="K33" s="71">
        <f>'Aug 2025'!O33</f>
        <v>0</v>
      </c>
      <c r="L33" s="101">
        <v>0</v>
      </c>
      <c r="M33" s="104">
        <v>1.5</v>
      </c>
      <c r="N33" s="71">
        <f t="shared" si="47"/>
        <v>1.5</v>
      </c>
      <c r="O33" s="71">
        <f t="shared" si="1"/>
        <v>0</v>
      </c>
      <c r="P33" s="71">
        <f t="shared" si="2"/>
        <v>28.5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14250</v>
      </c>
      <c r="Y33" s="76">
        <f t="shared" si="5"/>
        <v>1425</v>
      </c>
      <c r="Z33" s="76">
        <f t="shared" si="6"/>
        <v>0</v>
      </c>
      <c r="AA33" s="76">
        <f t="shared" si="7"/>
        <v>0</v>
      </c>
      <c r="AB33" s="91">
        <f>U33*0.9*3</f>
        <v>2700</v>
      </c>
      <c r="AC33" s="106">
        <f>V33*0.7*3</f>
        <v>2100</v>
      </c>
      <c r="AD33" s="53"/>
      <c r="AE33" s="10"/>
      <c r="AF33" s="77">
        <v>0</v>
      </c>
      <c r="AG33" s="29">
        <f>IF(X33&gt;15000,(15000 * 12%),X33*0.12)</f>
        <v>1710</v>
      </c>
      <c r="AH33" s="29">
        <f>IF(SUM(X33:AA33)&gt;=25000, 200, 0)</f>
        <v>0</v>
      </c>
      <c r="AI33" s="29">
        <f t="shared" si="41"/>
        <v>117.5625</v>
      </c>
      <c r="AJ33" s="54">
        <v>1500</v>
      </c>
      <c r="AK33" s="75">
        <f t="shared" si="31"/>
        <v>20475</v>
      </c>
      <c r="AL33" s="75">
        <f t="shared" si="13"/>
        <v>3327.5625</v>
      </c>
      <c r="AM33" s="75">
        <f t="shared" si="32"/>
        <v>17147.4375</v>
      </c>
      <c r="AN33" s="78">
        <f t="shared" si="34"/>
        <v>17147</v>
      </c>
      <c r="AO33" s="75">
        <v>0</v>
      </c>
      <c r="AP33" s="75">
        <v>0</v>
      </c>
      <c r="AQ33" s="13"/>
      <c r="AR33" s="75">
        <f t="shared" si="18"/>
        <v>20475</v>
      </c>
      <c r="AS33" s="29">
        <f>'Aug 2025'!AT33</f>
        <v>17000</v>
      </c>
      <c r="AT33" s="75">
        <f t="shared" si="50"/>
        <v>15500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3" t="s">
        <v>101</v>
      </c>
      <c r="C34" s="3" t="s">
        <v>11</v>
      </c>
      <c r="D34" s="1"/>
      <c r="E34" s="8"/>
      <c r="F34" s="8"/>
      <c r="G34" s="8"/>
      <c r="H34" s="1"/>
      <c r="I34" s="105">
        <v>30</v>
      </c>
      <c r="J34" s="105">
        <v>30</v>
      </c>
      <c r="K34" s="71">
        <f>'Aug 2025'!O34</f>
        <v>1</v>
      </c>
      <c r="L34" s="101">
        <v>0</v>
      </c>
      <c r="M34" s="104">
        <v>0</v>
      </c>
      <c r="N34" s="71">
        <f t="shared" si="47"/>
        <v>0</v>
      </c>
      <c r="O34" s="71">
        <f t="shared" si="1"/>
        <v>1</v>
      </c>
      <c r="P34" s="71">
        <f t="shared" si="2"/>
        <v>30</v>
      </c>
      <c r="Q34" s="37">
        <v>12000</v>
      </c>
      <c r="R34" s="74"/>
      <c r="S34" s="13"/>
      <c r="T34" s="13"/>
      <c r="U34" s="74"/>
      <c r="V34" s="74"/>
      <c r="W34" s="75">
        <f t="shared" si="3"/>
        <v>12000</v>
      </c>
      <c r="X34" s="76">
        <f t="shared" si="4"/>
        <v>12000</v>
      </c>
      <c r="Y34" s="76">
        <f t="shared" si="5"/>
        <v>0</v>
      </c>
      <c r="Z34" s="76">
        <f t="shared" si="6"/>
        <v>0</v>
      </c>
      <c r="AA34" s="76">
        <f t="shared" si="7"/>
        <v>0</v>
      </c>
      <c r="AB34" s="91"/>
      <c r="AC34" s="91"/>
      <c r="AD34" s="53"/>
      <c r="AE34" s="10"/>
      <c r="AF34" s="77"/>
      <c r="AG34" s="29"/>
      <c r="AH34" s="29"/>
      <c r="AI34" s="29"/>
      <c r="AJ34" s="54"/>
      <c r="AK34" s="75">
        <f t="shared" si="31"/>
        <v>12000</v>
      </c>
      <c r="AL34" s="75">
        <f t="shared" si="13"/>
        <v>0</v>
      </c>
      <c r="AM34" s="75">
        <f t="shared" si="32"/>
        <v>12000</v>
      </c>
      <c r="AN34" s="78">
        <f t="shared" si="34"/>
        <v>12000</v>
      </c>
      <c r="AO34" s="75"/>
      <c r="AP34" s="75"/>
      <c r="AQ34" s="13"/>
      <c r="AR34" s="75"/>
      <c r="AS34" s="29">
        <f>'Aug 2025'!AT34</f>
        <v>0</v>
      </c>
      <c r="AT34" s="75"/>
      <c r="AU34" s="34"/>
      <c r="AV34" s="77"/>
      <c r="AW34" s="79"/>
      <c r="AX34" s="64"/>
      <c r="AY34" s="94"/>
      <c r="AZ34" s="77"/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95"/>
      <c r="AO35" s="95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45931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'Sep 2025'!O3</f>
        <v>14</v>
      </c>
      <c r="L3" s="101">
        <v>3</v>
      </c>
      <c r="M3" s="73">
        <v>0</v>
      </c>
      <c r="N3" s="71">
        <f t="shared" ref="N3:N23" si="0">IF(K3+L3-M3 &gt;= 0,0,M3-(K3+L3))</f>
        <v>0</v>
      </c>
      <c r="O3" s="71">
        <f t="shared" ref="O3:O34" si="1">IF(K3+L3-M3&gt;0,K3+L3-M3,0)</f>
        <v>17</v>
      </c>
      <c r="P3" s="71">
        <f t="shared" ref="P3:P34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34" si="3">SUM(Q3:V3)</f>
        <v>100000</v>
      </c>
      <c r="X3" s="76">
        <f t="shared" ref="X3:X34" si="4">(Q3/I3*(J3)) * (1-N3/J3)</f>
        <v>30000</v>
      </c>
      <c r="Y3" s="76">
        <f t="shared" ref="Y3:Y34" si="5">(R3/I3*(J3)) * (1-N3/J3)</f>
        <v>15000</v>
      </c>
      <c r="Z3" s="76">
        <f t="shared" ref="Z3:Z34" si="6">(S3/I3*(J3)) * (1-N3/J3)</f>
        <v>7500</v>
      </c>
      <c r="AA3" s="76">
        <f t="shared" ref="AA3:AA34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31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34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33" si="18">AK3+AO3+AP3</f>
        <v>89800</v>
      </c>
      <c r="AS3" s="29">
        <f>'May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'Sep 2025'!O4</f>
        <v>14</v>
      </c>
      <c r="L4" s="101">
        <v>3</v>
      </c>
      <c r="M4" s="73">
        <v>0</v>
      </c>
      <c r="N4" s="71">
        <f t="shared" si="0"/>
        <v>0</v>
      </c>
      <c r="O4" s="71">
        <f t="shared" si="1"/>
        <v>17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'May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'Sep 2025'!O5</f>
        <v>1.5</v>
      </c>
      <c r="L5" s="101">
        <v>3</v>
      </c>
      <c r="M5" s="38">
        <v>0.5</v>
      </c>
      <c r="N5" s="24">
        <f t="shared" si="0"/>
        <v>0</v>
      </c>
      <c r="O5" s="24">
        <f t="shared" si="1"/>
        <v>4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/>
      <c r="AC5" s="106"/>
      <c r="AD5" s="9">
        <v>0</v>
      </c>
      <c r="AE5" s="10"/>
      <c r="AF5" s="42">
        <v>2277</v>
      </c>
      <c r="AG5" s="29">
        <f t="shared" si="9"/>
        <v>1800</v>
      </c>
      <c r="AH5" s="29">
        <f t="shared" ref="AH5:AH9" si="22">IF(SUM(X5:AA5)&gt;=25000, 200, 0)</f>
        <v>0</v>
      </c>
      <c r="AI5" s="29">
        <f t="shared" ref="AI5:AI6" si="23">IF(SUM(Q5:T5) &lt; 21000, SUM(X5:AA5)*0.75%, 0)</f>
        <v>156.75</v>
      </c>
      <c r="AJ5" s="32">
        <v>3000</v>
      </c>
      <c r="AK5" s="29">
        <f t="shared" ref="AK5:AK6" si="24">SUM(X5:AF5)-AD5</f>
        <v>23177</v>
      </c>
      <c r="AL5" s="29">
        <f t="shared" si="13"/>
        <v>4956.75</v>
      </c>
      <c r="AM5" s="29">
        <f t="shared" ref="AM5:AM6" si="25">SUM(X5:AF5)-SUM(AG5:AJ5)-AD5</f>
        <v>18220.25</v>
      </c>
      <c r="AN5" s="78">
        <f t="shared" ref="AN5:AN7" si="26">ROUND(AM5-AF5,0)-AU5</f>
        <v>15943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'Sep 2025'!AT5</f>
        <v>147000</v>
      </c>
      <c r="AT5" s="29">
        <f t="shared" ref="AT5:AT28" si="28">AS5+AD5-AJ5-AY5</f>
        <v>144000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'Sep 2025'!O6</f>
        <v>3.5</v>
      </c>
      <c r="L6" s="101">
        <v>3</v>
      </c>
      <c r="M6" s="38">
        <v>0</v>
      </c>
      <c r="N6" s="24">
        <f t="shared" si="0"/>
        <v>0</v>
      </c>
      <c r="O6" s="24">
        <f t="shared" si="1"/>
        <v>6.5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/>
      <c r="AC6" s="106"/>
      <c r="AD6" s="9">
        <v>0</v>
      </c>
      <c r="AE6" s="10"/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1956.75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25919.25</v>
      </c>
      <c r="AS6" s="29">
        <f>'Sep 2025'!AT6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'Sep 2025'!O7</f>
        <v>1</v>
      </c>
      <c r="L7" s="101">
        <v>4</v>
      </c>
      <c r="M7" s="38">
        <v>2</v>
      </c>
      <c r="N7" s="24">
        <f t="shared" si="0"/>
        <v>0</v>
      </c>
      <c r="O7" s="24">
        <f t="shared" si="1"/>
        <v>3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91"/>
      <c r="AC7" s="106"/>
      <c r="AD7" s="10"/>
      <c r="AE7" s="10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34" si="30">SUM(X7:AF7)</f>
        <v>22803</v>
      </c>
      <c r="AL7" s="29">
        <f t="shared" si="13"/>
        <v>1957.35</v>
      </c>
      <c r="AM7" s="29">
        <f t="shared" ref="AM7:AM34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32" si="32">AG7</f>
        <v>1800</v>
      </c>
      <c r="AQ7" s="34"/>
      <c r="AR7" s="29">
        <f t="shared" si="18"/>
        <v>25284.85</v>
      </c>
      <c r="AS7" s="29">
        <f>'Sep 2025'!AT7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31</v>
      </c>
      <c r="J8" s="100">
        <v>31</v>
      </c>
      <c r="K8" s="71">
        <f>'Sep 2025'!O8</f>
        <v>0</v>
      </c>
      <c r="L8" s="101">
        <v>0</v>
      </c>
      <c r="M8" s="38">
        <v>31</v>
      </c>
      <c r="N8" s="24">
        <f t="shared" si="0"/>
        <v>31</v>
      </c>
      <c r="O8" s="24">
        <f t="shared" si="1"/>
        <v>0</v>
      </c>
      <c r="P8" s="24">
        <f t="shared" si="2"/>
        <v>0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0</v>
      </c>
      <c r="Y8" s="30">
        <f t="shared" si="5"/>
        <v>0</v>
      </c>
      <c r="Z8" s="30">
        <f t="shared" si="6"/>
        <v>0</v>
      </c>
      <c r="AA8" s="30">
        <f t="shared" si="7"/>
        <v>0</v>
      </c>
      <c r="AB8" s="77"/>
      <c r="AC8" s="77"/>
      <c r="AD8" s="10"/>
      <c r="AE8" s="10"/>
      <c r="AF8" s="31">
        <v>0</v>
      </c>
      <c r="AG8" s="29">
        <f t="shared" si="9"/>
        <v>0</v>
      </c>
      <c r="AH8" s="29">
        <f t="shared" si="22"/>
        <v>0</v>
      </c>
      <c r="AI8" s="29">
        <f t="shared" si="29"/>
        <v>0</v>
      </c>
      <c r="AJ8" s="34"/>
      <c r="AK8" s="29">
        <f t="shared" si="30"/>
        <v>0</v>
      </c>
      <c r="AL8" s="29">
        <f t="shared" si="13"/>
        <v>0</v>
      </c>
      <c r="AM8" s="29">
        <f t="shared" si="31"/>
        <v>0</v>
      </c>
      <c r="AN8" s="78">
        <f t="shared" ref="AN8:AN34" si="33">ROUND(AM8-AF8,0)+AV8-AU8</f>
        <v>0</v>
      </c>
      <c r="AO8" s="29">
        <f t="shared" si="16"/>
        <v>0</v>
      </c>
      <c r="AP8" s="29">
        <f t="shared" si="32"/>
        <v>0</v>
      </c>
      <c r="AQ8" s="34"/>
      <c r="AR8" s="29">
        <f t="shared" si="18"/>
        <v>0</v>
      </c>
      <c r="AS8" s="29">
        <f>'Sep 2025'!AT8</f>
        <v>0</v>
      </c>
      <c r="AT8" s="29">
        <f t="shared" si="28"/>
        <v>0</v>
      </c>
      <c r="AU8" s="34"/>
      <c r="AV8" s="31">
        <f t="shared" ref="AV8:AV32" si="34">AF8*12</f>
        <v>0</v>
      </c>
      <c r="AW8" s="79">
        <f t="shared" si="21"/>
        <v>0</v>
      </c>
      <c r="AX8" s="79"/>
      <c r="AY8" s="75">
        <v>0</v>
      </c>
      <c r="AZ8" s="77" t="s">
        <v>165</v>
      </c>
    </row>
    <row r="9" spans="1:52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'Sep 2025'!O9</f>
        <v>1</v>
      </c>
      <c r="L9" s="101">
        <v>3</v>
      </c>
      <c r="M9" s="38">
        <v>2</v>
      </c>
      <c r="N9" s="24">
        <f t="shared" si="0"/>
        <v>0</v>
      </c>
      <c r="O9" s="24">
        <f t="shared" si="1"/>
        <v>2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si="3"/>
        <v>31478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91"/>
      <c r="AC9" s="106"/>
      <c r="AD9" s="10"/>
      <c r="AE9" s="10"/>
      <c r="AF9" s="31">
        <v>0</v>
      </c>
      <c r="AG9" s="29">
        <f t="shared" si="9"/>
        <v>1800</v>
      </c>
      <c r="AH9" s="29">
        <f t="shared" si="22"/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'Sep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'Sep 2025'!O10</f>
        <v>0</v>
      </c>
      <c r="L10" s="101">
        <v>3</v>
      </c>
      <c r="M10" s="104">
        <v>3</v>
      </c>
      <c r="N10" s="24">
        <f t="shared" si="0"/>
        <v>0</v>
      </c>
      <c r="O10" s="71">
        <f t="shared" si="1"/>
        <v>0</v>
      </c>
      <c r="P10" s="71">
        <f t="shared" si="2"/>
        <v>31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15000</v>
      </c>
      <c r="Y10" s="76">
        <f t="shared" si="5"/>
        <v>9000</v>
      </c>
      <c r="Z10" s="76">
        <f t="shared" si="6"/>
        <v>8000</v>
      </c>
      <c r="AA10" s="76">
        <f t="shared" si="7"/>
        <v>3000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1800</v>
      </c>
      <c r="AH10" s="75">
        <f>IF(SUM(X10:AC10)&gt;=25000, 200, 0)</f>
        <v>200</v>
      </c>
      <c r="AI10" s="84">
        <v>0</v>
      </c>
      <c r="AJ10" s="34"/>
      <c r="AK10" s="75">
        <f t="shared" si="30"/>
        <v>46400</v>
      </c>
      <c r="AL10" s="75">
        <f t="shared" si="13"/>
        <v>2000</v>
      </c>
      <c r="AM10" s="75">
        <f t="shared" si="31"/>
        <v>44400</v>
      </c>
      <c r="AN10" s="78">
        <f t="shared" si="33"/>
        <v>44400</v>
      </c>
      <c r="AO10" s="75">
        <f t="shared" si="16"/>
        <v>0</v>
      </c>
      <c r="AP10" s="75">
        <f t="shared" si="32"/>
        <v>1800</v>
      </c>
      <c r="AQ10" s="34"/>
      <c r="AR10" s="75">
        <f t="shared" si="18"/>
        <v>48200</v>
      </c>
      <c r="AS10" s="29">
        <f>'Sep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5.75" customHeight="1" x14ac:dyDescent="0.3">
      <c r="A11" s="21">
        <v>1033</v>
      </c>
      <c r="B11" s="22" t="e">
        <f>VLOOKUP(A11,#REF!,2,FALSE)</f>
        <v>#REF!</v>
      </c>
      <c r="C11" s="8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'Sep 2025'!O11</f>
        <v>0</v>
      </c>
      <c r="L11" s="101">
        <v>0</v>
      </c>
      <c r="M11" s="38">
        <v>31</v>
      </c>
      <c r="N11" s="24">
        <f t="shared" si="0"/>
        <v>31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/>
      <c r="AC11" s="91"/>
      <c r="AD11" s="10"/>
      <c r="AE11" s="10"/>
      <c r="AF11" s="31">
        <v>0</v>
      </c>
      <c r="AG11" s="29">
        <f t="shared" si="9"/>
        <v>0</v>
      </c>
      <c r="AH11" s="29">
        <f>IF(SUM(X11:AA11)&gt;=25000, 200, 0)</f>
        <v>0</v>
      </c>
      <c r="AI11" s="29">
        <f t="shared" ref="AI11:AI14" si="35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'Sep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71">
        <f>'Sep 2025'!O12</f>
        <v>0</v>
      </c>
      <c r="L12" s="101">
        <v>3</v>
      </c>
      <c r="M12" s="38">
        <v>1.5</v>
      </c>
      <c r="N12" s="24">
        <f t="shared" si="0"/>
        <v>0</v>
      </c>
      <c r="O12" s="24">
        <f t="shared" si="1"/>
        <v>1.5</v>
      </c>
      <c r="P12" s="24">
        <f t="shared" si="2"/>
        <v>31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"/>
        <v>30758</v>
      </c>
      <c r="X12" s="30">
        <f t="shared" si="4"/>
        <v>15000</v>
      </c>
      <c r="Y12" s="30">
        <f t="shared" si="5"/>
        <v>4956</v>
      </c>
      <c r="Z12" s="30">
        <f t="shared" si="6"/>
        <v>1652</v>
      </c>
      <c r="AA12" s="30">
        <f t="shared" si="7"/>
        <v>1770</v>
      </c>
      <c r="AB12" s="91">
        <f>U12*0.8</f>
        <v>2952</v>
      </c>
      <c r="AC12" s="91">
        <f t="shared" ref="AC12:AC15" si="36">V12*0.7</f>
        <v>2583</v>
      </c>
      <c r="AD12" s="10"/>
      <c r="AE12" s="10"/>
      <c r="AF12" s="31">
        <v>0</v>
      </c>
      <c r="AG12" s="29">
        <f t="shared" si="9"/>
        <v>1800</v>
      </c>
      <c r="AH12" s="29">
        <f t="shared" ref="AH12:AH23" si="37">IF(SUM(X12:AC12)&gt;=25000, 200, 0)</f>
        <v>200</v>
      </c>
      <c r="AI12" s="29">
        <f t="shared" si="35"/>
        <v>0</v>
      </c>
      <c r="AJ12" s="34"/>
      <c r="AK12" s="29">
        <f t="shared" si="30"/>
        <v>28913</v>
      </c>
      <c r="AL12" s="29">
        <f t="shared" si="13"/>
        <v>2000</v>
      </c>
      <c r="AM12" s="29">
        <f t="shared" si="31"/>
        <v>26913</v>
      </c>
      <c r="AN12" s="33">
        <f t="shared" si="33"/>
        <v>26913</v>
      </c>
      <c r="AO12" s="29">
        <f t="shared" si="16"/>
        <v>0</v>
      </c>
      <c r="AP12" s="29">
        <f t="shared" si="32"/>
        <v>1800</v>
      </c>
      <c r="AQ12" s="34"/>
      <c r="AR12" s="29">
        <f t="shared" si="18"/>
        <v>30713</v>
      </c>
      <c r="AS12" s="29">
        <f>'Sep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'Sep 2025'!O13</f>
        <v>2</v>
      </c>
      <c r="L13" s="101">
        <v>3</v>
      </c>
      <c r="M13" s="38">
        <v>3</v>
      </c>
      <c r="N13" s="24">
        <f t="shared" si="0"/>
        <v>0</v>
      </c>
      <c r="O13" s="24">
        <f t="shared" si="1"/>
        <v>2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"/>
        <v>29828</v>
      </c>
      <c r="X13" s="30">
        <f t="shared" si="4"/>
        <v>15000</v>
      </c>
      <c r="Y13" s="30">
        <f t="shared" si="5"/>
        <v>4956</v>
      </c>
      <c r="Z13" s="30">
        <f t="shared" si="6"/>
        <v>1652</v>
      </c>
      <c r="AA13" s="30">
        <f t="shared" si="7"/>
        <v>1180</v>
      </c>
      <c r="AB13" s="91">
        <f>U13*0.9</f>
        <v>3168</v>
      </c>
      <c r="AC13" s="91">
        <f t="shared" si="36"/>
        <v>2464</v>
      </c>
      <c r="AD13" s="12"/>
      <c r="AE13" s="10"/>
      <c r="AF13" s="31">
        <v>0</v>
      </c>
      <c r="AG13" s="29">
        <f t="shared" si="9"/>
        <v>1800</v>
      </c>
      <c r="AH13" s="29">
        <f t="shared" si="37"/>
        <v>200</v>
      </c>
      <c r="AI13" s="29">
        <f t="shared" si="35"/>
        <v>0</v>
      </c>
      <c r="AJ13" s="13"/>
      <c r="AK13" s="29">
        <f t="shared" si="30"/>
        <v>28420</v>
      </c>
      <c r="AL13" s="29">
        <f t="shared" si="13"/>
        <v>2000</v>
      </c>
      <c r="AM13" s="29">
        <f t="shared" si="31"/>
        <v>26420</v>
      </c>
      <c r="AN13" s="33">
        <f t="shared" si="33"/>
        <v>26420</v>
      </c>
      <c r="AO13" s="29">
        <f t="shared" si="16"/>
        <v>0</v>
      </c>
      <c r="AP13" s="29">
        <f t="shared" si="32"/>
        <v>1800</v>
      </c>
      <c r="AQ13" s="13"/>
      <c r="AR13" s="29">
        <f t="shared" si="18"/>
        <v>30220</v>
      </c>
      <c r="AS13" s="29">
        <f>'Sep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'Sep 2025'!O14</f>
        <v>0</v>
      </c>
      <c r="L14" s="101">
        <v>3</v>
      </c>
      <c r="M14" s="104">
        <v>4</v>
      </c>
      <c r="N14" s="71">
        <f t="shared" si="0"/>
        <v>1</v>
      </c>
      <c r="O14" s="71">
        <f t="shared" si="1"/>
        <v>0</v>
      </c>
      <c r="P14" s="71">
        <f t="shared" si="2"/>
        <v>30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25161.290322580648</v>
      </c>
      <c r="Y14" s="76">
        <f t="shared" si="5"/>
        <v>14330.322580645161</v>
      </c>
      <c r="Z14" s="76">
        <f t="shared" si="6"/>
        <v>10747.741935483871</v>
      </c>
      <c r="AA14" s="76">
        <f t="shared" si="7"/>
        <v>10747.741935483871</v>
      </c>
      <c r="AB14" s="77">
        <f>U14*0.3</f>
        <v>1618.5</v>
      </c>
      <c r="AC14" s="77">
        <f t="shared" si="36"/>
        <v>3776.4999999999995</v>
      </c>
      <c r="AD14" s="12"/>
      <c r="AE14" s="10"/>
      <c r="AF14" s="77">
        <v>0</v>
      </c>
      <c r="AG14" s="75">
        <f t="shared" si="9"/>
        <v>1800</v>
      </c>
      <c r="AH14" s="75">
        <f t="shared" si="37"/>
        <v>200</v>
      </c>
      <c r="AI14" s="75">
        <f t="shared" si="35"/>
        <v>0</v>
      </c>
      <c r="AJ14" s="13"/>
      <c r="AK14" s="75">
        <f t="shared" si="30"/>
        <v>66382.096774193546</v>
      </c>
      <c r="AL14" s="75">
        <f t="shared" si="13"/>
        <v>2000</v>
      </c>
      <c r="AM14" s="75">
        <f t="shared" si="31"/>
        <v>64382.096774193546</v>
      </c>
      <c r="AN14" s="78">
        <f t="shared" si="33"/>
        <v>64382</v>
      </c>
      <c r="AO14" s="75">
        <f t="shared" si="16"/>
        <v>0</v>
      </c>
      <c r="AP14" s="75">
        <f t="shared" si="32"/>
        <v>1800</v>
      </c>
      <c r="AQ14" s="13"/>
      <c r="AR14" s="75">
        <f t="shared" si="18"/>
        <v>68182.096774193546</v>
      </c>
      <c r="AS14" s="29">
        <f>'Sep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77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'Sep 2025'!O15</f>
        <v>4</v>
      </c>
      <c r="L15" s="101">
        <v>3</v>
      </c>
      <c r="M15" s="104">
        <v>0</v>
      </c>
      <c r="N15" s="71">
        <f t="shared" si="0"/>
        <v>0</v>
      </c>
      <c r="O15" s="71">
        <f t="shared" si="1"/>
        <v>7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"/>
        <v>95895</v>
      </c>
      <c r="X15" s="76">
        <f t="shared" si="4"/>
        <v>30000</v>
      </c>
      <c r="Y15" s="76">
        <f t="shared" si="5"/>
        <v>21300</v>
      </c>
      <c r="Z15" s="76">
        <f t="shared" si="6"/>
        <v>15975.000000000002</v>
      </c>
      <c r="AA15" s="76">
        <f t="shared" si="7"/>
        <v>12780</v>
      </c>
      <c r="AB15" s="77">
        <f t="shared" ref="AB15:AB17" si="38">U15*1</f>
        <v>7920</v>
      </c>
      <c r="AC15" s="77">
        <f t="shared" si="36"/>
        <v>5544</v>
      </c>
      <c r="AD15" s="10"/>
      <c r="AE15" s="10"/>
      <c r="AF15" s="77">
        <v>0</v>
      </c>
      <c r="AG15" s="75">
        <f t="shared" si="9"/>
        <v>1800</v>
      </c>
      <c r="AH15" s="75">
        <f t="shared" si="37"/>
        <v>200</v>
      </c>
      <c r="AI15" s="85">
        <v>0</v>
      </c>
      <c r="AJ15" s="34"/>
      <c r="AK15" s="75">
        <f t="shared" si="30"/>
        <v>93519</v>
      </c>
      <c r="AL15" s="75">
        <f t="shared" si="13"/>
        <v>2000</v>
      </c>
      <c r="AM15" s="75">
        <f t="shared" si="31"/>
        <v>91519</v>
      </c>
      <c r="AN15" s="78">
        <f t="shared" si="33"/>
        <v>91519</v>
      </c>
      <c r="AO15" s="75">
        <v>0</v>
      </c>
      <c r="AP15" s="75">
        <f t="shared" si="32"/>
        <v>1800</v>
      </c>
      <c r="AQ15" s="34"/>
      <c r="AR15" s="75">
        <f t="shared" si="18"/>
        <v>95319</v>
      </c>
      <c r="AS15" s="29">
        <f>'Sep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'Sep 2025'!O16</f>
        <v>0</v>
      </c>
      <c r="L16" s="101">
        <v>0</v>
      </c>
      <c r="M16" s="104">
        <v>31</v>
      </c>
      <c r="N16" s="71">
        <f t="shared" si="0"/>
        <v>31</v>
      </c>
      <c r="O16" s="71">
        <f t="shared" si="1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"/>
        <v>85615</v>
      </c>
      <c r="X16" s="76">
        <f t="shared" si="4"/>
        <v>0</v>
      </c>
      <c r="Y16" s="76">
        <f t="shared" si="5"/>
        <v>0</v>
      </c>
      <c r="Z16" s="76">
        <f t="shared" si="6"/>
        <v>0</v>
      </c>
      <c r="AA16" s="76">
        <f t="shared" si="7"/>
        <v>0</v>
      </c>
      <c r="AB16" s="77">
        <f t="shared" si="38"/>
        <v>0</v>
      </c>
      <c r="AC16" s="114">
        <v>0</v>
      </c>
      <c r="AD16" s="12"/>
      <c r="AE16" s="10"/>
      <c r="AF16" s="77">
        <v>0</v>
      </c>
      <c r="AG16" s="75">
        <f t="shared" si="9"/>
        <v>0</v>
      </c>
      <c r="AH16" s="75">
        <f t="shared" si="37"/>
        <v>0</v>
      </c>
      <c r="AI16" s="75">
        <f t="shared" ref="AI16:AI33" si="39">IF(SUM(Q16:T16) &lt; 21000, SUM(X16:AA16)*0.0075, 0)</f>
        <v>0</v>
      </c>
      <c r="AJ16" s="13"/>
      <c r="AK16" s="75">
        <f t="shared" si="30"/>
        <v>0</v>
      </c>
      <c r="AL16" s="75">
        <f t="shared" si="13"/>
        <v>0</v>
      </c>
      <c r="AM16" s="75">
        <f t="shared" si="31"/>
        <v>0</v>
      </c>
      <c r="AN16" s="78">
        <f t="shared" si="33"/>
        <v>0</v>
      </c>
      <c r="AO16" s="75">
        <f t="shared" ref="AO16:AO32" si="40">AI16/0.0075*0.0325</f>
        <v>0</v>
      </c>
      <c r="AP16" s="75">
        <f t="shared" si="32"/>
        <v>0</v>
      </c>
      <c r="AQ16" s="13"/>
      <c r="AR16" s="75">
        <f t="shared" si="18"/>
        <v>0</v>
      </c>
      <c r="AS16" s="29">
        <f>'Sep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'Sep 2025'!O17</f>
        <v>9</v>
      </c>
      <c r="L17" s="101">
        <v>3</v>
      </c>
      <c r="M17" s="104">
        <v>0</v>
      </c>
      <c r="N17" s="71">
        <f t="shared" si="0"/>
        <v>0</v>
      </c>
      <c r="O17" s="71">
        <f t="shared" si="1"/>
        <v>12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38"/>
        <v>13125</v>
      </c>
      <c r="AC17" s="77">
        <f t="shared" ref="AC17:AC20" si="41">V17*0.7</f>
        <v>9187.5</v>
      </c>
      <c r="AD17" s="12"/>
      <c r="AE17" s="10"/>
      <c r="AF17" s="77">
        <v>0</v>
      </c>
      <c r="AG17" s="75">
        <f t="shared" si="9"/>
        <v>1800</v>
      </c>
      <c r="AH17" s="75">
        <f t="shared" si="37"/>
        <v>200</v>
      </c>
      <c r="AI17" s="75">
        <f t="shared" si="39"/>
        <v>0</v>
      </c>
      <c r="AJ17" s="13"/>
      <c r="AK17" s="75">
        <f t="shared" si="30"/>
        <v>79145.833333333343</v>
      </c>
      <c r="AL17" s="75">
        <f t="shared" si="13"/>
        <v>2000</v>
      </c>
      <c r="AM17" s="75">
        <f t="shared" si="31"/>
        <v>77145.833333333343</v>
      </c>
      <c r="AN17" s="78">
        <f t="shared" si="33"/>
        <v>77146</v>
      </c>
      <c r="AO17" s="75">
        <f t="shared" si="40"/>
        <v>0</v>
      </c>
      <c r="AP17" s="75">
        <f t="shared" si="32"/>
        <v>1800</v>
      </c>
      <c r="AQ17" s="13"/>
      <c r="AR17" s="75">
        <f t="shared" si="18"/>
        <v>80945.833333333343</v>
      </c>
      <c r="AS17" s="29">
        <f>'Sep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'Sep 2025'!O18</f>
        <v>0</v>
      </c>
      <c r="L18" s="101">
        <v>3</v>
      </c>
      <c r="M18" s="38">
        <v>1</v>
      </c>
      <c r="N18" s="24">
        <f t="shared" si="0"/>
        <v>0</v>
      </c>
      <c r="O18" s="24">
        <f t="shared" si="1"/>
        <v>2</v>
      </c>
      <c r="P18" s="24">
        <f t="shared" si="2"/>
        <v>31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"/>
        <v>28560</v>
      </c>
      <c r="X18" s="30">
        <f t="shared" si="4"/>
        <v>15000</v>
      </c>
      <c r="Y18" s="30">
        <f t="shared" si="5"/>
        <v>5700</v>
      </c>
      <c r="Z18" s="30">
        <f t="shared" si="6"/>
        <v>1900</v>
      </c>
      <c r="AA18" s="30">
        <f t="shared" si="7"/>
        <v>1900</v>
      </c>
      <c r="AB18" s="91">
        <f t="shared" ref="AB18:AB19" si="42">U18*0.9</f>
        <v>1827</v>
      </c>
      <c r="AC18" s="91">
        <f t="shared" si="41"/>
        <v>1421</v>
      </c>
      <c r="AD18" s="12"/>
      <c r="AE18" s="10"/>
      <c r="AF18" s="31">
        <v>0</v>
      </c>
      <c r="AG18" s="29">
        <f t="shared" si="9"/>
        <v>1800</v>
      </c>
      <c r="AH18" s="29">
        <f t="shared" si="37"/>
        <v>200</v>
      </c>
      <c r="AI18" s="29">
        <f t="shared" si="39"/>
        <v>0</v>
      </c>
      <c r="AJ18" s="13"/>
      <c r="AK18" s="29">
        <f t="shared" si="30"/>
        <v>27748</v>
      </c>
      <c r="AL18" s="29">
        <f t="shared" si="13"/>
        <v>2000</v>
      </c>
      <c r="AM18" s="29">
        <f t="shared" si="31"/>
        <v>25748</v>
      </c>
      <c r="AN18" s="33">
        <f t="shared" si="33"/>
        <v>25748</v>
      </c>
      <c r="AO18" s="29">
        <f t="shared" si="40"/>
        <v>0</v>
      </c>
      <c r="AP18" s="29">
        <f t="shared" si="32"/>
        <v>1800</v>
      </c>
      <c r="AQ18" s="13"/>
      <c r="AR18" s="29">
        <f t="shared" si="18"/>
        <v>29548</v>
      </c>
      <c r="AS18" s="29">
        <f>'Sep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79"/>
      <c r="AY18" s="75">
        <v>0</v>
      </c>
      <c r="AZ18" s="77" t="s">
        <v>165</v>
      </c>
    </row>
    <row r="19" spans="1:52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'Sep 2025'!O19</f>
        <v>2</v>
      </c>
      <c r="L19" s="101">
        <v>3</v>
      </c>
      <c r="M19" s="38">
        <v>1</v>
      </c>
      <c r="N19" s="24">
        <f t="shared" si="0"/>
        <v>0</v>
      </c>
      <c r="O19" s="24">
        <f t="shared" si="1"/>
        <v>4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"/>
        <v>29280</v>
      </c>
      <c r="X19" s="30">
        <f t="shared" si="4"/>
        <v>15000</v>
      </c>
      <c r="Y19" s="30">
        <f t="shared" si="5"/>
        <v>5700</v>
      </c>
      <c r="Z19" s="30">
        <f t="shared" si="6"/>
        <v>1900</v>
      </c>
      <c r="AA19" s="30">
        <f t="shared" si="7"/>
        <v>1900</v>
      </c>
      <c r="AB19" s="91">
        <f t="shared" si="42"/>
        <v>2151</v>
      </c>
      <c r="AC19" s="91">
        <f t="shared" si="41"/>
        <v>1673</v>
      </c>
      <c r="AD19" s="12"/>
      <c r="AE19" s="10"/>
      <c r="AF19" s="31">
        <v>0</v>
      </c>
      <c r="AG19" s="29">
        <f t="shared" si="9"/>
        <v>1800</v>
      </c>
      <c r="AH19" s="29">
        <f t="shared" si="37"/>
        <v>200</v>
      </c>
      <c r="AI19" s="29">
        <f t="shared" si="39"/>
        <v>0</v>
      </c>
      <c r="AJ19" s="13"/>
      <c r="AK19" s="29">
        <f t="shared" si="30"/>
        <v>28324</v>
      </c>
      <c r="AL19" s="29">
        <f t="shared" si="13"/>
        <v>2000</v>
      </c>
      <c r="AM19" s="29">
        <f t="shared" si="31"/>
        <v>26324</v>
      </c>
      <c r="AN19" s="33">
        <f t="shared" si="33"/>
        <v>26324</v>
      </c>
      <c r="AO19" s="29">
        <f t="shared" si="40"/>
        <v>0</v>
      </c>
      <c r="AP19" s="29">
        <f t="shared" si="32"/>
        <v>1800</v>
      </c>
      <c r="AQ19" s="13"/>
      <c r="AR19" s="29">
        <f t="shared" si="18"/>
        <v>30124</v>
      </c>
      <c r="AS19" s="29">
        <f>'Sep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77" t="s">
        <v>165</v>
      </c>
    </row>
    <row r="20" spans="1:52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'Sep 2025'!O20</f>
        <v>0</v>
      </c>
      <c r="L20" s="101">
        <v>3</v>
      </c>
      <c r="M20" s="38">
        <v>3</v>
      </c>
      <c r="N20" s="24">
        <f t="shared" si="0"/>
        <v>0</v>
      </c>
      <c r="O20" s="24">
        <f t="shared" si="1"/>
        <v>0</v>
      </c>
      <c r="P20" s="24">
        <f t="shared" si="2"/>
        <v>31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"/>
        <v>27204</v>
      </c>
      <c r="X20" s="30">
        <f t="shared" si="4"/>
        <v>15000</v>
      </c>
      <c r="Y20" s="30">
        <f t="shared" si="5"/>
        <v>5130</v>
      </c>
      <c r="Z20" s="30">
        <f t="shared" si="6"/>
        <v>1710</v>
      </c>
      <c r="AA20" s="30">
        <f t="shared" si="7"/>
        <v>1710</v>
      </c>
      <c r="AB20" s="91">
        <f>U20*0.8</f>
        <v>1461.6000000000001</v>
      </c>
      <c r="AC20" s="91">
        <f t="shared" si="41"/>
        <v>1278.8999999999999</v>
      </c>
      <c r="AD20" s="12"/>
      <c r="AE20" s="10"/>
      <c r="AF20" s="31">
        <v>0</v>
      </c>
      <c r="AG20" s="29">
        <f t="shared" si="9"/>
        <v>1800</v>
      </c>
      <c r="AH20" s="29">
        <f t="shared" si="37"/>
        <v>200</v>
      </c>
      <c r="AI20" s="29">
        <f t="shared" si="39"/>
        <v>0</v>
      </c>
      <c r="AJ20" s="13"/>
      <c r="AK20" s="29">
        <f t="shared" si="30"/>
        <v>26290.5</v>
      </c>
      <c r="AL20" s="29">
        <f t="shared" si="13"/>
        <v>2000</v>
      </c>
      <c r="AM20" s="29">
        <f t="shared" si="31"/>
        <v>24290.5</v>
      </c>
      <c r="AN20" s="33">
        <f t="shared" si="33"/>
        <v>24291</v>
      </c>
      <c r="AO20" s="29">
        <f t="shared" si="40"/>
        <v>0</v>
      </c>
      <c r="AP20" s="29">
        <f t="shared" si="32"/>
        <v>1800</v>
      </c>
      <c r="AQ20" s="13"/>
      <c r="AR20" s="29">
        <f t="shared" si="18"/>
        <v>28090.5</v>
      </c>
      <c r="AS20" s="29">
        <f>'Sep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77" t="s">
        <v>165</v>
      </c>
    </row>
    <row r="21" spans="1:52" ht="15.75" customHeight="1" x14ac:dyDescent="0.3">
      <c r="A21" s="21">
        <v>1045</v>
      </c>
      <c r="B21" s="22" t="e">
        <f>VLOOKUP(A21,#REF!,2,FALSE)</f>
        <v>#REF!</v>
      </c>
      <c r="C21" s="8" t="e">
        <f>VLOOKUP(A21,#REF!,19,FALSE)</f>
        <v>#REF!</v>
      </c>
      <c r="D21" s="8" t="e">
        <f>VLOOKUP(A21,#REF!,8,FALSE)</f>
        <v>#REF!</v>
      </c>
      <c r="E21" s="8" t="e">
        <f>VLOOKUP(A21,#REF!,10,FALSE)</f>
        <v>#REF!</v>
      </c>
      <c r="F21" s="8" t="e">
        <f>VLOOKUP(A21,#REF!,11,FALSE)</f>
        <v>#REF!</v>
      </c>
      <c r="G21" s="8" t="e">
        <f>VLOOKUP(A21,#REF!,12,FALSE)</f>
        <v>#REF!</v>
      </c>
      <c r="H21" s="8"/>
      <c r="I21" s="100">
        <v>31</v>
      </c>
      <c r="J21" s="100">
        <v>0</v>
      </c>
      <c r="K21" s="115">
        <v>0</v>
      </c>
      <c r="L21" s="101">
        <v>0</v>
      </c>
      <c r="M21" s="38">
        <v>0</v>
      </c>
      <c r="N21" s="24">
        <f t="shared" si="0"/>
        <v>0</v>
      </c>
      <c r="O21" s="24">
        <f t="shared" si="1"/>
        <v>0</v>
      </c>
      <c r="P21" s="24">
        <f t="shared" si="2"/>
        <v>0</v>
      </c>
      <c r="Q21" s="36">
        <v>15000</v>
      </c>
      <c r="R21" s="36">
        <v>2850</v>
      </c>
      <c r="S21" s="36">
        <v>950</v>
      </c>
      <c r="T21" s="36">
        <v>950</v>
      </c>
      <c r="U21" s="36">
        <v>1195</v>
      </c>
      <c r="V21" s="36">
        <v>1195</v>
      </c>
      <c r="W21" s="29">
        <f t="shared" si="3"/>
        <v>22140</v>
      </c>
      <c r="X21" s="30" t="e">
        <f t="shared" si="4"/>
        <v>#DIV/0!</v>
      </c>
      <c r="Y21" s="30" t="e">
        <f t="shared" si="5"/>
        <v>#DIV/0!</v>
      </c>
      <c r="Z21" s="30" t="e">
        <f t="shared" si="6"/>
        <v>#DIV/0!</v>
      </c>
      <c r="AA21" s="30" t="e">
        <f t="shared" si="7"/>
        <v>#DIV/0!</v>
      </c>
      <c r="AB21" s="91">
        <f>U21*0.9*3</f>
        <v>3226.5</v>
      </c>
      <c r="AC21" s="91">
        <f>V21*0.7*3</f>
        <v>2509.5</v>
      </c>
      <c r="AD21" s="12"/>
      <c r="AE21" s="41"/>
      <c r="AF21" s="31">
        <v>0</v>
      </c>
      <c r="AG21" s="29" t="e">
        <f t="shared" si="9"/>
        <v>#DIV/0!</v>
      </c>
      <c r="AH21" s="29" t="e">
        <f t="shared" si="37"/>
        <v>#DIV/0!</v>
      </c>
      <c r="AI21" s="29" t="e">
        <f t="shared" si="39"/>
        <v>#DIV/0!</v>
      </c>
      <c r="AJ21" s="13"/>
      <c r="AK21" s="29" t="e">
        <f t="shared" si="30"/>
        <v>#DIV/0!</v>
      </c>
      <c r="AL21" s="29" t="e">
        <f t="shared" si="13"/>
        <v>#DIV/0!</v>
      </c>
      <c r="AM21" s="29" t="e">
        <f t="shared" si="31"/>
        <v>#DIV/0!</v>
      </c>
      <c r="AN21" s="33" t="e">
        <f t="shared" si="33"/>
        <v>#DIV/0!</v>
      </c>
      <c r="AO21" s="29" t="e">
        <f t="shared" si="40"/>
        <v>#DIV/0!</v>
      </c>
      <c r="AP21" s="29" t="e">
        <f t="shared" si="32"/>
        <v>#DIV/0!</v>
      </c>
      <c r="AQ21" s="13"/>
      <c r="AR21" s="29" t="e">
        <f t="shared" si="18"/>
        <v>#DIV/0!</v>
      </c>
      <c r="AS21" s="29">
        <f>'Sep 2025'!AT21</f>
        <v>0</v>
      </c>
      <c r="AT21" s="29">
        <f t="shared" si="28"/>
        <v>0</v>
      </c>
      <c r="AU21" s="34"/>
      <c r="AV21" s="31">
        <f t="shared" si="34"/>
        <v>0</v>
      </c>
      <c r="AW21" s="79"/>
      <c r="AX21" s="79"/>
      <c r="AY21" s="75">
        <v>0</v>
      </c>
      <c r="AZ21" s="114" t="s">
        <v>166</v>
      </c>
    </row>
    <row r="22" spans="1:52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'Sep 2025'!O22</f>
        <v>0.5</v>
      </c>
      <c r="L22" s="101">
        <v>3</v>
      </c>
      <c r="M22" s="38">
        <v>0.5</v>
      </c>
      <c r="N22" s="24">
        <f t="shared" si="0"/>
        <v>0</v>
      </c>
      <c r="O22" s="24">
        <f t="shared" si="1"/>
        <v>3</v>
      </c>
      <c r="P22" s="24">
        <f t="shared" si="2"/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si="3"/>
        <v>28804</v>
      </c>
      <c r="X22" s="30">
        <f t="shared" si="4"/>
        <v>15000</v>
      </c>
      <c r="Y22" s="30">
        <f t="shared" si="5"/>
        <v>5700</v>
      </c>
      <c r="Z22" s="30">
        <f t="shared" si="6"/>
        <v>1900</v>
      </c>
      <c r="AA22" s="30">
        <f t="shared" si="7"/>
        <v>1900</v>
      </c>
      <c r="AB22" s="91">
        <f t="shared" ref="AB22:AB23" si="43">U22*0.9</f>
        <v>1936.8</v>
      </c>
      <c r="AC22" s="91">
        <f t="shared" ref="AC22:AC25" si="44">V22*0.7</f>
        <v>1506.3999999999999</v>
      </c>
      <c r="AD22" s="12"/>
      <c r="AE22" s="10"/>
      <c r="AF22" s="31">
        <v>0</v>
      </c>
      <c r="AG22" s="29">
        <f t="shared" si="9"/>
        <v>1800</v>
      </c>
      <c r="AH22" s="29">
        <f t="shared" si="37"/>
        <v>200</v>
      </c>
      <c r="AI22" s="29">
        <f t="shared" si="39"/>
        <v>0</v>
      </c>
      <c r="AJ22" s="13"/>
      <c r="AK22" s="29">
        <f t="shared" si="30"/>
        <v>27943.200000000001</v>
      </c>
      <c r="AL22" s="29">
        <f t="shared" si="13"/>
        <v>2000</v>
      </c>
      <c r="AM22" s="29">
        <f t="shared" si="31"/>
        <v>25943.200000000001</v>
      </c>
      <c r="AN22" s="33">
        <f t="shared" si="33"/>
        <v>25943</v>
      </c>
      <c r="AO22" s="29">
        <f t="shared" si="40"/>
        <v>0</v>
      </c>
      <c r="AP22" s="29">
        <f t="shared" si="32"/>
        <v>1800</v>
      </c>
      <c r="AQ22" s="13"/>
      <c r="AR22" s="29">
        <f t="shared" si="18"/>
        <v>29743.200000000001</v>
      </c>
      <c r="AS22" s="29">
        <f>'Sep 2025'!AT22</f>
        <v>0</v>
      </c>
      <c r="AT22" s="29">
        <f t="shared" si="28"/>
        <v>0</v>
      </c>
      <c r="AU22" s="34"/>
      <c r="AV22" s="31">
        <f t="shared" si="34"/>
        <v>0</v>
      </c>
      <c r="AW22" s="79"/>
      <c r="AX22" s="79"/>
      <c r="AY22" s="75">
        <v>0</v>
      </c>
      <c r="AZ22" s="77" t="s">
        <v>165</v>
      </c>
    </row>
    <row r="23" spans="1:52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'Sep 2025'!O23</f>
        <v>0</v>
      </c>
      <c r="L23" s="101">
        <v>3</v>
      </c>
      <c r="M23" s="38">
        <v>0.5</v>
      </c>
      <c r="N23" s="24">
        <f t="shared" si="0"/>
        <v>0</v>
      </c>
      <c r="O23" s="24">
        <f t="shared" si="1"/>
        <v>2.5</v>
      </c>
      <c r="P23" s="24">
        <f t="shared" si="2"/>
        <v>31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3"/>
        <v>25831</v>
      </c>
      <c r="X23" s="30">
        <f t="shared" si="4"/>
        <v>15000</v>
      </c>
      <c r="Y23" s="30">
        <f t="shared" si="5"/>
        <v>4959</v>
      </c>
      <c r="Z23" s="30">
        <f t="shared" si="6"/>
        <v>1653</v>
      </c>
      <c r="AA23" s="30">
        <f t="shared" si="7"/>
        <v>1653</v>
      </c>
      <c r="AB23" s="91">
        <f t="shared" si="43"/>
        <v>1154.7</v>
      </c>
      <c r="AC23" s="91">
        <f t="shared" si="44"/>
        <v>898.09999999999991</v>
      </c>
      <c r="AD23" s="12"/>
      <c r="AE23" s="10"/>
      <c r="AF23" s="31">
        <v>0</v>
      </c>
      <c r="AG23" s="29">
        <f t="shared" si="9"/>
        <v>1800</v>
      </c>
      <c r="AH23" s="29">
        <f t="shared" si="37"/>
        <v>200</v>
      </c>
      <c r="AI23" s="29">
        <f t="shared" si="39"/>
        <v>0</v>
      </c>
      <c r="AJ23" s="13"/>
      <c r="AK23" s="29">
        <f t="shared" si="30"/>
        <v>25317.8</v>
      </c>
      <c r="AL23" s="29">
        <f t="shared" si="13"/>
        <v>2000</v>
      </c>
      <c r="AM23" s="29">
        <f t="shared" si="31"/>
        <v>23317.8</v>
      </c>
      <c r="AN23" s="33">
        <f t="shared" si="33"/>
        <v>23318</v>
      </c>
      <c r="AO23" s="29">
        <f t="shared" si="40"/>
        <v>0</v>
      </c>
      <c r="AP23" s="29">
        <f t="shared" si="32"/>
        <v>1800</v>
      </c>
      <c r="AQ23" s="13"/>
      <c r="AR23" s="29">
        <f t="shared" si="18"/>
        <v>27117.8</v>
      </c>
      <c r="AS23" s="29">
        <f>'Sep 2025'!AT23</f>
        <v>0</v>
      </c>
      <c r="AT23" s="29">
        <f t="shared" si="28"/>
        <v>0</v>
      </c>
      <c r="AU23" s="34"/>
      <c r="AV23" s="31">
        <f t="shared" si="34"/>
        <v>0</v>
      </c>
      <c r="AW23" s="79"/>
      <c r="AX23" s="79"/>
      <c r="AY23" s="75">
        <v>0</v>
      </c>
      <c r="AZ23" s="77" t="s">
        <v>165</v>
      </c>
    </row>
    <row r="24" spans="1:52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'Sep 2025'!O24</f>
        <v>0.5</v>
      </c>
      <c r="L24" s="101">
        <v>3</v>
      </c>
      <c r="M24" s="38">
        <v>1</v>
      </c>
      <c r="N24" s="45">
        <v>1</v>
      </c>
      <c r="O24" s="24">
        <f t="shared" si="1"/>
        <v>2.5</v>
      </c>
      <c r="P24" s="24">
        <f t="shared" si="2"/>
        <v>30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3"/>
        <v>40000</v>
      </c>
      <c r="X24" s="30">
        <f t="shared" si="4"/>
        <v>14516.129032258064</v>
      </c>
      <c r="Y24" s="30">
        <f t="shared" si="5"/>
        <v>5806.4516129032263</v>
      </c>
      <c r="Z24" s="30">
        <f t="shared" si="6"/>
        <v>4838.7096774193551</v>
      </c>
      <c r="AA24" s="30">
        <f t="shared" si="7"/>
        <v>5806.4516129032263</v>
      </c>
      <c r="AB24" s="77">
        <f>U24*1.1</f>
        <v>4400</v>
      </c>
      <c r="AC24" s="77">
        <f t="shared" si="44"/>
        <v>2800</v>
      </c>
      <c r="AD24" s="12"/>
      <c r="AE24" s="10"/>
      <c r="AF24" s="31">
        <v>0</v>
      </c>
      <c r="AG24" s="29">
        <f t="shared" si="9"/>
        <v>1741.9354838709676</v>
      </c>
      <c r="AH24" s="29">
        <f>IF(SUM(X24:AA24)&gt;=25000, 200, 0)</f>
        <v>200</v>
      </c>
      <c r="AI24" s="29">
        <f t="shared" si="39"/>
        <v>0</v>
      </c>
      <c r="AJ24" s="13"/>
      <c r="AK24" s="29">
        <f t="shared" si="30"/>
        <v>38167.741935483878</v>
      </c>
      <c r="AL24" s="29">
        <f t="shared" si="13"/>
        <v>1941.9354838709676</v>
      </c>
      <c r="AM24" s="29">
        <f t="shared" si="31"/>
        <v>36225.806451612909</v>
      </c>
      <c r="AN24" s="33">
        <f t="shared" si="33"/>
        <v>36226</v>
      </c>
      <c r="AO24" s="29">
        <f t="shared" si="40"/>
        <v>0</v>
      </c>
      <c r="AP24" s="29">
        <f t="shared" si="32"/>
        <v>1741.9354838709676</v>
      </c>
      <c r="AQ24" s="13"/>
      <c r="AR24" s="29">
        <f t="shared" si="18"/>
        <v>39909.677419354848</v>
      </c>
      <c r="AS24" s="29">
        <f>'Sep 2025'!AT24</f>
        <v>40000</v>
      </c>
      <c r="AT24" s="29">
        <f t="shared" si="28"/>
        <v>0</v>
      </c>
      <c r="AU24" s="34"/>
      <c r="AV24" s="31">
        <f t="shared" si="34"/>
        <v>0</v>
      </c>
      <c r="AW24" s="79"/>
      <c r="AX24" s="79"/>
      <c r="AY24" s="103">
        <v>40000</v>
      </c>
      <c r="AZ24" s="77" t="s">
        <v>165</v>
      </c>
    </row>
    <row r="25" spans="1:52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'Sep 2025'!O25</f>
        <v>1</v>
      </c>
      <c r="L25" s="101">
        <v>3</v>
      </c>
      <c r="M25" s="38">
        <v>1.5</v>
      </c>
      <c r="N25" s="24">
        <f t="shared" ref="N25:N34" si="45">IF(K25+L25-M25 &gt;= 0,0,M25-(K25+L25))</f>
        <v>0</v>
      </c>
      <c r="O25" s="24">
        <f t="shared" si="1"/>
        <v>2.5</v>
      </c>
      <c r="P25" s="24">
        <f t="shared" si="2"/>
        <v>31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3"/>
        <v>30166</v>
      </c>
      <c r="X25" s="30">
        <f t="shared" si="4"/>
        <v>15000</v>
      </c>
      <c r="Y25" s="30">
        <f t="shared" si="5"/>
        <v>5700</v>
      </c>
      <c r="Z25" s="30">
        <f t="shared" si="6"/>
        <v>1900</v>
      </c>
      <c r="AA25" s="30">
        <f t="shared" si="7"/>
        <v>1900</v>
      </c>
      <c r="AB25" s="91">
        <f>U25*1</f>
        <v>2833</v>
      </c>
      <c r="AC25" s="91">
        <f t="shared" si="44"/>
        <v>1983.1</v>
      </c>
      <c r="AD25" s="12"/>
      <c r="AE25" s="10"/>
      <c r="AF25" s="31">
        <v>0</v>
      </c>
      <c r="AG25" s="29">
        <f t="shared" si="9"/>
        <v>1800</v>
      </c>
      <c r="AH25" s="29">
        <f>IF(SUM(X25:AC25)&gt;=25000, 200, 0)</f>
        <v>200</v>
      </c>
      <c r="AI25" s="29">
        <f t="shared" si="39"/>
        <v>0</v>
      </c>
      <c r="AJ25" s="13"/>
      <c r="AK25" s="29">
        <f t="shared" si="30"/>
        <v>29316.1</v>
      </c>
      <c r="AL25" s="29">
        <f t="shared" si="13"/>
        <v>2000</v>
      </c>
      <c r="AM25" s="29">
        <f t="shared" si="31"/>
        <v>27316.1</v>
      </c>
      <c r="AN25" s="33">
        <f t="shared" si="33"/>
        <v>27316</v>
      </c>
      <c r="AO25" s="29">
        <f t="shared" si="40"/>
        <v>0</v>
      </c>
      <c r="AP25" s="29">
        <f t="shared" si="32"/>
        <v>1800</v>
      </c>
      <c r="AQ25" s="13"/>
      <c r="AR25" s="29">
        <f t="shared" si="18"/>
        <v>31116.1</v>
      </c>
      <c r="AS25" s="29">
        <f>'Sep 2025'!AT25</f>
        <v>0</v>
      </c>
      <c r="AT25" s="29">
        <f t="shared" si="28"/>
        <v>0</v>
      </c>
      <c r="AU25" s="34"/>
      <c r="AV25" s="31">
        <f t="shared" si="34"/>
        <v>0</v>
      </c>
      <c r="AW25" s="79"/>
      <c r="AX25" s="79"/>
      <c r="AY25" s="75">
        <v>0</v>
      </c>
      <c r="AZ25" s="77" t="s">
        <v>165</v>
      </c>
    </row>
    <row r="26" spans="1:52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'Sep 2025'!O26</f>
        <v>0</v>
      </c>
      <c r="L26" s="101">
        <v>3</v>
      </c>
      <c r="M26" s="38">
        <v>0</v>
      </c>
      <c r="N26" s="24">
        <f t="shared" si="45"/>
        <v>0</v>
      </c>
      <c r="O26" s="24">
        <f t="shared" si="1"/>
        <v>3</v>
      </c>
      <c r="P26" s="24">
        <f t="shared" si="2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3"/>
        <v>25865</v>
      </c>
      <c r="X26" s="30">
        <f t="shared" si="4"/>
        <v>15000</v>
      </c>
      <c r="Y26" s="30">
        <f t="shared" si="5"/>
        <v>3825</v>
      </c>
      <c r="Z26" s="30">
        <f t="shared" si="6"/>
        <v>1020.0000000000001</v>
      </c>
      <c r="AA26" s="30">
        <f t="shared" si="7"/>
        <v>1020.0000000000001</v>
      </c>
      <c r="AB26" s="91"/>
      <c r="AC26" s="106"/>
      <c r="AD26" s="12"/>
      <c r="AE26" s="10"/>
      <c r="AF26" s="31">
        <v>0</v>
      </c>
      <c r="AG26" s="29">
        <f t="shared" si="9"/>
        <v>1800</v>
      </c>
      <c r="AH26" s="29">
        <f>IF(SUM(X26:AA26)&gt;=25000, 200, 0)</f>
        <v>0</v>
      </c>
      <c r="AI26" s="29">
        <f t="shared" si="39"/>
        <v>156.48749999999998</v>
      </c>
      <c r="AJ26" s="13"/>
      <c r="AK26" s="29">
        <f t="shared" si="30"/>
        <v>20865</v>
      </c>
      <c r="AL26" s="29">
        <f t="shared" si="13"/>
        <v>1956.4875</v>
      </c>
      <c r="AM26" s="29">
        <f t="shared" si="31"/>
        <v>18908.512500000001</v>
      </c>
      <c r="AN26" s="33">
        <f t="shared" si="33"/>
        <v>18909</v>
      </c>
      <c r="AO26" s="29">
        <f t="shared" si="40"/>
        <v>678.11250000000007</v>
      </c>
      <c r="AP26" s="29">
        <f t="shared" si="32"/>
        <v>1800</v>
      </c>
      <c r="AQ26" s="13"/>
      <c r="AR26" s="29">
        <f t="shared" si="18"/>
        <v>23343.112499999999</v>
      </c>
      <c r="AS26" s="29">
        <f>'Sep 2025'!AT26</f>
        <v>0</v>
      </c>
      <c r="AT26" s="29">
        <f t="shared" si="28"/>
        <v>0</v>
      </c>
      <c r="AU26" s="34"/>
      <c r="AV26" s="31">
        <f t="shared" si="34"/>
        <v>0</v>
      </c>
      <c r="AW26" s="79"/>
      <c r="AX26" s="79"/>
      <c r="AY26" s="75">
        <v>0</v>
      </c>
      <c r="AZ26" s="77" t="s">
        <v>165</v>
      </c>
    </row>
    <row r="27" spans="1:52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'Sep 2025'!O27</f>
        <v>0.5</v>
      </c>
      <c r="L27" s="101">
        <v>3</v>
      </c>
      <c r="M27" s="38">
        <v>3</v>
      </c>
      <c r="N27" s="24">
        <f t="shared" si="45"/>
        <v>0</v>
      </c>
      <c r="O27" s="24">
        <f t="shared" si="1"/>
        <v>0.5</v>
      </c>
      <c r="P27" s="24">
        <f t="shared" si="2"/>
        <v>31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3"/>
        <v>25831</v>
      </c>
      <c r="X27" s="30">
        <f t="shared" si="4"/>
        <v>15000</v>
      </c>
      <c r="Y27" s="30">
        <f t="shared" si="5"/>
        <v>4845</v>
      </c>
      <c r="Z27" s="30">
        <f t="shared" si="6"/>
        <v>1615</v>
      </c>
      <c r="AA27" s="30">
        <f t="shared" si="7"/>
        <v>1615</v>
      </c>
      <c r="AB27" s="91">
        <f>U27*0.8</f>
        <v>1102.4000000000001</v>
      </c>
      <c r="AC27" s="91">
        <f t="shared" ref="AC27:AC29" si="46">V27*0.7</f>
        <v>964.59999999999991</v>
      </c>
      <c r="AD27" s="12"/>
      <c r="AE27" s="10"/>
      <c r="AF27" s="31">
        <v>0</v>
      </c>
      <c r="AG27" s="29">
        <f t="shared" si="9"/>
        <v>1800</v>
      </c>
      <c r="AH27" s="29">
        <f>IF(SUM(X27:AC27)&gt;=25000, 200, 0)</f>
        <v>200</v>
      </c>
      <c r="AI27" s="29">
        <f t="shared" si="39"/>
        <v>0</v>
      </c>
      <c r="AJ27" s="13"/>
      <c r="AK27" s="29">
        <f t="shared" si="30"/>
        <v>25142</v>
      </c>
      <c r="AL27" s="29">
        <f t="shared" si="13"/>
        <v>2000</v>
      </c>
      <c r="AM27" s="29">
        <f t="shared" si="31"/>
        <v>23142</v>
      </c>
      <c r="AN27" s="33">
        <f t="shared" si="33"/>
        <v>23142</v>
      </c>
      <c r="AO27" s="29">
        <f t="shared" si="40"/>
        <v>0</v>
      </c>
      <c r="AP27" s="29">
        <f t="shared" si="32"/>
        <v>1800</v>
      </c>
      <c r="AQ27" s="13"/>
      <c r="AR27" s="29">
        <f t="shared" si="18"/>
        <v>26942</v>
      </c>
      <c r="AS27" s="29">
        <f>'Sep 2025'!AT27</f>
        <v>0</v>
      </c>
      <c r="AT27" s="29">
        <f t="shared" si="28"/>
        <v>0</v>
      </c>
      <c r="AU27" s="34"/>
      <c r="AV27" s="31">
        <f t="shared" si="34"/>
        <v>0</v>
      </c>
      <c r="AW27" s="79"/>
      <c r="AX27" s="79"/>
      <c r="AY27" s="75">
        <v>0</v>
      </c>
      <c r="AZ27" s="77" t="s">
        <v>165</v>
      </c>
    </row>
    <row r="28" spans="1:52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'Sep 2025'!O28</f>
        <v>1.5</v>
      </c>
      <c r="L28" s="101">
        <v>3</v>
      </c>
      <c r="M28" s="38">
        <v>0.5</v>
      </c>
      <c r="N28" s="24">
        <f t="shared" si="45"/>
        <v>0</v>
      </c>
      <c r="O28" s="24">
        <f t="shared" si="1"/>
        <v>4</v>
      </c>
      <c r="P28" s="24">
        <f t="shared" si="2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3"/>
        <v>33000</v>
      </c>
      <c r="X28" s="30">
        <f t="shared" si="4"/>
        <v>15000</v>
      </c>
      <c r="Y28" s="30">
        <f t="shared" si="5"/>
        <v>4000</v>
      </c>
      <c r="Z28" s="30">
        <f t="shared" si="6"/>
        <v>4000</v>
      </c>
      <c r="AA28" s="30">
        <f t="shared" si="7"/>
        <v>4000</v>
      </c>
      <c r="AB28" s="77">
        <f t="shared" ref="AB28:AB29" si="47">U28*1</f>
        <v>3000</v>
      </c>
      <c r="AC28" s="77">
        <f t="shared" si="46"/>
        <v>2100</v>
      </c>
      <c r="AD28" s="12"/>
      <c r="AE28" s="10"/>
      <c r="AF28" s="31">
        <v>0</v>
      </c>
      <c r="AG28" s="29">
        <f t="shared" si="9"/>
        <v>1800</v>
      </c>
      <c r="AH28" s="29">
        <f>IF(SUM(X28:AA28)&gt;=25000, 200, 0)</f>
        <v>200</v>
      </c>
      <c r="AI28" s="29">
        <f t="shared" si="39"/>
        <v>0</v>
      </c>
      <c r="AJ28" s="13"/>
      <c r="AK28" s="29">
        <f t="shared" si="30"/>
        <v>32100</v>
      </c>
      <c r="AL28" s="29">
        <f t="shared" si="13"/>
        <v>2000</v>
      </c>
      <c r="AM28" s="29">
        <f t="shared" si="31"/>
        <v>30100</v>
      </c>
      <c r="AN28" s="33">
        <f t="shared" si="33"/>
        <v>30100</v>
      </c>
      <c r="AO28" s="29">
        <f t="shared" si="40"/>
        <v>0</v>
      </c>
      <c r="AP28" s="29">
        <f t="shared" si="32"/>
        <v>1800</v>
      </c>
      <c r="AQ28" s="13"/>
      <c r="AR28" s="29">
        <f t="shared" si="18"/>
        <v>33900</v>
      </c>
      <c r="AS28" s="29">
        <f>'Sep 2025'!AT28</f>
        <v>0</v>
      </c>
      <c r="AT28" s="29">
        <f t="shared" si="28"/>
        <v>0</v>
      </c>
      <c r="AU28" s="34"/>
      <c r="AV28" s="31">
        <f t="shared" si="34"/>
        <v>0</v>
      </c>
      <c r="AW28" s="79"/>
      <c r="AX28" s="79"/>
      <c r="AY28" s="103">
        <v>0</v>
      </c>
      <c r="AZ28" s="77" t="s">
        <v>165</v>
      </c>
    </row>
    <row r="29" spans="1:52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'Sep 2025'!O29</f>
        <v>3</v>
      </c>
      <c r="L29" s="101">
        <v>4</v>
      </c>
      <c r="M29" s="38">
        <v>2.5</v>
      </c>
      <c r="N29" s="24">
        <f t="shared" si="45"/>
        <v>0</v>
      </c>
      <c r="O29" s="24">
        <f t="shared" si="1"/>
        <v>4.5</v>
      </c>
      <c r="P29" s="24">
        <f t="shared" si="2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3"/>
        <v>25400</v>
      </c>
      <c r="X29" s="30">
        <f t="shared" si="4"/>
        <v>15000</v>
      </c>
      <c r="Y29" s="30">
        <f t="shared" si="5"/>
        <v>3000</v>
      </c>
      <c r="Z29" s="30">
        <f t="shared" si="6"/>
        <v>1800</v>
      </c>
      <c r="AA29" s="30">
        <f t="shared" si="7"/>
        <v>1800</v>
      </c>
      <c r="AB29" s="91">
        <f t="shared" si="47"/>
        <v>1900</v>
      </c>
      <c r="AC29" s="91">
        <f t="shared" si="46"/>
        <v>1330</v>
      </c>
      <c r="AD29" s="12"/>
      <c r="AE29" s="10"/>
      <c r="AF29" s="31">
        <v>0</v>
      </c>
      <c r="AG29" s="29">
        <f t="shared" si="9"/>
        <v>1800</v>
      </c>
      <c r="AH29" s="29">
        <f>IF(SUM(X29:AC29)&gt;=25000, 200, 0)</f>
        <v>0</v>
      </c>
      <c r="AI29" s="29">
        <f t="shared" si="39"/>
        <v>0</v>
      </c>
      <c r="AJ29" s="13"/>
      <c r="AK29" s="29">
        <f t="shared" si="30"/>
        <v>24830</v>
      </c>
      <c r="AL29" s="29">
        <f t="shared" si="13"/>
        <v>1800</v>
      </c>
      <c r="AM29" s="29">
        <f t="shared" si="31"/>
        <v>23030</v>
      </c>
      <c r="AN29" s="33">
        <f t="shared" si="33"/>
        <v>23030</v>
      </c>
      <c r="AO29" s="29">
        <f t="shared" si="40"/>
        <v>0</v>
      </c>
      <c r="AP29" s="29">
        <f t="shared" si="32"/>
        <v>1800</v>
      </c>
      <c r="AQ29" s="13"/>
      <c r="AR29" s="29">
        <f t="shared" si="18"/>
        <v>26630</v>
      </c>
      <c r="AS29" s="29">
        <f>'Sep 2025'!AT29</f>
        <v>0</v>
      </c>
      <c r="AT29" s="29">
        <f t="shared" ref="AT29:AT33" si="48">AS29+AD29-AJ29</f>
        <v>0</v>
      </c>
      <c r="AU29" s="34"/>
      <c r="AV29" s="31">
        <f t="shared" si="34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'Sep 2025'!O30</f>
        <v>5</v>
      </c>
      <c r="L30" s="101">
        <v>3</v>
      </c>
      <c r="M30" s="38">
        <v>0.5</v>
      </c>
      <c r="N30" s="24">
        <f t="shared" si="45"/>
        <v>0</v>
      </c>
      <c r="O30" s="24">
        <f t="shared" si="1"/>
        <v>7.5</v>
      </c>
      <c r="P30" s="24">
        <f t="shared" si="2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3"/>
        <v>24100</v>
      </c>
      <c r="X30" s="30">
        <f t="shared" si="4"/>
        <v>15000</v>
      </c>
      <c r="Y30" s="30">
        <f t="shared" si="5"/>
        <v>2800</v>
      </c>
      <c r="Z30" s="30">
        <f t="shared" si="6"/>
        <v>1800</v>
      </c>
      <c r="AA30" s="30">
        <f t="shared" si="7"/>
        <v>1300</v>
      </c>
      <c r="AB30" s="91"/>
      <c r="AC30" s="106"/>
      <c r="AD30" s="12"/>
      <c r="AE30" s="10"/>
      <c r="AF30" s="31">
        <v>0</v>
      </c>
      <c r="AG30" s="29">
        <f t="shared" si="9"/>
        <v>1800</v>
      </c>
      <c r="AH30" s="29">
        <f t="shared" ref="AH30:AH31" si="49">IF(SUM(X30:AA30)&gt;=25000, 200, 0)</f>
        <v>0</v>
      </c>
      <c r="AI30" s="29">
        <f t="shared" si="39"/>
        <v>156.75</v>
      </c>
      <c r="AJ30" s="13"/>
      <c r="AK30" s="29">
        <f t="shared" si="30"/>
        <v>20900</v>
      </c>
      <c r="AL30" s="29">
        <f t="shared" si="13"/>
        <v>1956.75</v>
      </c>
      <c r="AM30" s="29">
        <f t="shared" si="31"/>
        <v>18943.25</v>
      </c>
      <c r="AN30" s="33">
        <f t="shared" si="33"/>
        <v>18943</v>
      </c>
      <c r="AO30" s="29">
        <f t="shared" si="40"/>
        <v>679.25</v>
      </c>
      <c r="AP30" s="29">
        <f t="shared" si="32"/>
        <v>1800</v>
      </c>
      <c r="AQ30" s="13"/>
      <c r="AR30" s="29">
        <f t="shared" si="18"/>
        <v>23379.25</v>
      </c>
      <c r="AS30" s="29">
        <f>'Sep 2025'!AT30</f>
        <v>0</v>
      </c>
      <c r="AT30" s="29">
        <f t="shared" si="48"/>
        <v>0</v>
      </c>
      <c r="AU30" s="34"/>
      <c r="AV30" s="31">
        <f t="shared" si="34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'Sep 2025'!O31</f>
        <v>3</v>
      </c>
      <c r="L31" s="101">
        <v>3</v>
      </c>
      <c r="M31" s="38">
        <v>2</v>
      </c>
      <c r="N31" s="24">
        <f t="shared" si="45"/>
        <v>0</v>
      </c>
      <c r="O31" s="24">
        <f t="shared" si="1"/>
        <v>4</v>
      </c>
      <c r="P31" s="24">
        <f t="shared" si="2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3"/>
        <v>24100</v>
      </c>
      <c r="X31" s="30">
        <f t="shared" si="4"/>
        <v>15000</v>
      </c>
      <c r="Y31" s="30">
        <f t="shared" si="5"/>
        <v>2800</v>
      </c>
      <c r="Z31" s="30">
        <f t="shared" si="6"/>
        <v>1800</v>
      </c>
      <c r="AA31" s="30">
        <f t="shared" si="7"/>
        <v>1300</v>
      </c>
      <c r="AB31" s="91"/>
      <c r="AC31" s="106"/>
      <c r="AD31" s="12"/>
      <c r="AE31" s="10"/>
      <c r="AF31" s="31">
        <v>0</v>
      </c>
      <c r="AG31" s="29">
        <f t="shared" si="9"/>
        <v>1800</v>
      </c>
      <c r="AH31" s="29">
        <f t="shared" si="49"/>
        <v>0</v>
      </c>
      <c r="AI31" s="29">
        <f t="shared" si="39"/>
        <v>156.75</v>
      </c>
      <c r="AJ31" s="13"/>
      <c r="AK31" s="29">
        <f t="shared" si="30"/>
        <v>20900</v>
      </c>
      <c r="AL31" s="29">
        <f t="shared" si="13"/>
        <v>1956.75</v>
      </c>
      <c r="AM31" s="29">
        <f t="shared" si="31"/>
        <v>18943.25</v>
      </c>
      <c r="AN31" s="33">
        <f t="shared" si="33"/>
        <v>18943</v>
      </c>
      <c r="AO31" s="29">
        <f t="shared" si="40"/>
        <v>679.25</v>
      </c>
      <c r="AP31" s="29">
        <f t="shared" si="32"/>
        <v>1800</v>
      </c>
      <c r="AQ31" s="13"/>
      <c r="AR31" s="29">
        <f t="shared" si="18"/>
        <v>23379.25</v>
      </c>
      <c r="AS31" s="29">
        <f>'Sep 2025'!AT31</f>
        <v>0</v>
      </c>
      <c r="AT31" s="29">
        <f t="shared" si="48"/>
        <v>0</v>
      </c>
      <c r="AU31" s="34"/>
      <c r="AV31" s="31">
        <f t="shared" si="34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31</v>
      </c>
      <c r="J32" s="100">
        <v>28</v>
      </c>
      <c r="K32" s="71">
        <f>'Sep 2025'!O32</f>
        <v>4</v>
      </c>
      <c r="L32" s="101">
        <v>1</v>
      </c>
      <c r="M32" s="104">
        <v>0</v>
      </c>
      <c r="N32" s="71">
        <f t="shared" si="45"/>
        <v>0</v>
      </c>
      <c r="O32" s="71">
        <f t="shared" si="1"/>
        <v>5</v>
      </c>
      <c r="P32" s="71">
        <f t="shared" si="2"/>
        <v>28</v>
      </c>
      <c r="Q32" s="74">
        <v>90000</v>
      </c>
      <c r="R32" s="13"/>
      <c r="S32" s="13"/>
      <c r="T32" s="13"/>
      <c r="U32" s="13"/>
      <c r="V32" s="13"/>
      <c r="W32" s="75">
        <f t="shared" si="3"/>
        <v>90000</v>
      </c>
      <c r="X32" s="76">
        <f t="shared" si="4"/>
        <v>81290.322580645152</v>
      </c>
      <c r="Y32" s="76">
        <f t="shared" si="5"/>
        <v>0</v>
      </c>
      <c r="Z32" s="76">
        <f t="shared" si="6"/>
        <v>0</v>
      </c>
      <c r="AA32" s="76">
        <f t="shared" si="7"/>
        <v>0</v>
      </c>
      <c r="AB32" s="91">
        <f>U32*0.9</f>
        <v>0</v>
      </c>
      <c r="AC32" s="91">
        <f>V32*0.9*1</f>
        <v>0</v>
      </c>
      <c r="AD32" s="12"/>
      <c r="AE32" s="41"/>
      <c r="AF32" s="77">
        <v>0</v>
      </c>
      <c r="AG32" s="75">
        <v>0</v>
      </c>
      <c r="AH32" s="75">
        <v>0</v>
      </c>
      <c r="AI32" s="29">
        <f t="shared" si="39"/>
        <v>0</v>
      </c>
      <c r="AJ32" s="13"/>
      <c r="AK32" s="75">
        <f t="shared" si="30"/>
        <v>81290.322580645152</v>
      </c>
      <c r="AL32" s="75">
        <f t="shared" si="13"/>
        <v>8129.0322580645152</v>
      </c>
      <c r="AM32" s="75">
        <f t="shared" si="31"/>
        <v>81290.322580645152</v>
      </c>
      <c r="AN32" s="78">
        <f t="shared" si="33"/>
        <v>73160.967741935485</v>
      </c>
      <c r="AO32" s="75">
        <f t="shared" si="40"/>
        <v>0</v>
      </c>
      <c r="AP32" s="75">
        <f t="shared" si="32"/>
        <v>0</v>
      </c>
      <c r="AQ32" s="13"/>
      <c r="AR32" s="75">
        <f t="shared" si="18"/>
        <v>81290.322580645152</v>
      </c>
      <c r="AS32" s="29">
        <f>'Sep 2025'!AT32</f>
        <v>0</v>
      </c>
      <c r="AT32" s="75">
        <f t="shared" si="48"/>
        <v>0</v>
      </c>
      <c r="AU32" s="92">
        <f>(0.1*AK32)</f>
        <v>8129.0322580645152</v>
      </c>
      <c r="AV32" s="77">
        <f t="shared" si="34"/>
        <v>0</v>
      </c>
      <c r="AW32" s="93">
        <f>AU32+'Apr 2025'!AU32+'May 2025'!AU32+'June 2025'!AU32+'July 2025'!AU32+'Aug 2025'!AU32+'Sep 2025'!AU32</f>
        <v>48071.0171610334</v>
      </c>
      <c r="AX32" s="113"/>
      <c r="AY32" s="75">
        <v>0</v>
      </c>
      <c r="AZ32" s="77" t="s">
        <v>165</v>
      </c>
    </row>
    <row r="33" spans="1:52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31</v>
      </c>
      <c r="J33" s="100">
        <v>31</v>
      </c>
      <c r="K33" s="71">
        <f>'Sep 2025'!O33</f>
        <v>0</v>
      </c>
      <c r="L33" s="101">
        <v>3</v>
      </c>
      <c r="M33" s="104">
        <v>3.5</v>
      </c>
      <c r="N33" s="71">
        <f t="shared" si="45"/>
        <v>0.5</v>
      </c>
      <c r="O33" s="71">
        <f t="shared" si="1"/>
        <v>0</v>
      </c>
      <c r="P33" s="71">
        <f t="shared" si="2"/>
        <v>30.5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3"/>
        <v>18500</v>
      </c>
      <c r="X33" s="76">
        <f t="shared" si="4"/>
        <v>14758.064516129032</v>
      </c>
      <c r="Y33" s="76">
        <f t="shared" si="5"/>
        <v>1475.8064516129032</v>
      </c>
      <c r="Z33" s="76">
        <f t="shared" si="6"/>
        <v>0</v>
      </c>
      <c r="AA33" s="76">
        <f t="shared" si="7"/>
        <v>0</v>
      </c>
      <c r="AB33" s="91"/>
      <c r="AC33" s="106"/>
      <c r="AD33" s="53"/>
      <c r="AE33" s="10"/>
      <c r="AF33" s="77">
        <v>0</v>
      </c>
      <c r="AG33" s="29">
        <f>IF(X33&gt;15000,(15000 * 12%),X33*0.12)</f>
        <v>1770.9677419354839</v>
      </c>
      <c r="AH33" s="29">
        <f>IF(SUM(X33:AA33)&gt;=25000, 200, 0)</f>
        <v>0</v>
      </c>
      <c r="AI33" s="29">
        <f t="shared" si="39"/>
        <v>121.75403225806451</v>
      </c>
      <c r="AJ33" s="54">
        <v>1500</v>
      </c>
      <c r="AK33" s="75">
        <f t="shared" si="30"/>
        <v>16233.870967741936</v>
      </c>
      <c r="AL33" s="75">
        <f t="shared" si="13"/>
        <v>3392.7217741935483</v>
      </c>
      <c r="AM33" s="75">
        <f t="shared" si="31"/>
        <v>12841.149193548386</v>
      </c>
      <c r="AN33" s="78">
        <f t="shared" si="33"/>
        <v>12841</v>
      </c>
      <c r="AO33" s="75">
        <v>0</v>
      </c>
      <c r="AP33" s="75">
        <v>0</v>
      </c>
      <c r="AQ33" s="13"/>
      <c r="AR33" s="75">
        <f t="shared" si="18"/>
        <v>16233.870967741936</v>
      </c>
      <c r="AS33" s="29">
        <f>'Sep 2025'!AT33</f>
        <v>15500</v>
      </c>
      <c r="AT33" s="75">
        <f t="shared" si="48"/>
        <v>14000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3" t="s">
        <v>101</v>
      </c>
      <c r="C34" s="3" t="s">
        <v>11</v>
      </c>
      <c r="D34" s="1"/>
      <c r="E34" s="8"/>
      <c r="F34" s="8"/>
      <c r="G34" s="8"/>
      <c r="H34" s="1"/>
      <c r="I34" s="100">
        <v>31</v>
      </c>
      <c r="J34" s="100">
        <v>31</v>
      </c>
      <c r="K34" s="71">
        <f>'Sep 2025'!O34</f>
        <v>1</v>
      </c>
      <c r="L34" s="101">
        <v>3</v>
      </c>
      <c r="M34" s="104">
        <v>1</v>
      </c>
      <c r="N34" s="71">
        <f t="shared" si="45"/>
        <v>0</v>
      </c>
      <c r="O34" s="71">
        <f t="shared" si="1"/>
        <v>3</v>
      </c>
      <c r="P34" s="71">
        <f t="shared" si="2"/>
        <v>31</v>
      </c>
      <c r="Q34" s="37">
        <v>12000</v>
      </c>
      <c r="R34" s="74"/>
      <c r="S34" s="13"/>
      <c r="T34" s="13"/>
      <c r="U34" s="74"/>
      <c r="V34" s="74"/>
      <c r="W34" s="75">
        <f t="shared" si="3"/>
        <v>12000</v>
      </c>
      <c r="X34" s="76">
        <f t="shared" si="4"/>
        <v>12000</v>
      </c>
      <c r="Y34" s="76">
        <f t="shared" si="5"/>
        <v>0</v>
      </c>
      <c r="Z34" s="76">
        <f t="shared" si="6"/>
        <v>0</v>
      </c>
      <c r="AA34" s="76">
        <f t="shared" si="7"/>
        <v>0</v>
      </c>
      <c r="AB34" s="91"/>
      <c r="AC34" s="91"/>
      <c r="AD34" s="53"/>
      <c r="AE34" s="10"/>
      <c r="AF34" s="77"/>
      <c r="AG34" s="29"/>
      <c r="AH34" s="29"/>
      <c r="AI34" s="29"/>
      <c r="AJ34" s="54"/>
      <c r="AK34" s="75">
        <f t="shared" si="30"/>
        <v>12000</v>
      </c>
      <c r="AL34" s="75">
        <f t="shared" si="13"/>
        <v>0</v>
      </c>
      <c r="AM34" s="75">
        <f t="shared" si="31"/>
        <v>12000</v>
      </c>
      <c r="AN34" s="78">
        <f t="shared" si="33"/>
        <v>12000</v>
      </c>
      <c r="AO34" s="75"/>
      <c r="AP34" s="75"/>
      <c r="AQ34" s="13"/>
      <c r="AR34" s="75"/>
      <c r="AS34" s="29">
        <f>'Aug 2025'!AT34</f>
        <v>0</v>
      </c>
      <c r="AT34" s="75"/>
      <c r="AU34" s="34"/>
      <c r="AV34" s="77"/>
      <c r="AW34" s="79"/>
      <c r="AX34" s="64"/>
      <c r="AY34" s="94"/>
      <c r="AZ34" s="114" t="s">
        <v>165</v>
      </c>
    </row>
    <row r="35" spans="1:52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95"/>
      <c r="AO35" s="95"/>
      <c r="AP35" s="6"/>
      <c r="AQ35" s="6"/>
      <c r="AR35" s="6"/>
      <c r="AS35" s="6"/>
      <c r="AT35" s="6"/>
      <c r="AU35" s="6"/>
      <c r="AV35" s="7"/>
      <c r="AW35" s="96"/>
      <c r="AX35" s="96"/>
      <c r="AY35" s="97"/>
      <c r="AZ35" s="7"/>
    </row>
    <row r="36" spans="1:52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7"/>
      <c r="AW36" s="96"/>
      <c r="AX36" s="96"/>
      <c r="AY36" s="97"/>
      <c r="AZ36" s="7"/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5.75" customHeight="1" x14ac:dyDescent="0.3">
      <c r="A1" s="1"/>
      <c r="B1" s="11">
        <v>45962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30</v>
      </c>
      <c r="J3" s="100">
        <v>30</v>
      </c>
      <c r="K3" s="71">
        <f>'Oct 2025'!O3</f>
        <v>17</v>
      </c>
      <c r="L3" s="101">
        <v>0</v>
      </c>
      <c r="M3" s="73">
        <v>0</v>
      </c>
      <c r="N3" s="71">
        <f t="shared" ref="N3:N11" si="0">IF(K3+L3-M3 &gt;= 0,0,M3-(K3+L3))</f>
        <v>0</v>
      </c>
      <c r="O3" s="71">
        <f t="shared" ref="O3:O11" si="1">IF(K3+L3-M3&gt;0,K3+L3-M3,0)</f>
        <v>17</v>
      </c>
      <c r="P3" s="71">
        <f t="shared" ref="P3:P20" si="2">J3-N3</f>
        <v>30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20" si="3">SUM(Q3:V3)</f>
        <v>100000</v>
      </c>
      <c r="X3" s="76">
        <f t="shared" ref="X3:X20" si="4">(Q3/I3*(J3)) * (1-N3/J3)</f>
        <v>30000</v>
      </c>
      <c r="Y3" s="76">
        <f t="shared" ref="Y3:Y20" si="5">(R3/I3*(J3)) * (1-N3/J3)</f>
        <v>15000</v>
      </c>
      <c r="Z3" s="76">
        <f t="shared" ref="Z3:Z20" si="6">(S3/I3*(J3)) * (1-N3/J3)</f>
        <v>7500</v>
      </c>
      <c r="AA3" s="76">
        <f t="shared" ref="AA3:AA20" si="7">(T3/I3*(J3)) * (1-N3/J3)</f>
        <v>7500</v>
      </c>
      <c r="AB3" s="12"/>
      <c r="AC3" s="73">
        <f t="shared" ref="AC3:AC4" si="8">V3*0.7</f>
        <v>28000</v>
      </c>
      <c r="AD3" s="12"/>
      <c r="AE3" s="10"/>
      <c r="AF3" s="77">
        <v>0</v>
      </c>
      <c r="AG3" s="75">
        <f t="shared" ref="AG3:AG20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20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20" si="18">AK3+AO3+AP3</f>
        <v>89800</v>
      </c>
      <c r="AS3" s="29">
        <f>'Oct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30</v>
      </c>
      <c r="J4" s="100">
        <v>30</v>
      </c>
      <c r="K4" s="71">
        <f>'Oct 2025'!O4</f>
        <v>17</v>
      </c>
      <c r="L4" s="101">
        <v>0</v>
      </c>
      <c r="M4" s="73">
        <v>0</v>
      </c>
      <c r="N4" s="71">
        <f t="shared" si="0"/>
        <v>0</v>
      </c>
      <c r="O4" s="71">
        <f t="shared" si="1"/>
        <v>17</v>
      </c>
      <c r="P4" s="71">
        <f t="shared" si="2"/>
        <v>30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2"/>
      <c r="AC4" s="73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'Oct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5.75" customHeight="1" x14ac:dyDescent="0.3">
      <c r="A5" s="81">
        <v>1001</v>
      </c>
      <c r="B5" s="69" t="e">
        <f>VLOOKUP(A5,#REF!,2,FALSE)</f>
        <v>#REF!</v>
      </c>
      <c r="C5" s="2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30</v>
      </c>
      <c r="J5" s="100">
        <v>30</v>
      </c>
      <c r="K5" s="71">
        <f>'Oct 2025'!O5</f>
        <v>4</v>
      </c>
      <c r="L5" s="101">
        <v>0</v>
      </c>
      <c r="M5" s="38">
        <v>2</v>
      </c>
      <c r="N5" s="24">
        <f t="shared" si="0"/>
        <v>0</v>
      </c>
      <c r="O5" s="24">
        <f t="shared" si="1"/>
        <v>2</v>
      </c>
      <c r="P5" s="24">
        <f t="shared" si="2"/>
        <v>30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91"/>
      <c r="AC5" s="106"/>
      <c r="AD5" s="9">
        <v>0</v>
      </c>
      <c r="AE5" s="10"/>
      <c r="AF5" s="42">
        <v>2277</v>
      </c>
      <c r="AG5" s="29">
        <f t="shared" si="9"/>
        <v>1800</v>
      </c>
      <c r="AH5" s="29">
        <f t="shared" ref="AH5:AH9" si="22">IF(SUM(X5:AA5)&gt;=25000, 200, 0)</f>
        <v>0</v>
      </c>
      <c r="AI5" s="29">
        <f t="shared" ref="AI5:AI6" si="23">IF(SUM(Q5:T5) &lt; 21000, SUM(X5:AA5)*0.75%, 0)</f>
        <v>156.75</v>
      </c>
      <c r="AJ5" s="32">
        <v>3000</v>
      </c>
      <c r="AK5" s="29">
        <f t="shared" ref="AK5:AK6" si="24">SUM(X5:AF5)-AD5</f>
        <v>23177</v>
      </c>
      <c r="AL5" s="29">
        <f t="shared" si="13"/>
        <v>4956.75</v>
      </c>
      <c r="AM5" s="29">
        <f t="shared" ref="AM5:AM6" si="25">SUM(X5:AF5)-SUM(AG5:AJ5)-AD5</f>
        <v>18220.25</v>
      </c>
      <c r="AN5" s="78">
        <f t="shared" ref="AN5:AN7" si="26">ROUND(AM5-AF5,0)-AU5</f>
        <v>15943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'Oct 2025'!AT5</f>
        <v>144000</v>
      </c>
      <c r="AT5" s="29">
        <f t="shared" ref="AT5:AT20" si="28">AS5+AD5-AJ5-AY5</f>
        <v>141000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5.75" customHeight="1" x14ac:dyDescent="0.3">
      <c r="A6" s="81">
        <v>1006</v>
      </c>
      <c r="B6" s="69" t="e">
        <f>VLOOKUP(A6,#REF!,2,FALSE)</f>
        <v>#REF!</v>
      </c>
      <c r="C6" s="2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30</v>
      </c>
      <c r="J6" s="100">
        <v>30</v>
      </c>
      <c r="K6" s="71">
        <f>'Oct 2025'!O6</f>
        <v>6.5</v>
      </c>
      <c r="L6" s="101">
        <v>0</v>
      </c>
      <c r="M6" s="38">
        <v>2</v>
      </c>
      <c r="N6" s="24">
        <f t="shared" si="0"/>
        <v>0</v>
      </c>
      <c r="O6" s="24">
        <f t="shared" si="1"/>
        <v>4.5</v>
      </c>
      <c r="P6" s="24">
        <f t="shared" si="2"/>
        <v>30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91"/>
      <c r="AC6" s="106"/>
      <c r="AD6" s="9">
        <v>0</v>
      </c>
      <c r="AE6" s="41">
        <v>2000</v>
      </c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25290</v>
      </c>
      <c r="AL6" s="29">
        <f t="shared" si="13"/>
        <v>1956.75</v>
      </c>
      <c r="AM6" s="29">
        <f t="shared" si="25"/>
        <v>23333.25</v>
      </c>
      <c r="AN6" s="78">
        <f t="shared" si="26"/>
        <v>20943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27919.25</v>
      </c>
      <c r="AS6" s="29">
        <f>'Oct 2025'!AT6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5.75" customHeight="1" x14ac:dyDescent="0.3">
      <c r="A7" s="81">
        <v>1024</v>
      </c>
      <c r="B7" s="69" t="e">
        <f>VLOOKUP(A7,#REF!,2,FALSE)</f>
        <v>#REF!</v>
      </c>
      <c r="C7" s="2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30</v>
      </c>
      <c r="J7" s="100">
        <v>30</v>
      </c>
      <c r="K7" s="71">
        <f>'Oct 2025'!O7</f>
        <v>3</v>
      </c>
      <c r="L7" s="101">
        <v>0</v>
      </c>
      <c r="M7" s="38">
        <v>0.5</v>
      </c>
      <c r="N7" s="24">
        <f t="shared" si="0"/>
        <v>0</v>
      </c>
      <c r="O7" s="24">
        <f t="shared" si="1"/>
        <v>2.5</v>
      </c>
      <c r="P7" s="24">
        <f t="shared" si="2"/>
        <v>30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91"/>
      <c r="AC7" s="106"/>
      <c r="AD7" s="10"/>
      <c r="AE7" s="10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20" si="30">SUM(X7:AF7)</f>
        <v>22803</v>
      </c>
      <c r="AL7" s="29">
        <f t="shared" si="13"/>
        <v>1957.35</v>
      </c>
      <c r="AM7" s="29">
        <f t="shared" ref="AM7:AM20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20" si="32">AG7</f>
        <v>1800</v>
      </c>
      <c r="AQ7" s="34"/>
      <c r="AR7" s="29">
        <f t="shared" si="18"/>
        <v>25284.85</v>
      </c>
      <c r="AS7" s="29">
        <f>'Oct 2025'!AT7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5.75" customHeight="1" x14ac:dyDescent="0.3">
      <c r="A8" s="21">
        <v>1028</v>
      </c>
      <c r="B8" s="69" t="e">
        <f>VLOOKUP(A8,#REF!,2,FALSE)</f>
        <v>#REF!</v>
      </c>
      <c r="C8" s="2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30</v>
      </c>
      <c r="J8" s="100">
        <v>30</v>
      </c>
      <c r="K8" s="71">
        <f>'Oct 2025'!O8</f>
        <v>0</v>
      </c>
      <c r="L8" s="101">
        <v>0</v>
      </c>
      <c r="M8" s="38">
        <v>30</v>
      </c>
      <c r="N8" s="24">
        <f t="shared" si="0"/>
        <v>30</v>
      </c>
      <c r="O8" s="24">
        <f t="shared" si="1"/>
        <v>0</v>
      </c>
      <c r="P8" s="24">
        <f t="shared" si="2"/>
        <v>0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f t="shared" si="4"/>
        <v>0</v>
      </c>
      <c r="Y8" s="30">
        <f t="shared" si="5"/>
        <v>0</v>
      </c>
      <c r="Z8" s="30">
        <f t="shared" si="6"/>
        <v>0</v>
      </c>
      <c r="AA8" s="30">
        <f t="shared" si="7"/>
        <v>0</v>
      </c>
      <c r="AB8" s="77"/>
      <c r="AC8" s="77"/>
      <c r="AD8" s="10"/>
      <c r="AE8" s="10"/>
      <c r="AF8" s="31">
        <v>0</v>
      </c>
      <c r="AG8" s="29">
        <f t="shared" si="9"/>
        <v>0</v>
      </c>
      <c r="AH8" s="29">
        <f t="shared" si="22"/>
        <v>0</v>
      </c>
      <c r="AI8" s="29">
        <f t="shared" si="29"/>
        <v>0</v>
      </c>
      <c r="AJ8" s="34"/>
      <c r="AK8" s="29">
        <f t="shared" si="30"/>
        <v>0</v>
      </c>
      <c r="AL8" s="29">
        <f t="shared" si="13"/>
        <v>0</v>
      </c>
      <c r="AM8" s="29">
        <f t="shared" si="31"/>
        <v>0</v>
      </c>
      <c r="AN8" s="78">
        <f t="shared" ref="AN8:AN20" si="33">ROUND(AM8-AF8,0)+AV8-AU8</f>
        <v>0</v>
      </c>
      <c r="AO8" s="29">
        <f t="shared" si="16"/>
        <v>0</v>
      </c>
      <c r="AP8" s="29">
        <f t="shared" si="32"/>
        <v>0</v>
      </c>
      <c r="AQ8" s="34"/>
      <c r="AR8" s="29">
        <f t="shared" si="18"/>
        <v>0</v>
      </c>
      <c r="AS8" s="29">
        <f>'Oct 2025'!AT8</f>
        <v>0</v>
      </c>
      <c r="AT8" s="29">
        <f t="shared" si="28"/>
        <v>0</v>
      </c>
      <c r="AU8" s="34"/>
      <c r="AV8" s="31">
        <f t="shared" ref="AV8:AV20" si="34">AF8*12</f>
        <v>0</v>
      </c>
      <c r="AW8" s="79">
        <f t="shared" si="21"/>
        <v>0</v>
      </c>
      <c r="AX8" s="79"/>
      <c r="AY8" s="75">
        <v>0</v>
      </c>
      <c r="AZ8" s="77" t="s">
        <v>165</v>
      </c>
    </row>
    <row r="9" spans="1:52" ht="15.75" customHeight="1" x14ac:dyDescent="0.3">
      <c r="A9" s="21">
        <v>1030</v>
      </c>
      <c r="B9" s="69" t="e">
        <f>VLOOKUP(A9,#REF!,2,FALSE)</f>
        <v>#REF!</v>
      </c>
      <c r="C9" s="2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30</v>
      </c>
      <c r="J9" s="100">
        <v>30</v>
      </c>
      <c r="K9" s="71">
        <f>'Oct 2025'!O9</f>
        <v>2</v>
      </c>
      <c r="L9" s="101">
        <v>0</v>
      </c>
      <c r="M9" s="38">
        <v>0</v>
      </c>
      <c r="N9" s="24">
        <f t="shared" si="0"/>
        <v>0</v>
      </c>
      <c r="O9" s="24">
        <f t="shared" si="1"/>
        <v>2</v>
      </c>
      <c r="P9" s="24">
        <f t="shared" si="2"/>
        <v>30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si="3"/>
        <v>31478</v>
      </c>
      <c r="X9" s="30">
        <f t="shared" si="4"/>
        <v>15000</v>
      </c>
      <c r="Y9" s="30">
        <f t="shared" si="5"/>
        <v>3540</v>
      </c>
      <c r="Z9" s="30">
        <f t="shared" si="6"/>
        <v>1180</v>
      </c>
      <c r="AA9" s="30">
        <f t="shared" si="7"/>
        <v>1180</v>
      </c>
      <c r="AB9" s="91"/>
      <c r="AC9" s="106"/>
      <c r="AD9" s="10"/>
      <c r="AE9" s="10"/>
      <c r="AF9" s="31">
        <v>0</v>
      </c>
      <c r="AG9" s="29">
        <f t="shared" si="9"/>
        <v>1800</v>
      </c>
      <c r="AH9" s="29">
        <f t="shared" si="22"/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'Oct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30</v>
      </c>
      <c r="J10" s="100">
        <v>30</v>
      </c>
      <c r="K10" s="71">
        <f>'Oct 2025'!O10</f>
        <v>0</v>
      </c>
      <c r="L10" s="101">
        <v>0</v>
      </c>
      <c r="M10" s="104">
        <v>1</v>
      </c>
      <c r="N10" s="24">
        <f t="shared" si="0"/>
        <v>1</v>
      </c>
      <c r="O10" s="71">
        <f t="shared" si="1"/>
        <v>0</v>
      </c>
      <c r="P10" s="71">
        <f t="shared" si="2"/>
        <v>29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f t="shared" si="4"/>
        <v>14500</v>
      </c>
      <c r="Y10" s="76">
        <f t="shared" si="5"/>
        <v>8700</v>
      </c>
      <c r="Z10" s="76">
        <f t="shared" si="6"/>
        <v>7733.3333333333339</v>
      </c>
      <c r="AA10" s="76">
        <f t="shared" si="7"/>
        <v>2900</v>
      </c>
      <c r="AB10" s="77">
        <f>U10*1.2</f>
        <v>7200</v>
      </c>
      <c r="AC10" s="77">
        <f>V10*0.7</f>
        <v>4200</v>
      </c>
      <c r="AD10" s="10"/>
      <c r="AE10" s="10"/>
      <c r="AF10" s="77">
        <v>0</v>
      </c>
      <c r="AG10" s="75">
        <f t="shared" si="9"/>
        <v>1740</v>
      </c>
      <c r="AH10" s="75">
        <f>IF(SUM(X10:AC10)&gt;=25000, 200, 0)</f>
        <v>200</v>
      </c>
      <c r="AI10" s="84">
        <v>0</v>
      </c>
      <c r="AJ10" s="34"/>
      <c r="AK10" s="75">
        <f t="shared" si="30"/>
        <v>45233.333333333336</v>
      </c>
      <c r="AL10" s="75">
        <f t="shared" si="13"/>
        <v>1940</v>
      </c>
      <c r="AM10" s="75">
        <f t="shared" si="31"/>
        <v>43293.333333333336</v>
      </c>
      <c r="AN10" s="78">
        <f t="shared" si="33"/>
        <v>43293</v>
      </c>
      <c r="AO10" s="75">
        <f t="shared" si="16"/>
        <v>0</v>
      </c>
      <c r="AP10" s="75">
        <f t="shared" si="32"/>
        <v>1740</v>
      </c>
      <c r="AQ10" s="34"/>
      <c r="AR10" s="75">
        <f t="shared" si="18"/>
        <v>46973.333333333336</v>
      </c>
      <c r="AS10" s="29">
        <f>'Oct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5.75" customHeight="1" x14ac:dyDescent="0.3">
      <c r="A11" s="21">
        <v>1033</v>
      </c>
      <c r="B11" s="69" t="e">
        <f>VLOOKUP(A11,#REF!,2,FALSE)</f>
        <v>#REF!</v>
      </c>
      <c r="C11" s="2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30</v>
      </c>
      <c r="J11" s="100">
        <v>30</v>
      </c>
      <c r="K11" s="71">
        <f>'Oct 2025'!O11</f>
        <v>0</v>
      </c>
      <c r="L11" s="101">
        <v>0</v>
      </c>
      <c r="M11" s="38">
        <v>30</v>
      </c>
      <c r="N11" s="24">
        <f t="shared" si="0"/>
        <v>30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"/>
        <v>22000</v>
      </c>
      <c r="X11" s="30">
        <f t="shared" si="4"/>
        <v>0</v>
      </c>
      <c r="Y11" s="30">
        <f t="shared" si="5"/>
        <v>0</v>
      </c>
      <c r="Z11" s="30">
        <f t="shared" si="6"/>
        <v>0</v>
      </c>
      <c r="AA11" s="30">
        <f t="shared" si="7"/>
        <v>0</v>
      </c>
      <c r="AB11" s="91"/>
      <c r="AC11" s="91"/>
      <c r="AD11" s="10"/>
      <c r="AE11" s="10"/>
      <c r="AF11" s="31">
        <v>0</v>
      </c>
      <c r="AG11" s="29">
        <f t="shared" si="9"/>
        <v>0</v>
      </c>
      <c r="AH11" s="29">
        <f>IF(SUM(X11:AA11)&gt;=25000, 200, 0)</f>
        <v>0</v>
      </c>
      <c r="AI11" s="29">
        <f t="shared" ref="AI11:AI14" si="35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'Oct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5.75" customHeight="1" x14ac:dyDescent="0.3">
      <c r="A12" s="21">
        <v>1034</v>
      </c>
      <c r="B12" s="69" t="e">
        <f>VLOOKUP(A12,#REF!,2,FALSE)</f>
        <v>#REF!</v>
      </c>
      <c r="C12" s="2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30</v>
      </c>
      <c r="J12" s="100">
        <v>30</v>
      </c>
      <c r="K12" s="71">
        <f>'Oct 2025'!O12</f>
        <v>1.5</v>
      </c>
      <c r="L12" s="101">
        <v>0</v>
      </c>
      <c r="M12" s="38">
        <v>21</v>
      </c>
      <c r="N12" s="45">
        <v>20</v>
      </c>
      <c r="O12" s="45">
        <v>0.5</v>
      </c>
      <c r="P12" s="24">
        <f t="shared" si="2"/>
        <v>10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"/>
        <v>30758</v>
      </c>
      <c r="X12" s="30">
        <f t="shared" si="4"/>
        <v>5000.0000000000009</v>
      </c>
      <c r="Y12" s="30">
        <f t="shared" si="5"/>
        <v>1652.0000000000002</v>
      </c>
      <c r="Z12" s="30">
        <f t="shared" si="6"/>
        <v>550.66666666666674</v>
      </c>
      <c r="AA12" s="30">
        <f t="shared" si="7"/>
        <v>590.00000000000011</v>
      </c>
      <c r="AB12" s="91">
        <f>U12*0.8</f>
        <v>2952</v>
      </c>
      <c r="AC12" s="91">
        <f t="shared" ref="AC12:AC13" si="36">V12*0.7</f>
        <v>2583</v>
      </c>
      <c r="AD12" s="10"/>
      <c r="AE12" s="10"/>
      <c r="AF12" s="31">
        <v>0</v>
      </c>
      <c r="AG12" s="29">
        <f t="shared" si="9"/>
        <v>600.00000000000011</v>
      </c>
      <c r="AH12" s="29">
        <f t="shared" ref="AH12:AH20" si="37">IF(SUM(X12:AC12)&gt;=25000, 200, 0)</f>
        <v>0</v>
      </c>
      <c r="AI12" s="29">
        <f t="shared" si="35"/>
        <v>0</v>
      </c>
      <c r="AJ12" s="34"/>
      <c r="AK12" s="29">
        <f t="shared" si="30"/>
        <v>13327.666666666668</v>
      </c>
      <c r="AL12" s="29">
        <f t="shared" si="13"/>
        <v>600.00000000000011</v>
      </c>
      <c r="AM12" s="29">
        <f t="shared" si="31"/>
        <v>12727.666666666668</v>
      </c>
      <c r="AN12" s="33">
        <f t="shared" si="33"/>
        <v>12728</v>
      </c>
      <c r="AO12" s="29">
        <f t="shared" si="16"/>
        <v>0</v>
      </c>
      <c r="AP12" s="29">
        <f t="shared" si="32"/>
        <v>600.00000000000011</v>
      </c>
      <c r="AQ12" s="34"/>
      <c r="AR12" s="29">
        <f t="shared" si="18"/>
        <v>13927.666666666668</v>
      </c>
      <c r="AS12" s="29">
        <f>'Oct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5.75" customHeight="1" x14ac:dyDescent="0.3">
      <c r="A13" s="21">
        <v>1036</v>
      </c>
      <c r="B13" s="69" t="e">
        <f>VLOOKUP(A13,#REF!,2,FALSE)</f>
        <v>#REF!</v>
      </c>
      <c r="C13" s="2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30</v>
      </c>
      <c r="J13" s="100">
        <v>30</v>
      </c>
      <c r="K13" s="71">
        <f>'Oct 2025'!O13</f>
        <v>2</v>
      </c>
      <c r="L13" s="101">
        <v>0</v>
      </c>
      <c r="M13" s="38">
        <v>1</v>
      </c>
      <c r="N13" s="24">
        <f t="shared" ref="N13:N20" si="38">IF(K13+L13-M13 &gt;= 0,0,M13-(K13+L13))</f>
        <v>0</v>
      </c>
      <c r="O13" s="24">
        <f t="shared" ref="O13:O20" si="39">IF(K13+L13-M13&gt;0,K13+L13-M13,0)</f>
        <v>1</v>
      </c>
      <c r="P13" s="24">
        <f t="shared" si="2"/>
        <v>30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"/>
        <v>29828</v>
      </c>
      <c r="X13" s="30">
        <f t="shared" si="4"/>
        <v>15000</v>
      </c>
      <c r="Y13" s="30">
        <f t="shared" si="5"/>
        <v>4956</v>
      </c>
      <c r="Z13" s="30">
        <f t="shared" si="6"/>
        <v>1652</v>
      </c>
      <c r="AA13" s="30">
        <f t="shared" si="7"/>
        <v>1180</v>
      </c>
      <c r="AB13" s="91">
        <f>U13*0.9</f>
        <v>3168</v>
      </c>
      <c r="AC13" s="91">
        <f t="shared" si="36"/>
        <v>2464</v>
      </c>
      <c r="AD13" s="12"/>
      <c r="AE13" s="10"/>
      <c r="AF13" s="31">
        <v>0</v>
      </c>
      <c r="AG13" s="29">
        <f t="shared" si="9"/>
        <v>1800</v>
      </c>
      <c r="AH13" s="29">
        <f t="shared" si="37"/>
        <v>200</v>
      </c>
      <c r="AI13" s="29">
        <f t="shared" si="35"/>
        <v>0</v>
      </c>
      <c r="AJ13" s="13"/>
      <c r="AK13" s="29">
        <f t="shared" si="30"/>
        <v>28420</v>
      </c>
      <c r="AL13" s="29">
        <f t="shared" si="13"/>
        <v>2000</v>
      </c>
      <c r="AM13" s="29">
        <f t="shared" si="31"/>
        <v>26420</v>
      </c>
      <c r="AN13" s="33">
        <f t="shared" si="33"/>
        <v>26420</v>
      </c>
      <c r="AO13" s="29">
        <f t="shared" si="16"/>
        <v>0</v>
      </c>
      <c r="AP13" s="29">
        <f t="shared" si="32"/>
        <v>1800</v>
      </c>
      <c r="AQ13" s="13"/>
      <c r="AR13" s="29">
        <f t="shared" si="18"/>
        <v>30220</v>
      </c>
      <c r="AS13" s="29">
        <f>'Oct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30</v>
      </c>
      <c r="J14" s="100">
        <v>30</v>
      </c>
      <c r="K14" s="71">
        <f>'Oct 2025'!O14</f>
        <v>0</v>
      </c>
      <c r="L14" s="101">
        <v>0</v>
      </c>
      <c r="M14" s="104">
        <v>30</v>
      </c>
      <c r="N14" s="71">
        <f t="shared" si="38"/>
        <v>30</v>
      </c>
      <c r="O14" s="71">
        <f t="shared" si="39"/>
        <v>0</v>
      </c>
      <c r="P14" s="71">
        <f t="shared" si="2"/>
        <v>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f t="shared" si="4"/>
        <v>0</v>
      </c>
      <c r="Y14" s="76">
        <f t="shared" si="5"/>
        <v>0</v>
      </c>
      <c r="Z14" s="76">
        <f t="shared" si="6"/>
        <v>0</v>
      </c>
      <c r="AA14" s="76">
        <f t="shared" si="7"/>
        <v>0</v>
      </c>
      <c r="AB14" s="114">
        <v>0</v>
      </c>
      <c r="AC14" s="114">
        <v>0</v>
      </c>
      <c r="AD14" s="12"/>
      <c r="AE14" s="10"/>
      <c r="AF14" s="77">
        <v>0</v>
      </c>
      <c r="AG14" s="75">
        <f t="shared" si="9"/>
        <v>0</v>
      </c>
      <c r="AH14" s="75">
        <f t="shared" si="37"/>
        <v>0</v>
      </c>
      <c r="AI14" s="75">
        <f t="shared" si="35"/>
        <v>0</v>
      </c>
      <c r="AJ14" s="13"/>
      <c r="AK14" s="75">
        <f t="shared" si="30"/>
        <v>0</v>
      </c>
      <c r="AL14" s="75">
        <f t="shared" si="13"/>
        <v>0</v>
      </c>
      <c r="AM14" s="75">
        <f t="shared" si="31"/>
        <v>0</v>
      </c>
      <c r="AN14" s="78">
        <f t="shared" si="33"/>
        <v>0</v>
      </c>
      <c r="AO14" s="75">
        <f t="shared" si="16"/>
        <v>0</v>
      </c>
      <c r="AP14" s="75">
        <f t="shared" si="32"/>
        <v>0</v>
      </c>
      <c r="AQ14" s="13"/>
      <c r="AR14" s="75">
        <f t="shared" si="18"/>
        <v>0</v>
      </c>
      <c r="AS14" s="29">
        <f>'Oct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77" t="s">
        <v>165</v>
      </c>
    </row>
    <row r="15" spans="1:52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30</v>
      </c>
      <c r="J15" s="100">
        <v>30</v>
      </c>
      <c r="K15" s="71">
        <f>'Oct 2025'!O15</f>
        <v>7</v>
      </c>
      <c r="L15" s="101">
        <v>0</v>
      </c>
      <c r="M15" s="104">
        <v>0</v>
      </c>
      <c r="N15" s="71">
        <f t="shared" si="38"/>
        <v>0</v>
      </c>
      <c r="O15" s="71">
        <f t="shared" si="39"/>
        <v>7</v>
      </c>
      <c r="P15" s="71">
        <f t="shared" si="2"/>
        <v>30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"/>
        <v>95895</v>
      </c>
      <c r="X15" s="76">
        <f t="shared" si="4"/>
        <v>30000</v>
      </c>
      <c r="Y15" s="76">
        <f t="shared" si="5"/>
        <v>21300</v>
      </c>
      <c r="Z15" s="76">
        <f t="shared" si="6"/>
        <v>15975</v>
      </c>
      <c r="AA15" s="76">
        <f t="shared" si="7"/>
        <v>12780</v>
      </c>
      <c r="AB15" s="77">
        <f t="shared" ref="AB15:AB17" si="40">U15*1</f>
        <v>7920</v>
      </c>
      <c r="AC15" s="77">
        <f>V15*0.7</f>
        <v>5544</v>
      </c>
      <c r="AD15" s="10"/>
      <c r="AE15" s="10"/>
      <c r="AF15" s="77">
        <v>0</v>
      </c>
      <c r="AG15" s="75">
        <f t="shared" si="9"/>
        <v>1800</v>
      </c>
      <c r="AH15" s="75">
        <f t="shared" si="37"/>
        <v>200</v>
      </c>
      <c r="AI15" s="85">
        <v>0</v>
      </c>
      <c r="AJ15" s="34"/>
      <c r="AK15" s="75">
        <f t="shared" si="30"/>
        <v>93519</v>
      </c>
      <c r="AL15" s="75">
        <f t="shared" si="13"/>
        <v>2000</v>
      </c>
      <c r="AM15" s="75">
        <f t="shared" si="31"/>
        <v>91519</v>
      </c>
      <c r="AN15" s="78">
        <f t="shared" si="33"/>
        <v>91519</v>
      </c>
      <c r="AO15" s="75">
        <v>0</v>
      </c>
      <c r="AP15" s="75">
        <f t="shared" si="32"/>
        <v>1800</v>
      </c>
      <c r="AQ15" s="34"/>
      <c r="AR15" s="75">
        <f t="shared" si="18"/>
        <v>95319</v>
      </c>
      <c r="AS15" s="29">
        <f>'Oct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30</v>
      </c>
      <c r="J16" s="100">
        <v>30</v>
      </c>
      <c r="K16" s="71">
        <f>'Oct 2025'!O16</f>
        <v>0</v>
      </c>
      <c r="L16" s="101">
        <v>0</v>
      </c>
      <c r="M16" s="104">
        <v>30</v>
      </c>
      <c r="N16" s="71">
        <f t="shared" si="38"/>
        <v>30</v>
      </c>
      <c r="O16" s="71">
        <f t="shared" si="39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"/>
        <v>85615</v>
      </c>
      <c r="X16" s="76">
        <f t="shared" si="4"/>
        <v>0</v>
      </c>
      <c r="Y16" s="76">
        <f t="shared" si="5"/>
        <v>0</v>
      </c>
      <c r="Z16" s="76">
        <f t="shared" si="6"/>
        <v>0</v>
      </c>
      <c r="AA16" s="76">
        <f t="shared" si="7"/>
        <v>0</v>
      </c>
      <c r="AB16" s="77">
        <f t="shared" si="40"/>
        <v>0</v>
      </c>
      <c r="AC16" s="114">
        <v>0</v>
      </c>
      <c r="AD16" s="12"/>
      <c r="AE16" s="10"/>
      <c r="AF16" s="77">
        <v>0</v>
      </c>
      <c r="AG16" s="75">
        <f t="shared" si="9"/>
        <v>0</v>
      </c>
      <c r="AH16" s="75">
        <f t="shared" si="37"/>
        <v>0</v>
      </c>
      <c r="AI16" s="75">
        <f t="shared" ref="AI16:AI20" si="41">IF(SUM(Q16:T16) &lt; 21000, SUM(X16:AA16)*0.0075, 0)</f>
        <v>0</v>
      </c>
      <c r="AJ16" s="13"/>
      <c r="AK16" s="75">
        <f t="shared" si="30"/>
        <v>0</v>
      </c>
      <c r="AL16" s="75">
        <f t="shared" si="13"/>
        <v>0</v>
      </c>
      <c r="AM16" s="75">
        <f t="shared" si="31"/>
        <v>0</v>
      </c>
      <c r="AN16" s="78">
        <f t="shared" si="33"/>
        <v>0</v>
      </c>
      <c r="AO16" s="75">
        <f t="shared" ref="AO16:AO20" si="42">AI16/0.0075*0.0325</f>
        <v>0</v>
      </c>
      <c r="AP16" s="75">
        <f t="shared" si="32"/>
        <v>0</v>
      </c>
      <c r="AQ16" s="13"/>
      <c r="AR16" s="75">
        <f t="shared" si="18"/>
        <v>0</v>
      </c>
      <c r="AS16" s="29">
        <f>'Oct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30</v>
      </c>
      <c r="J17" s="100">
        <v>30</v>
      </c>
      <c r="K17" s="71">
        <f>'Oct 2025'!O17</f>
        <v>12</v>
      </c>
      <c r="L17" s="101">
        <v>0</v>
      </c>
      <c r="M17" s="104">
        <v>0</v>
      </c>
      <c r="N17" s="71">
        <f t="shared" si="38"/>
        <v>0</v>
      </c>
      <c r="O17" s="71">
        <f t="shared" si="39"/>
        <v>12</v>
      </c>
      <c r="P17" s="71">
        <f t="shared" si="2"/>
        <v>30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f t="shared" si="4"/>
        <v>26000</v>
      </c>
      <c r="Y17" s="76">
        <f t="shared" si="5"/>
        <v>18750</v>
      </c>
      <c r="Z17" s="76">
        <f t="shared" si="6"/>
        <v>1250</v>
      </c>
      <c r="AA17" s="76">
        <f t="shared" si="7"/>
        <v>10833.333333333334</v>
      </c>
      <c r="AB17" s="77">
        <f t="shared" si="40"/>
        <v>13125</v>
      </c>
      <c r="AC17" s="77">
        <f t="shared" ref="AC17:AC20" si="43">V17*0.7</f>
        <v>9187.5</v>
      </c>
      <c r="AD17" s="12"/>
      <c r="AE17" s="10"/>
      <c r="AF17" s="77">
        <v>0</v>
      </c>
      <c r="AG17" s="75">
        <f t="shared" si="9"/>
        <v>1800</v>
      </c>
      <c r="AH17" s="75">
        <f t="shared" si="37"/>
        <v>200</v>
      </c>
      <c r="AI17" s="75">
        <f t="shared" si="41"/>
        <v>0</v>
      </c>
      <c r="AJ17" s="13"/>
      <c r="AK17" s="75">
        <f t="shared" si="30"/>
        <v>79145.833333333343</v>
      </c>
      <c r="AL17" s="75">
        <f t="shared" si="13"/>
        <v>2000</v>
      </c>
      <c r="AM17" s="75">
        <f t="shared" si="31"/>
        <v>77145.833333333343</v>
      </c>
      <c r="AN17" s="78">
        <f t="shared" si="33"/>
        <v>77146</v>
      </c>
      <c r="AO17" s="75">
        <f t="shared" si="42"/>
        <v>0</v>
      </c>
      <c r="AP17" s="75">
        <f t="shared" si="32"/>
        <v>1800</v>
      </c>
      <c r="AQ17" s="13"/>
      <c r="AR17" s="75">
        <f t="shared" si="18"/>
        <v>80945.833333333343</v>
      </c>
      <c r="AS17" s="29">
        <f>'Oct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5.75" customHeight="1" x14ac:dyDescent="0.3">
      <c r="A18" s="21">
        <v>1039</v>
      </c>
      <c r="B18" s="69" t="e">
        <f>VLOOKUP(A18,#REF!,2,FALSE)</f>
        <v>#REF!</v>
      </c>
      <c r="C18" s="2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30</v>
      </c>
      <c r="J18" s="100">
        <v>30</v>
      </c>
      <c r="K18" s="71">
        <f>'Oct 2025'!O18</f>
        <v>2</v>
      </c>
      <c r="L18" s="101">
        <v>0</v>
      </c>
      <c r="M18" s="38">
        <v>0.5</v>
      </c>
      <c r="N18" s="24">
        <f t="shared" si="38"/>
        <v>0</v>
      </c>
      <c r="O18" s="24">
        <f t="shared" si="39"/>
        <v>1.5</v>
      </c>
      <c r="P18" s="24">
        <f t="shared" si="2"/>
        <v>30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"/>
        <v>28560</v>
      </c>
      <c r="X18" s="30">
        <f t="shared" si="4"/>
        <v>15000</v>
      </c>
      <c r="Y18" s="30">
        <f t="shared" si="5"/>
        <v>5700</v>
      </c>
      <c r="Z18" s="30">
        <f t="shared" si="6"/>
        <v>1900</v>
      </c>
      <c r="AA18" s="30">
        <f t="shared" si="7"/>
        <v>1900</v>
      </c>
      <c r="AB18" s="91">
        <f t="shared" ref="AB18:AB19" si="44">U18*0.9</f>
        <v>1827</v>
      </c>
      <c r="AC18" s="91">
        <f t="shared" si="43"/>
        <v>1421</v>
      </c>
      <c r="AD18" s="12"/>
      <c r="AE18" s="10"/>
      <c r="AF18" s="31">
        <v>0</v>
      </c>
      <c r="AG18" s="29">
        <f t="shared" si="9"/>
        <v>1800</v>
      </c>
      <c r="AH18" s="29">
        <f t="shared" si="37"/>
        <v>200</v>
      </c>
      <c r="AI18" s="29">
        <f t="shared" si="41"/>
        <v>0</v>
      </c>
      <c r="AJ18" s="13"/>
      <c r="AK18" s="29">
        <f t="shared" si="30"/>
        <v>27748</v>
      </c>
      <c r="AL18" s="29">
        <f t="shared" si="13"/>
        <v>2000</v>
      </c>
      <c r="AM18" s="29">
        <f t="shared" si="31"/>
        <v>25748</v>
      </c>
      <c r="AN18" s="33">
        <f t="shared" si="33"/>
        <v>25748</v>
      </c>
      <c r="AO18" s="29">
        <f t="shared" si="42"/>
        <v>0</v>
      </c>
      <c r="AP18" s="29">
        <f t="shared" si="32"/>
        <v>1800</v>
      </c>
      <c r="AQ18" s="13"/>
      <c r="AR18" s="29">
        <f t="shared" si="18"/>
        <v>29548</v>
      </c>
      <c r="AS18" s="29">
        <f>'Oct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79"/>
      <c r="AY18" s="75">
        <v>0</v>
      </c>
      <c r="AZ18" s="77" t="s">
        <v>165</v>
      </c>
    </row>
    <row r="19" spans="1:52" ht="15.75" customHeight="1" x14ac:dyDescent="0.3">
      <c r="A19" s="21">
        <v>1040</v>
      </c>
      <c r="B19" s="69" t="e">
        <f>VLOOKUP(A19,#REF!,2,FALSE)</f>
        <v>#REF!</v>
      </c>
      <c r="C19" s="2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30</v>
      </c>
      <c r="J19" s="100">
        <v>30</v>
      </c>
      <c r="K19" s="71">
        <f>'Oct 2025'!O19</f>
        <v>4</v>
      </c>
      <c r="L19" s="101">
        <v>0</v>
      </c>
      <c r="M19" s="38">
        <v>2</v>
      </c>
      <c r="N19" s="24">
        <f t="shared" si="38"/>
        <v>0</v>
      </c>
      <c r="O19" s="24">
        <f t="shared" si="39"/>
        <v>2</v>
      </c>
      <c r="P19" s="24">
        <f t="shared" si="2"/>
        <v>30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"/>
        <v>29280</v>
      </c>
      <c r="X19" s="30">
        <f t="shared" si="4"/>
        <v>15000</v>
      </c>
      <c r="Y19" s="30">
        <f t="shared" si="5"/>
        <v>5700</v>
      </c>
      <c r="Z19" s="30">
        <f t="shared" si="6"/>
        <v>1900</v>
      </c>
      <c r="AA19" s="30">
        <f t="shared" si="7"/>
        <v>1900</v>
      </c>
      <c r="AB19" s="91">
        <f t="shared" si="44"/>
        <v>2151</v>
      </c>
      <c r="AC19" s="91">
        <f t="shared" si="43"/>
        <v>1673</v>
      </c>
      <c r="AD19" s="12"/>
      <c r="AE19" s="10"/>
      <c r="AF19" s="31">
        <v>0</v>
      </c>
      <c r="AG19" s="29">
        <f t="shared" si="9"/>
        <v>1800</v>
      </c>
      <c r="AH19" s="29">
        <f t="shared" si="37"/>
        <v>200</v>
      </c>
      <c r="AI19" s="29">
        <f t="shared" si="41"/>
        <v>0</v>
      </c>
      <c r="AJ19" s="13"/>
      <c r="AK19" s="29">
        <f t="shared" si="30"/>
        <v>28324</v>
      </c>
      <c r="AL19" s="29">
        <f t="shared" si="13"/>
        <v>2000</v>
      </c>
      <c r="AM19" s="29">
        <f t="shared" si="31"/>
        <v>26324</v>
      </c>
      <c r="AN19" s="33">
        <f t="shared" si="33"/>
        <v>26324</v>
      </c>
      <c r="AO19" s="29">
        <f t="shared" si="42"/>
        <v>0</v>
      </c>
      <c r="AP19" s="29">
        <f t="shared" si="32"/>
        <v>1800</v>
      </c>
      <c r="AQ19" s="13"/>
      <c r="AR19" s="29">
        <f t="shared" si="18"/>
        <v>30124</v>
      </c>
      <c r="AS19" s="29">
        <f>'Oct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77" t="s">
        <v>165</v>
      </c>
    </row>
    <row r="20" spans="1:52" ht="15.75" customHeight="1" x14ac:dyDescent="0.3">
      <c r="A20" s="21">
        <v>1043</v>
      </c>
      <c r="B20" s="69" t="e">
        <f>VLOOKUP(A20,#REF!,2,FALSE)</f>
        <v>#REF!</v>
      </c>
      <c r="C20" s="2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30</v>
      </c>
      <c r="J20" s="100">
        <v>30</v>
      </c>
      <c r="K20" s="71">
        <f>'Oct 2025'!O20</f>
        <v>0</v>
      </c>
      <c r="L20" s="101">
        <v>0</v>
      </c>
      <c r="M20" s="38">
        <v>0</v>
      </c>
      <c r="N20" s="24">
        <f t="shared" si="38"/>
        <v>0</v>
      </c>
      <c r="O20" s="24">
        <f t="shared" si="39"/>
        <v>0</v>
      </c>
      <c r="P20" s="24">
        <f t="shared" si="2"/>
        <v>30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"/>
        <v>27204</v>
      </c>
      <c r="X20" s="30">
        <f t="shared" si="4"/>
        <v>15000</v>
      </c>
      <c r="Y20" s="30">
        <f t="shared" si="5"/>
        <v>5130</v>
      </c>
      <c r="Z20" s="30">
        <f t="shared" si="6"/>
        <v>1710</v>
      </c>
      <c r="AA20" s="30">
        <f t="shared" si="7"/>
        <v>1710</v>
      </c>
      <c r="AB20" s="91">
        <f>U20*0.8</f>
        <v>1461.6000000000001</v>
      </c>
      <c r="AC20" s="91">
        <f t="shared" si="43"/>
        <v>1278.8999999999999</v>
      </c>
      <c r="AD20" s="12"/>
      <c r="AE20" s="10"/>
      <c r="AF20" s="31">
        <v>0</v>
      </c>
      <c r="AG20" s="29">
        <f t="shared" si="9"/>
        <v>1800</v>
      </c>
      <c r="AH20" s="29">
        <f t="shared" si="37"/>
        <v>200</v>
      </c>
      <c r="AI20" s="29">
        <f t="shared" si="41"/>
        <v>0</v>
      </c>
      <c r="AJ20" s="13"/>
      <c r="AK20" s="29">
        <f t="shared" si="30"/>
        <v>26290.5</v>
      </c>
      <c r="AL20" s="29">
        <f t="shared" si="13"/>
        <v>2000</v>
      </c>
      <c r="AM20" s="29">
        <f t="shared" si="31"/>
        <v>24290.5</v>
      </c>
      <c r="AN20" s="33">
        <f t="shared" si="33"/>
        <v>24291</v>
      </c>
      <c r="AO20" s="29">
        <f t="shared" si="42"/>
        <v>0</v>
      </c>
      <c r="AP20" s="29">
        <f t="shared" si="32"/>
        <v>1800</v>
      </c>
      <c r="AQ20" s="13"/>
      <c r="AR20" s="29">
        <f t="shared" si="18"/>
        <v>28090.5</v>
      </c>
      <c r="AS20" s="29">
        <f>'Oct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77" t="s">
        <v>165</v>
      </c>
    </row>
    <row r="21" spans="1:52" ht="15.75" customHeight="1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19">
        <v>0</v>
      </c>
      <c r="J21" s="119">
        <v>0</v>
      </c>
      <c r="K21" s="119"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19">
        <v>0</v>
      </c>
      <c r="AC21" s="11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  <c r="AK21" s="119">
        <v>0</v>
      </c>
      <c r="AL21" s="119">
        <v>0</v>
      </c>
      <c r="AM21" s="119">
        <v>0</v>
      </c>
      <c r="AN21" s="119">
        <v>0</v>
      </c>
      <c r="AO21" s="119">
        <v>0</v>
      </c>
      <c r="AP21" s="119">
        <v>0</v>
      </c>
      <c r="AQ21" s="119">
        <v>0</v>
      </c>
      <c r="AR21" s="119">
        <v>0</v>
      </c>
      <c r="AS21" s="119">
        <v>0</v>
      </c>
      <c r="AT21" s="119">
        <v>0</v>
      </c>
      <c r="AU21" s="119">
        <v>0</v>
      </c>
      <c r="AV21" s="119">
        <v>0</v>
      </c>
      <c r="AW21" s="119">
        <v>0</v>
      </c>
      <c r="AX21" s="119">
        <v>0</v>
      </c>
      <c r="AY21" s="119">
        <v>0</v>
      </c>
      <c r="AZ21" s="120" t="s">
        <v>166</v>
      </c>
    </row>
    <row r="22" spans="1:52" ht="15.75" customHeight="1" x14ac:dyDescent="0.3">
      <c r="A22" s="21">
        <v>1046</v>
      </c>
      <c r="B22" s="69" t="e">
        <f>VLOOKUP(A22,#REF!,2,FALSE)</f>
        <v>#REF!</v>
      </c>
      <c r="C22" s="2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30</v>
      </c>
      <c r="J22" s="100">
        <v>30</v>
      </c>
      <c r="K22" s="71">
        <f>'Oct 2025'!O22</f>
        <v>3</v>
      </c>
      <c r="L22" s="101">
        <v>0</v>
      </c>
      <c r="M22" s="38">
        <v>1.5</v>
      </c>
      <c r="N22" s="24">
        <f t="shared" ref="N22:N23" si="45">IF(K22+L22-M22 &gt;= 0,0,M22-(K22+L22))</f>
        <v>0</v>
      </c>
      <c r="O22" s="24">
        <f t="shared" ref="O22:O36" si="46">IF(K22+L22-M22&gt;0,K22+L22-M22,0)</f>
        <v>1.5</v>
      </c>
      <c r="P22" s="24">
        <f t="shared" ref="P22:P36" si="47">J22-N22</f>
        <v>30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ref="W22:W36" si="48">SUM(Q22:V22)</f>
        <v>28804</v>
      </c>
      <c r="X22" s="30">
        <f t="shared" ref="X22:X36" si="49">(Q22/I22*(J22)) * (1-N22/J22)</f>
        <v>15000</v>
      </c>
      <c r="Y22" s="30">
        <f t="shared" ref="Y22:Y36" si="50">(R22/I22*(J22)) * (1-N22/J22)</f>
        <v>5700</v>
      </c>
      <c r="Z22" s="30">
        <f t="shared" ref="Z22:Z36" si="51">(S22/I22*(J22)) * (1-N22/J22)</f>
        <v>1900</v>
      </c>
      <c r="AA22" s="30">
        <f t="shared" ref="AA22:AA36" si="52">(T22/I22*(J22)) * (1-N22/J22)</f>
        <v>1900</v>
      </c>
      <c r="AB22" s="91">
        <f t="shared" ref="AB22:AB23" si="53">U22*0.9</f>
        <v>1936.8</v>
      </c>
      <c r="AC22" s="91">
        <f t="shared" ref="AC22:AC25" si="54">V22*0.7</f>
        <v>1506.3999999999999</v>
      </c>
      <c r="AD22" s="12"/>
      <c r="AE22" s="10"/>
      <c r="AF22" s="31">
        <v>0</v>
      </c>
      <c r="AG22" s="29">
        <f t="shared" ref="AG22:AG31" si="55">IF(X22&gt;15000,(15000 * 12%),X22*0.12)</f>
        <v>1800</v>
      </c>
      <c r="AH22" s="29">
        <f t="shared" ref="AH22:AH23" si="56">IF(SUM(X22:AC22)&gt;=25000, 200, 0)</f>
        <v>200</v>
      </c>
      <c r="AI22" s="29">
        <f t="shared" ref="AI22:AI33" si="57">IF(SUM(Q22:T22) &lt; 21000, SUM(X22:AA22)*0.0075, 0)</f>
        <v>0</v>
      </c>
      <c r="AJ22" s="13"/>
      <c r="AK22" s="29">
        <f t="shared" ref="AK22:AK36" si="58">SUM(X22:AF22)</f>
        <v>27943.200000000001</v>
      </c>
      <c r="AL22" s="29">
        <f t="shared" ref="AL22:AL36" si="59">SUM(AG22:AJ22)+AU22</f>
        <v>2000</v>
      </c>
      <c r="AM22" s="29">
        <f t="shared" ref="AM22:AM36" si="60">SUM(X22:AF22)-SUM(AG22:AJ22)</f>
        <v>25943.200000000001</v>
      </c>
      <c r="AN22" s="33">
        <f t="shared" ref="AN22:AN36" si="61">ROUND(AM22-AF22,0)+AV22-AU22</f>
        <v>25943</v>
      </c>
      <c r="AO22" s="29">
        <f t="shared" ref="AO22:AO32" si="62">AI22/0.0075*0.0325</f>
        <v>0</v>
      </c>
      <c r="AP22" s="29">
        <f t="shared" ref="AP22:AP32" si="63">AG22</f>
        <v>1800</v>
      </c>
      <c r="AQ22" s="13"/>
      <c r="AR22" s="29">
        <f t="shared" ref="AR22:AR33" si="64">AK22+AO22+AP22</f>
        <v>29743.200000000001</v>
      </c>
      <c r="AS22" s="29">
        <f>'Oct 2025'!AT22</f>
        <v>0</v>
      </c>
      <c r="AT22" s="29">
        <f t="shared" ref="AT22:AT28" si="65">AS22+AD22-AJ22-AY22</f>
        <v>0</v>
      </c>
      <c r="AU22" s="34"/>
      <c r="AV22" s="31">
        <f t="shared" ref="AV22:AV32" si="66">AF22*12</f>
        <v>0</v>
      </c>
      <c r="AW22" s="79"/>
      <c r="AX22" s="79"/>
      <c r="AY22" s="75">
        <v>0</v>
      </c>
      <c r="AZ22" s="77" t="s">
        <v>165</v>
      </c>
    </row>
    <row r="23" spans="1:52" ht="15.75" customHeight="1" x14ac:dyDescent="0.3">
      <c r="A23" s="50">
        <v>1048</v>
      </c>
      <c r="B23" s="69" t="e">
        <f>VLOOKUP(A23,#REF!,2,FALSE)</f>
        <v>#REF!</v>
      </c>
      <c r="C23" s="2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30</v>
      </c>
      <c r="J23" s="100">
        <v>30</v>
      </c>
      <c r="K23" s="71">
        <f>'Oct 2025'!O23</f>
        <v>2.5</v>
      </c>
      <c r="L23" s="101">
        <v>0</v>
      </c>
      <c r="M23" s="38">
        <v>4</v>
      </c>
      <c r="N23" s="24">
        <f t="shared" si="45"/>
        <v>1.5</v>
      </c>
      <c r="O23" s="24">
        <f t="shared" si="46"/>
        <v>0</v>
      </c>
      <c r="P23" s="24">
        <f t="shared" si="47"/>
        <v>28.5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48"/>
        <v>25831</v>
      </c>
      <c r="X23" s="30">
        <f t="shared" si="49"/>
        <v>14250</v>
      </c>
      <c r="Y23" s="30">
        <f t="shared" si="50"/>
        <v>4711.05</v>
      </c>
      <c r="Z23" s="30">
        <f t="shared" si="51"/>
        <v>1570.35</v>
      </c>
      <c r="AA23" s="30">
        <f t="shared" si="52"/>
        <v>1570.35</v>
      </c>
      <c r="AB23" s="91">
        <f t="shared" si="53"/>
        <v>1154.7</v>
      </c>
      <c r="AC23" s="91">
        <f t="shared" si="54"/>
        <v>898.09999999999991</v>
      </c>
      <c r="AD23" s="12"/>
      <c r="AE23" s="10"/>
      <c r="AF23" s="31">
        <v>0</v>
      </c>
      <c r="AG23" s="29">
        <f t="shared" si="55"/>
        <v>1710</v>
      </c>
      <c r="AH23" s="29">
        <f t="shared" si="56"/>
        <v>0</v>
      </c>
      <c r="AI23" s="29">
        <f t="shared" si="57"/>
        <v>0</v>
      </c>
      <c r="AJ23" s="13"/>
      <c r="AK23" s="29">
        <f t="shared" si="58"/>
        <v>24154.549999999996</v>
      </c>
      <c r="AL23" s="29">
        <f t="shared" si="59"/>
        <v>1710</v>
      </c>
      <c r="AM23" s="29">
        <f t="shared" si="60"/>
        <v>22444.549999999996</v>
      </c>
      <c r="AN23" s="33">
        <f t="shared" si="61"/>
        <v>22445</v>
      </c>
      <c r="AO23" s="29">
        <f t="shared" si="62"/>
        <v>0</v>
      </c>
      <c r="AP23" s="29">
        <f t="shared" si="63"/>
        <v>1710</v>
      </c>
      <c r="AQ23" s="13"/>
      <c r="AR23" s="29">
        <f t="shared" si="64"/>
        <v>25864.549999999996</v>
      </c>
      <c r="AS23" s="29">
        <f>'Oct 2025'!AT23</f>
        <v>0</v>
      </c>
      <c r="AT23" s="29">
        <f t="shared" si="65"/>
        <v>0</v>
      </c>
      <c r="AU23" s="34"/>
      <c r="AV23" s="31">
        <f t="shared" si="66"/>
        <v>0</v>
      </c>
      <c r="AW23" s="79"/>
      <c r="AX23" s="79"/>
      <c r="AY23" s="75">
        <v>0</v>
      </c>
      <c r="AZ23" s="77" t="s">
        <v>165</v>
      </c>
    </row>
    <row r="24" spans="1:52" ht="15.75" customHeight="1" x14ac:dyDescent="0.3">
      <c r="A24" s="21">
        <v>1049</v>
      </c>
      <c r="B24" s="69" t="e">
        <f>VLOOKUP(A24,#REF!,2,FALSE)</f>
        <v>#REF!</v>
      </c>
      <c r="C24" s="2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30</v>
      </c>
      <c r="J24" s="100">
        <v>30</v>
      </c>
      <c r="K24" s="71">
        <f>'Oct 2025'!O24</f>
        <v>2.5</v>
      </c>
      <c r="L24" s="101">
        <v>0</v>
      </c>
      <c r="M24" s="38">
        <v>1.5</v>
      </c>
      <c r="N24" s="45">
        <v>1</v>
      </c>
      <c r="O24" s="24">
        <f t="shared" si="46"/>
        <v>1</v>
      </c>
      <c r="P24" s="24">
        <f t="shared" si="47"/>
        <v>29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48"/>
        <v>40000</v>
      </c>
      <c r="X24" s="30">
        <f t="shared" si="49"/>
        <v>14500</v>
      </c>
      <c r="Y24" s="30">
        <f t="shared" si="50"/>
        <v>5800</v>
      </c>
      <c r="Z24" s="30">
        <f t="shared" si="51"/>
        <v>4833.333333333333</v>
      </c>
      <c r="AA24" s="30">
        <f t="shared" si="52"/>
        <v>5800</v>
      </c>
      <c r="AB24" s="77">
        <f>U24*1.1</f>
        <v>4400</v>
      </c>
      <c r="AC24" s="77">
        <f t="shared" si="54"/>
        <v>2800</v>
      </c>
      <c r="AD24" s="12"/>
      <c r="AE24" s="10"/>
      <c r="AF24" s="31">
        <v>0</v>
      </c>
      <c r="AG24" s="29">
        <f t="shared" si="55"/>
        <v>1740</v>
      </c>
      <c r="AH24" s="29">
        <f>IF(SUM(X24:AA24)&gt;=25000, 200, 0)</f>
        <v>200</v>
      </c>
      <c r="AI24" s="29">
        <f t="shared" si="57"/>
        <v>0</v>
      </c>
      <c r="AJ24" s="13"/>
      <c r="AK24" s="29">
        <f t="shared" si="58"/>
        <v>38133.333333333328</v>
      </c>
      <c r="AL24" s="29">
        <f t="shared" si="59"/>
        <v>1940</v>
      </c>
      <c r="AM24" s="29">
        <f t="shared" si="60"/>
        <v>36193.333333333328</v>
      </c>
      <c r="AN24" s="33">
        <f t="shared" si="61"/>
        <v>36193</v>
      </c>
      <c r="AO24" s="29">
        <f t="shared" si="62"/>
        <v>0</v>
      </c>
      <c r="AP24" s="29">
        <f t="shared" si="63"/>
        <v>1740</v>
      </c>
      <c r="AQ24" s="13"/>
      <c r="AR24" s="29">
        <f t="shared" si="64"/>
        <v>39873.333333333328</v>
      </c>
      <c r="AS24" s="29">
        <f>'Oct 2025'!AT24</f>
        <v>0</v>
      </c>
      <c r="AT24" s="29">
        <f t="shared" si="65"/>
        <v>0</v>
      </c>
      <c r="AU24" s="34"/>
      <c r="AV24" s="31">
        <f t="shared" si="66"/>
        <v>0</v>
      </c>
      <c r="AW24" s="79"/>
      <c r="AX24" s="79"/>
      <c r="AY24" s="103">
        <v>0</v>
      </c>
      <c r="AZ24" s="77" t="s">
        <v>165</v>
      </c>
    </row>
    <row r="25" spans="1:52" ht="15.75" customHeight="1" x14ac:dyDescent="0.3">
      <c r="A25" s="21">
        <v>1050</v>
      </c>
      <c r="B25" s="69" t="e">
        <f>VLOOKUP(A25,#REF!,2,FALSE)</f>
        <v>#REF!</v>
      </c>
      <c r="C25" s="2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30</v>
      </c>
      <c r="J25" s="100">
        <v>30</v>
      </c>
      <c r="K25" s="71">
        <f>'Oct 2025'!O25</f>
        <v>2.5</v>
      </c>
      <c r="L25" s="101">
        <v>0</v>
      </c>
      <c r="M25" s="38">
        <v>2</v>
      </c>
      <c r="N25" s="24">
        <f t="shared" ref="N25:N36" si="67">IF(K25+L25-M25 &gt;= 0,0,M25-(K25+L25))</f>
        <v>0</v>
      </c>
      <c r="O25" s="24">
        <f t="shared" si="46"/>
        <v>0.5</v>
      </c>
      <c r="P25" s="24">
        <f t="shared" si="47"/>
        <v>30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48"/>
        <v>30166</v>
      </c>
      <c r="X25" s="30">
        <f t="shared" si="49"/>
        <v>15000</v>
      </c>
      <c r="Y25" s="30">
        <f t="shared" si="50"/>
        <v>5700</v>
      </c>
      <c r="Z25" s="30">
        <f t="shared" si="51"/>
        <v>1900</v>
      </c>
      <c r="AA25" s="30">
        <f t="shared" si="52"/>
        <v>1900</v>
      </c>
      <c r="AB25" s="91">
        <f>U25*1</f>
        <v>2833</v>
      </c>
      <c r="AC25" s="91">
        <f t="shared" si="54"/>
        <v>1983.1</v>
      </c>
      <c r="AD25" s="12"/>
      <c r="AE25" s="10"/>
      <c r="AF25" s="31">
        <v>0</v>
      </c>
      <c r="AG25" s="29">
        <f t="shared" si="55"/>
        <v>1800</v>
      </c>
      <c r="AH25" s="29">
        <f>IF(SUM(X25:AC25)&gt;=25000, 200, 0)</f>
        <v>200</v>
      </c>
      <c r="AI25" s="29">
        <f t="shared" si="57"/>
        <v>0</v>
      </c>
      <c r="AJ25" s="13"/>
      <c r="AK25" s="29">
        <f t="shared" si="58"/>
        <v>29316.1</v>
      </c>
      <c r="AL25" s="29">
        <f t="shared" si="59"/>
        <v>2000</v>
      </c>
      <c r="AM25" s="29">
        <f t="shared" si="60"/>
        <v>27316.1</v>
      </c>
      <c r="AN25" s="33">
        <f t="shared" si="61"/>
        <v>27316</v>
      </c>
      <c r="AO25" s="29">
        <f t="shared" si="62"/>
        <v>0</v>
      </c>
      <c r="AP25" s="29">
        <f t="shared" si="63"/>
        <v>1800</v>
      </c>
      <c r="AQ25" s="13"/>
      <c r="AR25" s="29">
        <f t="shared" si="64"/>
        <v>31116.1</v>
      </c>
      <c r="AS25" s="29">
        <f>'Oct 2025'!AT25</f>
        <v>0</v>
      </c>
      <c r="AT25" s="29">
        <f t="shared" si="65"/>
        <v>0</v>
      </c>
      <c r="AU25" s="34"/>
      <c r="AV25" s="31">
        <f t="shared" si="66"/>
        <v>0</v>
      </c>
      <c r="AW25" s="79"/>
      <c r="AX25" s="79"/>
      <c r="AY25" s="75">
        <v>0</v>
      </c>
      <c r="AZ25" s="77" t="s">
        <v>165</v>
      </c>
    </row>
    <row r="26" spans="1:52" ht="15.75" customHeight="1" x14ac:dyDescent="0.3">
      <c r="A26" s="21">
        <v>1051</v>
      </c>
      <c r="B26" s="69" t="e">
        <f>VLOOKUP(A26,#REF!,2,FALSE)</f>
        <v>#REF!</v>
      </c>
      <c r="C26" s="2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30</v>
      </c>
      <c r="J26" s="100">
        <v>30</v>
      </c>
      <c r="K26" s="71">
        <f>'Oct 2025'!O26</f>
        <v>3</v>
      </c>
      <c r="L26" s="101">
        <v>0</v>
      </c>
      <c r="M26" s="38">
        <v>0</v>
      </c>
      <c r="N26" s="24">
        <f t="shared" si="67"/>
        <v>0</v>
      </c>
      <c r="O26" s="24">
        <f t="shared" si="46"/>
        <v>3</v>
      </c>
      <c r="P26" s="24">
        <f t="shared" si="47"/>
        <v>30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48"/>
        <v>25865</v>
      </c>
      <c r="X26" s="30">
        <f t="shared" si="49"/>
        <v>15000</v>
      </c>
      <c r="Y26" s="30">
        <f t="shared" si="50"/>
        <v>3825</v>
      </c>
      <c r="Z26" s="30">
        <f t="shared" si="51"/>
        <v>1020</v>
      </c>
      <c r="AA26" s="30">
        <f t="shared" si="52"/>
        <v>1020</v>
      </c>
      <c r="AB26" s="91"/>
      <c r="AC26" s="106"/>
      <c r="AD26" s="12"/>
      <c r="AE26" s="10"/>
      <c r="AF26" s="31">
        <v>0</v>
      </c>
      <c r="AG26" s="29">
        <f t="shared" si="55"/>
        <v>1800</v>
      </c>
      <c r="AH26" s="29">
        <f>IF(SUM(X26:AA26)&gt;=25000, 200, 0)</f>
        <v>0</v>
      </c>
      <c r="AI26" s="29">
        <f t="shared" si="57"/>
        <v>156.48749999999998</v>
      </c>
      <c r="AJ26" s="13"/>
      <c r="AK26" s="29">
        <f t="shared" si="58"/>
        <v>20865</v>
      </c>
      <c r="AL26" s="29">
        <f t="shared" si="59"/>
        <v>1956.4875</v>
      </c>
      <c r="AM26" s="29">
        <f t="shared" si="60"/>
        <v>18908.512500000001</v>
      </c>
      <c r="AN26" s="33">
        <f t="shared" si="61"/>
        <v>18909</v>
      </c>
      <c r="AO26" s="29">
        <f t="shared" si="62"/>
        <v>678.11250000000007</v>
      </c>
      <c r="AP26" s="29">
        <f t="shared" si="63"/>
        <v>1800</v>
      </c>
      <c r="AQ26" s="13"/>
      <c r="AR26" s="29">
        <f t="shared" si="64"/>
        <v>23343.112499999999</v>
      </c>
      <c r="AS26" s="29">
        <f>'Oct 2025'!AT26</f>
        <v>0</v>
      </c>
      <c r="AT26" s="29">
        <f t="shared" si="65"/>
        <v>0</v>
      </c>
      <c r="AU26" s="34"/>
      <c r="AV26" s="31">
        <f t="shared" si="66"/>
        <v>0</v>
      </c>
      <c r="AW26" s="79"/>
      <c r="AX26" s="79"/>
      <c r="AY26" s="75">
        <v>0</v>
      </c>
      <c r="AZ26" s="77" t="s">
        <v>165</v>
      </c>
    </row>
    <row r="27" spans="1:52" ht="15.75" customHeight="1" x14ac:dyDescent="0.3">
      <c r="A27" s="87">
        <v>1053</v>
      </c>
      <c r="B27" s="69" t="e">
        <f>VLOOKUP(A27,#REF!,2,FALSE)</f>
        <v>#REF!</v>
      </c>
      <c r="C27" s="2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30</v>
      </c>
      <c r="J27" s="100">
        <v>30</v>
      </c>
      <c r="K27" s="71">
        <f>'Oct 2025'!O27</f>
        <v>0.5</v>
      </c>
      <c r="L27" s="101">
        <v>0</v>
      </c>
      <c r="M27" s="38">
        <v>1.5</v>
      </c>
      <c r="N27" s="24">
        <f t="shared" si="67"/>
        <v>1</v>
      </c>
      <c r="O27" s="24">
        <f t="shared" si="46"/>
        <v>0</v>
      </c>
      <c r="P27" s="24">
        <f t="shared" si="47"/>
        <v>29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48"/>
        <v>25831</v>
      </c>
      <c r="X27" s="30">
        <f t="shared" si="49"/>
        <v>14500</v>
      </c>
      <c r="Y27" s="30">
        <f t="shared" si="50"/>
        <v>4683.5</v>
      </c>
      <c r="Z27" s="30">
        <f t="shared" si="51"/>
        <v>1561.1666666666667</v>
      </c>
      <c r="AA27" s="30">
        <f t="shared" si="52"/>
        <v>1561.1666666666667</v>
      </c>
      <c r="AB27" s="91">
        <f>U27*0.8</f>
        <v>1102.4000000000001</v>
      </c>
      <c r="AC27" s="91">
        <f t="shared" ref="AC27:AC29" si="68">V27*0.7</f>
        <v>964.59999999999991</v>
      </c>
      <c r="AD27" s="12"/>
      <c r="AE27" s="10"/>
      <c r="AF27" s="31">
        <v>0</v>
      </c>
      <c r="AG27" s="29">
        <f t="shared" si="55"/>
        <v>1740</v>
      </c>
      <c r="AH27" s="29">
        <f>IF(SUM(X27:AC27)&gt;=25000, 200, 0)</f>
        <v>0</v>
      </c>
      <c r="AI27" s="29">
        <f t="shared" si="57"/>
        <v>0</v>
      </c>
      <c r="AJ27" s="13"/>
      <c r="AK27" s="29">
        <f t="shared" si="58"/>
        <v>24372.833333333336</v>
      </c>
      <c r="AL27" s="29">
        <f t="shared" si="59"/>
        <v>1740</v>
      </c>
      <c r="AM27" s="29">
        <f t="shared" si="60"/>
        <v>22632.833333333336</v>
      </c>
      <c r="AN27" s="33">
        <f t="shared" si="61"/>
        <v>22633</v>
      </c>
      <c r="AO27" s="29">
        <f t="shared" si="62"/>
        <v>0</v>
      </c>
      <c r="AP27" s="29">
        <f t="shared" si="63"/>
        <v>1740</v>
      </c>
      <c r="AQ27" s="13"/>
      <c r="AR27" s="29">
        <f t="shared" si="64"/>
        <v>26112.833333333336</v>
      </c>
      <c r="AS27" s="29">
        <f>'Oct 2025'!AT27</f>
        <v>0</v>
      </c>
      <c r="AT27" s="29">
        <f t="shared" si="65"/>
        <v>0</v>
      </c>
      <c r="AU27" s="34"/>
      <c r="AV27" s="31">
        <f t="shared" si="66"/>
        <v>0</v>
      </c>
      <c r="AW27" s="79"/>
      <c r="AX27" s="79"/>
      <c r="AY27" s="75">
        <v>0</v>
      </c>
      <c r="AZ27" s="77" t="s">
        <v>165</v>
      </c>
    </row>
    <row r="28" spans="1:52" ht="15.75" customHeight="1" x14ac:dyDescent="0.3">
      <c r="A28" s="21">
        <v>1054</v>
      </c>
      <c r="B28" s="69" t="e">
        <f>VLOOKUP(A28,#REF!,2,FALSE)</f>
        <v>#REF!</v>
      </c>
      <c r="C28" s="2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30</v>
      </c>
      <c r="J28" s="100">
        <v>30</v>
      </c>
      <c r="K28" s="71">
        <f>'Oct 2025'!O28</f>
        <v>4</v>
      </c>
      <c r="L28" s="101">
        <v>0</v>
      </c>
      <c r="M28" s="38">
        <v>1</v>
      </c>
      <c r="N28" s="24">
        <f t="shared" si="67"/>
        <v>0</v>
      </c>
      <c r="O28" s="24">
        <f t="shared" si="46"/>
        <v>3</v>
      </c>
      <c r="P28" s="24">
        <f t="shared" si="47"/>
        <v>30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48"/>
        <v>33000</v>
      </c>
      <c r="X28" s="30">
        <f t="shared" si="49"/>
        <v>15000</v>
      </c>
      <c r="Y28" s="30">
        <f t="shared" si="50"/>
        <v>4000.0000000000005</v>
      </c>
      <c r="Z28" s="30">
        <f t="shared" si="51"/>
        <v>4000.0000000000005</v>
      </c>
      <c r="AA28" s="30">
        <f t="shared" si="52"/>
        <v>4000.0000000000005</v>
      </c>
      <c r="AB28" s="77">
        <f t="shared" ref="AB28:AB29" si="69">U28*1</f>
        <v>3000</v>
      </c>
      <c r="AC28" s="77">
        <f t="shared" si="68"/>
        <v>2100</v>
      </c>
      <c r="AD28" s="12"/>
      <c r="AE28" s="10"/>
      <c r="AF28" s="31">
        <v>0</v>
      </c>
      <c r="AG28" s="29">
        <f t="shared" si="55"/>
        <v>1800</v>
      </c>
      <c r="AH28" s="29">
        <f>IF(SUM(X28:AA28)&gt;=25000, 200, 0)</f>
        <v>200</v>
      </c>
      <c r="AI28" s="29">
        <f t="shared" si="57"/>
        <v>0</v>
      </c>
      <c r="AJ28" s="13"/>
      <c r="AK28" s="29">
        <f t="shared" si="58"/>
        <v>32100</v>
      </c>
      <c r="AL28" s="29">
        <f t="shared" si="59"/>
        <v>2000</v>
      </c>
      <c r="AM28" s="29">
        <f t="shared" si="60"/>
        <v>30100</v>
      </c>
      <c r="AN28" s="33">
        <f t="shared" si="61"/>
        <v>30100</v>
      </c>
      <c r="AO28" s="29">
        <f t="shared" si="62"/>
        <v>0</v>
      </c>
      <c r="AP28" s="29">
        <f t="shared" si="63"/>
        <v>1800</v>
      </c>
      <c r="AQ28" s="13"/>
      <c r="AR28" s="29">
        <f t="shared" si="64"/>
        <v>33900</v>
      </c>
      <c r="AS28" s="29">
        <f>'Oct 2025'!AT28</f>
        <v>0</v>
      </c>
      <c r="AT28" s="29">
        <f t="shared" si="65"/>
        <v>0</v>
      </c>
      <c r="AU28" s="34"/>
      <c r="AV28" s="31">
        <f t="shared" si="66"/>
        <v>0</v>
      </c>
      <c r="AW28" s="79"/>
      <c r="AX28" s="79"/>
      <c r="AY28" s="103">
        <v>0</v>
      </c>
      <c r="AZ28" s="77" t="s">
        <v>165</v>
      </c>
    </row>
    <row r="29" spans="1:52" ht="15.75" customHeight="1" x14ac:dyDescent="0.3">
      <c r="A29" s="21">
        <v>1055</v>
      </c>
      <c r="B29" s="69" t="e">
        <f>VLOOKUP(A29,#REF!,2,FALSE)</f>
        <v>#REF!</v>
      </c>
      <c r="C29" s="2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30</v>
      </c>
      <c r="J29" s="100">
        <v>30</v>
      </c>
      <c r="K29" s="71">
        <f>'Oct 2025'!O29</f>
        <v>4.5</v>
      </c>
      <c r="L29" s="101">
        <v>0</v>
      </c>
      <c r="M29" s="38">
        <v>2</v>
      </c>
      <c r="N29" s="24">
        <f t="shared" si="67"/>
        <v>0</v>
      </c>
      <c r="O29" s="24">
        <f t="shared" si="46"/>
        <v>2.5</v>
      </c>
      <c r="P29" s="24">
        <f t="shared" si="47"/>
        <v>30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48"/>
        <v>25400</v>
      </c>
      <c r="X29" s="30">
        <f t="shared" si="49"/>
        <v>15000</v>
      </c>
      <c r="Y29" s="30">
        <f t="shared" si="50"/>
        <v>3000</v>
      </c>
      <c r="Z29" s="30">
        <f t="shared" si="51"/>
        <v>1800</v>
      </c>
      <c r="AA29" s="30">
        <f t="shared" si="52"/>
        <v>1800</v>
      </c>
      <c r="AB29" s="91">
        <f t="shared" si="69"/>
        <v>1900</v>
      </c>
      <c r="AC29" s="91">
        <f t="shared" si="68"/>
        <v>1330</v>
      </c>
      <c r="AD29" s="12"/>
      <c r="AE29" s="10"/>
      <c r="AF29" s="31">
        <v>0</v>
      </c>
      <c r="AG29" s="29">
        <f t="shared" si="55"/>
        <v>1800</v>
      </c>
      <c r="AH29" s="29">
        <f>IF(SUM(X29:AC29)&gt;=25000, 200, 0)</f>
        <v>0</v>
      </c>
      <c r="AI29" s="29">
        <f t="shared" si="57"/>
        <v>0</v>
      </c>
      <c r="AJ29" s="13"/>
      <c r="AK29" s="29">
        <f t="shared" si="58"/>
        <v>24830</v>
      </c>
      <c r="AL29" s="29">
        <f t="shared" si="59"/>
        <v>1800</v>
      </c>
      <c r="AM29" s="29">
        <f t="shared" si="60"/>
        <v>23030</v>
      </c>
      <c r="AN29" s="33">
        <f t="shared" si="61"/>
        <v>23030</v>
      </c>
      <c r="AO29" s="29">
        <f t="shared" si="62"/>
        <v>0</v>
      </c>
      <c r="AP29" s="29">
        <f t="shared" si="63"/>
        <v>1800</v>
      </c>
      <c r="AQ29" s="13"/>
      <c r="AR29" s="29">
        <f t="shared" si="64"/>
        <v>26630</v>
      </c>
      <c r="AS29" s="29">
        <f>'Oct 2025'!AT29</f>
        <v>0</v>
      </c>
      <c r="AT29" s="29">
        <f t="shared" ref="AT29:AT33" si="70">AS29+AD29-AJ29</f>
        <v>0</v>
      </c>
      <c r="AU29" s="34"/>
      <c r="AV29" s="31">
        <f t="shared" si="66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69" t="e">
        <f>VLOOKUP(A30,#REF!,2,FALSE)</f>
        <v>#REF!</v>
      </c>
      <c r="C30" s="2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30</v>
      </c>
      <c r="J30" s="100">
        <v>30</v>
      </c>
      <c r="K30" s="71">
        <f>'Oct 2025'!O30</f>
        <v>7.5</v>
      </c>
      <c r="L30" s="101">
        <v>0</v>
      </c>
      <c r="M30" s="38">
        <v>0.5</v>
      </c>
      <c r="N30" s="24">
        <f t="shared" si="67"/>
        <v>0</v>
      </c>
      <c r="O30" s="24">
        <f t="shared" si="46"/>
        <v>7</v>
      </c>
      <c r="P30" s="24">
        <f t="shared" si="47"/>
        <v>30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48"/>
        <v>24100</v>
      </c>
      <c r="X30" s="30">
        <f t="shared" si="49"/>
        <v>15000</v>
      </c>
      <c r="Y30" s="30">
        <f t="shared" si="50"/>
        <v>2800</v>
      </c>
      <c r="Z30" s="30">
        <f t="shared" si="51"/>
        <v>1800</v>
      </c>
      <c r="AA30" s="30">
        <f t="shared" si="52"/>
        <v>1300</v>
      </c>
      <c r="AB30" s="91"/>
      <c r="AC30" s="106"/>
      <c r="AD30" s="12"/>
      <c r="AE30" s="10"/>
      <c r="AF30" s="31">
        <v>0</v>
      </c>
      <c r="AG30" s="29">
        <f t="shared" si="55"/>
        <v>1800</v>
      </c>
      <c r="AH30" s="29">
        <f t="shared" ref="AH30:AH31" si="71">IF(SUM(X30:AA30)&gt;=25000, 200, 0)</f>
        <v>0</v>
      </c>
      <c r="AI30" s="29">
        <f t="shared" si="57"/>
        <v>156.75</v>
      </c>
      <c r="AJ30" s="13"/>
      <c r="AK30" s="29">
        <f t="shared" si="58"/>
        <v>20900</v>
      </c>
      <c r="AL30" s="29">
        <f t="shared" si="59"/>
        <v>1956.75</v>
      </c>
      <c r="AM30" s="29">
        <f t="shared" si="60"/>
        <v>18943.25</v>
      </c>
      <c r="AN30" s="33">
        <f t="shared" si="61"/>
        <v>18943</v>
      </c>
      <c r="AO30" s="29">
        <f t="shared" si="62"/>
        <v>679.25</v>
      </c>
      <c r="AP30" s="29">
        <f t="shared" si="63"/>
        <v>1800</v>
      </c>
      <c r="AQ30" s="13"/>
      <c r="AR30" s="29">
        <f t="shared" si="64"/>
        <v>23379.25</v>
      </c>
      <c r="AS30" s="29">
        <f>'Oct 2025'!AT30</f>
        <v>0</v>
      </c>
      <c r="AT30" s="29">
        <f t="shared" si="70"/>
        <v>0</v>
      </c>
      <c r="AU30" s="34"/>
      <c r="AV30" s="31">
        <f t="shared" si="66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69" t="e">
        <f>VLOOKUP(A31,#REF!,2,FALSE)</f>
        <v>#REF!</v>
      </c>
      <c r="C31" s="2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30</v>
      </c>
      <c r="J31" s="100">
        <v>30</v>
      </c>
      <c r="K31" s="71">
        <f>'Oct 2025'!O31</f>
        <v>4</v>
      </c>
      <c r="L31" s="101">
        <v>0</v>
      </c>
      <c r="M31" s="38">
        <v>1</v>
      </c>
      <c r="N31" s="24">
        <f t="shared" si="67"/>
        <v>0</v>
      </c>
      <c r="O31" s="24">
        <f t="shared" si="46"/>
        <v>3</v>
      </c>
      <c r="P31" s="24">
        <f t="shared" si="47"/>
        <v>30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48"/>
        <v>24100</v>
      </c>
      <c r="X31" s="30">
        <f t="shared" si="49"/>
        <v>15000</v>
      </c>
      <c r="Y31" s="30">
        <f t="shared" si="50"/>
        <v>2800</v>
      </c>
      <c r="Z31" s="30">
        <f t="shared" si="51"/>
        <v>1800</v>
      </c>
      <c r="AA31" s="30">
        <f t="shared" si="52"/>
        <v>1300</v>
      </c>
      <c r="AB31" s="91"/>
      <c r="AC31" s="106"/>
      <c r="AD31" s="12"/>
      <c r="AE31" s="10"/>
      <c r="AF31" s="31">
        <v>0</v>
      </c>
      <c r="AG31" s="29">
        <f t="shared" si="55"/>
        <v>1800</v>
      </c>
      <c r="AH31" s="29">
        <f t="shared" si="71"/>
        <v>0</v>
      </c>
      <c r="AI31" s="29">
        <f t="shared" si="57"/>
        <v>156.75</v>
      </c>
      <c r="AJ31" s="13"/>
      <c r="AK31" s="29">
        <f t="shared" si="58"/>
        <v>20900</v>
      </c>
      <c r="AL31" s="29">
        <f t="shared" si="59"/>
        <v>1956.75</v>
      </c>
      <c r="AM31" s="29">
        <f t="shared" si="60"/>
        <v>18943.25</v>
      </c>
      <c r="AN31" s="33">
        <f t="shared" si="61"/>
        <v>18943</v>
      </c>
      <c r="AO31" s="29">
        <f t="shared" si="62"/>
        <v>679.25</v>
      </c>
      <c r="AP31" s="29">
        <f t="shared" si="63"/>
        <v>1800</v>
      </c>
      <c r="AQ31" s="13"/>
      <c r="AR31" s="29">
        <f t="shared" si="64"/>
        <v>23379.25</v>
      </c>
      <c r="AS31" s="29">
        <f>'Oct 2025'!AT31</f>
        <v>0</v>
      </c>
      <c r="AT31" s="29">
        <f t="shared" si="70"/>
        <v>0</v>
      </c>
      <c r="AU31" s="34"/>
      <c r="AV31" s="31">
        <f t="shared" si="66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30</v>
      </c>
      <c r="J32" s="100">
        <v>30</v>
      </c>
      <c r="K32" s="71">
        <f>'Oct 2025'!O32</f>
        <v>5</v>
      </c>
      <c r="L32" s="101">
        <v>0</v>
      </c>
      <c r="M32" s="104">
        <v>1</v>
      </c>
      <c r="N32" s="24">
        <f t="shared" si="67"/>
        <v>0</v>
      </c>
      <c r="O32" s="71">
        <f t="shared" si="46"/>
        <v>4</v>
      </c>
      <c r="P32" s="71">
        <f t="shared" si="47"/>
        <v>30</v>
      </c>
      <c r="Q32" s="74">
        <v>90000</v>
      </c>
      <c r="R32" s="13"/>
      <c r="S32" s="13"/>
      <c r="T32" s="13"/>
      <c r="U32" s="13"/>
      <c r="V32" s="13"/>
      <c r="W32" s="75">
        <f t="shared" si="48"/>
        <v>90000</v>
      </c>
      <c r="X32" s="76">
        <f t="shared" si="49"/>
        <v>90000</v>
      </c>
      <c r="Y32" s="76">
        <f t="shared" si="50"/>
        <v>0</v>
      </c>
      <c r="Z32" s="76">
        <f t="shared" si="51"/>
        <v>0</v>
      </c>
      <c r="AA32" s="76">
        <f t="shared" si="52"/>
        <v>0</v>
      </c>
      <c r="AB32" s="91">
        <f>U32*0.9</f>
        <v>0</v>
      </c>
      <c r="AC32" s="91">
        <f>V32*0.9*1</f>
        <v>0</v>
      </c>
      <c r="AD32" s="12"/>
      <c r="AE32" s="41">
        <v>1500</v>
      </c>
      <c r="AF32" s="77">
        <v>0</v>
      </c>
      <c r="AG32" s="75">
        <v>0</v>
      </c>
      <c r="AH32" s="75">
        <v>0</v>
      </c>
      <c r="AI32" s="29">
        <f t="shared" si="57"/>
        <v>0</v>
      </c>
      <c r="AJ32" s="13"/>
      <c r="AK32" s="75">
        <f t="shared" si="58"/>
        <v>91500</v>
      </c>
      <c r="AL32" s="75">
        <f t="shared" si="59"/>
        <v>9150</v>
      </c>
      <c r="AM32" s="75">
        <f t="shared" si="60"/>
        <v>91500</v>
      </c>
      <c r="AN32" s="78">
        <f t="shared" si="61"/>
        <v>82350</v>
      </c>
      <c r="AO32" s="75">
        <f t="shared" si="62"/>
        <v>0</v>
      </c>
      <c r="AP32" s="75">
        <f t="shared" si="63"/>
        <v>0</v>
      </c>
      <c r="AQ32" s="13"/>
      <c r="AR32" s="75">
        <f t="shared" si="64"/>
        <v>91500</v>
      </c>
      <c r="AS32" s="29">
        <f>'Oct 2025'!AT32</f>
        <v>0</v>
      </c>
      <c r="AT32" s="75">
        <f t="shared" si="70"/>
        <v>0</v>
      </c>
      <c r="AU32" s="92">
        <f>(0.1*AK32)</f>
        <v>9150</v>
      </c>
      <c r="AV32" s="77">
        <f t="shared" si="66"/>
        <v>0</v>
      </c>
      <c r="AW32" s="93">
        <f>AU32+'Apr 2025'!AU32+'May 2025'!AU32+'June 2025'!AU32+'July 2025'!AU32+'Aug 2025'!AU32+'Sep 2025'!AU32</f>
        <v>49091.984902968885</v>
      </c>
      <c r="AX32" s="113" t="s">
        <v>173</v>
      </c>
      <c r="AY32" s="75">
        <v>0</v>
      </c>
      <c r="AZ32" s="77" t="s">
        <v>165</v>
      </c>
    </row>
    <row r="33" spans="1:52" ht="14.4" x14ac:dyDescent="0.3">
      <c r="A33" s="21">
        <v>1062</v>
      </c>
      <c r="B33" s="69" t="e">
        <f>VLOOKUP(A33,#REF!,2,FALSE)</f>
        <v>#REF!</v>
      </c>
      <c r="C33" s="2" t="e">
        <f>VLOOKUP(A33,#REF!,19,FALSE)</f>
        <v>#REF!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30</v>
      </c>
      <c r="J33" s="100">
        <v>30</v>
      </c>
      <c r="K33" s="71">
        <f>'Oct 2025'!O33</f>
        <v>0</v>
      </c>
      <c r="L33" s="101">
        <v>0</v>
      </c>
      <c r="M33" s="104">
        <v>1.5</v>
      </c>
      <c r="N33" s="71">
        <f t="shared" si="67"/>
        <v>1.5</v>
      </c>
      <c r="O33" s="71">
        <f t="shared" si="46"/>
        <v>0</v>
      </c>
      <c r="P33" s="71">
        <f t="shared" si="47"/>
        <v>28.5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48"/>
        <v>18500</v>
      </c>
      <c r="X33" s="76">
        <f t="shared" si="49"/>
        <v>14250</v>
      </c>
      <c r="Y33" s="76">
        <f t="shared" si="50"/>
        <v>1425</v>
      </c>
      <c r="Z33" s="76">
        <f t="shared" si="51"/>
        <v>0</v>
      </c>
      <c r="AA33" s="76">
        <f t="shared" si="52"/>
        <v>0</v>
      </c>
      <c r="AB33" s="91"/>
      <c r="AC33" s="106"/>
      <c r="AD33" s="53"/>
      <c r="AE33" s="10"/>
      <c r="AF33" s="77">
        <v>0</v>
      </c>
      <c r="AG33" s="29">
        <f>IF(X33&gt;15000,(15000 * 12%),X33*0.12)</f>
        <v>1710</v>
      </c>
      <c r="AH33" s="29">
        <f>IF(SUM(X33:AA33)&gt;=25000, 200, 0)</f>
        <v>0</v>
      </c>
      <c r="AI33" s="29">
        <f t="shared" si="57"/>
        <v>117.5625</v>
      </c>
      <c r="AJ33" s="54">
        <v>1500</v>
      </c>
      <c r="AK33" s="75">
        <f t="shared" si="58"/>
        <v>15675</v>
      </c>
      <c r="AL33" s="75">
        <f t="shared" si="59"/>
        <v>3327.5625</v>
      </c>
      <c r="AM33" s="75">
        <f t="shared" si="60"/>
        <v>12347.4375</v>
      </c>
      <c r="AN33" s="78">
        <f t="shared" si="61"/>
        <v>12347</v>
      </c>
      <c r="AO33" s="75">
        <v>0</v>
      </c>
      <c r="AP33" s="75">
        <v>0</v>
      </c>
      <c r="AQ33" s="13"/>
      <c r="AR33" s="75">
        <f t="shared" si="64"/>
        <v>15675</v>
      </c>
      <c r="AS33" s="29">
        <f>'Oct 2025'!AT33</f>
        <v>14000</v>
      </c>
      <c r="AT33" s="75">
        <f t="shared" si="70"/>
        <v>12500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69" t="e">
        <f>VLOOKUP(A34,#REF!,2,FALSE)</f>
        <v>#REF!</v>
      </c>
      <c r="C34" s="2" t="e">
        <f>VLOOKUP(A34,#REF!,19,FALSE)</f>
        <v>#REF!</v>
      </c>
      <c r="D34" s="1"/>
      <c r="E34" s="8" t="e">
        <f>VLOOKUP(A34,#REF!,10,FALSE)</f>
        <v>#REF!</v>
      </c>
      <c r="F34" s="8" t="e">
        <f>VLOOKUP(A34,#REF!,11,FALSE)</f>
        <v>#REF!</v>
      </c>
      <c r="G34" s="8" t="e">
        <f>VLOOKUP(A34,#REF!,12,FALSE)</f>
        <v>#REF!</v>
      </c>
      <c r="H34" s="1"/>
      <c r="I34" s="100">
        <v>30</v>
      </c>
      <c r="J34" s="100">
        <v>30</v>
      </c>
      <c r="K34" s="71">
        <f>'Oct 2025'!O34</f>
        <v>3</v>
      </c>
      <c r="L34" s="101">
        <v>0</v>
      </c>
      <c r="M34" s="104">
        <v>1</v>
      </c>
      <c r="N34" s="71">
        <f t="shared" si="67"/>
        <v>0</v>
      </c>
      <c r="O34" s="71">
        <f t="shared" si="46"/>
        <v>2</v>
      </c>
      <c r="P34" s="71">
        <f t="shared" si="47"/>
        <v>30</v>
      </c>
      <c r="Q34" s="37">
        <v>12000</v>
      </c>
      <c r="R34" s="74"/>
      <c r="S34" s="13"/>
      <c r="T34" s="13"/>
      <c r="U34" s="74"/>
      <c r="V34" s="74"/>
      <c r="W34" s="75">
        <f t="shared" si="48"/>
        <v>12000</v>
      </c>
      <c r="X34" s="76">
        <f t="shared" si="49"/>
        <v>12000</v>
      </c>
      <c r="Y34" s="76">
        <f t="shared" si="50"/>
        <v>0</v>
      </c>
      <c r="Z34" s="76">
        <f t="shared" si="51"/>
        <v>0</v>
      </c>
      <c r="AA34" s="76">
        <f t="shared" si="52"/>
        <v>0</v>
      </c>
      <c r="AB34" s="91"/>
      <c r="AC34" s="91"/>
      <c r="AD34" s="53"/>
      <c r="AE34" s="10"/>
      <c r="AF34" s="77"/>
      <c r="AG34" s="29"/>
      <c r="AH34" s="29"/>
      <c r="AI34" s="29"/>
      <c r="AJ34" s="54"/>
      <c r="AK34" s="75">
        <f t="shared" si="58"/>
        <v>12000</v>
      </c>
      <c r="AL34" s="75">
        <f t="shared" si="59"/>
        <v>0</v>
      </c>
      <c r="AM34" s="75">
        <f t="shared" si="60"/>
        <v>12000</v>
      </c>
      <c r="AN34" s="78">
        <f t="shared" si="61"/>
        <v>12000</v>
      </c>
      <c r="AO34" s="75"/>
      <c r="AP34" s="75"/>
      <c r="AQ34" s="13"/>
      <c r="AR34" s="75"/>
      <c r="AS34" s="29">
        <f>'Aug 2025'!AT34</f>
        <v>0</v>
      </c>
      <c r="AT34" s="75"/>
      <c r="AU34" s="34"/>
      <c r="AV34" s="77"/>
      <c r="AW34" s="79"/>
      <c r="AX34" s="64"/>
      <c r="AY34" s="94"/>
      <c r="AZ34" s="114" t="s">
        <v>165</v>
      </c>
    </row>
    <row r="35" spans="1:52" ht="14.4" x14ac:dyDescent="0.3">
      <c r="A35" s="105">
        <v>1064</v>
      </c>
      <c r="B35" s="69" t="e">
        <f>VLOOKUP(A35,#REF!,2,FALSE)</f>
        <v>#REF!</v>
      </c>
      <c r="C35" s="2" t="e">
        <f>VLOOKUP(A35,#REF!,19,FALSE)</f>
        <v>#REF!</v>
      </c>
      <c r="D35" s="1"/>
      <c r="E35" s="8" t="e">
        <f>VLOOKUP(A35,#REF!,10,FALSE)</f>
        <v>#REF!</v>
      </c>
      <c r="F35" s="8" t="e">
        <f>VLOOKUP(A35,#REF!,11,FALSE)</f>
        <v>#REF!</v>
      </c>
      <c r="G35" s="8" t="e">
        <f>VLOOKUP(A35,#REF!,12,FALSE)</f>
        <v>#REF!</v>
      </c>
      <c r="H35" s="1"/>
      <c r="I35" s="100">
        <v>30</v>
      </c>
      <c r="J35" s="100">
        <v>11</v>
      </c>
      <c r="K35" s="115">
        <v>0</v>
      </c>
      <c r="L35" s="101">
        <v>0</v>
      </c>
      <c r="M35" s="104">
        <v>1</v>
      </c>
      <c r="N35" s="71">
        <f t="shared" si="67"/>
        <v>1</v>
      </c>
      <c r="O35" s="71">
        <f t="shared" si="46"/>
        <v>0</v>
      </c>
      <c r="P35" s="71">
        <f t="shared" si="47"/>
        <v>10</v>
      </c>
      <c r="Q35" s="37">
        <v>10000</v>
      </c>
      <c r="R35" s="74"/>
      <c r="S35" s="13"/>
      <c r="T35" s="13"/>
      <c r="U35" s="74"/>
      <c r="V35" s="74"/>
      <c r="W35" s="75">
        <f t="shared" si="48"/>
        <v>10000</v>
      </c>
      <c r="X35" s="76">
        <f t="shared" si="49"/>
        <v>3333.333333333333</v>
      </c>
      <c r="Y35" s="76">
        <f t="shared" si="50"/>
        <v>0</v>
      </c>
      <c r="Z35" s="76">
        <f t="shared" si="51"/>
        <v>0</v>
      </c>
      <c r="AA35" s="76">
        <f t="shared" si="52"/>
        <v>0</v>
      </c>
      <c r="AB35" s="91"/>
      <c r="AC35" s="91"/>
      <c r="AD35" s="53"/>
      <c r="AE35" s="10"/>
      <c r="AF35" s="77"/>
      <c r="AG35" s="29"/>
      <c r="AH35" s="29"/>
      <c r="AI35" s="29"/>
      <c r="AJ35" s="54"/>
      <c r="AK35" s="75">
        <f t="shared" si="58"/>
        <v>3333.333333333333</v>
      </c>
      <c r="AL35" s="75">
        <f t="shared" si="59"/>
        <v>0</v>
      </c>
      <c r="AM35" s="75">
        <f t="shared" si="60"/>
        <v>3333.333333333333</v>
      </c>
      <c r="AN35" s="78">
        <f t="shared" si="61"/>
        <v>3333</v>
      </c>
      <c r="AO35" s="75"/>
      <c r="AP35" s="75"/>
      <c r="AQ35" s="13"/>
      <c r="AR35" s="75"/>
      <c r="AS35" s="29">
        <f>'Aug 2025'!AT35</f>
        <v>0</v>
      </c>
      <c r="AT35" s="75"/>
      <c r="AU35" s="34"/>
      <c r="AV35" s="77"/>
      <c r="AW35" s="79"/>
      <c r="AX35" s="64"/>
      <c r="AY35" s="94"/>
      <c r="AZ35" s="114" t="s">
        <v>165</v>
      </c>
    </row>
    <row r="36" spans="1:52" ht="14.4" x14ac:dyDescent="0.3">
      <c r="A36" s="105">
        <v>1065</v>
      </c>
      <c r="B36" s="69" t="e">
        <f>VLOOKUP(A36,#REF!,2,FALSE)</f>
        <v>#REF!</v>
      </c>
      <c r="C36" s="2" t="e">
        <f>VLOOKUP(A36,#REF!,19,FALSE)</f>
        <v>#REF!</v>
      </c>
      <c r="D36" s="1"/>
      <c r="E36" s="8" t="e">
        <f>VLOOKUP(A36,#REF!,10,FALSE)</f>
        <v>#REF!</v>
      </c>
      <c r="F36" s="8" t="e">
        <f>VLOOKUP(A36,#REF!,11,FALSE)</f>
        <v>#REF!</v>
      </c>
      <c r="G36" s="8" t="e">
        <f>VLOOKUP(A36,#REF!,12,FALSE)</f>
        <v>#REF!</v>
      </c>
      <c r="H36" s="1"/>
      <c r="I36" s="1"/>
      <c r="J36" s="1"/>
      <c r="K36" s="1"/>
      <c r="L36" s="1"/>
      <c r="M36" s="1"/>
      <c r="N36" s="71">
        <f t="shared" si="67"/>
        <v>0</v>
      </c>
      <c r="O36" s="71">
        <f t="shared" si="46"/>
        <v>0</v>
      </c>
      <c r="P36" s="71">
        <f t="shared" si="47"/>
        <v>0</v>
      </c>
      <c r="Q36" s="37"/>
      <c r="R36" s="74"/>
      <c r="S36" s="13"/>
      <c r="T36" s="13"/>
      <c r="U36" s="74"/>
      <c r="V36" s="74"/>
      <c r="W36" s="75">
        <f t="shared" si="48"/>
        <v>0</v>
      </c>
      <c r="X36" s="76" t="e">
        <f t="shared" si="49"/>
        <v>#DIV/0!</v>
      </c>
      <c r="Y36" s="76" t="e">
        <f t="shared" si="50"/>
        <v>#DIV/0!</v>
      </c>
      <c r="Z36" s="76" t="e">
        <f t="shared" si="51"/>
        <v>#DIV/0!</v>
      </c>
      <c r="AA36" s="76" t="e">
        <f t="shared" si="52"/>
        <v>#DIV/0!</v>
      </c>
      <c r="AB36" s="91"/>
      <c r="AC36" s="91"/>
      <c r="AD36" s="53"/>
      <c r="AE36" s="10"/>
      <c r="AF36" s="77"/>
      <c r="AG36" s="29"/>
      <c r="AH36" s="29"/>
      <c r="AI36" s="29"/>
      <c r="AJ36" s="54"/>
      <c r="AK36" s="75" t="e">
        <f t="shared" si="58"/>
        <v>#DIV/0!</v>
      </c>
      <c r="AL36" s="75">
        <f t="shared" si="59"/>
        <v>0</v>
      </c>
      <c r="AM36" s="75" t="e">
        <f t="shared" si="60"/>
        <v>#DIV/0!</v>
      </c>
      <c r="AN36" s="78" t="e">
        <f t="shared" si="61"/>
        <v>#DIV/0!</v>
      </c>
      <c r="AO36" s="75"/>
      <c r="AP36" s="75"/>
      <c r="AQ36" s="13"/>
      <c r="AR36" s="75"/>
      <c r="AS36" s="29">
        <f>'Aug 2025'!AT36</f>
        <v>0</v>
      </c>
      <c r="AT36" s="75"/>
      <c r="AU36" s="34"/>
      <c r="AV36" s="77"/>
      <c r="AW36" s="79"/>
      <c r="AX36" s="64"/>
      <c r="AY36" s="94"/>
      <c r="AZ36" s="114" t="s">
        <v>165</v>
      </c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autoFilter ref="A2:AZ36"/>
  <mergeCells count="2">
    <mergeCell ref="X1:AF1"/>
    <mergeCell ref="AG1:A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</cols>
  <sheetData>
    <row r="1" spans="1:52" ht="14.4" x14ac:dyDescent="0.3">
      <c r="A1" s="1"/>
      <c r="B1" s="11">
        <v>45992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57.6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4.4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'Nov 2025'!O3</f>
        <v>17</v>
      </c>
      <c r="L3" s="101">
        <v>0</v>
      </c>
      <c r="M3" s="73">
        <v>0</v>
      </c>
      <c r="N3" s="71">
        <f t="shared" ref="N3:N7" si="0">IF(K3+L3-M3 &gt;= 0,0,M3-(K3+L3))</f>
        <v>0</v>
      </c>
      <c r="O3" s="71">
        <f t="shared" ref="O3:O20" si="1">IF(K3+L3-M3&gt;0,K3+L3-M3,0)</f>
        <v>17</v>
      </c>
      <c r="P3" s="71">
        <f t="shared" ref="P3:P20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7" si="3">SUM(Q3:V3)</f>
        <v>100000</v>
      </c>
      <c r="X3" s="76">
        <f t="shared" ref="X3:X7" si="4">(Q3/I3*(J3)) * (1-N3/J3)</f>
        <v>30000</v>
      </c>
      <c r="Y3" s="76">
        <f t="shared" ref="Y3:Y7" si="5">(R3/I3*(J3)) * (1-N3/J3)</f>
        <v>15000</v>
      </c>
      <c r="Z3" s="76">
        <f t="shared" ref="Z3:Z7" si="6">(S3/I3*(J3)) * (1-N3/J3)</f>
        <v>7500</v>
      </c>
      <c r="AA3" s="76">
        <f t="shared" ref="AA3:AA7" si="7">(T3/I3*(J3)) * (1-N3/J3)</f>
        <v>7500</v>
      </c>
      <c r="AB3" s="10"/>
      <c r="AC3" s="106">
        <f t="shared" ref="AC3:AC4" si="8">V3*0.7</f>
        <v>28000</v>
      </c>
      <c r="AD3" s="12"/>
      <c r="AE3" s="10"/>
      <c r="AF3" s="77">
        <v>0</v>
      </c>
      <c r="AG3" s="75">
        <f t="shared" ref="AG3:AG7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20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20" si="18">AK3+AO3+AP3</f>
        <v>89800</v>
      </c>
      <c r="AS3" s="29">
        <f>'Nov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4.4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'Nov 2025'!O4</f>
        <v>17</v>
      </c>
      <c r="L4" s="101">
        <v>0</v>
      </c>
      <c r="M4" s="73">
        <v>0</v>
      </c>
      <c r="N4" s="71">
        <f t="shared" si="0"/>
        <v>0</v>
      </c>
      <c r="O4" s="71">
        <f t="shared" si="1"/>
        <v>17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0"/>
      <c r="AC4" s="106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'Nov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4.4" x14ac:dyDescent="0.3">
      <c r="A5" s="81">
        <v>1001</v>
      </c>
      <c r="B5" s="69" t="e">
        <f>VLOOKUP(A5,#REF!,2,FALSE)</f>
        <v>#REF!</v>
      </c>
      <c r="C5" s="2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'Nov 2025'!O5</f>
        <v>2</v>
      </c>
      <c r="L5" s="101">
        <v>0</v>
      </c>
      <c r="M5" s="38">
        <v>0</v>
      </c>
      <c r="N5" s="24">
        <f t="shared" si="0"/>
        <v>0</v>
      </c>
      <c r="O5" s="24">
        <f t="shared" si="1"/>
        <v>2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121">
        <f>U5*0.9*3</f>
        <v>8972.1</v>
      </c>
      <c r="AC5" s="106">
        <f t="shared" ref="AC5:AC7" si="22">V5*0.7*3</f>
        <v>6978.2999999999993</v>
      </c>
      <c r="AD5" s="9">
        <v>0</v>
      </c>
      <c r="AE5" s="41">
        <f>(6*600)+(4*300)</f>
        <v>4800</v>
      </c>
      <c r="AF5" s="42">
        <v>2277</v>
      </c>
      <c r="AG5" s="29">
        <f t="shared" si="9"/>
        <v>1800</v>
      </c>
      <c r="AH5" s="29">
        <f t="shared" ref="AH5:AH7" si="23">IF(SUM(X5:AA5)&gt;=25000, 200, 0)</f>
        <v>0</v>
      </c>
      <c r="AI5" s="29">
        <f t="shared" ref="AI5:AI6" si="24">IF(SUM(Q5:T5) &lt; 21000, SUM(X5:AA5)*0.75%, 0)</f>
        <v>156.75</v>
      </c>
      <c r="AJ5" s="32">
        <v>5000</v>
      </c>
      <c r="AK5" s="29">
        <f t="shared" ref="AK5:AK6" si="25">SUM(X5:AF5)-AD5</f>
        <v>43927.399999999994</v>
      </c>
      <c r="AL5" s="29">
        <f t="shared" si="13"/>
        <v>6956.75</v>
      </c>
      <c r="AM5" s="29">
        <f t="shared" ref="AM5:AM6" si="26">SUM(X5:AF5)-SUM(AG5:AJ5)-AD5</f>
        <v>36970.649999999994</v>
      </c>
      <c r="AN5" s="78">
        <f t="shared" ref="AN5:AN7" si="27">ROUND(AM5-AF5,0)-AU5</f>
        <v>34694</v>
      </c>
      <c r="AO5" s="29">
        <f t="shared" si="16"/>
        <v>679.25</v>
      </c>
      <c r="AP5" s="29">
        <f t="shared" ref="AP5:AP6" si="28">AG5/0.12*0.13</f>
        <v>1950</v>
      </c>
      <c r="AQ5" s="34"/>
      <c r="AR5" s="29">
        <f t="shared" si="18"/>
        <v>46556.649999999994</v>
      </c>
      <c r="AS5" s="29">
        <f>'Nov 2025'!AT5</f>
        <v>141000</v>
      </c>
      <c r="AT5" s="29">
        <f t="shared" ref="AT5:AT20" si="29">AS5+AD5-AJ5-AY5</f>
        <v>136000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4.4" x14ac:dyDescent="0.3">
      <c r="A6" s="81">
        <v>1006</v>
      </c>
      <c r="B6" s="69" t="e">
        <f>VLOOKUP(A6,#REF!,2,FALSE)</f>
        <v>#REF!</v>
      </c>
      <c r="C6" s="2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'Nov 2025'!O6</f>
        <v>4.5</v>
      </c>
      <c r="L6" s="101">
        <v>0</v>
      </c>
      <c r="M6" s="38">
        <v>2</v>
      </c>
      <c r="N6" s="24">
        <f t="shared" si="0"/>
        <v>0</v>
      </c>
      <c r="O6" s="24">
        <f t="shared" si="1"/>
        <v>2.5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121">
        <f>U6*1*3</f>
        <v>13104</v>
      </c>
      <c r="AC6" s="106">
        <f t="shared" si="22"/>
        <v>9172.7999999999993</v>
      </c>
      <c r="AD6" s="9">
        <v>0</v>
      </c>
      <c r="AE6" s="41">
        <f>(5*600)+(5*300)</f>
        <v>4500</v>
      </c>
      <c r="AF6" s="42">
        <v>2390</v>
      </c>
      <c r="AG6" s="29">
        <f t="shared" si="9"/>
        <v>1800</v>
      </c>
      <c r="AH6" s="29">
        <f t="shared" si="23"/>
        <v>0</v>
      </c>
      <c r="AI6" s="29">
        <f t="shared" si="24"/>
        <v>156.75</v>
      </c>
      <c r="AJ6" s="32">
        <v>0</v>
      </c>
      <c r="AK6" s="29">
        <f t="shared" si="25"/>
        <v>50066.8</v>
      </c>
      <c r="AL6" s="29">
        <f t="shared" si="13"/>
        <v>1956.75</v>
      </c>
      <c r="AM6" s="29">
        <f t="shared" si="26"/>
        <v>48110.05</v>
      </c>
      <c r="AN6" s="78">
        <f t="shared" si="27"/>
        <v>45720</v>
      </c>
      <c r="AO6" s="29">
        <f t="shared" si="16"/>
        <v>679.25</v>
      </c>
      <c r="AP6" s="29">
        <f t="shared" si="28"/>
        <v>1950</v>
      </c>
      <c r="AQ6" s="34"/>
      <c r="AR6" s="29">
        <f t="shared" si="18"/>
        <v>52696.05</v>
      </c>
      <c r="AS6" s="29">
        <f>'Nov 2025'!AT6</f>
        <v>0</v>
      </c>
      <c r="AT6" s="29">
        <f t="shared" si="29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4.4" x14ac:dyDescent="0.3">
      <c r="A7" s="81">
        <v>1024</v>
      </c>
      <c r="B7" s="69" t="e">
        <f>VLOOKUP(A7,#REF!,2,FALSE)</f>
        <v>#REF!</v>
      </c>
      <c r="C7" s="2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'Nov 2025'!O7</f>
        <v>2.5</v>
      </c>
      <c r="L7" s="101">
        <v>0</v>
      </c>
      <c r="M7" s="38">
        <v>1</v>
      </c>
      <c r="N7" s="24">
        <f t="shared" si="0"/>
        <v>0</v>
      </c>
      <c r="O7" s="24">
        <f t="shared" si="1"/>
        <v>1.5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121">
        <f>U7*0.9*3</f>
        <v>2430</v>
      </c>
      <c r="AC7" s="106">
        <f t="shared" si="22"/>
        <v>1890</v>
      </c>
      <c r="AD7" s="10"/>
      <c r="AE7" s="41">
        <f>(4*600)+(4*300)</f>
        <v>3600</v>
      </c>
      <c r="AF7" s="42">
        <v>1823</v>
      </c>
      <c r="AG7" s="29">
        <f t="shared" si="9"/>
        <v>1800</v>
      </c>
      <c r="AH7" s="29">
        <f t="shared" si="23"/>
        <v>0</v>
      </c>
      <c r="AI7" s="29">
        <f t="shared" ref="AI7:AI9" si="30">IF(SUM(Q7:T7) &lt; 21000, SUM(X7:AA7)*0.0075, 0)</f>
        <v>157.35</v>
      </c>
      <c r="AJ7" s="32">
        <v>0</v>
      </c>
      <c r="AK7" s="29">
        <f t="shared" ref="AK7:AK20" si="31">SUM(X7:AF7)</f>
        <v>30723</v>
      </c>
      <c r="AL7" s="29">
        <f t="shared" si="13"/>
        <v>1957.35</v>
      </c>
      <c r="AM7" s="29">
        <f t="shared" ref="AM7:AM20" si="32">SUM(X7:AF7)-SUM(AG7:AJ7)</f>
        <v>28765.65</v>
      </c>
      <c r="AN7" s="78">
        <f t="shared" si="27"/>
        <v>26943</v>
      </c>
      <c r="AO7" s="29">
        <f t="shared" si="16"/>
        <v>681.85</v>
      </c>
      <c r="AP7" s="29">
        <f t="shared" ref="AP7:AP20" si="33">AG7</f>
        <v>1800</v>
      </c>
      <c r="AQ7" s="34"/>
      <c r="AR7" s="29">
        <f t="shared" si="18"/>
        <v>33204.85</v>
      </c>
      <c r="AS7" s="29">
        <f>'Nov 2025'!AT7</f>
        <v>0</v>
      </c>
      <c r="AT7" s="29">
        <f t="shared" si="29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4.4" hidden="1" x14ac:dyDescent="0.3">
      <c r="A8" s="116">
        <v>1028</v>
      </c>
      <c r="B8" s="122" t="e">
        <f>VLOOKUP(A8,#REF!,2,FALSE)</f>
        <v>#REF!</v>
      </c>
      <c r="C8" s="123" t="e">
        <f>VLOOKUP(A8,#REF!,19,FALSE)</f>
        <v>#REF!</v>
      </c>
      <c r="D8" s="118" t="e">
        <f>VLOOKUP(A8,#REF!,8,FALSE)</f>
        <v>#REF!</v>
      </c>
      <c r="E8" s="118" t="e">
        <f>VLOOKUP(A8,#REF!,10,FALSE)</f>
        <v>#REF!</v>
      </c>
      <c r="F8" s="118" t="e">
        <f>VLOOKUP(A8,#REF!,11,FALSE)</f>
        <v>#REF!</v>
      </c>
      <c r="G8" s="118" t="e">
        <f>VLOOKUP(A8,#REF!,12,FALSE)</f>
        <v>#REF!</v>
      </c>
      <c r="H8" s="118"/>
      <c r="I8" s="124">
        <v>0</v>
      </c>
      <c r="J8" s="124">
        <v>0</v>
      </c>
      <c r="K8" s="125">
        <v>0</v>
      </c>
      <c r="L8" s="126">
        <v>0</v>
      </c>
      <c r="M8" s="127">
        <v>0</v>
      </c>
      <c r="N8" s="128">
        <v>0</v>
      </c>
      <c r="O8" s="129">
        <f t="shared" si="1"/>
        <v>0</v>
      </c>
      <c r="P8" s="129">
        <f t="shared" si="2"/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30">
        <v>0</v>
      </c>
      <c r="AC8" s="131">
        <v>0</v>
      </c>
      <c r="AD8" s="132">
        <v>0</v>
      </c>
      <c r="AE8" s="132">
        <v>0</v>
      </c>
      <c r="AF8" s="133">
        <v>0</v>
      </c>
      <c r="AG8" s="120">
        <v>0</v>
      </c>
      <c r="AH8" s="120">
        <v>0</v>
      </c>
      <c r="AI8" s="133">
        <f t="shared" si="30"/>
        <v>0</v>
      </c>
      <c r="AJ8" s="132">
        <v>0</v>
      </c>
      <c r="AK8" s="133">
        <f t="shared" si="31"/>
        <v>0</v>
      </c>
      <c r="AL8" s="133">
        <f t="shared" si="13"/>
        <v>0</v>
      </c>
      <c r="AM8" s="133">
        <f t="shared" si="32"/>
        <v>0</v>
      </c>
      <c r="AN8" s="134">
        <f t="shared" ref="AN8:AN20" si="34">ROUND(AM8-AF8,0)+AV8-AU8</f>
        <v>0</v>
      </c>
      <c r="AO8" s="133">
        <f t="shared" si="16"/>
        <v>0</v>
      </c>
      <c r="AP8" s="133">
        <f t="shared" si="33"/>
        <v>0</v>
      </c>
      <c r="AQ8" s="135"/>
      <c r="AR8" s="133">
        <f t="shared" si="18"/>
        <v>0</v>
      </c>
      <c r="AS8" s="133">
        <f>'Nov 2025'!AT8</f>
        <v>0</v>
      </c>
      <c r="AT8" s="133">
        <f t="shared" si="29"/>
        <v>0</v>
      </c>
      <c r="AU8" s="135"/>
      <c r="AV8" s="133">
        <f t="shared" ref="AV8:AV20" si="35">AF8*12</f>
        <v>0</v>
      </c>
      <c r="AW8" s="135">
        <f t="shared" si="21"/>
        <v>0</v>
      </c>
      <c r="AX8" s="135"/>
      <c r="AY8" s="134">
        <v>0</v>
      </c>
      <c r="AZ8" s="136" t="s">
        <v>166</v>
      </c>
    </row>
    <row r="9" spans="1:52" ht="14.4" x14ac:dyDescent="0.3">
      <c r="A9" s="21">
        <v>1030</v>
      </c>
      <c r="B9" s="69" t="e">
        <f>VLOOKUP(A9,#REF!,2,FALSE)</f>
        <v>#REF!</v>
      </c>
      <c r="C9" s="2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'Nov 2025'!O9</f>
        <v>2</v>
      </c>
      <c r="L9" s="101">
        <v>0</v>
      </c>
      <c r="M9" s="38">
        <v>0.5</v>
      </c>
      <c r="N9" s="24">
        <f t="shared" ref="N9:N20" si="36">IF(K9+L9-M9 &gt;= 0,0,M9-(K9+L9))</f>
        <v>0</v>
      </c>
      <c r="O9" s="24">
        <f t="shared" si="1"/>
        <v>1.5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ref="W9:W20" si="37">SUM(Q9:V9)</f>
        <v>31478</v>
      </c>
      <c r="X9" s="30">
        <f t="shared" ref="X9:X20" si="38">(Q9/I9*(J9)) * (1-N9/J9)</f>
        <v>15000</v>
      </c>
      <c r="Y9" s="30">
        <f t="shared" ref="Y9:Y20" si="39">(R9/I9*(J9)) * (1-N9/J9)</f>
        <v>3540</v>
      </c>
      <c r="Z9" s="30">
        <f t="shared" ref="Z9:Z20" si="40">(S9/I9*(J9)) * (1-N9/J9)</f>
        <v>1180</v>
      </c>
      <c r="AA9" s="30">
        <f t="shared" ref="AA9:AA20" si="41">(T9/I9*(J9)) * (1-N9/J9)</f>
        <v>1180</v>
      </c>
      <c r="AB9" s="121">
        <f>U9*0.9*3</f>
        <v>14280.300000000001</v>
      </c>
      <c r="AC9" s="106">
        <f>V9*0.7*3</f>
        <v>11106.9</v>
      </c>
      <c r="AD9" s="10"/>
      <c r="AE9" s="10"/>
      <c r="AF9" s="31">
        <v>0</v>
      </c>
      <c r="AG9" s="29">
        <f t="shared" ref="AG9:AG20" si="42">IF(X9&gt;15000,(15000 * 12%),X9*0.12)</f>
        <v>1800</v>
      </c>
      <c r="AH9" s="29">
        <f>IF(SUM(X9:AA9)&gt;=25000, 200, 0)</f>
        <v>0</v>
      </c>
      <c r="AI9" s="29">
        <f t="shared" si="30"/>
        <v>156.75</v>
      </c>
      <c r="AJ9" s="34"/>
      <c r="AK9" s="29">
        <f t="shared" si="31"/>
        <v>46287.200000000004</v>
      </c>
      <c r="AL9" s="29">
        <f t="shared" si="13"/>
        <v>1956.75</v>
      </c>
      <c r="AM9" s="29">
        <f t="shared" si="32"/>
        <v>44330.450000000004</v>
      </c>
      <c r="AN9" s="33">
        <f t="shared" si="34"/>
        <v>44330</v>
      </c>
      <c r="AO9" s="29">
        <f t="shared" si="16"/>
        <v>679.25</v>
      </c>
      <c r="AP9" s="29">
        <f t="shared" si="33"/>
        <v>1800</v>
      </c>
      <c r="AQ9" s="34"/>
      <c r="AR9" s="29">
        <f t="shared" si="18"/>
        <v>48766.450000000004</v>
      </c>
      <c r="AS9" s="29">
        <f>'Nov 2025'!AT9</f>
        <v>0</v>
      </c>
      <c r="AT9" s="29">
        <f t="shared" si="29"/>
        <v>0</v>
      </c>
      <c r="AU9" s="34"/>
      <c r="AV9" s="31">
        <f t="shared" si="35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4.4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'Nov 2025'!O10</f>
        <v>0</v>
      </c>
      <c r="L10" s="101">
        <v>0</v>
      </c>
      <c r="M10" s="104">
        <v>1</v>
      </c>
      <c r="N10" s="24">
        <f t="shared" si="36"/>
        <v>1</v>
      </c>
      <c r="O10" s="71">
        <f t="shared" si="1"/>
        <v>0</v>
      </c>
      <c r="P10" s="71">
        <f t="shared" si="2"/>
        <v>30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7"/>
        <v>47000</v>
      </c>
      <c r="X10" s="76">
        <f t="shared" si="38"/>
        <v>14516.129032258064</v>
      </c>
      <c r="Y10" s="76">
        <f t="shared" si="39"/>
        <v>8709.677419354839</v>
      </c>
      <c r="Z10" s="76">
        <f t="shared" si="40"/>
        <v>7741.9354838709678</v>
      </c>
      <c r="AA10" s="76">
        <f t="shared" si="41"/>
        <v>2903.2258064516132</v>
      </c>
      <c r="AB10" s="10">
        <f>U10*1.2</f>
        <v>7200</v>
      </c>
      <c r="AC10" s="9">
        <f>V10*0.7</f>
        <v>4200</v>
      </c>
      <c r="AD10" s="10"/>
      <c r="AE10" s="10"/>
      <c r="AF10" s="77">
        <v>0</v>
      </c>
      <c r="AG10" s="75">
        <f t="shared" si="42"/>
        <v>1741.9354838709676</v>
      </c>
      <c r="AH10" s="75">
        <f>IF(SUM(X10:AC10)&gt;=25000, 200, 0)</f>
        <v>200</v>
      </c>
      <c r="AI10" s="84">
        <v>0</v>
      </c>
      <c r="AJ10" s="34"/>
      <c r="AK10" s="75">
        <f t="shared" si="31"/>
        <v>45270.967741935485</v>
      </c>
      <c r="AL10" s="75">
        <f t="shared" si="13"/>
        <v>1941.9354838709676</v>
      </c>
      <c r="AM10" s="75">
        <f t="shared" si="32"/>
        <v>43329.032258064515</v>
      </c>
      <c r="AN10" s="78">
        <f t="shared" si="34"/>
        <v>43329</v>
      </c>
      <c r="AO10" s="75">
        <f t="shared" si="16"/>
        <v>0</v>
      </c>
      <c r="AP10" s="75">
        <f t="shared" si="33"/>
        <v>1741.9354838709676</v>
      </c>
      <c r="AQ10" s="34"/>
      <c r="AR10" s="75">
        <f t="shared" si="18"/>
        <v>47012.903225806454</v>
      </c>
      <c r="AS10" s="29">
        <f>'Nov 2025'!AT10</f>
        <v>0</v>
      </c>
      <c r="AT10" s="29">
        <f t="shared" si="29"/>
        <v>0</v>
      </c>
      <c r="AU10" s="34"/>
      <c r="AV10" s="77">
        <f t="shared" si="35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4.4" x14ac:dyDescent="0.3">
      <c r="A11" s="21">
        <v>1033</v>
      </c>
      <c r="B11" s="69" t="e">
        <f>VLOOKUP(A11,#REF!,2,FALSE)</f>
        <v>#REF!</v>
      </c>
      <c r="C11" s="2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'Nov 2025'!O11</f>
        <v>0</v>
      </c>
      <c r="L11" s="101">
        <v>0</v>
      </c>
      <c r="M11" s="38">
        <v>31</v>
      </c>
      <c r="N11" s="24">
        <f t="shared" si="36"/>
        <v>31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7"/>
        <v>22000</v>
      </c>
      <c r="X11" s="30">
        <f t="shared" si="38"/>
        <v>0</v>
      </c>
      <c r="Y11" s="30">
        <f t="shared" si="39"/>
        <v>0</v>
      </c>
      <c r="Z11" s="30">
        <f t="shared" si="40"/>
        <v>0</v>
      </c>
      <c r="AA11" s="30">
        <f t="shared" si="41"/>
        <v>0</v>
      </c>
      <c r="AB11" s="10"/>
      <c r="AC11" s="9"/>
      <c r="AD11" s="10"/>
      <c r="AE11" s="10"/>
      <c r="AF11" s="31">
        <v>0</v>
      </c>
      <c r="AG11" s="29">
        <f t="shared" si="42"/>
        <v>0</v>
      </c>
      <c r="AH11" s="29">
        <f>IF(SUM(X11:AA11)&gt;=25000, 200, 0)</f>
        <v>0</v>
      </c>
      <c r="AI11" s="29">
        <f t="shared" ref="AI11:AI14" si="43">IF(SUM(Q11:T11) &lt; 21000, SUM(X11:AA11)*0.0075, 0)</f>
        <v>0</v>
      </c>
      <c r="AJ11" s="34"/>
      <c r="AK11" s="29">
        <f t="shared" si="31"/>
        <v>0</v>
      </c>
      <c r="AL11" s="29">
        <f t="shared" si="13"/>
        <v>0</v>
      </c>
      <c r="AM11" s="29">
        <f t="shared" si="32"/>
        <v>0</v>
      </c>
      <c r="AN11" s="33">
        <f t="shared" si="34"/>
        <v>0</v>
      </c>
      <c r="AO11" s="29">
        <f t="shared" si="16"/>
        <v>0</v>
      </c>
      <c r="AP11" s="29">
        <f t="shared" si="33"/>
        <v>0</v>
      </c>
      <c r="AQ11" s="34"/>
      <c r="AR11" s="29">
        <f t="shared" si="18"/>
        <v>0</v>
      </c>
      <c r="AS11" s="29">
        <f>'Nov 2025'!AT11</f>
        <v>0</v>
      </c>
      <c r="AT11" s="29">
        <f t="shared" si="29"/>
        <v>0</v>
      </c>
      <c r="AU11" s="34"/>
      <c r="AV11" s="31">
        <f t="shared" si="35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4.4" x14ac:dyDescent="0.3">
      <c r="A12" s="21">
        <v>1034</v>
      </c>
      <c r="B12" s="69" t="e">
        <f>VLOOKUP(A12,#REF!,2,FALSE)</f>
        <v>#REF!</v>
      </c>
      <c r="C12" s="2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115">
        <v>0</v>
      </c>
      <c r="L12" s="101">
        <v>0</v>
      </c>
      <c r="M12" s="38">
        <v>3</v>
      </c>
      <c r="N12" s="24">
        <f t="shared" si="36"/>
        <v>3</v>
      </c>
      <c r="O12" s="24">
        <f t="shared" si="1"/>
        <v>0</v>
      </c>
      <c r="P12" s="24">
        <f t="shared" si="2"/>
        <v>28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7"/>
        <v>30758</v>
      </c>
      <c r="X12" s="30">
        <f t="shared" si="38"/>
        <v>13548.387096774193</v>
      </c>
      <c r="Y12" s="30">
        <f t="shared" si="39"/>
        <v>4476.3870967741932</v>
      </c>
      <c r="Z12" s="30">
        <f t="shared" si="40"/>
        <v>1492.1290322580644</v>
      </c>
      <c r="AA12" s="30">
        <f t="shared" si="41"/>
        <v>1598.7096774193549</v>
      </c>
      <c r="AB12" s="10">
        <f>U12*0.8</f>
        <v>2952</v>
      </c>
      <c r="AC12" s="9">
        <f t="shared" ref="AC12:AC13" si="44">V12*0.7</f>
        <v>2583</v>
      </c>
      <c r="AD12" s="10"/>
      <c r="AE12" s="10"/>
      <c r="AF12" s="31">
        <v>0</v>
      </c>
      <c r="AG12" s="29">
        <f t="shared" si="42"/>
        <v>1625.8064516129032</v>
      </c>
      <c r="AH12" s="29">
        <f t="shared" ref="AH12:AH20" si="45">IF(SUM(X12:AC12)&gt;=25000, 200, 0)</f>
        <v>200</v>
      </c>
      <c r="AI12" s="29">
        <f t="shared" si="43"/>
        <v>0</v>
      </c>
      <c r="AJ12" s="34"/>
      <c r="AK12" s="29">
        <f t="shared" si="31"/>
        <v>26650.612903225807</v>
      </c>
      <c r="AL12" s="29">
        <f t="shared" si="13"/>
        <v>1825.8064516129032</v>
      </c>
      <c r="AM12" s="29">
        <f t="shared" si="32"/>
        <v>24824.806451612905</v>
      </c>
      <c r="AN12" s="33">
        <f t="shared" si="34"/>
        <v>24825</v>
      </c>
      <c r="AO12" s="29">
        <f t="shared" si="16"/>
        <v>0</v>
      </c>
      <c r="AP12" s="29">
        <f t="shared" si="33"/>
        <v>1625.8064516129032</v>
      </c>
      <c r="AQ12" s="34"/>
      <c r="AR12" s="29">
        <f t="shared" si="18"/>
        <v>28276.419354838708</v>
      </c>
      <c r="AS12" s="29">
        <f>'Nov 2025'!AT12</f>
        <v>0</v>
      </c>
      <c r="AT12" s="29">
        <f t="shared" si="29"/>
        <v>0</v>
      </c>
      <c r="AU12" s="34"/>
      <c r="AV12" s="31">
        <f t="shared" si="35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4.4" x14ac:dyDescent="0.3">
      <c r="A13" s="21">
        <v>1036</v>
      </c>
      <c r="B13" s="69" t="e">
        <f>VLOOKUP(A13,#REF!,2,FALSE)</f>
        <v>#REF!</v>
      </c>
      <c r="C13" s="2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'Nov 2025'!O13</f>
        <v>1</v>
      </c>
      <c r="L13" s="101">
        <v>0</v>
      </c>
      <c r="M13" s="38">
        <v>1</v>
      </c>
      <c r="N13" s="24">
        <f t="shared" si="36"/>
        <v>0</v>
      </c>
      <c r="O13" s="24">
        <f t="shared" si="1"/>
        <v>0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7"/>
        <v>29828</v>
      </c>
      <c r="X13" s="30">
        <f t="shared" si="38"/>
        <v>15000</v>
      </c>
      <c r="Y13" s="30">
        <f t="shared" si="39"/>
        <v>4956</v>
      </c>
      <c r="Z13" s="30">
        <f t="shared" si="40"/>
        <v>1652</v>
      </c>
      <c r="AA13" s="30">
        <f t="shared" si="41"/>
        <v>1180</v>
      </c>
      <c r="AB13" s="10">
        <f>U13*0.9</f>
        <v>3168</v>
      </c>
      <c r="AC13" s="9">
        <f t="shared" si="44"/>
        <v>2464</v>
      </c>
      <c r="AD13" s="12"/>
      <c r="AE13" s="10"/>
      <c r="AF13" s="31">
        <v>0</v>
      </c>
      <c r="AG13" s="29">
        <f t="shared" si="42"/>
        <v>1800</v>
      </c>
      <c r="AH13" s="29">
        <f t="shared" si="45"/>
        <v>200</v>
      </c>
      <c r="AI13" s="29">
        <f t="shared" si="43"/>
        <v>0</v>
      </c>
      <c r="AJ13" s="13"/>
      <c r="AK13" s="29">
        <f t="shared" si="31"/>
        <v>28420</v>
      </c>
      <c r="AL13" s="29">
        <f t="shared" si="13"/>
        <v>2000</v>
      </c>
      <c r="AM13" s="29">
        <f t="shared" si="32"/>
        <v>26420</v>
      </c>
      <c r="AN13" s="33">
        <f t="shared" si="34"/>
        <v>26420</v>
      </c>
      <c r="AO13" s="29">
        <f t="shared" si="16"/>
        <v>0</v>
      </c>
      <c r="AP13" s="29">
        <f t="shared" si="33"/>
        <v>1800</v>
      </c>
      <c r="AQ13" s="13"/>
      <c r="AR13" s="29">
        <f t="shared" si="18"/>
        <v>30220</v>
      </c>
      <c r="AS13" s="29">
        <f>'Nov 2025'!AT13</f>
        <v>0</v>
      </c>
      <c r="AT13" s="29">
        <f t="shared" si="29"/>
        <v>0</v>
      </c>
      <c r="AU13" s="34"/>
      <c r="AV13" s="31">
        <f t="shared" si="35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4.4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'Nov 2025'!O14</f>
        <v>0</v>
      </c>
      <c r="L14" s="101">
        <v>0</v>
      </c>
      <c r="M14" s="104">
        <v>31</v>
      </c>
      <c r="N14" s="71">
        <f t="shared" si="36"/>
        <v>31</v>
      </c>
      <c r="O14" s="71">
        <f t="shared" si="1"/>
        <v>0</v>
      </c>
      <c r="P14" s="71">
        <f t="shared" si="2"/>
        <v>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7"/>
        <v>73810</v>
      </c>
      <c r="X14" s="76">
        <f t="shared" si="38"/>
        <v>0</v>
      </c>
      <c r="Y14" s="76">
        <f t="shared" si="39"/>
        <v>0</v>
      </c>
      <c r="Z14" s="76">
        <f t="shared" si="40"/>
        <v>0</v>
      </c>
      <c r="AA14" s="76">
        <f t="shared" si="41"/>
        <v>0</v>
      </c>
      <c r="AB14" s="10">
        <v>0</v>
      </c>
      <c r="AC14" s="9">
        <v>0</v>
      </c>
      <c r="AD14" s="12"/>
      <c r="AE14" s="10"/>
      <c r="AF14" s="77">
        <v>0</v>
      </c>
      <c r="AG14" s="75">
        <f t="shared" si="42"/>
        <v>0</v>
      </c>
      <c r="AH14" s="75">
        <f t="shared" si="45"/>
        <v>0</v>
      </c>
      <c r="AI14" s="75">
        <f t="shared" si="43"/>
        <v>0</v>
      </c>
      <c r="AJ14" s="13"/>
      <c r="AK14" s="75">
        <f t="shared" si="31"/>
        <v>0</v>
      </c>
      <c r="AL14" s="75">
        <f t="shared" si="13"/>
        <v>0</v>
      </c>
      <c r="AM14" s="75">
        <f t="shared" si="32"/>
        <v>0</v>
      </c>
      <c r="AN14" s="78">
        <f t="shared" si="34"/>
        <v>0</v>
      </c>
      <c r="AO14" s="75">
        <f t="shared" si="16"/>
        <v>0</v>
      </c>
      <c r="AP14" s="75">
        <f t="shared" si="33"/>
        <v>0</v>
      </c>
      <c r="AQ14" s="13"/>
      <c r="AR14" s="75">
        <f t="shared" si="18"/>
        <v>0</v>
      </c>
      <c r="AS14" s="29">
        <f>'Nov 2025'!AT14</f>
        <v>0</v>
      </c>
      <c r="AT14" s="29">
        <f t="shared" si="29"/>
        <v>0</v>
      </c>
      <c r="AU14" s="34"/>
      <c r="AV14" s="77">
        <f t="shared" si="35"/>
        <v>0</v>
      </c>
      <c r="AW14" s="79">
        <f t="shared" si="21"/>
        <v>0</v>
      </c>
      <c r="AX14" s="79"/>
      <c r="AY14" s="75">
        <v>0</v>
      </c>
      <c r="AZ14" s="77" t="s">
        <v>165</v>
      </c>
    </row>
    <row r="15" spans="1:52" ht="14.4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'Nov 2025'!O15</f>
        <v>7</v>
      </c>
      <c r="L15" s="101">
        <v>0</v>
      </c>
      <c r="M15" s="104">
        <v>1</v>
      </c>
      <c r="N15" s="71">
        <f t="shared" si="36"/>
        <v>0</v>
      </c>
      <c r="O15" s="71">
        <f t="shared" si="1"/>
        <v>6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7"/>
        <v>95895</v>
      </c>
      <c r="X15" s="76">
        <f t="shared" si="38"/>
        <v>30000</v>
      </c>
      <c r="Y15" s="76">
        <f t="shared" si="39"/>
        <v>21300</v>
      </c>
      <c r="Z15" s="76">
        <f t="shared" si="40"/>
        <v>15975.000000000002</v>
      </c>
      <c r="AA15" s="76">
        <f t="shared" si="41"/>
        <v>12780</v>
      </c>
      <c r="AB15" s="10">
        <f t="shared" ref="AB15:AB17" si="46">U15*1</f>
        <v>7920</v>
      </c>
      <c r="AC15" s="9">
        <f>V15*0.7</f>
        <v>5544</v>
      </c>
      <c r="AD15" s="10"/>
      <c r="AE15" s="10"/>
      <c r="AF15" s="77">
        <v>0</v>
      </c>
      <c r="AG15" s="75">
        <f t="shared" si="42"/>
        <v>1800</v>
      </c>
      <c r="AH15" s="75">
        <f t="shared" si="45"/>
        <v>200</v>
      </c>
      <c r="AI15" s="85">
        <v>0</v>
      </c>
      <c r="AJ15" s="34"/>
      <c r="AK15" s="75">
        <f t="shared" si="31"/>
        <v>93519</v>
      </c>
      <c r="AL15" s="75">
        <f t="shared" si="13"/>
        <v>2000</v>
      </c>
      <c r="AM15" s="75">
        <f t="shared" si="32"/>
        <v>91519</v>
      </c>
      <c r="AN15" s="78">
        <f t="shared" si="34"/>
        <v>91519</v>
      </c>
      <c r="AO15" s="75">
        <v>0</v>
      </c>
      <c r="AP15" s="75">
        <f t="shared" si="33"/>
        <v>1800</v>
      </c>
      <c r="AQ15" s="34"/>
      <c r="AR15" s="75">
        <f t="shared" si="18"/>
        <v>95319</v>
      </c>
      <c r="AS15" s="29">
        <f>'Nov 2025'!AT15</f>
        <v>0</v>
      </c>
      <c r="AT15" s="29">
        <f t="shared" si="29"/>
        <v>0</v>
      </c>
      <c r="AU15" s="34"/>
      <c r="AV15" s="77">
        <f t="shared" si="35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4.4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'Nov 2025'!O16</f>
        <v>0</v>
      </c>
      <c r="L16" s="101">
        <v>0</v>
      </c>
      <c r="M16" s="104">
        <v>31</v>
      </c>
      <c r="N16" s="71">
        <f t="shared" si="36"/>
        <v>31</v>
      </c>
      <c r="O16" s="71">
        <f t="shared" si="1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7"/>
        <v>85615</v>
      </c>
      <c r="X16" s="76">
        <f t="shared" si="38"/>
        <v>0</v>
      </c>
      <c r="Y16" s="76">
        <f t="shared" si="39"/>
        <v>0</v>
      </c>
      <c r="Z16" s="76">
        <f t="shared" si="40"/>
        <v>0</v>
      </c>
      <c r="AA16" s="76">
        <f t="shared" si="41"/>
        <v>0</v>
      </c>
      <c r="AB16" s="10">
        <f t="shared" si="46"/>
        <v>0</v>
      </c>
      <c r="AC16" s="9">
        <v>0</v>
      </c>
      <c r="AD16" s="12"/>
      <c r="AE16" s="41">
        <v>20000</v>
      </c>
      <c r="AF16" s="77">
        <v>0</v>
      </c>
      <c r="AG16" s="75">
        <f t="shared" si="42"/>
        <v>0</v>
      </c>
      <c r="AH16" s="75">
        <f t="shared" si="45"/>
        <v>0</v>
      </c>
      <c r="AI16" s="75">
        <f t="shared" ref="AI16:AI20" si="47">IF(SUM(Q16:T16) &lt; 21000, SUM(X16:AA16)*0.0075, 0)</f>
        <v>0</v>
      </c>
      <c r="AJ16" s="13"/>
      <c r="AK16" s="75">
        <f t="shared" si="31"/>
        <v>20000</v>
      </c>
      <c r="AL16" s="75">
        <f t="shared" si="13"/>
        <v>0</v>
      </c>
      <c r="AM16" s="75">
        <f t="shared" si="32"/>
        <v>20000</v>
      </c>
      <c r="AN16" s="78">
        <f t="shared" si="34"/>
        <v>20000</v>
      </c>
      <c r="AO16" s="75">
        <f t="shared" ref="AO16:AO20" si="48">AI16/0.0075*0.0325</f>
        <v>0</v>
      </c>
      <c r="AP16" s="75">
        <f t="shared" si="33"/>
        <v>0</v>
      </c>
      <c r="AQ16" s="13"/>
      <c r="AR16" s="75">
        <f t="shared" si="18"/>
        <v>20000</v>
      </c>
      <c r="AS16" s="29">
        <f>'Nov 2025'!AT16</f>
        <v>0</v>
      </c>
      <c r="AT16" s="29">
        <f t="shared" si="29"/>
        <v>0</v>
      </c>
      <c r="AU16" s="34"/>
      <c r="AV16" s="77">
        <f t="shared" si="35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4.4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'Nov 2025'!O17</f>
        <v>12</v>
      </c>
      <c r="L17" s="101">
        <v>0</v>
      </c>
      <c r="M17" s="104">
        <v>12</v>
      </c>
      <c r="N17" s="71">
        <f t="shared" si="36"/>
        <v>0</v>
      </c>
      <c r="O17" s="71">
        <f t="shared" si="1"/>
        <v>0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7"/>
        <v>83083.333333333343</v>
      </c>
      <c r="X17" s="76">
        <f t="shared" si="38"/>
        <v>26000</v>
      </c>
      <c r="Y17" s="76">
        <f t="shared" si="39"/>
        <v>18750</v>
      </c>
      <c r="Z17" s="76">
        <f t="shared" si="40"/>
        <v>1250</v>
      </c>
      <c r="AA17" s="76">
        <f t="shared" si="41"/>
        <v>10833.333333333334</v>
      </c>
      <c r="AB17" s="10">
        <f t="shared" si="46"/>
        <v>13125</v>
      </c>
      <c r="AC17" s="9">
        <f t="shared" ref="AC17:AC20" si="49">V17*0.7</f>
        <v>9187.5</v>
      </c>
      <c r="AD17" s="12"/>
      <c r="AE17" s="10"/>
      <c r="AF17" s="77">
        <v>0</v>
      </c>
      <c r="AG17" s="75">
        <f t="shared" si="42"/>
        <v>1800</v>
      </c>
      <c r="AH17" s="75">
        <f t="shared" si="45"/>
        <v>200</v>
      </c>
      <c r="AI17" s="75">
        <f t="shared" si="47"/>
        <v>0</v>
      </c>
      <c r="AJ17" s="13"/>
      <c r="AK17" s="75">
        <f t="shared" si="31"/>
        <v>79145.833333333343</v>
      </c>
      <c r="AL17" s="75">
        <f t="shared" si="13"/>
        <v>2000</v>
      </c>
      <c r="AM17" s="75">
        <f t="shared" si="32"/>
        <v>77145.833333333343</v>
      </c>
      <c r="AN17" s="78">
        <f t="shared" si="34"/>
        <v>77146</v>
      </c>
      <c r="AO17" s="75">
        <f t="shared" si="48"/>
        <v>0</v>
      </c>
      <c r="AP17" s="75">
        <f t="shared" si="33"/>
        <v>1800</v>
      </c>
      <c r="AQ17" s="13"/>
      <c r="AR17" s="75">
        <f t="shared" si="18"/>
        <v>80945.833333333343</v>
      </c>
      <c r="AS17" s="29">
        <f>'Nov 2025'!AT17</f>
        <v>0</v>
      </c>
      <c r="AT17" s="29">
        <f t="shared" si="29"/>
        <v>0</v>
      </c>
      <c r="AU17" s="34"/>
      <c r="AV17" s="77">
        <f t="shared" si="35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4.4" x14ac:dyDescent="0.3">
      <c r="A18" s="21">
        <v>1039</v>
      </c>
      <c r="B18" s="69" t="e">
        <f>VLOOKUP(A18,#REF!,2,FALSE)</f>
        <v>#REF!</v>
      </c>
      <c r="C18" s="2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'Nov 2025'!O18</f>
        <v>1.5</v>
      </c>
      <c r="L18" s="101">
        <v>0</v>
      </c>
      <c r="M18" s="38">
        <v>3</v>
      </c>
      <c r="N18" s="24">
        <f t="shared" si="36"/>
        <v>1.5</v>
      </c>
      <c r="O18" s="24">
        <f t="shared" si="1"/>
        <v>0</v>
      </c>
      <c r="P18" s="24">
        <f t="shared" si="2"/>
        <v>29.5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7"/>
        <v>28560</v>
      </c>
      <c r="X18" s="30">
        <f t="shared" si="38"/>
        <v>14274.193548387097</v>
      </c>
      <c r="Y18" s="30">
        <f t="shared" si="39"/>
        <v>5424.1935483870966</v>
      </c>
      <c r="Z18" s="30">
        <f t="shared" si="40"/>
        <v>1808.0645161290324</v>
      </c>
      <c r="AA18" s="30">
        <f t="shared" si="41"/>
        <v>1808.0645161290324</v>
      </c>
      <c r="AB18" s="10">
        <f t="shared" ref="AB18:AB19" si="50">U18*0.9</f>
        <v>1827</v>
      </c>
      <c r="AC18" s="9">
        <f t="shared" si="49"/>
        <v>1421</v>
      </c>
      <c r="AD18" s="12"/>
      <c r="AE18" s="10"/>
      <c r="AF18" s="31">
        <v>0</v>
      </c>
      <c r="AG18" s="29">
        <f t="shared" si="42"/>
        <v>1712.9032258064515</v>
      </c>
      <c r="AH18" s="29">
        <f t="shared" si="45"/>
        <v>200</v>
      </c>
      <c r="AI18" s="29">
        <f t="shared" si="47"/>
        <v>0</v>
      </c>
      <c r="AJ18" s="13"/>
      <c r="AK18" s="29">
        <f t="shared" si="31"/>
        <v>26562.516129032261</v>
      </c>
      <c r="AL18" s="29">
        <f t="shared" si="13"/>
        <v>1912.9032258064515</v>
      </c>
      <c r="AM18" s="29">
        <f t="shared" si="32"/>
        <v>24649.61290322581</v>
      </c>
      <c r="AN18" s="33">
        <f t="shared" si="34"/>
        <v>24650</v>
      </c>
      <c r="AO18" s="29">
        <f t="shared" si="48"/>
        <v>0</v>
      </c>
      <c r="AP18" s="29">
        <f t="shared" si="33"/>
        <v>1712.9032258064515</v>
      </c>
      <c r="AQ18" s="13"/>
      <c r="AR18" s="29">
        <f t="shared" si="18"/>
        <v>28275.419354838712</v>
      </c>
      <c r="AS18" s="29">
        <f>'Nov 2025'!AT18</f>
        <v>0</v>
      </c>
      <c r="AT18" s="29">
        <f t="shared" si="29"/>
        <v>0</v>
      </c>
      <c r="AU18" s="34"/>
      <c r="AV18" s="31">
        <f t="shared" si="35"/>
        <v>0</v>
      </c>
      <c r="AW18" s="79"/>
      <c r="AX18" s="79"/>
      <c r="AY18" s="75">
        <v>0</v>
      </c>
      <c r="AZ18" s="77" t="s">
        <v>165</v>
      </c>
    </row>
    <row r="19" spans="1:52" ht="14.4" x14ac:dyDescent="0.3">
      <c r="A19" s="21">
        <v>1040</v>
      </c>
      <c r="B19" s="69" t="e">
        <f>VLOOKUP(A19,#REF!,2,FALSE)</f>
        <v>#REF!</v>
      </c>
      <c r="C19" s="2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'Nov 2025'!O19</f>
        <v>2</v>
      </c>
      <c r="L19" s="101">
        <v>0</v>
      </c>
      <c r="M19" s="38">
        <v>1</v>
      </c>
      <c r="N19" s="24">
        <f t="shared" si="36"/>
        <v>0</v>
      </c>
      <c r="O19" s="24">
        <f t="shared" si="1"/>
        <v>1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7"/>
        <v>29280</v>
      </c>
      <c r="X19" s="30">
        <f t="shared" si="38"/>
        <v>15000</v>
      </c>
      <c r="Y19" s="30">
        <f t="shared" si="39"/>
        <v>5700</v>
      </c>
      <c r="Z19" s="30">
        <f t="shared" si="40"/>
        <v>1900</v>
      </c>
      <c r="AA19" s="30">
        <f t="shared" si="41"/>
        <v>1900</v>
      </c>
      <c r="AB19" s="10">
        <f t="shared" si="50"/>
        <v>2151</v>
      </c>
      <c r="AC19" s="9">
        <f t="shared" si="49"/>
        <v>1673</v>
      </c>
      <c r="AD19" s="12"/>
      <c r="AE19" s="10"/>
      <c r="AF19" s="31">
        <v>0</v>
      </c>
      <c r="AG19" s="29">
        <f t="shared" si="42"/>
        <v>1800</v>
      </c>
      <c r="AH19" s="29">
        <f t="shared" si="45"/>
        <v>200</v>
      </c>
      <c r="AI19" s="29">
        <f t="shared" si="47"/>
        <v>0</v>
      </c>
      <c r="AJ19" s="13"/>
      <c r="AK19" s="29">
        <f t="shared" si="31"/>
        <v>28324</v>
      </c>
      <c r="AL19" s="29">
        <f t="shared" si="13"/>
        <v>2000</v>
      </c>
      <c r="AM19" s="29">
        <f t="shared" si="32"/>
        <v>26324</v>
      </c>
      <c r="AN19" s="33">
        <f t="shared" si="34"/>
        <v>26324</v>
      </c>
      <c r="AO19" s="29">
        <f t="shared" si="48"/>
        <v>0</v>
      </c>
      <c r="AP19" s="29">
        <f t="shared" si="33"/>
        <v>1800</v>
      </c>
      <c r="AQ19" s="13"/>
      <c r="AR19" s="29">
        <f t="shared" si="18"/>
        <v>30124</v>
      </c>
      <c r="AS19" s="29">
        <f>'Nov 2025'!AT19</f>
        <v>0</v>
      </c>
      <c r="AT19" s="29">
        <f t="shared" si="29"/>
        <v>0</v>
      </c>
      <c r="AU19" s="34"/>
      <c r="AV19" s="31">
        <f t="shared" si="35"/>
        <v>0</v>
      </c>
      <c r="AW19" s="79"/>
      <c r="AX19" s="79"/>
      <c r="AY19" s="75">
        <v>0</v>
      </c>
      <c r="AZ19" s="77" t="s">
        <v>165</v>
      </c>
    </row>
    <row r="20" spans="1:52" ht="14.4" x14ac:dyDescent="0.3">
      <c r="A20" s="21">
        <v>1043</v>
      </c>
      <c r="B20" s="69" t="e">
        <f>VLOOKUP(A20,#REF!,2,FALSE)</f>
        <v>#REF!</v>
      </c>
      <c r="C20" s="2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'Nov 2025'!O20</f>
        <v>0</v>
      </c>
      <c r="L20" s="101">
        <v>0</v>
      </c>
      <c r="M20" s="38">
        <v>1</v>
      </c>
      <c r="N20" s="24">
        <f t="shared" si="36"/>
        <v>1</v>
      </c>
      <c r="O20" s="24">
        <f t="shared" si="1"/>
        <v>0</v>
      </c>
      <c r="P20" s="24">
        <f t="shared" si="2"/>
        <v>30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7"/>
        <v>27204</v>
      </c>
      <c r="X20" s="30">
        <f t="shared" si="38"/>
        <v>14516.129032258064</v>
      </c>
      <c r="Y20" s="30">
        <f t="shared" si="39"/>
        <v>4964.5161290322585</v>
      </c>
      <c r="Z20" s="30">
        <f t="shared" si="40"/>
        <v>1654.8387096774195</v>
      </c>
      <c r="AA20" s="30">
        <f t="shared" si="41"/>
        <v>1654.8387096774195</v>
      </c>
      <c r="AB20" s="10">
        <f>U20*0.8</f>
        <v>1461.6000000000001</v>
      </c>
      <c r="AC20" s="9">
        <f t="shared" si="49"/>
        <v>1278.8999999999999</v>
      </c>
      <c r="AD20" s="12"/>
      <c r="AE20" s="10"/>
      <c r="AF20" s="31">
        <v>0</v>
      </c>
      <c r="AG20" s="29">
        <f t="shared" si="42"/>
        <v>1741.9354838709676</v>
      </c>
      <c r="AH20" s="29">
        <f t="shared" si="45"/>
        <v>200</v>
      </c>
      <c r="AI20" s="29">
        <f t="shared" si="47"/>
        <v>0</v>
      </c>
      <c r="AJ20" s="13"/>
      <c r="AK20" s="29">
        <f t="shared" si="31"/>
        <v>25530.822580645163</v>
      </c>
      <c r="AL20" s="29">
        <f t="shared" si="13"/>
        <v>1941.9354838709676</v>
      </c>
      <c r="AM20" s="29">
        <f t="shared" si="32"/>
        <v>23588.887096774197</v>
      </c>
      <c r="AN20" s="33">
        <f t="shared" si="34"/>
        <v>23589</v>
      </c>
      <c r="AO20" s="29">
        <f t="shared" si="48"/>
        <v>0</v>
      </c>
      <c r="AP20" s="29">
        <f t="shared" si="33"/>
        <v>1741.9354838709676</v>
      </c>
      <c r="AQ20" s="13"/>
      <c r="AR20" s="29">
        <f t="shared" si="18"/>
        <v>27272.758064516129</v>
      </c>
      <c r="AS20" s="29">
        <f>'Nov 2025'!AT20</f>
        <v>0</v>
      </c>
      <c r="AT20" s="29">
        <f t="shared" si="29"/>
        <v>0</v>
      </c>
      <c r="AU20" s="34"/>
      <c r="AV20" s="31">
        <f t="shared" si="35"/>
        <v>0</v>
      </c>
      <c r="AW20" s="79"/>
      <c r="AX20" s="79"/>
      <c r="AY20" s="75">
        <v>0</v>
      </c>
      <c r="AZ20" s="77" t="s">
        <v>165</v>
      </c>
    </row>
    <row r="21" spans="1:52" ht="14.4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00">
        <v>31</v>
      </c>
      <c r="J21" s="100">
        <v>31</v>
      </c>
      <c r="K21" s="71">
        <f>'Nov 2025'!O21</f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0">
        <v>0</v>
      </c>
      <c r="AC21" s="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  <c r="AK21" s="119">
        <v>0</v>
      </c>
      <c r="AL21" s="119">
        <v>0</v>
      </c>
      <c r="AM21" s="119">
        <v>0</v>
      </c>
      <c r="AN21" s="119">
        <v>0</v>
      </c>
      <c r="AO21" s="119">
        <v>0</v>
      </c>
      <c r="AP21" s="119">
        <v>0</v>
      </c>
      <c r="AQ21" s="119">
        <v>0</v>
      </c>
      <c r="AR21" s="119">
        <v>0</v>
      </c>
      <c r="AS21" s="133">
        <f>'Nov 2025'!AT21</f>
        <v>0</v>
      </c>
      <c r="AT21" s="119">
        <v>0</v>
      </c>
      <c r="AU21" s="119">
        <v>0</v>
      </c>
      <c r="AV21" s="119">
        <v>0</v>
      </c>
      <c r="AW21" s="119">
        <v>0</v>
      </c>
      <c r="AX21" s="119">
        <v>0</v>
      </c>
      <c r="AY21" s="119">
        <v>0</v>
      </c>
      <c r="AZ21" s="120" t="s">
        <v>166</v>
      </c>
    </row>
    <row r="22" spans="1:52" ht="14.4" x14ac:dyDescent="0.3">
      <c r="A22" s="21">
        <v>1046</v>
      </c>
      <c r="B22" s="69" t="e">
        <f>VLOOKUP(A22,#REF!,2,FALSE)</f>
        <v>#REF!</v>
      </c>
      <c r="C22" s="2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'Nov 2025'!O22</f>
        <v>1.5</v>
      </c>
      <c r="L22" s="101">
        <v>0</v>
      </c>
      <c r="M22" s="38">
        <v>1.5</v>
      </c>
      <c r="N22" s="24">
        <f t="shared" ref="N22:N23" si="51">IF(K22+L22-M22 &gt;= 0,0,M22-(K22+L22))</f>
        <v>0</v>
      </c>
      <c r="O22" s="24">
        <f t="shared" ref="O22:O36" si="52">IF(K22+L22-M22&gt;0,K22+L22-M22,0)</f>
        <v>0</v>
      </c>
      <c r="P22" s="24">
        <f t="shared" ref="P22:P36" si="53">J22-N22</f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ref="W22:W36" si="54">SUM(Q22:V22)</f>
        <v>28804</v>
      </c>
      <c r="X22" s="30">
        <f t="shared" ref="X22:X36" si="55">(Q22/I22*(J22)) * (1-N22/J22)</f>
        <v>15000</v>
      </c>
      <c r="Y22" s="30">
        <f t="shared" ref="Y22:Y36" si="56">(R22/I22*(J22)) * (1-N22/J22)</f>
        <v>5700</v>
      </c>
      <c r="Z22" s="30">
        <f t="shared" ref="Z22:Z36" si="57">(S22/I22*(J22)) * (1-N22/J22)</f>
        <v>1900</v>
      </c>
      <c r="AA22" s="30">
        <f t="shared" ref="AA22:AA36" si="58">(T22/I22*(J22)) * (1-N22/J22)</f>
        <v>1900</v>
      </c>
      <c r="AB22" s="10">
        <f t="shared" ref="AB22:AB23" si="59">U22*0.9</f>
        <v>1936.8</v>
      </c>
      <c r="AC22" s="9">
        <f t="shared" ref="AC22:AC25" si="60">V22*0.7</f>
        <v>1506.3999999999999</v>
      </c>
      <c r="AD22" s="12"/>
      <c r="AE22" s="10"/>
      <c r="AF22" s="31">
        <v>0</v>
      </c>
      <c r="AG22" s="29">
        <f t="shared" ref="AG22:AG31" si="61">IF(X22&gt;15000,(15000 * 12%),X22*0.12)</f>
        <v>1800</v>
      </c>
      <c r="AH22" s="29">
        <f t="shared" ref="AH22:AH23" si="62">IF(SUM(X22:AC22)&gt;=25000, 200, 0)</f>
        <v>200</v>
      </c>
      <c r="AI22" s="29">
        <f t="shared" ref="AI22:AI33" si="63">IF(SUM(Q22:T22) &lt; 21000, SUM(X22:AA22)*0.0075, 0)</f>
        <v>0</v>
      </c>
      <c r="AJ22" s="13"/>
      <c r="AK22" s="29">
        <f t="shared" ref="AK22:AK36" si="64">SUM(X22:AF22)</f>
        <v>27943.200000000001</v>
      </c>
      <c r="AL22" s="29">
        <f t="shared" ref="AL22:AL36" si="65">SUM(AG22:AJ22)+AU22</f>
        <v>2000</v>
      </c>
      <c r="AM22" s="29">
        <f t="shared" ref="AM22:AM36" si="66">SUM(X22:AF22)-SUM(AG22:AJ22)</f>
        <v>25943.200000000001</v>
      </c>
      <c r="AN22" s="33">
        <f t="shared" ref="AN22:AN36" si="67">ROUND(AM22-AF22,0)+AV22-AU22</f>
        <v>25943</v>
      </c>
      <c r="AO22" s="29">
        <f t="shared" ref="AO22:AO34" si="68">AI22/0.0075*0.0325</f>
        <v>0</v>
      </c>
      <c r="AP22" s="29">
        <f t="shared" ref="AP22:AP34" si="69">AG22</f>
        <v>1800</v>
      </c>
      <c r="AQ22" s="13"/>
      <c r="AR22" s="29">
        <f t="shared" ref="AR22:AR34" si="70">AK22+AO22+AP22</f>
        <v>29743.200000000001</v>
      </c>
      <c r="AS22" s="29">
        <f>'Nov 2025'!AT22</f>
        <v>0</v>
      </c>
      <c r="AT22" s="29">
        <f t="shared" ref="AT22:AT28" si="71">AS22+AD22-AJ22-AY22</f>
        <v>0</v>
      </c>
      <c r="AU22" s="34"/>
      <c r="AV22" s="31">
        <f t="shared" ref="AV22:AV32" si="72">AF22*12</f>
        <v>0</v>
      </c>
      <c r="AW22" s="79"/>
      <c r="AX22" s="79"/>
      <c r="AY22" s="75">
        <v>0</v>
      </c>
      <c r="AZ22" s="77" t="s">
        <v>165</v>
      </c>
    </row>
    <row r="23" spans="1:52" ht="14.4" x14ac:dyDescent="0.3">
      <c r="A23" s="50">
        <v>1048</v>
      </c>
      <c r="B23" s="69" t="e">
        <f>VLOOKUP(A23,#REF!,2,FALSE)</f>
        <v>#REF!</v>
      </c>
      <c r="C23" s="2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'Nov 2025'!O23</f>
        <v>0</v>
      </c>
      <c r="L23" s="101">
        <v>0</v>
      </c>
      <c r="M23" s="38">
        <v>2</v>
      </c>
      <c r="N23" s="24">
        <f t="shared" si="51"/>
        <v>2</v>
      </c>
      <c r="O23" s="24">
        <f t="shared" si="52"/>
        <v>0</v>
      </c>
      <c r="P23" s="24">
        <f t="shared" si="53"/>
        <v>29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54"/>
        <v>25831</v>
      </c>
      <c r="X23" s="30">
        <f t="shared" si="55"/>
        <v>14032.258064516131</v>
      </c>
      <c r="Y23" s="30">
        <f t="shared" si="56"/>
        <v>4639.0645161290322</v>
      </c>
      <c r="Z23" s="30">
        <f t="shared" si="57"/>
        <v>1546.3548387096776</v>
      </c>
      <c r="AA23" s="30">
        <f t="shared" si="58"/>
        <v>1546.3548387096776</v>
      </c>
      <c r="AB23" s="10">
        <f t="shared" si="59"/>
        <v>1154.7</v>
      </c>
      <c r="AC23" s="9">
        <f t="shared" si="60"/>
        <v>898.09999999999991</v>
      </c>
      <c r="AD23" s="12"/>
      <c r="AE23" s="10"/>
      <c r="AF23" s="31">
        <v>0</v>
      </c>
      <c r="AG23" s="29">
        <f t="shared" si="61"/>
        <v>1683.8709677419356</v>
      </c>
      <c r="AH23" s="29">
        <f t="shared" si="62"/>
        <v>0</v>
      </c>
      <c r="AI23" s="29">
        <f t="shared" si="63"/>
        <v>0</v>
      </c>
      <c r="AJ23" s="13"/>
      <c r="AK23" s="29">
        <f t="shared" si="64"/>
        <v>23816.832258064518</v>
      </c>
      <c r="AL23" s="29">
        <f t="shared" si="65"/>
        <v>1683.8709677419356</v>
      </c>
      <c r="AM23" s="29">
        <f t="shared" si="66"/>
        <v>22132.961290322582</v>
      </c>
      <c r="AN23" s="33">
        <f t="shared" si="67"/>
        <v>22133</v>
      </c>
      <c r="AO23" s="29">
        <f t="shared" si="68"/>
        <v>0</v>
      </c>
      <c r="AP23" s="29">
        <f t="shared" si="69"/>
        <v>1683.8709677419356</v>
      </c>
      <c r="AQ23" s="13"/>
      <c r="AR23" s="29">
        <f t="shared" si="70"/>
        <v>25500.703225806454</v>
      </c>
      <c r="AS23" s="29">
        <f>'Nov 2025'!AT23</f>
        <v>0</v>
      </c>
      <c r="AT23" s="29">
        <f t="shared" si="71"/>
        <v>0</v>
      </c>
      <c r="AU23" s="34"/>
      <c r="AV23" s="31">
        <f t="shared" si="72"/>
        <v>0</v>
      </c>
      <c r="AW23" s="79"/>
      <c r="AX23" s="79"/>
      <c r="AY23" s="75">
        <v>0</v>
      </c>
      <c r="AZ23" s="77" t="s">
        <v>165</v>
      </c>
    </row>
    <row r="24" spans="1:52" ht="14.4" x14ac:dyDescent="0.3">
      <c r="A24" s="21">
        <v>1049</v>
      </c>
      <c r="B24" s="69" t="e">
        <f>VLOOKUP(A24,#REF!,2,FALSE)</f>
        <v>#REF!</v>
      </c>
      <c r="C24" s="2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'Nov 2025'!O24</f>
        <v>1</v>
      </c>
      <c r="L24" s="101">
        <v>0</v>
      </c>
      <c r="M24" s="38">
        <v>0.5</v>
      </c>
      <c r="N24" s="45">
        <v>1</v>
      </c>
      <c r="O24" s="24">
        <f t="shared" si="52"/>
        <v>0.5</v>
      </c>
      <c r="P24" s="24">
        <f t="shared" si="53"/>
        <v>30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54"/>
        <v>40000</v>
      </c>
      <c r="X24" s="30">
        <f t="shared" si="55"/>
        <v>14516.129032258064</v>
      </c>
      <c r="Y24" s="30">
        <f t="shared" si="56"/>
        <v>5806.4516129032263</v>
      </c>
      <c r="Z24" s="30">
        <f t="shared" si="57"/>
        <v>4838.7096774193551</v>
      </c>
      <c r="AA24" s="30">
        <f t="shared" si="58"/>
        <v>5806.4516129032263</v>
      </c>
      <c r="AB24" s="10">
        <f>U24*1.1</f>
        <v>4400</v>
      </c>
      <c r="AC24" s="9">
        <f t="shared" si="60"/>
        <v>2800</v>
      </c>
      <c r="AD24" s="12"/>
      <c r="AE24" s="10"/>
      <c r="AF24" s="31">
        <v>0</v>
      </c>
      <c r="AG24" s="29">
        <f t="shared" si="61"/>
        <v>1741.9354838709676</v>
      </c>
      <c r="AH24" s="29">
        <f>IF(SUM(X24:AA24)&gt;=25000, 200, 0)</f>
        <v>200</v>
      </c>
      <c r="AI24" s="29">
        <f t="shared" si="63"/>
        <v>0</v>
      </c>
      <c r="AJ24" s="13"/>
      <c r="AK24" s="29">
        <f t="shared" si="64"/>
        <v>38167.741935483878</v>
      </c>
      <c r="AL24" s="29">
        <f t="shared" si="65"/>
        <v>1941.9354838709676</v>
      </c>
      <c r="AM24" s="29">
        <f t="shared" si="66"/>
        <v>36225.806451612909</v>
      </c>
      <c r="AN24" s="33">
        <f t="shared" si="67"/>
        <v>36226</v>
      </c>
      <c r="AO24" s="29">
        <f t="shared" si="68"/>
        <v>0</v>
      </c>
      <c r="AP24" s="29">
        <f t="shared" si="69"/>
        <v>1741.9354838709676</v>
      </c>
      <c r="AQ24" s="13"/>
      <c r="AR24" s="29">
        <f t="shared" si="70"/>
        <v>39909.677419354848</v>
      </c>
      <c r="AS24" s="29">
        <f>'Nov 2025'!AT24</f>
        <v>0</v>
      </c>
      <c r="AT24" s="29">
        <f t="shared" si="71"/>
        <v>0</v>
      </c>
      <c r="AU24" s="34"/>
      <c r="AV24" s="31">
        <f t="shared" si="72"/>
        <v>0</v>
      </c>
      <c r="AW24" s="79"/>
      <c r="AX24" s="79"/>
      <c r="AY24" s="103">
        <v>0</v>
      </c>
      <c r="AZ24" s="77" t="s">
        <v>165</v>
      </c>
    </row>
    <row r="25" spans="1:52" ht="14.4" x14ac:dyDescent="0.3">
      <c r="A25" s="21">
        <v>1050</v>
      </c>
      <c r="B25" s="69" t="e">
        <f>VLOOKUP(A25,#REF!,2,FALSE)</f>
        <v>#REF!</v>
      </c>
      <c r="C25" s="2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'Nov 2025'!O25</f>
        <v>0.5</v>
      </c>
      <c r="L25" s="101">
        <v>0</v>
      </c>
      <c r="M25" s="38">
        <v>8</v>
      </c>
      <c r="N25" s="24">
        <f t="shared" ref="N25:N36" si="73">IF(K25+L25-M25 &gt;= 0,0,M25-(K25+L25))</f>
        <v>7.5</v>
      </c>
      <c r="O25" s="24">
        <f t="shared" si="52"/>
        <v>0</v>
      </c>
      <c r="P25" s="24">
        <f t="shared" si="53"/>
        <v>23.5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54"/>
        <v>30166</v>
      </c>
      <c r="X25" s="30">
        <f t="shared" si="55"/>
        <v>11370.967741935483</v>
      </c>
      <c r="Y25" s="30">
        <f t="shared" si="56"/>
        <v>4320.9677419354839</v>
      </c>
      <c r="Z25" s="30">
        <f t="shared" si="57"/>
        <v>1440.3225806451612</v>
      </c>
      <c r="AA25" s="30">
        <f t="shared" si="58"/>
        <v>1440.3225806451612</v>
      </c>
      <c r="AB25" s="10">
        <f>U25*1</f>
        <v>2833</v>
      </c>
      <c r="AC25" s="9">
        <f t="shared" si="60"/>
        <v>1983.1</v>
      </c>
      <c r="AD25" s="12"/>
      <c r="AE25" s="10"/>
      <c r="AF25" s="31">
        <v>0</v>
      </c>
      <c r="AG25" s="29">
        <f t="shared" si="61"/>
        <v>1364.5161290322578</v>
      </c>
      <c r="AH25" s="29">
        <f>IF(SUM(X25:AC25)&gt;=25000, 200, 0)</f>
        <v>0</v>
      </c>
      <c r="AI25" s="29">
        <f t="shared" si="63"/>
        <v>0</v>
      </c>
      <c r="AJ25" s="13"/>
      <c r="AK25" s="29">
        <f t="shared" si="64"/>
        <v>23388.68064516129</v>
      </c>
      <c r="AL25" s="29">
        <f t="shared" si="65"/>
        <v>1364.5161290322578</v>
      </c>
      <c r="AM25" s="29">
        <f t="shared" si="66"/>
        <v>22024.164516129033</v>
      </c>
      <c r="AN25" s="33">
        <f t="shared" si="67"/>
        <v>22024</v>
      </c>
      <c r="AO25" s="29">
        <f t="shared" si="68"/>
        <v>0</v>
      </c>
      <c r="AP25" s="29">
        <f t="shared" si="69"/>
        <v>1364.5161290322578</v>
      </c>
      <c r="AQ25" s="13"/>
      <c r="AR25" s="29">
        <f t="shared" si="70"/>
        <v>24753.196774193548</v>
      </c>
      <c r="AS25" s="29">
        <f>'Nov 2025'!AT25</f>
        <v>0</v>
      </c>
      <c r="AT25" s="29">
        <f t="shared" si="71"/>
        <v>0</v>
      </c>
      <c r="AU25" s="34"/>
      <c r="AV25" s="31">
        <f t="shared" si="72"/>
        <v>0</v>
      </c>
      <c r="AW25" s="79"/>
      <c r="AX25" s="79"/>
      <c r="AY25" s="75">
        <v>0</v>
      </c>
      <c r="AZ25" s="77" t="s">
        <v>165</v>
      </c>
    </row>
    <row r="26" spans="1:52" ht="14.4" x14ac:dyDescent="0.3">
      <c r="A26" s="21">
        <v>1051</v>
      </c>
      <c r="B26" s="69" t="e">
        <f>VLOOKUP(A26,#REF!,2,FALSE)</f>
        <v>#REF!</v>
      </c>
      <c r="C26" s="2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'Nov 2025'!O26</f>
        <v>3</v>
      </c>
      <c r="L26" s="101">
        <v>0</v>
      </c>
      <c r="M26" s="38">
        <v>3</v>
      </c>
      <c r="N26" s="24">
        <f t="shared" si="73"/>
        <v>0</v>
      </c>
      <c r="O26" s="24">
        <f t="shared" si="52"/>
        <v>0</v>
      </c>
      <c r="P26" s="24">
        <f t="shared" si="53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54"/>
        <v>25865</v>
      </c>
      <c r="X26" s="30">
        <f t="shared" si="55"/>
        <v>15000</v>
      </c>
      <c r="Y26" s="30">
        <f t="shared" si="56"/>
        <v>3825</v>
      </c>
      <c r="Z26" s="30">
        <f t="shared" si="57"/>
        <v>1020.0000000000001</v>
      </c>
      <c r="AA26" s="30">
        <f t="shared" si="58"/>
        <v>1020.0000000000001</v>
      </c>
      <c r="AB26" s="121">
        <f>U26*1*3</f>
        <v>7500</v>
      </c>
      <c r="AC26" s="106">
        <f>V26*0.7*3</f>
        <v>5250</v>
      </c>
      <c r="AD26" s="12"/>
      <c r="AE26" s="10"/>
      <c r="AF26" s="31">
        <v>0</v>
      </c>
      <c r="AG26" s="29">
        <f t="shared" si="61"/>
        <v>1800</v>
      </c>
      <c r="AH26" s="29">
        <f>IF(SUM(X26:AA26)&gt;=25000, 200, 0)</f>
        <v>0</v>
      </c>
      <c r="AI26" s="29">
        <f t="shared" si="63"/>
        <v>156.48749999999998</v>
      </c>
      <c r="AJ26" s="13"/>
      <c r="AK26" s="29">
        <f t="shared" si="64"/>
        <v>33615</v>
      </c>
      <c r="AL26" s="29">
        <f t="shared" si="65"/>
        <v>1956.4875</v>
      </c>
      <c r="AM26" s="29">
        <f t="shared" si="66"/>
        <v>31658.512500000001</v>
      </c>
      <c r="AN26" s="33">
        <f t="shared" si="67"/>
        <v>31659</v>
      </c>
      <c r="AO26" s="29">
        <f t="shared" si="68"/>
        <v>678.11250000000007</v>
      </c>
      <c r="AP26" s="29">
        <f t="shared" si="69"/>
        <v>1800</v>
      </c>
      <c r="AQ26" s="13"/>
      <c r="AR26" s="29">
        <f t="shared" si="70"/>
        <v>36093.112500000003</v>
      </c>
      <c r="AS26" s="29">
        <f>'Nov 2025'!AT26</f>
        <v>0</v>
      </c>
      <c r="AT26" s="29">
        <f t="shared" si="71"/>
        <v>0</v>
      </c>
      <c r="AU26" s="34"/>
      <c r="AV26" s="31">
        <f t="shared" si="72"/>
        <v>0</v>
      </c>
      <c r="AW26" s="79"/>
      <c r="AX26" s="79"/>
      <c r="AY26" s="75">
        <v>0</v>
      </c>
      <c r="AZ26" s="77" t="s">
        <v>165</v>
      </c>
    </row>
    <row r="27" spans="1:52" ht="14.4" x14ac:dyDescent="0.3">
      <c r="A27" s="87">
        <v>1053</v>
      </c>
      <c r="B27" s="69" t="e">
        <f>VLOOKUP(A27,#REF!,2,FALSE)</f>
        <v>#REF!</v>
      </c>
      <c r="C27" s="2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'Nov 2025'!O27</f>
        <v>0</v>
      </c>
      <c r="L27" s="101">
        <v>0</v>
      </c>
      <c r="M27" s="38">
        <v>2.5</v>
      </c>
      <c r="N27" s="24">
        <f t="shared" si="73"/>
        <v>2.5</v>
      </c>
      <c r="O27" s="24">
        <f t="shared" si="52"/>
        <v>0</v>
      </c>
      <c r="P27" s="24">
        <f t="shared" si="53"/>
        <v>28.5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54"/>
        <v>25831</v>
      </c>
      <c r="X27" s="30">
        <f t="shared" si="55"/>
        <v>13790.322580645161</v>
      </c>
      <c r="Y27" s="30">
        <f t="shared" si="56"/>
        <v>4454.2741935483873</v>
      </c>
      <c r="Z27" s="30">
        <f t="shared" si="57"/>
        <v>1484.758064516129</v>
      </c>
      <c r="AA27" s="30">
        <f t="shared" si="58"/>
        <v>1484.758064516129</v>
      </c>
      <c r="AB27" s="10">
        <f>U27*0.8</f>
        <v>1102.4000000000001</v>
      </c>
      <c r="AC27" s="9">
        <f t="shared" ref="AC27:AC29" si="74">V27*0.7</f>
        <v>964.59999999999991</v>
      </c>
      <c r="AD27" s="12"/>
      <c r="AE27" s="10"/>
      <c r="AF27" s="31">
        <v>0</v>
      </c>
      <c r="AG27" s="29">
        <f t="shared" si="61"/>
        <v>1654.8387096774193</v>
      </c>
      <c r="AH27" s="29">
        <f>IF(SUM(X27:AC27)&gt;=25000, 200, 0)</f>
        <v>0</v>
      </c>
      <c r="AI27" s="29">
        <f t="shared" si="63"/>
        <v>0</v>
      </c>
      <c r="AJ27" s="13"/>
      <c r="AK27" s="29">
        <f t="shared" si="64"/>
        <v>23281.112903225807</v>
      </c>
      <c r="AL27" s="29">
        <f t="shared" si="65"/>
        <v>1654.8387096774193</v>
      </c>
      <c r="AM27" s="29">
        <f t="shared" si="66"/>
        <v>21626.274193548386</v>
      </c>
      <c r="AN27" s="33">
        <f t="shared" si="67"/>
        <v>21626</v>
      </c>
      <c r="AO27" s="29">
        <f t="shared" si="68"/>
        <v>0</v>
      </c>
      <c r="AP27" s="29">
        <f t="shared" si="69"/>
        <v>1654.8387096774193</v>
      </c>
      <c r="AQ27" s="13"/>
      <c r="AR27" s="29">
        <f t="shared" si="70"/>
        <v>24935.951612903227</v>
      </c>
      <c r="AS27" s="29">
        <f>'Nov 2025'!AT27</f>
        <v>0</v>
      </c>
      <c r="AT27" s="29">
        <f t="shared" si="71"/>
        <v>0</v>
      </c>
      <c r="AU27" s="34"/>
      <c r="AV27" s="31">
        <f t="shared" si="72"/>
        <v>0</v>
      </c>
      <c r="AW27" s="79"/>
      <c r="AX27" s="79"/>
      <c r="AY27" s="75">
        <v>0</v>
      </c>
      <c r="AZ27" s="77" t="s">
        <v>165</v>
      </c>
    </row>
    <row r="28" spans="1:52" ht="14.4" x14ac:dyDescent="0.3">
      <c r="A28" s="21">
        <v>1054</v>
      </c>
      <c r="B28" s="69" t="e">
        <f>VLOOKUP(A28,#REF!,2,FALSE)</f>
        <v>#REF!</v>
      </c>
      <c r="C28" s="2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'Nov 2025'!O28</f>
        <v>3</v>
      </c>
      <c r="L28" s="101">
        <v>0</v>
      </c>
      <c r="M28" s="38">
        <v>2</v>
      </c>
      <c r="N28" s="24">
        <f t="shared" si="73"/>
        <v>0</v>
      </c>
      <c r="O28" s="24">
        <f t="shared" si="52"/>
        <v>1</v>
      </c>
      <c r="P28" s="24">
        <f t="shared" si="53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54"/>
        <v>33000</v>
      </c>
      <c r="X28" s="30">
        <f t="shared" si="55"/>
        <v>15000</v>
      </c>
      <c r="Y28" s="30">
        <f t="shared" si="56"/>
        <v>4000</v>
      </c>
      <c r="Z28" s="30">
        <f t="shared" si="57"/>
        <v>4000</v>
      </c>
      <c r="AA28" s="30">
        <f t="shared" si="58"/>
        <v>4000</v>
      </c>
      <c r="AB28" s="10">
        <f t="shared" ref="AB28:AB29" si="75">U28*1</f>
        <v>3000</v>
      </c>
      <c r="AC28" s="9">
        <f t="shared" si="74"/>
        <v>2100</v>
      </c>
      <c r="AD28" s="12"/>
      <c r="AE28" s="10"/>
      <c r="AF28" s="31">
        <v>0</v>
      </c>
      <c r="AG28" s="29">
        <f t="shared" si="61"/>
        <v>1800</v>
      </c>
      <c r="AH28" s="29">
        <f>IF(SUM(X28:AA28)&gt;=25000, 200, 0)</f>
        <v>200</v>
      </c>
      <c r="AI28" s="29">
        <f t="shared" si="63"/>
        <v>0</v>
      </c>
      <c r="AJ28" s="13"/>
      <c r="AK28" s="29">
        <f t="shared" si="64"/>
        <v>32100</v>
      </c>
      <c r="AL28" s="29">
        <f t="shared" si="65"/>
        <v>2000</v>
      </c>
      <c r="AM28" s="29">
        <f t="shared" si="66"/>
        <v>30100</v>
      </c>
      <c r="AN28" s="33">
        <f t="shared" si="67"/>
        <v>30100</v>
      </c>
      <c r="AO28" s="29">
        <f t="shared" si="68"/>
        <v>0</v>
      </c>
      <c r="AP28" s="29">
        <f t="shared" si="69"/>
        <v>1800</v>
      </c>
      <c r="AQ28" s="13"/>
      <c r="AR28" s="29">
        <f t="shared" si="70"/>
        <v>33900</v>
      </c>
      <c r="AS28" s="29">
        <f>'Nov 2025'!AT28</f>
        <v>0</v>
      </c>
      <c r="AT28" s="29">
        <f t="shared" si="71"/>
        <v>0</v>
      </c>
      <c r="AU28" s="34"/>
      <c r="AV28" s="31">
        <f t="shared" si="72"/>
        <v>0</v>
      </c>
      <c r="AW28" s="79"/>
      <c r="AX28" s="79"/>
      <c r="AY28" s="103">
        <v>0</v>
      </c>
      <c r="AZ28" s="77" t="s">
        <v>165</v>
      </c>
    </row>
    <row r="29" spans="1:52" ht="14.4" x14ac:dyDescent="0.3">
      <c r="A29" s="21">
        <v>1055</v>
      </c>
      <c r="B29" s="69" t="e">
        <f>VLOOKUP(A29,#REF!,2,FALSE)</f>
        <v>#REF!</v>
      </c>
      <c r="C29" s="2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'Nov 2025'!O29</f>
        <v>2.5</v>
      </c>
      <c r="L29" s="101">
        <v>0</v>
      </c>
      <c r="M29" s="38">
        <v>0</v>
      </c>
      <c r="N29" s="24">
        <f t="shared" si="73"/>
        <v>0</v>
      </c>
      <c r="O29" s="24">
        <f t="shared" si="52"/>
        <v>2.5</v>
      </c>
      <c r="P29" s="24">
        <f t="shared" si="53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54"/>
        <v>25400</v>
      </c>
      <c r="X29" s="30">
        <f t="shared" si="55"/>
        <v>15000</v>
      </c>
      <c r="Y29" s="30">
        <f t="shared" si="56"/>
        <v>3000</v>
      </c>
      <c r="Z29" s="30">
        <f t="shared" si="57"/>
        <v>1800</v>
      </c>
      <c r="AA29" s="30">
        <f t="shared" si="58"/>
        <v>1800</v>
      </c>
      <c r="AB29" s="10">
        <f t="shared" si="75"/>
        <v>1900</v>
      </c>
      <c r="AC29" s="9">
        <f t="shared" si="74"/>
        <v>1330</v>
      </c>
      <c r="AD29" s="12"/>
      <c r="AE29" s="10"/>
      <c r="AF29" s="31">
        <v>0</v>
      </c>
      <c r="AG29" s="29">
        <f t="shared" si="61"/>
        <v>1800</v>
      </c>
      <c r="AH29" s="29">
        <f>IF(SUM(X29:AC29)&gt;=25000, 200, 0)</f>
        <v>0</v>
      </c>
      <c r="AI29" s="29">
        <f t="shared" si="63"/>
        <v>0</v>
      </c>
      <c r="AJ29" s="13"/>
      <c r="AK29" s="29">
        <f t="shared" si="64"/>
        <v>24830</v>
      </c>
      <c r="AL29" s="29">
        <f t="shared" si="65"/>
        <v>1800</v>
      </c>
      <c r="AM29" s="29">
        <f t="shared" si="66"/>
        <v>23030</v>
      </c>
      <c r="AN29" s="33">
        <f t="shared" si="67"/>
        <v>23030</v>
      </c>
      <c r="AO29" s="29">
        <f t="shared" si="68"/>
        <v>0</v>
      </c>
      <c r="AP29" s="29">
        <f t="shared" si="69"/>
        <v>1800</v>
      </c>
      <c r="AQ29" s="13"/>
      <c r="AR29" s="29">
        <f t="shared" si="70"/>
        <v>26630</v>
      </c>
      <c r="AS29" s="29">
        <f>'Nov 2025'!AT29</f>
        <v>0</v>
      </c>
      <c r="AT29" s="29">
        <f t="shared" ref="AT29:AT34" si="76">AS29+AD29-AJ29</f>
        <v>0</v>
      </c>
      <c r="AU29" s="34"/>
      <c r="AV29" s="31">
        <f t="shared" si="72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69" t="e">
        <f>VLOOKUP(A30,#REF!,2,FALSE)</f>
        <v>#REF!</v>
      </c>
      <c r="C30" s="2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'Nov 2025'!O30</f>
        <v>7</v>
      </c>
      <c r="L30" s="101">
        <v>0</v>
      </c>
      <c r="M30" s="38">
        <v>7</v>
      </c>
      <c r="N30" s="24">
        <f t="shared" si="73"/>
        <v>0</v>
      </c>
      <c r="O30" s="24">
        <f t="shared" si="52"/>
        <v>0</v>
      </c>
      <c r="P30" s="24">
        <f t="shared" si="53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54"/>
        <v>24100</v>
      </c>
      <c r="X30" s="30">
        <f t="shared" si="55"/>
        <v>15000</v>
      </c>
      <c r="Y30" s="30">
        <f t="shared" si="56"/>
        <v>2800</v>
      </c>
      <c r="Z30" s="30">
        <f t="shared" si="57"/>
        <v>1800</v>
      </c>
      <c r="AA30" s="30">
        <f t="shared" si="58"/>
        <v>1300</v>
      </c>
      <c r="AB30" s="121">
        <f t="shared" ref="AB30:AB31" si="77">U30*1*3</f>
        <v>4800</v>
      </c>
      <c r="AC30" s="106">
        <f t="shared" ref="AC30:AC31" si="78">V30*0.7*3</f>
        <v>3360</v>
      </c>
      <c r="AD30" s="12"/>
      <c r="AE30" s="10"/>
      <c r="AF30" s="31">
        <v>0</v>
      </c>
      <c r="AG30" s="29">
        <f t="shared" si="61"/>
        <v>1800</v>
      </c>
      <c r="AH30" s="29">
        <f t="shared" ref="AH30:AH31" si="79">IF(SUM(X30:AA30)&gt;=25000, 200, 0)</f>
        <v>0</v>
      </c>
      <c r="AI30" s="29">
        <f t="shared" si="63"/>
        <v>156.75</v>
      </c>
      <c r="AJ30" s="13"/>
      <c r="AK30" s="29">
        <f t="shared" si="64"/>
        <v>29060</v>
      </c>
      <c r="AL30" s="29">
        <f t="shared" si="65"/>
        <v>1956.75</v>
      </c>
      <c r="AM30" s="29">
        <f t="shared" si="66"/>
        <v>27103.25</v>
      </c>
      <c r="AN30" s="33">
        <f t="shared" si="67"/>
        <v>27103</v>
      </c>
      <c r="AO30" s="29">
        <f t="shared" si="68"/>
        <v>679.25</v>
      </c>
      <c r="AP30" s="29">
        <f t="shared" si="69"/>
        <v>1800</v>
      </c>
      <c r="AQ30" s="13"/>
      <c r="AR30" s="29">
        <f t="shared" si="70"/>
        <v>31539.25</v>
      </c>
      <c r="AS30" s="29">
        <f>'Nov 2025'!AT30</f>
        <v>0</v>
      </c>
      <c r="AT30" s="29">
        <f t="shared" si="76"/>
        <v>0</v>
      </c>
      <c r="AU30" s="34"/>
      <c r="AV30" s="31">
        <f t="shared" si="72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69" t="e">
        <f>VLOOKUP(A31,#REF!,2,FALSE)</f>
        <v>#REF!</v>
      </c>
      <c r="C31" s="2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'Nov 2025'!O31</f>
        <v>3</v>
      </c>
      <c r="L31" s="101">
        <v>0</v>
      </c>
      <c r="M31" s="38">
        <v>3</v>
      </c>
      <c r="N31" s="24">
        <f t="shared" si="73"/>
        <v>0</v>
      </c>
      <c r="O31" s="24">
        <f t="shared" si="52"/>
        <v>0</v>
      </c>
      <c r="P31" s="24">
        <f t="shared" si="53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54"/>
        <v>24100</v>
      </c>
      <c r="X31" s="30">
        <f t="shared" si="55"/>
        <v>15000</v>
      </c>
      <c r="Y31" s="30">
        <f t="shared" si="56"/>
        <v>2800</v>
      </c>
      <c r="Z31" s="30">
        <f t="shared" si="57"/>
        <v>1800</v>
      </c>
      <c r="AA31" s="30">
        <f t="shared" si="58"/>
        <v>1300</v>
      </c>
      <c r="AB31" s="121">
        <f t="shared" si="77"/>
        <v>4800</v>
      </c>
      <c r="AC31" s="106">
        <f t="shared" si="78"/>
        <v>3360</v>
      </c>
      <c r="AD31" s="12"/>
      <c r="AE31" s="10"/>
      <c r="AF31" s="31">
        <v>0</v>
      </c>
      <c r="AG31" s="29">
        <f t="shared" si="61"/>
        <v>1800</v>
      </c>
      <c r="AH31" s="29">
        <f t="shared" si="79"/>
        <v>0</v>
      </c>
      <c r="AI31" s="29">
        <f t="shared" si="63"/>
        <v>156.75</v>
      </c>
      <c r="AJ31" s="13"/>
      <c r="AK31" s="29">
        <f t="shared" si="64"/>
        <v>29060</v>
      </c>
      <c r="AL31" s="29">
        <f t="shared" si="65"/>
        <v>1956.75</v>
      </c>
      <c r="AM31" s="29">
        <f t="shared" si="66"/>
        <v>27103.25</v>
      </c>
      <c r="AN31" s="33">
        <f t="shared" si="67"/>
        <v>27103</v>
      </c>
      <c r="AO31" s="29">
        <f t="shared" si="68"/>
        <v>679.25</v>
      </c>
      <c r="AP31" s="29">
        <f t="shared" si="69"/>
        <v>1800</v>
      </c>
      <c r="AQ31" s="13"/>
      <c r="AR31" s="29">
        <f t="shared" si="70"/>
        <v>31539.25</v>
      </c>
      <c r="AS31" s="29">
        <f>'Nov 2025'!AT31</f>
        <v>0</v>
      </c>
      <c r="AT31" s="29">
        <f t="shared" si="76"/>
        <v>0</v>
      </c>
      <c r="AU31" s="34"/>
      <c r="AV31" s="31">
        <f t="shared" si="72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31</v>
      </c>
      <c r="J32" s="100">
        <v>31</v>
      </c>
      <c r="K32" s="71">
        <f>'Nov 2025'!O32</f>
        <v>4</v>
      </c>
      <c r="L32" s="101">
        <v>0</v>
      </c>
      <c r="M32" s="104">
        <v>3</v>
      </c>
      <c r="N32" s="24">
        <f t="shared" si="73"/>
        <v>0</v>
      </c>
      <c r="O32" s="71">
        <f t="shared" si="52"/>
        <v>1</v>
      </c>
      <c r="P32" s="71">
        <f t="shared" si="53"/>
        <v>31</v>
      </c>
      <c r="Q32" s="74">
        <v>90000</v>
      </c>
      <c r="R32" s="13"/>
      <c r="S32" s="13"/>
      <c r="T32" s="13"/>
      <c r="U32" s="13"/>
      <c r="V32" s="13"/>
      <c r="W32" s="75">
        <f t="shared" si="54"/>
        <v>90000</v>
      </c>
      <c r="X32" s="76">
        <f t="shared" si="55"/>
        <v>90000</v>
      </c>
      <c r="Y32" s="76">
        <f t="shared" si="56"/>
        <v>0</v>
      </c>
      <c r="Z32" s="76">
        <f t="shared" si="57"/>
        <v>0</v>
      </c>
      <c r="AA32" s="76">
        <f t="shared" si="58"/>
        <v>0</v>
      </c>
      <c r="AB32" s="10">
        <f>U32*0.9</f>
        <v>0</v>
      </c>
      <c r="AC32" s="9">
        <f>V32*0.9*1</f>
        <v>0</v>
      </c>
      <c r="AD32" s="12"/>
      <c r="AE32" s="41"/>
      <c r="AF32" s="77">
        <v>0</v>
      </c>
      <c r="AG32" s="75">
        <v>0</v>
      </c>
      <c r="AH32" s="75">
        <v>0</v>
      </c>
      <c r="AI32" s="29">
        <f t="shared" si="63"/>
        <v>0</v>
      </c>
      <c r="AJ32" s="13"/>
      <c r="AK32" s="75">
        <f t="shared" si="64"/>
        <v>90000</v>
      </c>
      <c r="AL32" s="75">
        <f t="shared" si="65"/>
        <v>9000</v>
      </c>
      <c r="AM32" s="75">
        <f t="shared" si="66"/>
        <v>90000</v>
      </c>
      <c r="AN32" s="78">
        <f t="shared" si="67"/>
        <v>81000</v>
      </c>
      <c r="AO32" s="75">
        <f t="shared" si="68"/>
        <v>0</v>
      </c>
      <c r="AP32" s="75">
        <f t="shared" si="69"/>
        <v>0</v>
      </c>
      <c r="AQ32" s="13"/>
      <c r="AR32" s="75">
        <f t="shared" si="70"/>
        <v>90000</v>
      </c>
      <c r="AS32" s="29">
        <f>'Nov 2025'!AT32</f>
        <v>0</v>
      </c>
      <c r="AT32" s="75">
        <f t="shared" si="76"/>
        <v>0</v>
      </c>
      <c r="AU32" s="92">
        <f>(0.1*AK32)</f>
        <v>9000</v>
      </c>
      <c r="AV32" s="77">
        <f t="shared" si="72"/>
        <v>0</v>
      </c>
      <c r="AW32" s="93">
        <f>AU32+'Apr 2025'!AU32+'May 2025'!AU32+'June 2025'!AU32+'July 2025'!AU32+'Aug 2025'!AU32+'Sep 2025'!AU32</f>
        <v>48941.984902968885</v>
      </c>
      <c r="AX32" s="113"/>
      <c r="AY32" s="75">
        <v>0</v>
      </c>
      <c r="AZ32" s="77" t="s">
        <v>165</v>
      </c>
    </row>
    <row r="33" spans="1:52" ht="14.4" x14ac:dyDescent="0.3">
      <c r="A33" s="21">
        <v>1062</v>
      </c>
      <c r="B33" s="69" t="e">
        <f>VLOOKUP(A33,#REF!,2,FALSE)</f>
        <v>#REF!</v>
      </c>
      <c r="C33" s="2" t="e">
        <f>VLOOKUP(A33,#REF!,19,FALSE)</f>
        <v>#REF!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31</v>
      </c>
      <c r="J33" s="100">
        <v>31</v>
      </c>
      <c r="K33" s="71">
        <f>'Nov 2025'!O33</f>
        <v>0</v>
      </c>
      <c r="L33" s="101">
        <v>0</v>
      </c>
      <c r="M33" s="104">
        <v>0</v>
      </c>
      <c r="N33" s="71">
        <f t="shared" si="73"/>
        <v>0</v>
      </c>
      <c r="O33" s="71">
        <f t="shared" si="52"/>
        <v>0</v>
      </c>
      <c r="P33" s="71">
        <f t="shared" si="53"/>
        <v>31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54"/>
        <v>18500</v>
      </c>
      <c r="X33" s="76">
        <f t="shared" si="55"/>
        <v>15000</v>
      </c>
      <c r="Y33" s="76">
        <f t="shared" si="56"/>
        <v>1500</v>
      </c>
      <c r="Z33" s="76">
        <f t="shared" si="57"/>
        <v>0</v>
      </c>
      <c r="AA33" s="76">
        <f t="shared" si="58"/>
        <v>0</v>
      </c>
      <c r="AB33" s="121">
        <f>U33*1*3</f>
        <v>3000</v>
      </c>
      <c r="AC33" s="106">
        <f>V33*0.7*3</f>
        <v>2100</v>
      </c>
      <c r="AD33" s="53"/>
      <c r="AE33" s="10"/>
      <c r="AF33" s="77">
        <v>0</v>
      </c>
      <c r="AG33" s="29">
        <f>IF(X33&gt;15000,(15000 * 12%),X33*0.12)</f>
        <v>1800</v>
      </c>
      <c r="AH33" s="29">
        <f t="shared" ref="AH33:AH34" si="80">IF(SUM(X33:AA33)&gt;=25000, 200, 0)</f>
        <v>0</v>
      </c>
      <c r="AI33" s="29">
        <f t="shared" si="63"/>
        <v>123.75</v>
      </c>
      <c r="AJ33" s="54">
        <v>1500</v>
      </c>
      <c r="AK33" s="75">
        <f t="shared" si="64"/>
        <v>21600</v>
      </c>
      <c r="AL33" s="75">
        <f t="shared" si="65"/>
        <v>3423.75</v>
      </c>
      <c r="AM33" s="75">
        <f t="shared" si="66"/>
        <v>18176.25</v>
      </c>
      <c r="AN33" s="78">
        <f t="shared" si="67"/>
        <v>18176</v>
      </c>
      <c r="AO33" s="29">
        <f t="shared" si="68"/>
        <v>536.25</v>
      </c>
      <c r="AP33" s="29">
        <f t="shared" si="69"/>
        <v>1800</v>
      </c>
      <c r="AQ33" s="13"/>
      <c r="AR33" s="75">
        <f t="shared" si="70"/>
        <v>23936.25</v>
      </c>
      <c r="AS33" s="29">
        <f>'Nov 2025'!AT33</f>
        <v>12500</v>
      </c>
      <c r="AT33" s="75">
        <f t="shared" si="76"/>
        <v>11000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69" t="e">
        <f>VLOOKUP(A34,#REF!,2,FALSE)</f>
        <v>#REF!</v>
      </c>
      <c r="C34" s="2" t="e">
        <f>VLOOKUP(A34,#REF!,19,FALSE)</f>
        <v>#REF!</v>
      </c>
      <c r="D34" s="1"/>
      <c r="E34" s="8" t="e">
        <f>VLOOKUP(A34,#REF!,10,FALSE)</f>
        <v>#REF!</v>
      </c>
      <c r="F34" s="8" t="e">
        <f>VLOOKUP(A34,#REF!,11,FALSE)</f>
        <v>#REF!</v>
      </c>
      <c r="G34" s="8" t="e">
        <f>VLOOKUP(A34,#REF!,12,FALSE)</f>
        <v>#REF!</v>
      </c>
      <c r="H34" s="1"/>
      <c r="I34" s="100">
        <v>31</v>
      </c>
      <c r="J34" s="100">
        <v>31</v>
      </c>
      <c r="K34" s="71">
        <f>'Nov 2025'!O34</f>
        <v>2</v>
      </c>
      <c r="L34" s="101">
        <v>0</v>
      </c>
      <c r="M34" s="104">
        <v>2</v>
      </c>
      <c r="N34" s="71">
        <f t="shared" si="73"/>
        <v>0</v>
      </c>
      <c r="O34" s="71">
        <f t="shared" si="52"/>
        <v>0</v>
      </c>
      <c r="P34" s="71">
        <f t="shared" si="53"/>
        <v>31</v>
      </c>
      <c r="Q34" s="36">
        <v>15000</v>
      </c>
      <c r="R34" s="107">
        <v>3500</v>
      </c>
      <c r="S34" s="13"/>
      <c r="T34" s="13"/>
      <c r="U34" s="107">
        <v>1000</v>
      </c>
      <c r="V34" s="107">
        <v>1000</v>
      </c>
      <c r="W34" s="75">
        <f t="shared" si="54"/>
        <v>20500</v>
      </c>
      <c r="X34" s="76">
        <f t="shared" si="55"/>
        <v>15000</v>
      </c>
      <c r="Y34" s="76">
        <f t="shared" si="56"/>
        <v>3500</v>
      </c>
      <c r="Z34" s="76">
        <f t="shared" si="57"/>
        <v>0</v>
      </c>
      <c r="AA34" s="76">
        <f t="shared" si="58"/>
        <v>0</v>
      </c>
      <c r="AB34" s="121">
        <f>U34*1*1</f>
        <v>1000</v>
      </c>
      <c r="AC34" s="106">
        <f>V34*0.7*1</f>
        <v>700</v>
      </c>
      <c r="AD34" s="53"/>
      <c r="AE34" s="10"/>
      <c r="AF34" s="77">
        <v>0</v>
      </c>
      <c r="AG34" s="32">
        <v>0</v>
      </c>
      <c r="AH34" s="29">
        <f t="shared" si="80"/>
        <v>0</v>
      </c>
      <c r="AI34" s="32">
        <v>0</v>
      </c>
      <c r="AJ34" s="54"/>
      <c r="AK34" s="75">
        <f t="shared" si="64"/>
        <v>20200</v>
      </c>
      <c r="AL34" s="75">
        <f t="shared" si="65"/>
        <v>0</v>
      </c>
      <c r="AM34" s="75">
        <f t="shared" si="66"/>
        <v>20200</v>
      </c>
      <c r="AN34" s="78">
        <f t="shared" si="67"/>
        <v>20200</v>
      </c>
      <c r="AO34" s="29">
        <f t="shared" si="68"/>
        <v>0</v>
      </c>
      <c r="AP34" s="29">
        <f t="shared" si="69"/>
        <v>0</v>
      </c>
      <c r="AQ34" s="13"/>
      <c r="AR34" s="75">
        <f t="shared" si="70"/>
        <v>20200</v>
      </c>
      <c r="AS34" s="29">
        <f>'Nov 2025'!AT34</f>
        <v>0</v>
      </c>
      <c r="AT34" s="75">
        <f t="shared" si="76"/>
        <v>0</v>
      </c>
      <c r="AU34" s="34"/>
      <c r="AV34" s="77">
        <v>0</v>
      </c>
      <c r="AW34" s="79"/>
      <c r="AX34" s="64"/>
      <c r="AY34" s="94">
        <v>0</v>
      </c>
      <c r="AZ34" s="114" t="s">
        <v>165</v>
      </c>
    </row>
    <row r="35" spans="1:52" ht="14.4" x14ac:dyDescent="0.3">
      <c r="A35" s="105">
        <v>1064</v>
      </c>
      <c r="B35" s="69" t="e">
        <f>VLOOKUP(A35,#REF!,2,FALSE)</f>
        <v>#REF!</v>
      </c>
      <c r="C35" s="2" t="e">
        <f>VLOOKUP(A35,#REF!,19,FALSE)</f>
        <v>#REF!</v>
      </c>
      <c r="D35" s="1"/>
      <c r="E35" s="8" t="e">
        <f>VLOOKUP(A35,#REF!,10,FALSE)</f>
        <v>#REF!</v>
      </c>
      <c r="F35" s="8" t="e">
        <f>VLOOKUP(A35,#REF!,11,FALSE)</f>
        <v>#REF!</v>
      </c>
      <c r="G35" s="8" t="e">
        <f>VLOOKUP(A35,#REF!,12,FALSE)</f>
        <v>#REF!</v>
      </c>
      <c r="H35" s="1"/>
      <c r="I35" s="100">
        <v>31</v>
      </c>
      <c r="J35" s="100">
        <v>31</v>
      </c>
      <c r="K35" s="115">
        <v>0</v>
      </c>
      <c r="L35" s="101">
        <v>1</v>
      </c>
      <c r="M35" s="104">
        <v>1</v>
      </c>
      <c r="N35" s="71">
        <f t="shared" si="73"/>
        <v>0</v>
      </c>
      <c r="O35" s="71">
        <f t="shared" si="52"/>
        <v>0</v>
      </c>
      <c r="P35" s="71">
        <f t="shared" si="53"/>
        <v>31</v>
      </c>
      <c r="Q35" s="37">
        <v>10000</v>
      </c>
      <c r="R35" s="74"/>
      <c r="S35" s="13"/>
      <c r="T35" s="13"/>
      <c r="U35" s="74"/>
      <c r="V35" s="74"/>
      <c r="W35" s="75">
        <f t="shared" si="54"/>
        <v>10000</v>
      </c>
      <c r="X35" s="76">
        <f t="shared" si="55"/>
        <v>10000</v>
      </c>
      <c r="Y35" s="76">
        <f t="shared" si="56"/>
        <v>0</v>
      </c>
      <c r="Z35" s="76">
        <f t="shared" si="57"/>
        <v>0</v>
      </c>
      <c r="AA35" s="76">
        <f t="shared" si="58"/>
        <v>0</v>
      </c>
      <c r="AB35" s="10"/>
      <c r="AC35" s="9"/>
      <c r="AD35" s="53"/>
      <c r="AE35" s="10"/>
      <c r="AF35" s="77"/>
      <c r="AG35" s="29"/>
      <c r="AH35" s="29"/>
      <c r="AI35" s="29"/>
      <c r="AJ35" s="54"/>
      <c r="AK35" s="75">
        <f t="shared" si="64"/>
        <v>10000</v>
      </c>
      <c r="AL35" s="75">
        <f t="shared" si="65"/>
        <v>0</v>
      </c>
      <c r="AM35" s="75">
        <f t="shared" si="66"/>
        <v>10000</v>
      </c>
      <c r="AN35" s="78">
        <f t="shared" si="67"/>
        <v>10000</v>
      </c>
      <c r="AO35" s="75"/>
      <c r="AP35" s="75"/>
      <c r="AQ35" s="13"/>
      <c r="AR35" s="75"/>
      <c r="AS35" s="29">
        <f>'Aug 2025'!AT35</f>
        <v>0</v>
      </c>
      <c r="AT35" s="75"/>
      <c r="AU35" s="34"/>
      <c r="AV35" s="77"/>
      <c r="AW35" s="79"/>
      <c r="AX35" s="64"/>
      <c r="AY35" s="94"/>
      <c r="AZ35" s="114" t="s">
        <v>165</v>
      </c>
    </row>
    <row r="36" spans="1:52" ht="14.4" x14ac:dyDescent="0.3">
      <c r="A36" s="105">
        <v>1065</v>
      </c>
      <c r="B36" s="69" t="e">
        <f>VLOOKUP(A36,#REF!,2,FALSE)</f>
        <v>#REF!</v>
      </c>
      <c r="C36" s="2" t="e">
        <f>VLOOKUP(A36,#REF!,19,FALSE)</f>
        <v>#REF!</v>
      </c>
      <c r="D36" s="1"/>
      <c r="E36" s="8" t="e">
        <f>VLOOKUP(A36,#REF!,10,FALSE)</f>
        <v>#REF!</v>
      </c>
      <c r="F36" s="8" t="e">
        <f>VLOOKUP(A36,#REF!,11,FALSE)</f>
        <v>#REF!</v>
      </c>
      <c r="G36" s="8" t="e">
        <f>VLOOKUP(A36,#REF!,12,FALSE)</f>
        <v>#REF!</v>
      </c>
      <c r="H36" s="1"/>
      <c r="I36" s="100">
        <v>31</v>
      </c>
      <c r="J36" s="100">
        <v>31</v>
      </c>
      <c r="K36" s="71">
        <f>'Nov 2025'!O36</f>
        <v>0</v>
      </c>
      <c r="L36" s="1"/>
      <c r="M36" s="1"/>
      <c r="N36" s="71">
        <f t="shared" si="73"/>
        <v>0</v>
      </c>
      <c r="O36" s="71">
        <f t="shared" si="52"/>
        <v>0</v>
      </c>
      <c r="P36" s="71">
        <f t="shared" si="53"/>
        <v>31</v>
      </c>
      <c r="Q36" s="37"/>
      <c r="R36" s="74"/>
      <c r="S36" s="13"/>
      <c r="T36" s="13"/>
      <c r="U36" s="74"/>
      <c r="V36" s="74"/>
      <c r="W36" s="75">
        <f t="shared" si="54"/>
        <v>0</v>
      </c>
      <c r="X36" s="76">
        <f t="shared" si="55"/>
        <v>0</v>
      </c>
      <c r="Y36" s="76">
        <f t="shared" si="56"/>
        <v>0</v>
      </c>
      <c r="Z36" s="76">
        <f t="shared" si="57"/>
        <v>0</v>
      </c>
      <c r="AA36" s="76">
        <f t="shared" si="58"/>
        <v>0</v>
      </c>
      <c r="AB36" s="10"/>
      <c r="AC36" s="9"/>
      <c r="AD36" s="53"/>
      <c r="AE36" s="10"/>
      <c r="AF36" s="77"/>
      <c r="AG36" s="29"/>
      <c r="AH36" s="29"/>
      <c r="AI36" s="29"/>
      <c r="AJ36" s="54"/>
      <c r="AK36" s="75">
        <f t="shared" si="64"/>
        <v>0</v>
      </c>
      <c r="AL36" s="75">
        <f t="shared" si="65"/>
        <v>0</v>
      </c>
      <c r="AM36" s="75">
        <f t="shared" si="66"/>
        <v>0</v>
      </c>
      <c r="AN36" s="78">
        <f t="shared" si="67"/>
        <v>0</v>
      </c>
      <c r="AO36" s="75"/>
      <c r="AP36" s="75"/>
      <c r="AQ36" s="13"/>
      <c r="AR36" s="75"/>
      <c r="AS36" s="29">
        <f>'Aug 2025'!AT36</f>
        <v>0</v>
      </c>
      <c r="AT36" s="75"/>
      <c r="AU36" s="34"/>
      <c r="AV36" s="77"/>
      <c r="AW36" s="79"/>
      <c r="AX36" s="64"/>
      <c r="AY36" s="94"/>
      <c r="AZ36" s="114" t="s">
        <v>165</v>
      </c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autoFilter ref="A2:AZ36"/>
  <mergeCells count="2">
    <mergeCell ref="X1:AF1"/>
    <mergeCell ref="AG1:A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6" sqref="F26"/>
    </sheetView>
  </sheetViews>
  <sheetFormatPr defaultColWidth="12.6640625" defaultRowHeight="15.75" customHeight="1" x14ac:dyDescent="0.25"/>
  <cols>
    <col min="8" max="8" width="5.21875" customWidth="1"/>
    <col min="29" max="29" width="13.44140625" customWidth="1"/>
  </cols>
  <sheetData>
    <row r="1" spans="1:52" ht="14.4" x14ac:dyDescent="0.3">
      <c r="A1" s="1"/>
      <c r="B1" s="11">
        <v>46023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57.6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17" t="s">
        <v>164</v>
      </c>
    </row>
    <row r="3" spans="1:52" ht="14.4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ROUNDDOWN(IF('Dec 2025'!O3/2 &gt; 5, 5, 'Dec 2025'!O3/2)*2,0)/2</f>
        <v>5</v>
      </c>
      <c r="L3" s="101">
        <v>3</v>
      </c>
      <c r="M3" s="73">
        <v>0</v>
      </c>
      <c r="N3" s="71">
        <f t="shared" ref="N3:N7" si="0">IF(K3+L3-M3 &gt;= 0,0,M3-(K3+L3))</f>
        <v>0</v>
      </c>
      <c r="O3" s="71">
        <f t="shared" ref="O3:O16" si="1">IF(K3+L3-M3&gt;0,K3+L3-M3,0)</f>
        <v>8</v>
      </c>
      <c r="P3" s="71">
        <f t="shared" ref="P3:P20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7" si="3">SUM(Q3:V3)</f>
        <v>100000</v>
      </c>
      <c r="X3" s="76">
        <f t="shared" ref="X3:X7" si="4">(Q3/I3*(J3)) * (1-N3/J3)</f>
        <v>30000</v>
      </c>
      <c r="Y3" s="76">
        <f t="shared" ref="Y3:Y7" si="5">(R3/I3*(J3)) * (1-N3/J3)</f>
        <v>15000</v>
      </c>
      <c r="Z3" s="76">
        <f t="shared" ref="Z3:Z7" si="6">(S3/I3*(J3)) * (1-N3/J3)</f>
        <v>7500</v>
      </c>
      <c r="AA3" s="76">
        <f t="shared" ref="AA3:AA7" si="7">(T3/I3*(J3)) * (1-N3/J3)</f>
        <v>7500</v>
      </c>
      <c r="AB3" s="10"/>
      <c r="AC3" s="106">
        <f t="shared" ref="AC3:AC4" si="8">V3*0.7</f>
        <v>28000</v>
      </c>
      <c r="AD3" s="12"/>
      <c r="AE3" s="10"/>
      <c r="AF3" s="77">
        <v>0</v>
      </c>
      <c r="AG3" s="75">
        <f t="shared" ref="AG3:AG7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20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20" si="18">AK3+AO3+AP3</f>
        <v>89800</v>
      </c>
      <c r="AS3" s="29">
        <f>'Nov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4.4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ROUNDDOWN(IF('Dec 2025'!O4/2 &gt; 5, 5, 'Dec 2025'!O4/2)*2,0)/2</f>
        <v>5</v>
      </c>
      <c r="L4" s="101">
        <v>3</v>
      </c>
      <c r="M4" s="73">
        <v>0</v>
      </c>
      <c r="N4" s="71">
        <f t="shared" si="0"/>
        <v>0</v>
      </c>
      <c r="O4" s="71">
        <f t="shared" si="1"/>
        <v>8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0"/>
      <c r="AC4" s="106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'Nov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4.4" x14ac:dyDescent="0.3">
      <c r="A5" s="81">
        <v>1001</v>
      </c>
      <c r="B5" s="69" t="e">
        <f>VLOOKUP(A5,#REF!,2,FALSE)</f>
        <v>#REF!</v>
      </c>
      <c r="C5" s="2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137">
        <v>0.5</v>
      </c>
      <c r="L5" s="101">
        <f>3+1</f>
        <v>4</v>
      </c>
      <c r="M5" s="73">
        <v>2</v>
      </c>
      <c r="N5" s="24">
        <f t="shared" si="0"/>
        <v>0</v>
      </c>
      <c r="O5" s="24">
        <f t="shared" si="1"/>
        <v>2.5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121"/>
      <c r="AC5" s="106"/>
      <c r="AD5" s="9">
        <v>0</v>
      </c>
      <c r="AE5" s="41"/>
      <c r="AF5" s="42">
        <v>2277</v>
      </c>
      <c r="AG5" s="29">
        <f t="shared" si="9"/>
        <v>1800</v>
      </c>
      <c r="AH5" s="29">
        <f t="shared" ref="AH5:AH7" si="22">IF(SUM(X5:AA5)&gt;=25000, 200, 0)</f>
        <v>0</v>
      </c>
      <c r="AI5" s="29">
        <f t="shared" ref="AI5:AI6" si="23">IF(SUM(Q5:T5) &lt; 21000, SUM(X5:AA5)*0.75%, 0)</f>
        <v>156.75</v>
      </c>
      <c r="AJ5" s="32">
        <v>6000</v>
      </c>
      <c r="AK5" s="29">
        <f t="shared" ref="AK5:AK6" si="24">SUM(X5:AF5)-AD5</f>
        <v>23177</v>
      </c>
      <c r="AL5" s="29">
        <f t="shared" si="13"/>
        <v>7956.75</v>
      </c>
      <c r="AM5" s="29">
        <f t="shared" ref="AM5:AM6" si="25">SUM(X5:AF5)-SUM(AG5:AJ5)-AD5</f>
        <v>15220.25</v>
      </c>
      <c r="AN5" s="78">
        <f t="shared" ref="AN5:AN7" si="26">ROUND(AM5-AF5,0)-AU5</f>
        <v>12943</v>
      </c>
      <c r="AO5" s="29">
        <f t="shared" si="16"/>
        <v>679.25</v>
      </c>
      <c r="AP5" s="29">
        <f t="shared" ref="AP5:AP6" si="27">AG5/0.12*0.13</f>
        <v>1950</v>
      </c>
      <c r="AQ5" s="34"/>
      <c r="AR5" s="29">
        <f t="shared" si="18"/>
        <v>25806.25</v>
      </c>
      <c r="AS5" s="29">
        <f>'Dec 2025'!AT5+50000</f>
        <v>186000</v>
      </c>
      <c r="AT5" s="29">
        <f t="shared" ref="AT5:AT20" si="28">AS5+AD5-AJ5-AY5</f>
        <v>180000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4.4" x14ac:dyDescent="0.3">
      <c r="A6" s="81">
        <v>1006</v>
      </c>
      <c r="B6" s="69" t="e">
        <f>VLOOKUP(A6,#REF!,2,FALSE)</f>
        <v>#REF!</v>
      </c>
      <c r="C6" s="2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ROUNDDOWN(IF('Dec 2025'!O6/2 &gt; 5, 5, 'Dec 2025'!O6/2)*2,0)/2</f>
        <v>1</v>
      </c>
      <c r="L6" s="101">
        <v>3</v>
      </c>
      <c r="M6" s="38">
        <v>0.5</v>
      </c>
      <c r="N6" s="24">
        <f t="shared" si="0"/>
        <v>0</v>
      </c>
      <c r="O6" s="24">
        <f t="shared" si="1"/>
        <v>3.5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121"/>
      <c r="AC6" s="106"/>
      <c r="AD6" s="9">
        <v>0</v>
      </c>
      <c r="AE6" s="41"/>
      <c r="AF6" s="42">
        <v>2390</v>
      </c>
      <c r="AG6" s="29">
        <f t="shared" si="9"/>
        <v>1800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1956.75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1950</v>
      </c>
      <c r="AQ6" s="34"/>
      <c r="AR6" s="29">
        <f t="shared" si="18"/>
        <v>25919.25</v>
      </c>
      <c r="AS6" s="29">
        <f>'Dec 2025'!AT6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4.4" x14ac:dyDescent="0.3">
      <c r="A7" s="81">
        <v>1024</v>
      </c>
      <c r="B7" s="69" t="e">
        <f>VLOOKUP(A7,#REF!,2,FALSE)</f>
        <v>#REF!</v>
      </c>
      <c r="C7" s="2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ROUNDDOWN(IF('Dec 2025'!O7/2 &gt; 5, 5, 'Dec 2025'!O7/2)*2,0)/2</f>
        <v>0.5</v>
      </c>
      <c r="L7" s="101">
        <v>4</v>
      </c>
      <c r="M7" s="38">
        <v>1</v>
      </c>
      <c r="N7" s="24">
        <f t="shared" si="0"/>
        <v>0</v>
      </c>
      <c r="O7" s="24">
        <f t="shared" si="1"/>
        <v>3.5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121"/>
      <c r="AC7" s="106"/>
      <c r="AD7" s="10"/>
      <c r="AE7" s="41"/>
      <c r="AF7" s="42">
        <v>1823</v>
      </c>
      <c r="AG7" s="29">
        <f t="shared" si="9"/>
        <v>1800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20" si="30">SUM(X7:AF7)</f>
        <v>22803</v>
      </c>
      <c r="AL7" s="29">
        <f t="shared" si="13"/>
        <v>1957.35</v>
      </c>
      <c r="AM7" s="29">
        <f t="shared" ref="AM7:AM20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20" si="32">AG7</f>
        <v>1800</v>
      </c>
      <c r="AQ7" s="34"/>
      <c r="AR7" s="29">
        <f t="shared" si="18"/>
        <v>25284.85</v>
      </c>
      <c r="AS7" s="29">
        <f>'Dec 2025'!AT7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4.4" hidden="1" x14ac:dyDescent="0.3">
      <c r="A8" s="116">
        <v>1028</v>
      </c>
      <c r="B8" s="122" t="e">
        <f>VLOOKUP(A8,#REF!,2,FALSE)</f>
        <v>#REF!</v>
      </c>
      <c r="C8" s="123" t="e">
        <f>VLOOKUP(A8,#REF!,19,FALSE)</f>
        <v>#REF!</v>
      </c>
      <c r="D8" s="118" t="e">
        <f>VLOOKUP(A8,#REF!,8,FALSE)</f>
        <v>#REF!</v>
      </c>
      <c r="E8" s="118" t="e">
        <f>VLOOKUP(A8,#REF!,10,FALSE)</f>
        <v>#REF!</v>
      </c>
      <c r="F8" s="118" t="e">
        <f>VLOOKUP(A8,#REF!,11,FALSE)</f>
        <v>#REF!</v>
      </c>
      <c r="G8" s="118" t="e">
        <f>VLOOKUP(A8,#REF!,12,FALSE)</f>
        <v>#REF!</v>
      </c>
      <c r="H8" s="118"/>
      <c r="I8" s="124">
        <v>0</v>
      </c>
      <c r="J8" s="124">
        <v>0</v>
      </c>
      <c r="K8" s="71">
        <f>ROUNDDOWN(IF('Dec 2025'!O8/2 &gt; 5, 5, 'Dec 2025'!O8/2)*2,0)/2</f>
        <v>0</v>
      </c>
      <c r="L8" s="126">
        <v>0</v>
      </c>
      <c r="M8" s="127">
        <v>0</v>
      </c>
      <c r="N8" s="128">
        <v>0</v>
      </c>
      <c r="O8" s="129">
        <f t="shared" si="1"/>
        <v>0</v>
      </c>
      <c r="P8" s="129">
        <f t="shared" si="2"/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30"/>
      <c r="AC8" s="131"/>
      <c r="AD8" s="132">
        <v>0</v>
      </c>
      <c r="AE8" s="132">
        <v>0</v>
      </c>
      <c r="AF8" s="133">
        <v>0</v>
      </c>
      <c r="AG8" s="120">
        <v>0</v>
      </c>
      <c r="AH8" s="120">
        <v>0</v>
      </c>
      <c r="AI8" s="133">
        <f t="shared" si="29"/>
        <v>0</v>
      </c>
      <c r="AJ8" s="132">
        <v>0</v>
      </c>
      <c r="AK8" s="133">
        <f t="shared" si="30"/>
        <v>0</v>
      </c>
      <c r="AL8" s="133">
        <f t="shared" si="13"/>
        <v>0</v>
      </c>
      <c r="AM8" s="133">
        <f t="shared" si="31"/>
        <v>0</v>
      </c>
      <c r="AN8" s="134">
        <f t="shared" ref="AN8:AN20" si="33">ROUND(AM8-AF8,0)+AV8-AU8</f>
        <v>0</v>
      </c>
      <c r="AO8" s="133">
        <f t="shared" si="16"/>
        <v>0</v>
      </c>
      <c r="AP8" s="133">
        <f t="shared" si="32"/>
        <v>0</v>
      </c>
      <c r="AQ8" s="135"/>
      <c r="AR8" s="133">
        <f t="shared" si="18"/>
        <v>0</v>
      </c>
      <c r="AS8" s="29">
        <f>'Dec 2025'!AT8</f>
        <v>0</v>
      </c>
      <c r="AT8" s="133">
        <f t="shared" si="28"/>
        <v>0</v>
      </c>
      <c r="AU8" s="135"/>
      <c r="AV8" s="133">
        <f t="shared" ref="AV8:AV20" si="34">AF8*12</f>
        <v>0</v>
      </c>
      <c r="AW8" s="135">
        <f t="shared" si="21"/>
        <v>0</v>
      </c>
      <c r="AX8" s="135"/>
      <c r="AY8" s="134">
        <v>0</v>
      </c>
      <c r="AZ8" s="136" t="s">
        <v>166</v>
      </c>
    </row>
    <row r="9" spans="1:52" ht="14.4" x14ac:dyDescent="0.3">
      <c r="A9" s="21">
        <v>1030</v>
      </c>
      <c r="B9" s="69" t="e">
        <f>VLOOKUP(A9,#REF!,2,FALSE)</f>
        <v>#REF!</v>
      </c>
      <c r="C9" s="2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ROUNDDOWN(IF('Dec 2025'!O9/2 &gt; 5, 5, 'Dec 2025'!O9/2)*2,0)/2</f>
        <v>0.5</v>
      </c>
      <c r="L9" s="101">
        <v>3</v>
      </c>
      <c r="M9" s="38">
        <v>0</v>
      </c>
      <c r="N9" s="24">
        <f t="shared" ref="N9:N20" si="35">IF(K9+L9-M9 &gt;= 0,0,M9-(K9+L9))</f>
        <v>0</v>
      </c>
      <c r="O9" s="24">
        <f t="shared" si="1"/>
        <v>3.5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ref="W9:W20" si="36">SUM(Q9:V9)</f>
        <v>31478</v>
      </c>
      <c r="X9" s="30">
        <f t="shared" ref="X9:X20" si="37">(Q9/I9*(J9)) * (1-N9/J9)</f>
        <v>15000</v>
      </c>
      <c r="Y9" s="30">
        <f t="shared" ref="Y9:Y20" si="38">(R9/I9*(J9)) * (1-N9/J9)</f>
        <v>3540</v>
      </c>
      <c r="Z9" s="30">
        <f t="shared" ref="Z9:Z20" si="39">(S9/I9*(J9)) * (1-N9/J9)</f>
        <v>1180</v>
      </c>
      <c r="AA9" s="30">
        <f t="shared" ref="AA9:AA20" si="40">(T9/I9*(J9)) * (1-N9/J9)</f>
        <v>1180</v>
      </c>
      <c r="AB9" s="121"/>
      <c r="AC9" s="106"/>
      <c r="AD9" s="10"/>
      <c r="AE9" s="10"/>
      <c r="AF9" s="31">
        <v>0</v>
      </c>
      <c r="AG9" s="29">
        <f t="shared" ref="AG9:AG20" si="41">IF(X9&gt;15000,(15000 * 12%),X9*0.12)</f>
        <v>1800</v>
      </c>
      <c r="AH9" s="29">
        <f>IF(SUM(X9:AA9)&gt;=25000, 200, 0)</f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1956.75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1800</v>
      </c>
      <c r="AQ9" s="34"/>
      <c r="AR9" s="29">
        <f t="shared" si="18"/>
        <v>23379.25</v>
      </c>
      <c r="AS9" s="29">
        <f>'Dec 2025'!AT9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4.4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ROUNDDOWN(IF('Dec 2025'!O10/2 &gt; 5, 5, 'Dec 2025'!O10/2)*2,0)/2</f>
        <v>0</v>
      </c>
      <c r="L10" s="101">
        <f>3+2</f>
        <v>5</v>
      </c>
      <c r="M10" s="104">
        <v>4.5</v>
      </c>
      <c r="N10" s="24">
        <f t="shared" si="35"/>
        <v>0</v>
      </c>
      <c r="O10" s="71">
        <f t="shared" si="1"/>
        <v>0.5</v>
      </c>
      <c r="P10" s="71">
        <f t="shared" si="2"/>
        <v>31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6"/>
        <v>47000</v>
      </c>
      <c r="X10" s="76">
        <f t="shared" si="37"/>
        <v>15000</v>
      </c>
      <c r="Y10" s="76">
        <f t="shared" si="38"/>
        <v>9000</v>
      </c>
      <c r="Z10" s="76">
        <f t="shared" si="39"/>
        <v>8000</v>
      </c>
      <c r="AA10" s="76">
        <f t="shared" si="40"/>
        <v>3000</v>
      </c>
      <c r="AB10" s="10">
        <f>U10*1.2</f>
        <v>7200</v>
      </c>
      <c r="AC10" s="9">
        <f>V10*0.7</f>
        <v>4200</v>
      </c>
      <c r="AD10" s="10"/>
      <c r="AE10" s="10"/>
      <c r="AF10" s="77">
        <v>0</v>
      </c>
      <c r="AG10" s="75">
        <f t="shared" si="41"/>
        <v>1800</v>
      </c>
      <c r="AH10" s="75">
        <f>IF(SUM(X10:AC10)&gt;=25000, 200, 0)</f>
        <v>200</v>
      </c>
      <c r="AI10" s="84">
        <v>0</v>
      </c>
      <c r="AJ10" s="34"/>
      <c r="AK10" s="75">
        <f t="shared" si="30"/>
        <v>46400</v>
      </c>
      <c r="AL10" s="75">
        <f t="shared" si="13"/>
        <v>2000</v>
      </c>
      <c r="AM10" s="75">
        <f t="shared" si="31"/>
        <v>44400</v>
      </c>
      <c r="AN10" s="78">
        <f t="shared" si="33"/>
        <v>44400</v>
      </c>
      <c r="AO10" s="75">
        <f t="shared" si="16"/>
        <v>0</v>
      </c>
      <c r="AP10" s="75">
        <f t="shared" si="32"/>
        <v>1800</v>
      </c>
      <c r="AQ10" s="34"/>
      <c r="AR10" s="75">
        <f t="shared" si="18"/>
        <v>48200</v>
      </c>
      <c r="AS10" s="29">
        <f>'Dec 2025'!AT10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4.4" x14ac:dyDescent="0.3">
      <c r="A11" s="21">
        <v>1033</v>
      </c>
      <c r="B11" s="69" t="e">
        <f>VLOOKUP(A11,#REF!,2,FALSE)</f>
        <v>#REF!</v>
      </c>
      <c r="C11" s="2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31</v>
      </c>
      <c r="K11" s="71">
        <f>ROUNDDOWN(IF('Dec 2025'!O11/2 &gt; 5, 5, 'Dec 2025'!O11/2)*2,0)/2</f>
        <v>0</v>
      </c>
      <c r="L11" s="101">
        <v>0</v>
      </c>
      <c r="M11" s="38">
        <v>31</v>
      </c>
      <c r="N11" s="24">
        <f t="shared" si="35"/>
        <v>31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6"/>
        <v>22000</v>
      </c>
      <c r="X11" s="30">
        <f t="shared" si="37"/>
        <v>0</v>
      </c>
      <c r="Y11" s="30">
        <f t="shared" si="38"/>
        <v>0</v>
      </c>
      <c r="Z11" s="30">
        <f t="shared" si="39"/>
        <v>0</v>
      </c>
      <c r="AA11" s="30">
        <f t="shared" si="40"/>
        <v>0</v>
      </c>
      <c r="AB11" s="10"/>
      <c r="AC11" s="9"/>
      <c r="AD11" s="10"/>
      <c r="AE11" s="10"/>
      <c r="AF11" s="31">
        <v>0</v>
      </c>
      <c r="AG11" s="29">
        <f t="shared" si="41"/>
        <v>0</v>
      </c>
      <c r="AH11" s="29">
        <f>IF(SUM(X11:AA11)&gt;=25000, 200, 0)</f>
        <v>0</v>
      </c>
      <c r="AI11" s="29">
        <f t="shared" ref="AI11:AI14" si="42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'Dec 2025'!AT11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4.4" x14ac:dyDescent="0.3">
      <c r="A12" s="21">
        <v>1034</v>
      </c>
      <c r="B12" s="69" t="e">
        <f>VLOOKUP(A12,#REF!,2,FALSE)</f>
        <v>#REF!</v>
      </c>
      <c r="C12" s="2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31</v>
      </c>
      <c r="K12" s="71">
        <f>ROUNDDOWN(IF('Dec 2025'!O12/2 &gt; 5, 5, 'Dec 2025'!O12/2)*2,0)/2</f>
        <v>0</v>
      </c>
      <c r="L12" s="101">
        <f>3+1</f>
        <v>4</v>
      </c>
      <c r="M12" s="38">
        <v>3</v>
      </c>
      <c r="N12" s="24">
        <f t="shared" si="35"/>
        <v>0</v>
      </c>
      <c r="O12" s="24">
        <f t="shared" si="1"/>
        <v>1</v>
      </c>
      <c r="P12" s="24">
        <f t="shared" si="2"/>
        <v>31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6"/>
        <v>30758</v>
      </c>
      <c r="X12" s="30">
        <f t="shared" si="37"/>
        <v>15000</v>
      </c>
      <c r="Y12" s="30">
        <f t="shared" si="38"/>
        <v>4956</v>
      </c>
      <c r="Z12" s="30">
        <f t="shared" si="39"/>
        <v>1652</v>
      </c>
      <c r="AA12" s="30">
        <f t="shared" si="40"/>
        <v>1770</v>
      </c>
      <c r="AB12" s="10">
        <f>U12*0.8</f>
        <v>2952</v>
      </c>
      <c r="AC12" s="9">
        <f t="shared" ref="AC12:AC15" si="43">V12*0.7</f>
        <v>2583</v>
      </c>
      <c r="AD12" s="10"/>
      <c r="AE12" s="10"/>
      <c r="AF12" s="31">
        <v>0</v>
      </c>
      <c r="AG12" s="29">
        <f t="shared" si="41"/>
        <v>1800</v>
      </c>
      <c r="AH12" s="29">
        <f t="shared" ref="AH12:AH20" si="44">IF(SUM(X12:AC12)&gt;=25000, 200, 0)</f>
        <v>200</v>
      </c>
      <c r="AI12" s="29">
        <f t="shared" si="42"/>
        <v>0</v>
      </c>
      <c r="AJ12" s="34"/>
      <c r="AK12" s="29">
        <f t="shared" si="30"/>
        <v>28913</v>
      </c>
      <c r="AL12" s="29">
        <f t="shared" si="13"/>
        <v>2000</v>
      </c>
      <c r="AM12" s="29">
        <f t="shared" si="31"/>
        <v>26913</v>
      </c>
      <c r="AN12" s="33">
        <f t="shared" si="33"/>
        <v>26913</v>
      </c>
      <c r="AO12" s="29">
        <f t="shared" si="16"/>
        <v>0</v>
      </c>
      <c r="AP12" s="29">
        <f t="shared" si="32"/>
        <v>1800</v>
      </c>
      <c r="AQ12" s="34"/>
      <c r="AR12" s="29">
        <f t="shared" si="18"/>
        <v>30713</v>
      </c>
      <c r="AS12" s="29">
        <f>'Dec 2025'!AT12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4.4" x14ac:dyDescent="0.3">
      <c r="A13" s="21">
        <v>1036</v>
      </c>
      <c r="B13" s="69" t="e">
        <f>VLOOKUP(A13,#REF!,2,FALSE)</f>
        <v>#REF!</v>
      </c>
      <c r="C13" s="2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ROUNDDOWN(IF('Dec 2025'!O13/2 &gt; 5, 5, 'Dec 2025'!O13/2)*2,0)/2</f>
        <v>0</v>
      </c>
      <c r="L13" s="101">
        <f>3+1+0.5</f>
        <v>4.5</v>
      </c>
      <c r="M13" s="38">
        <v>1</v>
      </c>
      <c r="N13" s="24">
        <f t="shared" si="35"/>
        <v>0</v>
      </c>
      <c r="O13" s="24">
        <f t="shared" si="1"/>
        <v>3.5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6"/>
        <v>29828</v>
      </c>
      <c r="X13" s="30">
        <f t="shared" si="37"/>
        <v>15000</v>
      </c>
      <c r="Y13" s="30">
        <f t="shared" si="38"/>
        <v>4956</v>
      </c>
      <c r="Z13" s="30">
        <f t="shared" si="39"/>
        <v>1652</v>
      </c>
      <c r="AA13" s="30">
        <f t="shared" si="40"/>
        <v>1180</v>
      </c>
      <c r="AB13" s="10">
        <f>U13*0.9</f>
        <v>3168</v>
      </c>
      <c r="AC13" s="9">
        <f t="shared" si="43"/>
        <v>2464</v>
      </c>
      <c r="AD13" s="12"/>
      <c r="AE13" s="10"/>
      <c r="AF13" s="31">
        <v>0</v>
      </c>
      <c r="AG13" s="29">
        <f t="shared" si="41"/>
        <v>1800</v>
      </c>
      <c r="AH13" s="29">
        <f t="shared" si="44"/>
        <v>200</v>
      </c>
      <c r="AI13" s="29">
        <f t="shared" si="42"/>
        <v>0</v>
      </c>
      <c r="AJ13" s="13"/>
      <c r="AK13" s="29">
        <f t="shared" si="30"/>
        <v>28420</v>
      </c>
      <c r="AL13" s="29">
        <f t="shared" si="13"/>
        <v>2000</v>
      </c>
      <c r="AM13" s="29">
        <f t="shared" si="31"/>
        <v>26420</v>
      </c>
      <c r="AN13" s="33">
        <f t="shared" si="33"/>
        <v>26420</v>
      </c>
      <c r="AO13" s="29">
        <f t="shared" si="16"/>
        <v>0</v>
      </c>
      <c r="AP13" s="29">
        <f t="shared" si="32"/>
        <v>1800</v>
      </c>
      <c r="AQ13" s="13"/>
      <c r="AR13" s="29">
        <f t="shared" si="18"/>
        <v>30220</v>
      </c>
      <c r="AS13" s="29">
        <f>'Dec 2025'!AT13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4.4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31</v>
      </c>
      <c r="K14" s="71">
        <f>ROUNDDOWN(IF('Dec 2025'!O14/2 &gt; 5, 5, 'Dec 2025'!O14/2)*2,0)/2</f>
        <v>0</v>
      </c>
      <c r="L14" s="101">
        <v>0</v>
      </c>
      <c r="M14" s="104">
        <v>0</v>
      </c>
      <c r="N14" s="71">
        <f t="shared" si="35"/>
        <v>0</v>
      </c>
      <c r="O14" s="71">
        <f t="shared" si="1"/>
        <v>0</v>
      </c>
      <c r="P14" s="71">
        <f t="shared" si="2"/>
        <v>31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6"/>
        <v>73810</v>
      </c>
      <c r="X14" s="76">
        <f t="shared" si="37"/>
        <v>26000</v>
      </c>
      <c r="Y14" s="76">
        <f t="shared" si="38"/>
        <v>14808</v>
      </c>
      <c r="Z14" s="76">
        <f t="shared" si="39"/>
        <v>11106</v>
      </c>
      <c r="AA14" s="76">
        <f t="shared" si="40"/>
        <v>11106</v>
      </c>
      <c r="AB14" s="10">
        <f>U14*0</f>
        <v>0</v>
      </c>
      <c r="AC14" s="9">
        <f t="shared" si="43"/>
        <v>3776.4999999999995</v>
      </c>
      <c r="AD14" s="12"/>
      <c r="AE14" s="10"/>
      <c r="AF14" s="77">
        <v>0</v>
      </c>
      <c r="AG14" s="75">
        <f t="shared" si="41"/>
        <v>1800</v>
      </c>
      <c r="AH14" s="75">
        <f t="shared" si="44"/>
        <v>200</v>
      </c>
      <c r="AI14" s="75">
        <f t="shared" si="42"/>
        <v>0</v>
      </c>
      <c r="AJ14" s="13"/>
      <c r="AK14" s="75">
        <f t="shared" si="30"/>
        <v>66796.5</v>
      </c>
      <c r="AL14" s="75">
        <f t="shared" si="13"/>
        <v>2000</v>
      </c>
      <c r="AM14" s="75">
        <f t="shared" si="31"/>
        <v>64796.5</v>
      </c>
      <c r="AN14" s="78">
        <f t="shared" si="33"/>
        <v>64797</v>
      </c>
      <c r="AO14" s="75">
        <f t="shared" si="16"/>
        <v>0</v>
      </c>
      <c r="AP14" s="75">
        <f t="shared" si="32"/>
        <v>1800</v>
      </c>
      <c r="AQ14" s="13"/>
      <c r="AR14" s="75">
        <f t="shared" si="18"/>
        <v>68596.5</v>
      </c>
      <c r="AS14" s="29">
        <f>'Dec 2025'!AT14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114" t="s">
        <v>165</v>
      </c>
    </row>
    <row r="15" spans="1:52" ht="14.4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ROUNDDOWN(IF('Dec 2025'!O15/2 &gt; 5, 5, 'Dec 2025'!O15/2)*2,0)/2</f>
        <v>3</v>
      </c>
      <c r="L15" s="101">
        <v>3</v>
      </c>
      <c r="M15" s="104">
        <v>0</v>
      </c>
      <c r="N15" s="71">
        <f t="shared" si="35"/>
        <v>0</v>
      </c>
      <c r="O15" s="71">
        <f t="shared" si="1"/>
        <v>6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6"/>
        <v>95895</v>
      </c>
      <c r="X15" s="76">
        <f t="shared" si="37"/>
        <v>30000</v>
      </c>
      <c r="Y15" s="76">
        <f t="shared" si="38"/>
        <v>21300</v>
      </c>
      <c r="Z15" s="76">
        <f t="shared" si="39"/>
        <v>15975.000000000002</v>
      </c>
      <c r="AA15" s="76">
        <f t="shared" si="40"/>
        <v>12780</v>
      </c>
      <c r="AB15" s="10">
        <f t="shared" ref="AB15:AB16" si="45">U15*1</f>
        <v>7920</v>
      </c>
      <c r="AC15" s="9">
        <f t="shared" si="43"/>
        <v>5544</v>
      </c>
      <c r="AD15" s="10"/>
      <c r="AE15" s="10"/>
      <c r="AF15" s="77">
        <v>0</v>
      </c>
      <c r="AG15" s="75">
        <f t="shared" si="41"/>
        <v>1800</v>
      </c>
      <c r="AH15" s="75">
        <f t="shared" si="44"/>
        <v>200</v>
      </c>
      <c r="AI15" s="85">
        <v>0</v>
      </c>
      <c r="AJ15" s="34"/>
      <c r="AK15" s="75">
        <f t="shared" si="30"/>
        <v>93519</v>
      </c>
      <c r="AL15" s="75">
        <f t="shared" si="13"/>
        <v>2000</v>
      </c>
      <c r="AM15" s="75">
        <f t="shared" si="31"/>
        <v>91519</v>
      </c>
      <c r="AN15" s="78">
        <f t="shared" si="33"/>
        <v>91519</v>
      </c>
      <c r="AO15" s="75">
        <v>0</v>
      </c>
      <c r="AP15" s="75">
        <f t="shared" si="32"/>
        <v>1800</v>
      </c>
      <c r="AQ15" s="34"/>
      <c r="AR15" s="75">
        <f t="shared" si="18"/>
        <v>95319</v>
      </c>
      <c r="AS15" s="29">
        <f>'Dec 2025'!AT15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4.4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ROUNDDOWN(IF('Dec 2025'!O16/2 &gt; 5, 5, 'Dec 2025'!O16/2)*2,0)/2</f>
        <v>0</v>
      </c>
      <c r="L16" s="101">
        <v>0</v>
      </c>
      <c r="M16" s="104">
        <v>31</v>
      </c>
      <c r="N16" s="71">
        <f t="shared" si="35"/>
        <v>31</v>
      </c>
      <c r="O16" s="71">
        <f t="shared" si="1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6"/>
        <v>85615</v>
      </c>
      <c r="X16" s="76">
        <f t="shared" si="37"/>
        <v>0</v>
      </c>
      <c r="Y16" s="76">
        <f t="shared" si="38"/>
        <v>0</v>
      </c>
      <c r="Z16" s="76">
        <f t="shared" si="39"/>
        <v>0</v>
      </c>
      <c r="AA16" s="76">
        <f t="shared" si="40"/>
        <v>0</v>
      </c>
      <c r="AB16" s="10">
        <f t="shared" si="45"/>
        <v>0</v>
      </c>
      <c r="AC16" s="9">
        <v>0</v>
      </c>
      <c r="AD16" s="12"/>
      <c r="AE16" s="41">
        <v>25000</v>
      </c>
      <c r="AF16" s="77">
        <v>0</v>
      </c>
      <c r="AG16" s="75">
        <f t="shared" si="41"/>
        <v>0</v>
      </c>
      <c r="AH16" s="75">
        <f t="shared" si="44"/>
        <v>0</v>
      </c>
      <c r="AI16" s="75">
        <f t="shared" ref="AI16:AI20" si="46">IF(SUM(Q16:T16) &lt; 21000, SUM(X16:AA16)*0.0075, 0)</f>
        <v>0</v>
      </c>
      <c r="AJ16" s="13"/>
      <c r="AK16" s="75">
        <f t="shared" si="30"/>
        <v>25000</v>
      </c>
      <c r="AL16" s="75">
        <f t="shared" si="13"/>
        <v>0</v>
      </c>
      <c r="AM16" s="75">
        <f t="shared" si="31"/>
        <v>25000</v>
      </c>
      <c r="AN16" s="78">
        <f t="shared" si="33"/>
        <v>25000</v>
      </c>
      <c r="AO16" s="75">
        <f t="shared" ref="AO16:AO20" si="47">AI16/0.0075*0.0325</f>
        <v>0</v>
      </c>
      <c r="AP16" s="75">
        <f t="shared" si="32"/>
        <v>0</v>
      </c>
      <c r="AQ16" s="13"/>
      <c r="AR16" s="75">
        <f t="shared" si="18"/>
        <v>25000</v>
      </c>
      <c r="AS16" s="29">
        <f>'Dec 2025'!AT16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4.4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115">
        <v>31</v>
      </c>
      <c r="L17" s="101">
        <v>31</v>
      </c>
      <c r="M17" s="104">
        <v>31</v>
      </c>
      <c r="N17" s="71">
        <f t="shared" si="35"/>
        <v>0</v>
      </c>
      <c r="O17" s="115">
        <v>0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6"/>
        <v>83083.333333333343</v>
      </c>
      <c r="X17" s="76">
        <f t="shared" si="37"/>
        <v>26000</v>
      </c>
      <c r="Y17" s="76">
        <f t="shared" si="38"/>
        <v>18750</v>
      </c>
      <c r="Z17" s="76">
        <f t="shared" si="39"/>
        <v>1250</v>
      </c>
      <c r="AA17" s="76">
        <f t="shared" si="40"/>
        <v>10833.333333333334</v>
      </c>
      <c r="AB17" s="10">
        <f t="shared" ref="AB17:AC17" si="48">U17*0</f>
        <v>0</v>
      </c>
      <c r="AC17" s="9">
        <f t="shared" si="48"/>
        <v>0</v>
      </c>
      <c r="AD17" s="12"/>
      <c r="AE17" s="10"/>
      <c r="AF17" s="77">
        <v>0</v>
      </c>
      <c r="AG17" s="75">
        <f t="shared" si="41"/>
        <v>1800</v>
      </c>
      <c r="AH17" s="75">
        <f t="shared" si="44"/>
        <v>200</v>
      </c>
      <c r="AI17" s="75">
        <f t="shared" si="46"/>
        <v>0</v>
      </c>
      <c r="AJ17" s="13"/>
      <c r="AK17" s="75">
        <f t="shared" si="30"/>
        <v>56833.333333333336</v>
      </c>
      <c r="AL17" s="75">
        <f t="shared" si="13"/>
        <v>2000</v>
      </c>
      <c r="AM17" s="75">
        <f t="shared" si="31"/>
        <v>54833.333333333336</v>
      </c>
      <c r="AN17" s="78">
        <f t="shared" si="33"/>
        <v>54833</v>
      </c>
      <c r="AO17" s="75">
        <f t="shared" si="47"/>
        <v>0</v>
      </c>
      <c r="AP17" s="75">
        <f t="shared" si="32"/>
        <v>1800</v>
      </c>
      <c r="AQ17" s="13"/>
      <c r="AR17" s="75">
        <f t="shared" si="18"/>
        <v>58633.333333333336</v>
      </c>
      <c r="AS17" s="29">
        <f>'Dec 2025'!AT17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4.4" x14ac:dyDescent="0.3">
      <c r="A18" s="21">
        <v>1039</v>
      </c>
      <c r="B18" s="69" t="e">
        <f>VLOOKUP(A18,#REF!,2,FALSE)</f>
        <v>#REF!</v>
      </c>
      <c r="C18" s="2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ROUNDDOWN(IF('Dec 2025'!O18/2 &gt; 5, 5, 'Dec 2025'!O18/2)*2,0)/2</f>
        <v>0</v>
      </c>
      <c r="L18" s="101">
        <v>3</v>
      </c>
      <c r="M18" s="38">
        <v>1</v>
      </c>
      <c r="N18" s="24">
        <f t="shared" si="35"/>
        <v>0</v>
      </c>
      <c r="O18" s="24">
        <f t="shared" ref="O18:O20" si="49">IF(K18+L18-M18&gt;0,K18+L18-M18,0)</f>
        <v>2</v>
      </c>
      <c r="P18" s="24">
        <f t="shared" si="2"/>
        <v>31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6"/>
        <v>28560</v>
      </c>
      <c r="X18" s="30">
        <f t="shared" si="37"/>
        <v>15000</v>
      </c>
      <c r="Y18" s="30">
        <f t="shared" si="38"/>
        <v>5700</v>
      </c>
      <c r="Z18" s="30">
        <f t="shared" si="39"/>
        <v>1900</v>
      </c>
      <c r="AA18" s="30">
        <f t="shared" si="40"/>
        <v>1900</v>
      </c>
      <c r="AB18" s="10">
        <f t="shared" ref="AB18:AB19" si="50">U18*0.9</f>
        <v>1827</v>
      </c>
      <c r="AC18" s="9">
        <f t="shared" ref="AC18:AC20" si="51">V18*0.7</f>
        <v>1421</v>
      </c>
      <c r="AD18" s="12"/>
      <c r="AE18" s="41">
        <v>1185</v>
      </c>
      <c r="AF18" s="31">
        <v>0</v>
      </c>
      <c r="AG18" s="29">
        <f t="shared" si="41"/>
        <v>1800</v>
      </c>
      <c r="AH18" s="29">
        <f t="shared" si="44"/>
        <v>200</v>
      </c>
      <c r="AI18" s="29">
        <f t="shared" si="46"/>
        <v>0</v>
      </c>
      <c r="AJ18" s="13"/>
      <c r="AK18" s="29">
        <f t="shared" si="30"/>
        <v>28933</v>
      </c>
      <c r="AL18" s="29">
        <f t="shared" si="13"/>
        <v>2000</v>
      </c>
      <c r="AM18" s="29">
        <f t="shared" si="31"/>
        <v>26933</v>
      </c>
      <c r="AN18" s="33">
        <f t="shared" si="33"/>
        <v>26933</v>
      </c>
      <c r="AO18" s="29">
        <f t="shared" si="47"/>
        <v>0</v>
      </c>
      <c r="AP18" s="29">
        <f t="shared" si="32"/>
        <v>1800</v>
      </c>
      <c r="AQ18" s="13"/>
      <c r="AR18" s="29">
        <f t="shared" si="18"/>
        <v>30733</v>
      </c>
      <c r="AS18" s="29">
        <f>'Dec 2025'!AT18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138" t="s">
        <v>174</v>
      </c>
      <c r="AY18" s="75">
        <v>0</v>
      </c>
      <c r="AZ18" s="77" t="s">
        <v>165</v>
      </c>
    </row>
    <row r="19" spans="1:52" ht="14.4" x14ac:dyDescent="0.3">
      <c r="A19" s="21">
        <v>1040</v>
      </c>
      <c r="B19" s="69" t="e">
        <f>VLOOKUP(A19,#REF!,2,FALSE)</f>
        <v>#REF!</v>
      </c>
      <c r="C19" s="2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ROUNDDOWN(IF('Dec 2025'!O19/2 &gt; 5, 5, 'Dec 2025'!O19/2)*2,0)/2</f>
        <v>0.5</v>
      </c>
      <c r="L19" s="101">
        <v>3</v>
      </c>
      <c r="M19" s="38">
        <v>0</v>
      </c>
      <c r="N19" s="24">
        <f t="shared" si="35"/>
        <v>0</v>
      </c>
      <c r="O19" s="24">
        <f t="shared" si="49"/>
        <v>3.5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6"/>
        <v>29280</v>
      </c>
      <c r="X19" s="30">
        <f t="shared" si="37"/>
        <v>15000</v>
      </c>
      <c r="Y19" s="30">
        <f t="shared" si="38"/>
        <v>5700</v>
      </c>
      <c r="Z19" s="30">
        <f t="shared" si="39"/>
        <v>1900</v>
      </c>
      <c r="AA19" s="30">
        <f t="shared" si="40"/>
        <v>1900</v>
      </c>
      <c r="AB19" s="10">
        <f t="shared" si="50"/>
        <v>2151</v>
      </c>
      <c r="AC19" s="9">
        <f t="shared" si="51"/>
        <v>1673</v>
      </c>
      <c r="AD19" s="12"/>
      <c r="AE19" s="10"/>
      <c r="AF19" s="31">
        <v>0</v>
      </c>
      <c r="AG19" s="29">
        <f t="shared" si="41"/>
        <v>1800</v>
      </c>
      <c r="AH19" s="29">
        <f t="shared" si="44"/>
        <v>200</v>
      </c>
      <c r="AI19" s="29">
        <f t="shared" si="46"/>
        <v>0</v>
      </c>
      <c r="AJ19" s="13"/>
      <c r="AK19" s="29">
        <f t="shared" si="30"/>
        <v>28324</v>
      </c>
      <c r="AL19" s="29">
        <f t="shared" si="13"/>
        <v>2000</v>
      </c>
      <c r="AM19" s="29">
        <f t="shared" si="31"/>
        <v>26324</v>
      </c>
      <c r="AN19" s="33">
        <f t="shared" si="33"/>
        <v>26324</v>
      </c>
      <c r="AO19" s="29">
        <f t="shared" si="47"/>
        <v>0</v>
      </c>
      <c r="AP19" s="29">
        <f t="shared" si="32"/>
        <v>1800</v>
      </c>
      <c r="AQ19" s="13"/>
      <c r="AR19" s="29">
        <f t="shared" si="18"/>
        <v>30124</v>
      </c>
      <c r="AS19" s="29">
        <f>'Dec 2025'!AT19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77" t="s">
        <v>165</v>
      </c>
    </row>
    <row r="20" spans="1:52" ht="14.4" x14ac:dyDescent="0.3">
      <c r="A20" s="21">
        <v>1043</v>
      </c>
      <c r="B20" s="69" t="e">
        <f>VLOOKUP(A20,#REF!,2,FALSE)</f>
        <v>#REF!</v>
      </c>
      <c r="C20" s="2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ROUNDDOWN(IF('Dec 2025'!O20/2 &gt; 5, 5, 'Dec 2025'!O20/2)*2,0)/2</f>
        <v>0</v>
      </c>
      <c r="L20" s="101">
        <v>3</v>
      </c>
      <c r="M20" s="38">
        <v>2</v>
      </c>
      <c r="N20" s="24">
        <f t="shared" si="35"/>
        <v>0</v>
      </c>
      <c r="O20" s="24">
        <f t="shared" si="49"/>
        <v>1</v>
      </c>
      <c r="P20" s="24">
        <f t="shared" si="2"/>
        <v>31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6"/>
        <v>27204</v>
      </c>
      <c r="X20" s="30">
        <f t="shared" si="37"/>
        <v>15000</v>
      </c>
      <c r="Y20" s="30">
        <f t="shared" si="38"/>
        <v>5130</v>
      </c>
      <c r="Z20" s="30">
        <f t="shared" si="39"/>
        <v>1710</v>
      </c>
      <c r="AA20" s="30">
        <f t="shared" si="40"/>
        <v>1710</v>
      </c>
      <c r="AB20" s="10">
        <f>U20*0.8</f>
        <v>1461.6000000000001</v>
      </c>
      <c r="AC20" s="9">
        <f t="shared" si="51"/>
        <v>1278.8999999999999</v>
      </c>
      <c r="AD20" s="12"/>
      <c r="AE20" s="10"/>
      <c r="AF20" s="31">
        <v>0</v>
      </c>
      <c r="AG20" s="29">
        <f t="shared" si="41"/>
        <v>1800</v>
      </c>
      <c r="AH20" s="29">
        <f t="shared" si="44"/>
        <v>200</v>
      </c>
      <c r="AI20" s="29">
        <f t="shared" si="46"/>
        <v>0</v>
      </c>
      <c r="AJ20" s="13"/>
      <c r="AK20" s="29">
        <f t="shared" si="30"/>
        <v>26290.5</v>
      </c>
      <c r="AL20" s="29">
        <f t="shared" si="13"/>
        <v>2000</v>
      </c>
      <c r="AM20" s="29">
        <f t="shared" si="31"/>
        <v>24290.5</v>
      </c>
      <c r="AN20" s="33">
        <f t="shared" si="33"/>
        <v>24291</v>
      </c>
      <c r="AO20" s="29">
        <f t="shared" si="47"/>
        <v>0</v>
      </c>
      <c r="AP20" s="29">
        <f t="shared" si="32"/>
        <v>1800</v>
      </c>
      <c r="AQ20" s="13"/>
      <c r="AR20" s="29">
        <f t="shared" si="18"/>
        <v>28090.5</v>
      </c>
      <c r="AS20" s="29">
        <f>'Dec 2025'!AT20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77" t="s">
        <v>165</v>
      </c>
    </row>
    <row r="21" spans="1:52" ht="14.4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00">
        <v>31</v>
      </c>
      <c r="J21" s="100">
        <v>31</v>
      </c>
      <c r="K21" s="71">
        <f>ROUNDDOWN(IF('Dec 2025'!O21/2 &gt; 5, 5, 'Dec 2025'!O21/2)*2,0)/2</f>
        <v>0</v>
      </c>
      <c r="L21" s="119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0">
        <v>0</v>
      </c>
      <c r="AC21" s="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  <c r="AK21" s="119">
        <v>0</v>
      </c>
      <c r="AL21" s="119">
        <v>0</v>
      </c>
      <c r="AM21" s="119">
        <v>0</v>
      </c>
      <c r="AN21" s="119">
        <v>0</v>
      </c>
      <c r="AO21" s="119">
        <v>0</v>
      </c>
      <c r="AP21" s="119">
        <v>0</v>
      </c>
      <c r="AQ21" s="119">
        <v>0</v>
      </c>
      <c r="AR21" s="119">
        <v>0</v>
      </c>
      <c r="AS21" s="29">
        <f>'Dec 2025'!AT21</f>
        <v>0</v>
      </c>
      <c r="AT21" s="119">
        <v>0</v>
      </c>
      <c r="AU21" s="119">
        <v>0</v>
      </c>
      <c r="AV21" s="119">
        <v>0</v>
      </c>
      <c r="AW21" s="119">
        <v>0</v>
      </c>
      <c r="AX21" s="119">
        <v>0</v>
      </c>
      <c r="AY21" s="119">
        <v>0</v>
      </c>
      <c r="AZ21" s="120" t="s">
        <v>166</v>
      </c>
    </row>
    <row r="22" spans="1:52" ht="14.4" x14ac:dyDescent="0.3">
      <c r="A22" s="21">
        <v>1046</v>
      </c>
      <c r="B22" s="69" t="e">
        <f>VLOOKUP(A22,#REF!,2,FALSE)</f>
        <v>#REF!</v>
      </c>
      <c r="C22" s="2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ROUNDDOWN(IF('Dec 2025'!O22/2 &gt; 5, 5, 'Dec 2025'!O22/2)*2,0)/2</f>
        <v>0</v>
      </c>
      <c r="L22" s="101">
        <f>3+3</f>
        <v>6</v>
      </c>
      <c r="M22" s="38">
        <v>0.5</v>
      </c>
      <c r="N22" s="24">
        <f t="shared" ref="N22:N35" si="52">IF(K22+L22-M22 &gt;= 0,0,M22-(K22+L22))</f>
        <v>0</v>
      </c>
      <c r="O22" s="24">
        <f t="shared" ref="O22:O35" si="53">IF(K22+L22-M22&gt;0,K22+L22-M22,0)</f>
        <v>5.5</v>
      </c>
      <c r="P22" s="24">
        <f t="shared" ref="P22:P35" si="54">J22-N22</f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ref="W22:W35" si="55">SUM(Q22:V22)</f>
        <v>28804</v>
      </c>
      <c r="X22" s="30">
        <f t="shared" ref="X22:X35" si="56">(Q22/I22*(J22)) * (1-N22/J22)</f>
        <v>15000</v>
      </c>
      <c r="Y22" s="30">
        <f t="shared" ref="Y22:Y35" si="57">(R22/I22*(J22)) * (1-N22/J22)</f>
        <v>5700</v>
      </c>
      <c r="Z22" s="30">
        <f t="shared" ref="Z22:Z35" si="58">(S22/I22*(J22)) * (1-N22/J22)</f>
        <v>1900</v>
      </c>
      <c r="AA22" s="30">
        <f t="shared" ref="AA22:AA35" si="59">(T22/I22*(J22)) * (1-N22/J22)</f>
        <v>1900</v>
      </c>
      <c r="AB22" s="10">
        <f t="shared" ref="AB22:AB23" si="60">U22*0.9</f>
        <v>1936.8</v>
      </c>
      <c r="AC22" s="9">
        <f t="shared" ref="AC22:AC25" si="61">V22*0.7</f>
        <v>1506.3999999999999</v>
      </c>
      <c r="AD22" s="12"/>
      <c r="AE22" s="10"/>
      <c r="AF22" s="31">
        <v>0</v>
      </c>
      <c r="AG22" s="29">
        <f t="shared" ref="AG22:AG31" si="62">IF(X22&gt;15000,(15000 * 12%),X22*0.12)</f>
        <v>1800</v>
      </c>
      <c r="AH22" s="29">
        <f t="shared" ref="AH22:AH23" si="63">IF(SUM(X22:AC22)&gt;=25000, 200, 0)</f>
        <v>200</v>
      </c>
      <c r="AI22" s="29">
        <f t="shared" ref="AI22:AI34" si="64">IF(SUM(Q22:T22) &lt; 21000, SUM(X22:AA22)*0.0075, 0)</f>
        <v>0</v>
      </c>
      <c r="AJ22" s="13"/>
      <c r="AK22" s="29">
        <f t="shared" ref="AK22:AK35" si="65">SUM(X22:AF22)</f>
        <v>27943.200000000001</v>
      </c>
      <c r="AL22" s="29">
        <f t="shared" ref="AL22:AL35" si="66">SUM(AG22:AJ22)+AU22</f>
        <v>2000</v>
      </c>
      <c r="AM22" s="29">
        <f t="shared" ref="AM22:AM36" si="67">SUM(X22:AF22)-SUM(AG22:AJ22)</f>
        <v>25943.200000000001</v>
      </c>
      <c r="AN22" s="33">
        <f t="shared" ref="AN22:AN36" si="68">ROUND(AM22-AF22,0)+AV22-AU22</f>
        <v>25943</v>
      </c>
      <c r="AO22" s="29">
        <f t="shared" ref="AO22:AO34" si="69">AI22/0.0075*0.0325</f>
        <v>0</v>
      </c>
      <c r="AP22" s="29">
        <f t="shared" ref="AP22:AP34" si="70">AG22</f>
        <v>1800</v>
      </c>
      <c r="AQ22" s="13"/>
      <c r="AR22" s="29">
        <f t="shared" ref="AR22:AR34" si="71">AK22+AO22+AP22</f>
        <v>29743.200000000001</v>
      </c>
      <c r="AS22" s="29">
        <f>'Dec 2025'!AT22</f>
        <v>0</v>
      </c>
      <c r="AT22" s="29">
        <f t="shared" ref="AT22:AT28" si="72">AS22+AD22-AJ22-AY22</f>
        <v>0</v>
      </c>
      <c r="AU22" s="34"/>
      <c r="AV22" s="31">
        <f t="shared" ref="AV22:AV32" si="73">AF22*12</f>
        <v>0</v>
      </c>
      <c r="AW22" s="79"/>
      <c r="AX22" s="79"/>
      <c r="AY22" s="75">
        <v>0</v>
      </c>
      <c r="AZ22" s="77" t="s">
        <v>165</v>
      </c>
    </row>
    <row r="23" spans="1:52" ht="14.4" x14ac:dyDescent="0.3">
      <c r="A23" s="50">
        <v>1048</v>
      </c>
      <c r="B23" s="69" t="e">
        <f>VLOOKUP(A23,#REF!,2,FALSE)</f>
        <v>#REF!</v>
      </c>
      <c r="C23" s="2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ROUNDDOWN(IF('Dec 2025'!O23/2 &gt; 5, 5, 'Dec 2025'!O23/2)*2,0)/2</f>
        <v>0</v>
      </c>
      <c r="L23" s="101">
        <v>4</v>
      </c>
      <c r="M23" s="38">
        <v>4</v>
      </c>
      <c r="N23" s="24">
        <f t="shared" si="52"/>
        <v>0</v>
      </c>
      <c r="O23" s="24">
        <f t="shared" si="53"/>
        <v>0</v>
      </c>
      <c r="P23" s="24">
        <f t="shared" si="54"/>
        <v>31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55"/>
        <v>25831</v>
      </c>
      <c r="X23" s="30">
        <f t="shared" si="56"/>
        <v>15000</v>
      </c>
      <c r="Y23" s="30">
        <f t="shared" si="57"/>
        <v>4959</v>
      </c>
      <c r="Z23" s="30">
        <f t="shared" si="58"/>
        <v>1653</v>
      </c>
      <c r="AA23" s="30">
        <f t="shared" si="59"/>
        <v>1653</v>
      </c>
      <c r="AB23" s="10">
        <f t="shared" si="60"/>
        <v>1154.7</v>
      </c>
      <c r="AC23" s="9">
        <f t="shared" si="61"/>
        <v>898.09999999999991</v>
      </c>
      <c r="AD23" s="12"/>
      <c r="AE23" s="10"/>
      <c r="AF23" s="31">
        <v>0</v>
      </c>
      <c r="AG23" s="29">
        <f t="shared" si="62"/>
        <v>1800</v>
      </c>
      <c r="AH23" s="29">
        <f t="shared" si="63"/>
        <v>200</v>
      </c>
      <c r="AI23" s="29">
        <f t="shared" si="64"/>
        <v>0</v>
      </c>
      <c r="AJ23" s="13"/>
      <c r="AK23" s="29">
        <f t="shared" si="65"/>
        <v>25317.8</v>
      </c>
      <c r="AL23" s="29">
        <f t="shared" si="66"/>
        <v>2000</v>
      </c>
      <c r="AM23" s="29">
        <f t="shared" si="67"/>
        <v>23317.8</v>
      </c>
      <c r="AN23" s="33">
        <f t="shared" si="68"/>
        <v>23318</v>
      </c>
      <c r="AO23" s="29">
        <f t="shared" si="69"/>
        <v>0</v>
      </c>
      <c r="AP23" s="29">
        <f t="shared" si="70"/>
        <v>1800</v>
      </c>
      <c r="AQ23" s="13"/>
      <c r="AR23" s="29">
        <f t="shared" si="71"/>
        <v>27117.8</v>
      </c>
      <c r="AS23" s="29">
        <f>'Dec 2025'!AT23</f>
        <v>0</v>
      </c>
      <c r="AT23" s="29">
        <f t="shared" si="72"/>
        <v>0</v>
      </c>
      <c r="AU23" s="34"/>
      <c r="AV23" s="31">
        <f t="shared" si="73"/>
        <v>0</v>
      </c>
      <c r="AW23" s="79"/>
      <c r="AX23" s="79"/>
      <c r="AY23" s="75">
        <v>0</v>
      </c>
      <c r="AZ23" s="77" t="s">
        <v>165</v>
      </c>
    </row>
    <row r="24" spans="1:52" ht="14.4" x14ac:dyDescent="0.3">
      <c r="A24" s="21">
        <v>1049</v>
      </c>
      <c r="B24" s="69" t="e">
        <f>VLOOKUP(A24,#REF!,2,FALSE)</f>
        <v>#REF!</v>
      </c>
      <c r="C24" s="2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ROUNDDOWN(IF('Dec 2025'!O24/2 &gt; 5, 5, 'Dec 2025'!O24/2)*2,0)/2</f>
        <v>0</v>
      </c>
      <c r="L24" s="101">
        <f>3+5</f>
        <v>8</v>
      </c>
      <c r="M24" s="38">
        <v>1</v>
      </c>
      <c r="N24" s="24">
        <f t="shared" si="52"/>
        <v>0</v>
      </c>
      <c r="O24" s="24">
        <f t="shared" si="53"/>
        <v>7</v>
      </c>
      <c r="P24" s="24">
        <f t="shared" si="54"/>
        <v>31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55"/>
        <v>40000</v>
      </c>
      <c r="X24" s="30">
        <f t="shared" si="56"/>
        <v>15000</v>
      </c>
      <c r="Y24" s="30">
        <f t="shared" si="57"/>
        <v>6000</v>
      </c>
      <c r="Z24" s="30">
        <f t="shared" si="58"/>
        <v>5000</v>
      </c>
      <c r="AA24" s="30">
        <f t="shared" si="59"/>
        <v>6000</v>
      </c>
      <c r="AB24" s="10">
        <f>U24*1.1</f>
        <v>4400</v>
      </c>
      <c r="AC24" s="9">
        <f t="shared" si="61"/>
        <v>2800</v>
      </c>
      <c r="AD24" s="12"/>
      <c r="AE24" s="41">
        <v>3131</v>
      </c>
      <c r="AF24" s="31">
        <v>0</v>
      </c>
      <c r="AG24" s="29">
        <f t="shared" si="62"/>
        <v>1800</v>
      </c>
      <c r="AH24" s="29">
        <f>IF(SUM(X24:AA24)&gt;=25000, 200, 0)</f>
        <v>200</v>
      </c>
      <c r="AI24" s="29">
        <f t="shared" si="64"/>
        <v>0</v>
      </c>
      <c r="AJ24" s="13"/>
      <c r="AK24" s="29">
        <f t="shared" si="65"/>
        <v>42331</v>
      </c>
      <c r="AL24" s="29">
        <f t="shared" si="66"/>
        <v>2000</v>
      </c>
      <c r="AM24" s="29">
        <f t="shared" si="67"/>
        <v>40331</v>
      </c>
      <c r="AN24" s="33">
        <f t="shared" si="68"/>
        <v>40331</v>
      </c>
      <c r="AO24" s="29">
        <f t="shared" si="69"/>
        <v>0</v>
      </c>
      <c r="AP24" s="29">
        <f t="shared" si="70"/>
        <v>1800</v>
      </c>
      <c r="AQ24" s="13"/>
      <c r="AR24" s="29">
        <f t="shared" si="71"/>
        <v>44131</v>
      </c>
      <c r="AS24" s="29">
        <f>'Dec 2025'!AT24</f>
        <v>0</v>
      </c>
      <c r="AT24" s="29">
        <f t="shared" si="72"/>
        <v>0</v>
      </c>
      <c r="AU24" s="34"/>
      <c r="AV24" s="31">
        <f t="shared" si="73"/>
        <v>0</v>
      </c>
      <c r="AW24" s="79"/>
      <c r="AX24" s="138" t="s">
        <v>175</v>
      </c>
      <c r="AY24" s="103">
        <v>0</v>
      </c>
      <c r="AZ24" s="77" t="s">
        <v>165</v>
      </c>
    </row>
    <row r="25" spans="1:52" ht="14.4" x14ac:dyDescent="0.3">
      <c r="A25" s="21">
        <v>1050</v>
      </c>
      <c r="B25" s="69" t="e">
        <f>VLOOKUP(A25,#REF!,2,FALSE)</f>
        <v>#REF!</v>
      </c>
      <c r="C25" s="2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ROUNDDOWN(IF('Dec 2025'!O25/2 &gt; 5, 5, 'Dec 2025'!O25/2)*2,0)/2</f>
        <v>0</v>
      </c>
      <c r="L25" s="101">
        <v>3</v>
      </c>
      <c r="M25" s="38">
        <v>1</v>
      </c>
      <c r="N25" s="24">
        <f t="shared" si="52"/>
        <v>0</v>
      </c>
      <c r="O25" s="24">
        <f t="shared" si="53"/>
        <v>2</v>
      </c>
      <c r="P25" s="24">
        <f t="shared" si="54"/>
        <v>31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55"/>
        <v>30166</v>
      </c>
      <c r="X25" s="30">
        <f t="shared" si="56"/>
        <v>15000</v>
      </c>
      <c r="Y25" s="30">
        <f t="shared" si="57"/>
        <v>5700</v>
      </c>
      <c r="Z25" s="30">
        <f t="shared" si="58"/>
        <v>1900</v>
      </c>
      <c r="AA25" s="30">
        <f t="shared" si="59"/>
        <v>1900</v>
      </c>
      <c r="AB25" s="10">
        <f>U25*1</f>
        <v>2833</v>
      </c>
      <c r="AC25" s="9">
        <f t="shared" si="61"/>
        <v>1983.1</v>
      </c>
      <c r="AD25" s="12"/>
      <c r="AE25" s="10"/>
      <c r="AF25" s="31">
        <v>0</v>
      </c>
      <c r="AG25" s="29">
        <f t="shared" si="62"/>
        <v>1800</v>
      </c>
      <c r="AH25" s="29">
        <f>IF(SUM(X25:AC25)&gt;=25000, 200, 0)</f>
        <v>200</v>
      </c>
      <c r="AI25" s="29">
        <f t="shared" si="64"/>
        <v>0</v>
      </c>
      <c r="AJ25" s="13"/>
      <c r="AK25" s="29">
        <f t="shared" si="65"/>
        <v>29316.1</v>
      </c>
      <c r="AL25" s="29">
        <f t="shared" si="66"/>
        <v>2000</v>
      </c>
      <c r="AM25" s="29">
        <f t="shared" si="67"/>
        <v>27316.1</v>
      </c>
      <c r="AN25" s="33">
        <f t="shared" si="68"/>
        <v>27316</v>
      </c>
      <c r="AO25" s="29">
        <f t="shared" si="69"/>
        <v>0</v>
      </c>
      <c r="AP25" s="29">
        <f t="shared" si="70"/>
        <v>1800</v>
      </c>
      <c r="AQ25" s="13"/>
      <c r="AR25" s="29">
        <f t="shared" si="71"/>
        <v>31116.1</v>
      </c>
      <c r="AS25" s="29">
        <f>'Dec 2025'!AT25</f>
        <v>0</v>
      </c>
      <c r="AT25" s="29">
        <f t="shared" si="72"/>
        <v>0</v>
      </c>
      <c r="AU25" s="34"/>
      <c r="AV25" s="31">
        <f t="shared" si="73"/>
        <v>0</v>
      </c>
      <c r="AW25" s="79"/>
      <c r="AX25" s="79"/>
      <c r="AY25" s="75">
        <v>0</v>
      </c>
      <c r="AZ25" s="77" t="s">
        <v>165</v>
      </c>
    </row>
    <row r="26" spans="1:52" ht="14.4" x14ac:dyDescent="0.3">
      <c r="A26" s="21">
        <v>1051</v>
      </c>
      <c r="B26" s="69" t="e">
        <f>VLOOKUP(A26,#REF!,2,FALSE)</f>
        <v>#REF!</v>
      </c>
      <c r="C26" s="2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ROUNDDOWN(IF('Dec 2025'!O26/2 &gt; 5, 5, 'Dec 2025'!O26/2)*2,0)/2</f>
        <v>0</v>
      </c>
      <c r="L26" s="101">
        <f>3+1</f>
        <v>4</v>
      </c>
      <c r="M26" s="38">
        <v>1</v>
      </c>
      <c r="N26" s="24">
        <f t="shared" si="52"/>
        <v>0</v>
      </c>
      <c r="O26" s="24">
        <f t="shared" si="53"/>
        <v>3</v>
      </c>
      <c r="P26" s="24">
        <f t="shared" si="54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55"/>
        <v>25865</v>
      </c>
      <c r="X26" s="30">
        <f t="shared" si="56"/>
        <v>15000</v>
      </c>
      <c r="Y26" s="30">
        <f t="shared" si="57"/>
        <v>3825</v>
      </c>
      <c r="Z26" s="30">
        <f t="shared" si="58"/>
        <v>1020.0000000000001</v>
      </c>
      <c r="AA26" s="30">
        <f t="shared" si="59"/>
        <v>1020.0000000000001</v>
      </c>
      <c r="AB26" s="121"/>
      <c r="AC26" s="106"/>
      <c r="AD26" s="12"/>
      <c r="AE26" s="10"/>
      <c r="AF26" s="31">
        <v>0</v>
      </c>
      <c r="AG26" s="29">
        <f t="shared" si="62"/>
        <v>1800</v>
      </c>
      <c r="AH26" s="29">
        <f>IF(SUM(X26:AA26)&gt;=25000, 200, 0)</f>
        <v>0</v>
      </c>
      <c r="AI26" s="29">
        <f t="shared" si="64"/>
        <v>156.48749999999998</v>
      </c>
      <c r="AJ26" s="13"/>
      <c r="AK26" s="29">
        <f t="shared" si="65"/>
        <v>20865</v>
      </c>
      <c r="AL26" s="29">
        <f t="shared" si="66"/>
        <v>1956.4875</v>
      </c>
      <c r="AM26" s="29">
        <f t="shared" si="67"/>
        <v>18908.512500000001</v>
      </c>
      <c r="AN26" s="33">
        <f t="shared" si="68"/>
        <v>18909</v>
      </c>
      <c r="AO26" s="29">
        <f t="shared" si="69"/>
        <v>678.11250000000007</v>
      </c>
      <c r="AP26" s="29">
        <f t="shared" si="70"/>
        <v>1800</v>
      </c>
      <c r="AQ26" s="13"/>
      <c r="AR26" s="29">
        <f t="shared" si="71"/>
        <v>23343.112499999999</v>
      </c>
      <c r="AS26" s="29">
        <f>'Dec 2025'!AT26</f>
        <v>0</v>
      </c>
      <c r="AT26" s="29">
        <f t="shared" si="72"/>
        <v>0</v>
      </c>
      <c r="AU26" s="34"/>
      <c r="AV26" s="31">
        <f t="shared" si="73"/>
        <v>0</v>
      </c>
      <c r="AW26" s="79"/>
      <c r="AX26" s="79"/>
      <c r="AY26" s="75">
        <v>0</v>
      </c>
      <c r="AZ26" s="77" t="s">
        <v>165</v>
      </c>
    </row>
    <row r="27" spans="1:52" ht="14.4" x14ac:dyDescent="0.3">
      <c r="A27" s="87">
        <v>1053</v>
      </c>
      <c r="B27" s="69" t="e">
        <f>VLOOKUP(A27,#REF!,2,FALSE)</f>
        <v>#REF!</v>
      </c>
      <c r="C27" s="2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ROUNDDOWN(IF('Dec 2025'!O27/2 &gt; 5, 5, 'Dec 2025'!O27/2)*2,0)/2</f>
        <v>0</v>
      </c>
      <c r="L27" s="101">
        <v>3</v>
      </c>
      <c r="M27" s="38">
        <v>0</v>
      </c>
      <c r="N27" s="24">
        <f t="shared" si="52"/>
        <v>0</v>
      </c>
      <c r="O27" s="24">
        <f t="shared" si="53"/>
        <v>3</v>
      </c>
      <c r="P27" s="24">
        <f t="shared" si="54"/>
        <v>31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55"/>
        <v>25831</v>
      </c>
      <c r="X27" s="30">
        <f t="shared" si="56"/>
        <v>15000</v>
      </c>
      <c r="Y27" s="30">
        <f t="shared" si="57"/>
        <v>4845</v>
      </c>
      <c r="Z27" s="30">
        <f t="shared" si="58"/>
        <v>1615</v>
      </c>
      <c r="AA27" s="30">
        <f t="shared" si="59"/>
        <v>1615</v>
      </c>
      <c r="AB27" s="10">
        <f>U27*0.8</f>
        <v>1102.4000000000001</v>
      </c>
      <c r="AC27" s="9">
        <f t="shared" ref="AC27:AC29" si="74">V27*0.7</f>
        <v>964.59999999999991</v>
      </c>
      <c r="AD27" s="12"/>
      <c r="AE27" s="10"/>
      <c r="AF27" s="31">
        <v>0</v>
      </c>
      <c r="AG27" s="29">
        <f t="shared" si="62"/>
        <v>1800</v>
      </c>
      <c r="AH27" s="29">
        <f>IF(SUM(X27:AC27)&gt;=25000, 200, 0)</f>
        <v>200</v>
      </c>
      <c r="AI27" s="29">
        <f t="shared" si="64"/>
        <v>0</v>
      </c>
      <c r="AJ27" s="13"/>
      <c r="AK27" s="29">
        <f t="shared" si="65"/>
        <v>25142</v>
      </c>
      <c r="AL27" s="29">
        <f t="shared" si="66"/>
        <v>2000</v>
      </c>
      <c r="AM27" s="29">
        <f t="shared" si="67"/>
        <v>23142</v>
      </c>
      <c r="AN27" s="33">
        <f t="shared" si="68"/>
        <v>23142</v>
      </c>
      <c r="AO27" s="29">
        <f t="shared" si="69"/>
        <v>0</v>
      </c>
      <c r="AP27" s="29">
        <f t="shared" si="70"/>
        <v>1800</v>
      </c>
      <c r="AQ27" s="13"/>
      <c r="AR27" s="29">
        <f t="shared" si="71"/>
        <v>26942</v>
      </c>
      <c r="AS27" s="29">
        <f>'Dec 2025'!AT27</f>
        <v>0</v>
      </c>
      <c r="AT27" s="29">
        <f t="shared" si="72"/>
        <v>0</v>
      </c>
      <c r="AU27" s="34"/>
      <c r="AV27" s="31">
        <f t="shared" si="73"/>
        <v>0</v>
      </c>
      <c r="AW27" s="79"/>
      <c r="AX27" s="79"/>
      <c r="AY27" s="75">
        <v>0</v>
      </c>
      <c r="AZ27" s="77" t="s">
        <v>165</v>
      </c>
    </row>
    <row r="28" spans="1:52" ht="14.4" x14ac:dyDescent="0.3">
      <c r="A28" s="21">
        <v>1054</v>
      </c>
      <c r="B28" s="69" t="e">
        <f>VLOOKUP(A28,#REF!,2,FALSE)</f>
        <v>#REF!</v>
      </c>
      <c r="C28" s="2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ROUNDDOWN(IF('Dec 2025'!O28/2 &gt; 5, 5, 'Dec 2025'!O28/2)*2,0)/2</f>
        <v>0.5</v>
      </c>
      <c r="L28" s="101">
        <f t="shared" ref="L28:L29" si="75">3+2</f>
        <v>5</v>
      </c>
      <c r="M28" s="38">
        <v>0</v>
      </c>
      <c r="N28" s="24">
        <f t="shared" si="52"/>
        <v>0</v>
      </c>
      <c r="O28" s="24">
        <f t="shared" si="53"/>
        <v>5.5</v>
      </c>
      <c r="P28" s="24">
        <f t="shared" si="54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55"/>
        <v>33000</v>
      </c>
      <c r="X28" s="30">
        <f t="shared" si="56"/>
        <v>15000</v>
      </c>
      <c r="Y28" s="30">
        <f t="shared" si="57"/>
        <v>4000</v>
      </c>
      <c r="Z28" s="30">
        <f t="shared" si="58"/>
        <v>4000</v>
      </c>
      <c r="AA28" s="30">
        <f t="shared" si="59"/>
        <v>4000</v>
      </c>
      <c r="AB28" s="10">
        <f t="shared" ref="AB28:AB29" si="76">U28*1</f>
        <v>3000</v>
      </c>
      <c r="AC28" s="9">
        <f t="shared" si="74"/>
        <v>2100</v>
      </c>
      <c r="AD28" s="12"/>
      <c r="AE28" s="10"/>
      <c r="AF28" s="31">
        <v>0</v>
      </c>
      <c r="AG28" s="29">
        <f t="shared" si="62"/>
        <v>1800</v>
      </c>
      <c r="AH28" s="29">
        <f>IF(SUM(X28:AA28)&gt;=25000, 200, 0)</f>
        <v>200</v>
      </c>
      <c r="AI28" s="29">
        <f t="shared" si="64"/>
        <v>0</v>
      </c>
      <c r="AJ28" s="13"/>
      <c r="AK28" s="29">
        <f t="shared" si="65"/>
        <v>32100</v>
      </c>
      <c r="AL28" s="29">
        <f t="shared" si="66"/>
        <v>2000</v>
      </c>
      <c r="AM28" s="29">
        <f t="shared" si="67"/>
        <v>30100</v>
      </c>
      <c r="AN28" s="33">
        <f t="shared" si="68"/>
        <v>30100</v>
      </c>
      <c r="AO28" s="29">
        <f t="shared" si="69"/>
        <v>0</v>
      </c>
      <c r="AP28" s="29">
        <f t="shared" si="70"/>
        <v>1800</v>
      </c>
      <c r="AQ28" s="13"/>
      <c r="AR28" s="29">
        <f t="shared" si="71"/>
        <v>33900</v>
      </c>
      <c r="AS28" s="29">
        <f>'Dec 2025'!AT28</f>
        <v>0</v>
      </c>
      <c r="AT28" s="29">
        <f t="shared" si="72"/>
        <v>0</v>
      </c>
      <c r="AU28" s="34"/>
      <c r="AV28" s="31">
        <f t="shared" si="73"/>
        <v>0</v>
      </c>
      <c r="AW28" s="79"/>
      <c r="AX28" s="79"/>
      <c r="AY28" s="103">
        <v>0</v>
      </c>
      <c r="AZ28" s="77" t="s">
        <v>165</v>
      </c>
    </row>
    <row r="29" spans="1:52" ht="14.4" x14ac:dyDescent="0.3">
      <c r="A29" s="21">
        <v>1055</v>
      </c>
      <c r="B29" s="69" t="e">
        <f>VLOOKUP(A29,#REF!,2,FALSE)</f>
        <v>#REF!</v>
      </c>
      <c r="C29" s="2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137">
        <v>1.5</v>
      </c>
      <c r="L29" s="101">
        <f t="shared" si="75"/>
        <v>5</v>
      </c>
      <c r="M29" s="38">
        <v>0</v>
      </c>
      <c r="N29" s="24">
        <f t="shared" si="52"/>
        <v>0</v>
      </c>
      <c r="O29" s="24">
        <f t="shared" si="53"/>
        <v>6.5</v>
      </c>
      <c r="P29" s="24">
        <f t="shared" si="54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55"/>
        <v>25400</v>
      </c>
      <c r="X29" s="30">
        <f t="shared" si="56"/>
        <v>15000</v>
      </c>
      <c r="Y29" s="30">
        <f t="shared" si="57"/>
        <v>3000</v>
      </c>
      <c r="Z29" s="30">
        <f t="shared" si="58"/>
        <v>1800</v>
      </c>
      <c r="AA29" s="30">
        <f t="shared" si="59"/>
        <v>1800</v>
      </c>
      <c r="AB29" s="10">
        <f t="shared" si="76"/>
        <v>1900</v>
      </c>
      <c r="AC29" s="9">
        <f t="shared" si="74"/>
        <v>1330</v>
      </c>
      <c r="AD29" s="12"/>
      <c r="AE29" s="10"/>
      <c r="AF29" s="31">
        <v>0</v>
      </c>
      <c r="AG29" s="29">
        <f t="shared" si="62"/>
        <v>1800</v>
      </c>
      <c r="AH29" s="29">
        <f>IF(SUM(X29:AC29)&gt;=25000, 200, 0)</f>
        <v>0</v>
      </c>
      <c r="AI29" s="29">
        <f t="shared" si="64"/>
        <v>0</v>
      </c>
      <c r="AJ29" s="13"/>
      <c r="AK29" s="29">
        <f t="shared" si="65"/>
        <v>24830</v>
      </c>
      <c r="AL29" s="29">
        <f t="shared" si="66"/>
        <v>1800</v>
      </c>
      <c r="AM29" s="29">
        <f t="shared" si="67"/>
        <v>23030</v>
      </c>
      <c r="AN29" s="33">
        <f t="shared" si="68"/>
        <v>23030</v>
      </c>
      <c r="AO29" s="29">
        <f t="shared" si="69"/>
        <v>0</v>
      </c>
      <c r="AP29" s="29">
        <f t="shared" si="70"/>
        <v>1800</v>
      </c>
      <c r="AQ29" s="13"/>
      <c r="AR29" s="29">
        <f t="shared" si="71"/>
        <v>26630</v>
      </c>
      <c r="AS29" s="29">
        <f>'Dec 2025'!AT29</f>
        <v>0</v>
      </c>
      <c r="AT29" s="29">
        <f t="shared" ref="AT29:AT34" si="77">AS29+AD29-AJ29</f>
        <v>0</v>
      </c>
      <c r="AU29" s="34"/>
      <c r="AV29" s="31">
        <f t="shared" si="73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69" t="e">
        <f>VLOOKUP(A30,#REF!,2,FALSE)</f>
        <v>#REF!</v>
      </c>
      <c r="C30" s="2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ROUNDDOWN(IF('Dec 2025'!O30/2 &gt; 5, 5, 'Dec 2025'!O30/2)*2,0)/2</f>
        <v>0</v>
      </c>
      <c r="L30" s="101">
        <v>3</v>
      </c>
      <c r="M30" s="38">
        <v>0</v>
      </c>
      <c r="N30" s="24">
        <f t="shared" si="52"/>
        <v>0</v>
      </c>
      <c r="O30" s="24">
        <f t="shared" si="53"/>
        <v>3</v>
      </c>
      <c r="P30" s="24">
        <f t="shared" si="54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55"/>
        <v>24100</v>
      </c>
      <c r="X30" s="30">
        <f t="shared" si="56"/>
        <v>15000</v>
      </c>
      <c r="Y30" s="30">
        <f t="shared" si="57"/>
        <v>2800</v>
      </c>
      <c r="Z30" s="30">
        <f t="shared" si="58"/>
        <v>1800</v>
      </c>
      <c r="AA30" s="30">
        <f t="shared" si="59"/>
        <v>1300</v>
      </c>
      <c r="AB30" s="121"/>
      <c r="AC30" s="106"/>
      <c r="AD30" s="12"/>
      <c r="AE30" s="10"/>
      <c r="AF30" s="31">
        <v>0</v>
      </c>
      <c r="AG30" s="29">
        <f t="shared" si="62"/>
        <v>1800</v>
      </c>
      <c r="AH30" s="29">
        <f t="shared" ref="AH30:AH31" si="78">IF(SUM(X30:AA30)&gt;=25000, 200, 0)</f>
        <v>0</v>
      </c>
      <c r="AI30" s="29">
        <f t="shared" si="64"/>
        <v>156.75</v>
      </c>
      <c r="AJ30" s="13"/>
      <c r="AK30" s="29">
        <f t="shared" si="65"/>
        <v>20900</v>
      </c>
      <c r="AL30" s="29">
        <f t="shared" si="66"/>
        <v>1956.75</v>
      </c>
      <c r="AM30" s="29">
        <f t="shared" si="67"/>
        <v>18943.25</v>
      </c>
      <c r="AN30" s="33">
        <f t="shared" si="68"/>
        <v>18943</v>
      </c>
      <c r="AO30" s="29">
        <f t="shared" si="69"/>
        <v>679.25</v>
      </c>
      <c r="AP30" s="29">
        <f t="shared" si="70"/>
        <v>1800</v>
      </c>
      <c r="AQ30" s="13"/>
      <c r="AR30" s="29">
        <f t="shared" si="71"/>
        <v>23379.25</v>
      </c>
      <c r="AS30" s="29">
        <f>'Dec 2025'!AT30</f>
        <v>0</v>
      </c>
      <c r="AT30" s="29">
        <f t="shared" si="77"/>
        <v>0</v>
      </c>
      <c r="AU30" s="34"/>
      <c r="AV30" s="31">
        <f t="shared" si="73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69" t="e">
        <f>VLOOKUP(A31,#REF!,2,FALSE)</f>
        <v>#REF!</v>
      </c>
      <c r="C31" s="2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ROUNDDOWN(IF('Dec 2025'!O31/2 &gt; 5, 5, 'Dec 2025'!O31/2)*2,0)/2</f>
        <v>0</v>
      </c>
      <c r="L31" s="101">
        <v>3</v>
      </c>
      <c r="M31" s="38">
        <v>0</v>
      </c>
      <c r="N31" s="24">
        <f t="shared" si="52"/>
        <v>0</v>
      </c>
      <c r="O31" s="24">
        <f t="shared" si="53"/>
        <v>3</v>
      </c>
      <c r="P31" s="24">
        <f t="shared" si="54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55"/>
        <v>24100</v>
      </c>
      <c r="X31" s="30">
        <f t="shared" si="56"/>
        <v>15000</v>
      </c>
      <c r="Y31" s="30">
        <f t="shared" si="57"/>
        <v>2800</v>
      </c>
      <c r="Z31" s="30">
        <f t="shared" si="58"/>
        <v>1800</v>
      </c>
      <c r="AA31" s="30">
        <f t="shared" si="59"/>
        <v>1300</v>
      </c>
      <c r="AB31" s="121"/>
      <c r="AC31" s="106"/>
      <c r="AD31" s="12"/>
      <c r="AE31" s="10"/>
      <c r="AF31" s="31">
        <v>0</v>
      </c>
      <c r="AG31" s="29">
        <f t="shared" si="62"/>
        <v>1800</v>
      </c>
      <c r="AH31" s="29">
        <f t="shared" si="78"/>
        <v>0</v>
      </c>
      <c r="AI31" s="29">
        <f t="shared" si="64"/>
        <v>156.75</v>
      </c>
      <c r="AJ31" s="13"/>
      <c r="AK31" s="29">
        <f t="shared" si="65"/>
        <v>20900</v>
      </c>
      <c r="AL31" s="29">
        <f t="shared" si="66"/>
        <v>1956.75</v>
      </c>
      <c r="AM31" s="29">
        <f t="shared" si="67"/>
        <v>18943.25</v>
      </c>
      <c r="AN31" s="33">
        <f t="shared" si="68"/>
        <v>18943</v>
      </c>
      <c r="AO31" s="29">
        <f t="shared" si="69"/>
        <v>679.25</v>
      </c>
      <c r="AP31" s="29">
        <f t="shared" si="70"/>
        <v>1800</v>
      </c>
      <c r="AQ31" s="13"/>
      <c r="AR31" s="29">
        <f t="shared" si="71"/>
        <v>23379.25</v>
      </c>
      <c r="AS31" s="29">
        <f>'Dec 2025'!AT31</f>
        <v>0</v>
      </c>
      <c r="AT31" s="29">
        <f t="shared" si="77"/>
        <v>0</v>
      </c>
      <c r="AU31" s="34"/>
      <c r="AV31" s="31">
        <f t="shared" si="73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31</v>
      </c>
      <c r="J32" s="100">
        <v>31</v>
      </c>
      <c r="K32" s="137">
        <v>1.5</v>
      </c>
      <c r="L32" s="101">
        <v>3</v>
      </c>
      <c r="M32" s="104">
        <v>2</v>
      </c>
      <c r="N32" s="24">
        <f t="shared" si="52"/>
        <v>0</v>
      </c>
      <c r="O32" s="71">
        <f t="shared" si="53"/>
        <v>2.5</v>
      </c>
      <c r="P32" s="71">
        <f t="shared" si="54"/>
        <v>31</v>
      </c>
      <c r="Q32" s="74">
        <v>90000</v>
      </c>
      <c r="R32" s="13"/>
      <c r="S32" s="13"/>
      <c r="T32" s="13"/>
      <c r="U32" s="13"/>
      <c r="V32" s="13"/>
      <c r="W32" s="75">
        <f t="shared" si="55"/>
        <v>90000</v>
      </c>
      <c r="X32" s="76">
        <f t="shared" si="56"/>
        <v>90000</v>
      </c>
      <c r="Y32" s="76">
        <f t="shared" si="57"/>
        <v>0</v>
      </c>
      <c r="Z32" s="76">
        <f t="shared" si="58"/>
        <v>0</v>
      </c>
      <c r="AA32" s="76">
        <f t="shared" si="59"/>
        <v>0</v>
      </c>
      <c r="AB32" s="10">
        <f>U32*0.9</f>
        <v>0</v>
      </c>
      <c r="AC32" s="9">
        <f>V32*0.9*1</f>
        <v>0</v>
      </c>
      <c r="AD32" s="12"/>
      <c r="AE32" s="41"/>
      <c r="AF32" s="77">
        <v>0</v>
      </c>
      <c r="AG32" s="75">
        <v>0</v>
      </c>
      <c r="AH32" s="75">
        <v>0</v>
      </c>
      <c r="AI32" s="29">
        <f t="shared" si="64"/>
        <v>0</v>
      </c>
      <c r="AJ32" s="13"/>
      <c r="AK32" s="75">
        <f t="shared" si="65"/>
        <v>90000</v>
      </c>
      <c r="AL32" s="75">
        <f t="shared" si="66"/>
        <v>9000</v>
      </c>
      <c r="AM32" s="75">
        <f t="shared" si="67"/>
        <v>90000</v>
      </c>
      <c r="AN32" s="78">
        <f t="shared" si="68"/>
        <v>81000</v>
      </c>
      <c r="AO32" s="75">
        <f t="shared" si="69"/>
        <v>0</v>
      </c>
      <c r="AP32" s="75">
        <f t="shared" si="70"/>
        <v>0</v>
      </c>
      <c r="AQ32" s="13"/>
      <c r="AR32" s="75">
        <f t="shared" si="71"/>
        <v>90000</v>
      </c>
      <c r="AS32" s="29">
        <f>'Dec 2025'!AT32</f>
        <v>0</v>
      </c>
      <c r="AT32" s="75">
        <f t="shared" si="77"/>
        <v>0</v>
      </c>
      <c r="AU32" s="92">
        <f>(0.1*AK32)</f>
        <v>9000</v>
      </c>
      <c r="AV32" s="77">
        <f t="shared" si="73"/>
        <v>0</v>
      </c>
      <c r="AW32" s="93">
        <f>AU32+'Apr 2025'!AU32+'May 2025'!AU32+'June 2025'!AU32+'July 2025'!AU32+'Aug 2025'!AU32+'Sep 2025'!AU32</f>
        <v>48941.984902968885</v>
      </c>
      <c r="AX32" s="113"/>
      <c r="AY32" s="75">
        <v>0</v>
      </c>
      <c r="AZ32" s="77" t="s">
        <v>165</v>
      </c>
    </row>
    <row r="33" spans="1:52" ht="14.4" x14ac:dyDescent="0.3">
      <c r="A33" s="21">
        <v>1062</v>
      </c>
      <c r="B33" s="69" t="e">
        <f>VLOOKUP(A33,#REF!,2,FALSE)</f>
        <v>#REF!</v>
      </c>
      <c r="C33" s="2" t="e">
        <f>VLOOKUP(A33,#REF!,19,FALSE)</f>
        <v>#REF!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31</v>
      </c>
      <c r="J33" s="100">
        <v>31</v>
      </c>
      <c r="K33" s="71">
        <f>ROUNDDOWN(IF('Dec 2025'!O33/2 &gt; 5, 5, 'Dec 2025'!O33/2)*2,0)/2</f>
        <v>0</v>
      </c>
      <c r="L33" s="101">
        <v>4</v>
      </c>
      <c r="M33" s="104">
        <v>2</v>
      </c>
      <c r="N33" s="71">
        <f t="shared" si="52"/>
        <v>0</v>
      </c>
      <c r="O33" s="71">
        <f t="shared" si="53"/>
        <v>2</v>
      </c>
      <c r="P33" s="71">
        <f t="shared" si="54"/>
        <v>31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55"/>
        <v>18500</v>
      </c>
      <c r="X33" s="76">
        <f t="shared" si="56"/>
        <v>15000</v>
      </c>
      <c r="Y33" s="76">
        <f t="shared" si="57"/>
        <v>1500</v>
      </c>
      <c r="Z33" s="76">
        <f t="shared" si="58"/>
        <v>0</v>
      </c>
      <c r="AA33" s="76">
        <f t="shared" si="59"/>
        <v>0</v>
      </c>
      <c r="AB33" s="121"/>
      <c r="AC33" s="106"/>
      <c r="AD33" s="53"/>
      <c r="AE33" s="10"/>
      <c r="AF33" s="77">
        <v>0</v>
      </c>
      <c r="AG33" s="29">
        <f t="shared" ref="AG33:AG34" si="79">IF(X33&gt;15000,(15000 * 12%),X33*0.12)</f>
        <v>1800</v>
      </c>
      <c r="AH33" s="29">
        <f t="shared" ref="AH33:AH34" si="80">IF(SUM(X33:AA33)&gt;=25000, 200, 0)</f>
        <v>0</v>
      </c>
      <c r="AI33" s="29">
        <f t="shared" si="64"/>
        <v>123.75</v>
      </c>
      <c r="AJ33" s="54">
        <v>1500</v>
      </c>
      <c r="AK33" s="75">
        <f t="shared" si="65"/>
        <v>16500</v>
      </c>
      <c r="AL33" s="75">
        <f t="shared" si="66"/>
        <v>3423.75</v>
      </c>
      <c r="AM33" s="75">
        <f t="shared" si="67"/>
        <v>13076.25</v>
      </c>
      <c r="AN33" s="78">
        <f t="shared" si="68"/>
        <v>13076</v>
      </c>
      <c r="AO33" s="29">
        <f t="shared" si="69"/>
        <v>536.25</v>
      </c>
      <c r="AP33" s="29">
        <f t="shared" si="70"/>
        <v>1800</v>
      </c>
      <c r="AQ33" s="13"/>
      <c r="AR33" s="75">
        <f t="shared" si="71"/>
        <v>18836.25</v>
      </c>
      <c r="AS33" s="29">
        <f>'Dec 2025'!AT33+ 39000</f>
        <v>50000</v>
      </c>
      <c r="AT33" s="75">
        <f t="shared" si="77"/>
        <v>48500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69" t="e">
        <f>VLOOKUP(A34,#REF!,2,FALSE)</f>
        <v>#REF!</v>
      </c>
      <c r="C34" s="2" t="e">
        <f>VLOOKUP(A34,#REF!,19,FALSE)</f>
        <v>#REF!</v>
      </c>
      <c r="D34" s="1"/>
      <c r="E34" s="8" t="e">
        <f>VLOOKUP(A34,#REF!,10,FALSE)</f>
        <v>#REF!</v>
      </c>
      <c r="F34" s="8" t="e">
        <f>VLOOKUP(A34,#REF!,11,FALSE)</f>
        <v>#REF!</v>
      </c>
      <c r="G34" s="8" t="e">
        <f>VLOOKUP(A34,#REF!,12,FALSE)</f>
        <v>#REF!</v>
      </c>
      <c r="H34" s="1"/>
      <c r="I34" s="100">
        <v>31</v>
      </c>
      <c r="J34" s="100">
        <v>31</v>
      </c>
      <c r="K34" s="71">
        <f>ROUNDDOWN(IF('Dec 2025'!O34/2 &gt; 5, 5, 'Dec 2025'!O34/2)*2,0)/2</f>
        <v>0</v>
      </c>
      <c r="L34" s="101">
        <v>3</v>
      </c>
      <c r="M34" s="104">
        <v>0</v>
      </c>
      <c r="N34" s="71">
        <f t="shared" si="52"/>
        <v>0</v>
      </c>
      <c r="O34" s="71">
        <f t="shared" si="53"/>
        <v>3</v>
      </c>
      <c r="P34" s="71">
        <f t="shared" si="54"/>
        <v>31</v>
      </c>
      <c r="Q34" s="36">
        <v>15000</v>
      </c>
      <c r="R34" s="107">
        <v>3500</v>
      </c>
      <c r="S34" s="13"/>
      <c r="T34" s="13"/>
      <c r="U34" s="107">
        <v>1000</v>
      </c>
      <c r="V34" s="107">
        <v>1000</v>
      </c>
      <c r="W34" s="75">
        <f t="shared" si="55"/>
        <v>20500</v>
      </c>
      <c r="X34" s="76">
        <f t="shared" si="56"/>
        <v>15000</v>
      </c>
      <c r="Y34" s="76">
        <f t="shared" si="57"/>
        <v>3500</v>
      </c>
      <c r="Z34" s="76">
        <f t="shared" si="58"/>
        <v>0</v>
      </c>
      <c r="AA34" s="76">
        <f t="shared" si="59"/>
        <v>0</v>
      </c>
      <c r="AB34" s="10">
        <f>U34*0.9</f>
        <v>900</v>
      </c>
      <c r="AC34" s="9">
        <f>V34*0.9*1</f>
        <v>900</v>
      </c>
      <c r="AD34" s="53"/>
      <c r="AE34" s="10"/>
      <c r="AF34" s="77">
        <v>0</v>
      </c>
      <c r="AG34" s="29">
        <f t="shared" si="79"/>
        <v>1800</v>
      </c>
      <c r="AH34" s="29">
        <f t="shared" si="80"/>
        <v>0</v>
      </c>
      <c r="AI34" s="29">
        <f t="shared" si="64"/>
        <v>138.75</v>
      </c>
      <c r="AJ34" s="54"/>
      <c r="AK34" s="75">
        <f t="shared" si="65"/>
        <v>20300</v>
      </c>
      <c r="AL34" s="75">
        <f t="shared" si="66"/>
        <v>1938.75</v>
      </c>
      <c r="AM34" s="75">
        <f t="shared" si="67"/>
        <v>18361.25</v>
      </c>
      <c r="AN34" s="78">
        <f t="shared" si="68"/>
        <v>18361</v>
      </c>
      <c r="AO34" s="29">
        <f t="shared" si="69"/>
        <v>601.25</v>
      </c>
      <c r="AP34" s="29">
        <f t="shared" si="70"/>
        <v>1800</v>
      </c>
      <c r="AQ34" s="13"/>
      <c r="AR34" s="75">
        <f t="shared" si="71"/>
        <v>22701.25</v>
      </c>
      <c r="AS34" s="29">
        <f>'Nov 2025'!AT34</f>
        <v>0</v>
      </c>
      <c r="AT34" s="75">
        <f t="shared" si="77"/>
        <v>0</v>
      </c>
      <c r="AU34" s="34"/>
      <c r="AV34" s="77">
        <v>0</v>
      </c>
      <c r="AW34" s="79"/>
      <c r="AX34" s="64"/>
      <c r="AY34" s="94">
        <v>0</v>
      </c>
      <c r="AZ34" s="114" t="s">
        <v>165</v>
      </c>
    </row>
    <row r="35" spans="1:52" ht="14.4" x14ac:dyDescent="0.3">
      <c r="A35" s="105">
        <v>1064</v>
      </c>
      <c r="B35" s="69" t="e">
        <f>VLOOKUP(A35,#REF!,2,FALSE)</f>
        <v>#REF!</v>
      </c>
      <c r="C35" s="2" t="e">
        <f>VLOOKUP(A35,#REF!,19,FALSE)</f>
        <v>#REF!</v>
      </c>
      <c r="D35" s="1"/>
      <c r="E35" s="8" t="e">
        <f>VLOOKUP(A35,#REF!,10,FALSE)</f>
        <v>#REF!</v>
      </c>
      <c r="F35" s="8" t="e">
        <f>VLOOKUP(A35,#REF!,11,FALSE)</f>
        <v>#REF!</v>
      </c>
      <c r="G35" s="8" t="e">
        <f>VLOOKUP(A35,#REF!,12,FALSE)</f>
        <v>#REF!</v>
      </c>
      <c r="H35" s="1"/>
      <c r="I35" s="100">
        <v>31</v>
      </c>
      <c r="J35" s="100">
        <v>31</v>
      </c>
      <c r="K35" s="139">
        <f>ROUNDDOWN(IF('Dec 2025'!O35/2 &gt; 5, 5, 'Dec 2025'!O35/2)*2,0)/2</f>
        <v>0</v>
      </c>
      <c r="L35" s="101">
        <f>3+1</f>
        <v>4</v>
      </c>
      <c r="M35" s="104">
        <v>3.5</v>
      </c>
      <c r="N35" s="71">
        <f t="shared" si="52"/>
        <v>0</v>
      </c>
      <c r="O35" s="71">
        <f t="shared" si="53"/>
        <v>0.5</v>
      </c>
      <c r="P35" s="71">
        <f t="shared" si="54"/>
        <v>31</v>
      </c>
      <c r="Q35" s="37">
        <v>10000</v>
      </c>
      <c r="R35" s="74"/>
      <c r="S35" s="13"/>
      <c r="T35" s="13"/>
      <c r="U35" s="74"/>
      <c r="V35" s="74"/>
      <c r="W35" s="75">
        <f t="shared" si="55"/>
        <v>10000</v>
      </c>
      <c r="X35" s="76">
        <f t="shared" si="56"/>
        <v>10000</v>
      </c>
      <c r="Y35" s="76">
        <f t="shared" si="57"/>
        <v>0</v>
      </c>
      <c r="Z35" s="76">
        <f t="shared" si="58"/>
        <v>0</v>
      </c>
      <c r="AA35" s="76">
        <f t="shared" si="59"/>
        <v>0</v>
      </c>
      <c r="AB35" s="10"/>
      <c r="AC35" s="9"/>
      <c r="AD35" s="53"/>
      <c r="AE35" s="10"/>
      <c r="AF35" s="77"/>
      <c r="AG35" s="29"/>
      <c r="AH35" s="29"/>
      <c r="AI35" s="29"/>
      <c r="AJ35" s="54"/>
      <c r="AK35" s="75">
        <f t="shared" si="65"/>
        <v>10000</v>
      </c>
      <c r="AL35" s="75">
        <f t="shared" si="66"/>
        <v>0</v>
      </c>
      <c r="AM35" s="75">
        <f t="shared" si="67"/>
        <v>10000</v>
      </c>
      <c r="AN35" s="78">
        <f t="shared" si="68"/>
        <v>10000</v>
      </c>
      <c r="AO35" s="75"/>
      <c r="AP35" s="75"/>
      <c r="AQ35" s="13"/>
      <c r="AR35" s="75"/>
      <c r="AS35" s="29">
        <f>'Aug 2025'!AT35</f>
        <v>0</v>
      </c>
      <c r="AT35" s="75"/>
      <c r="AU35" s="34"/>
      <c r="AV35" s="77"/>
      <c r="AW35" s="79"/>
      <c r="AX35" s="64"/>
      <c r="AY35" s="94"/>
      <c r="AZ35" s="114" t="s">
        <v>165</v>
      </c>
    </row>
    <row r="36" spans="1:52" ht="14.4" x14ac:dyDescent="0.3">
      <c r="A36" s="105">
        <v>1065</v>
      </c>
      <c r="B36" s="69" t="e">
        <f>VLOOKUP(A36,#REF!,2,FALSE)</f>
        <v>#REF!</v>
      </c>
      <c r="C36" s="2" t="e">
        <f>VLOOKUP(A36,#REF!,19,FALSE)</f>
        <v>#REF!</v>
      </c>
      <c r="D36" s="1"/>
      <c r="E36" s="8" t="e">
        <f>VLOOKUP(A36,#REF!,10,FALSE)</f>
        <v>#REF!</v>
      </c>
      <c r="F36" s="8" t="e">
        <f>VLOOKUP(A36,#REF!,11,FALSE)</f>
        <v>#REF!</v>
      </c>
      <c r="G36" s="8" t="e">
        <f>VLOOKUP(A36,#REF!,12,FALSE)</f>
        <v>#REF!</v>
      </c>
      <c r="H36" s="1"/>
      <c r="I36" s="100">
        <v>0</v>
      </c>
      <c r="J36" s="100">
        <v>0</v>
      </c>
      <c r="K36" s="115">
        <v>0</v>
      </c>
      <c r="L36" s="3">
        <v>0</v>
      </c>
      <c r="M36" s="3">
        <v>0</v>
      </c>
      <c r="N36" s="115">
        <v>0</v>
      </c>
      <c r="O36" s="115">
        <v>0</v>
      </c>
      <c r="P36" s="115">
        <v>0</v>
      </c>
      <c r="Q36" s="37">
        <v>0</v>
      </c>
      <c r="R36" s="107">
        <v>0</v>
      </c>
      <c r="S36" s="54">
        <v>0</v>
      </c>
      <c r="T36" s="54">
        <v>0</v>
      </c>
      <c r="U36" s="107">
        <v>0</v>
      </c>
      <c r="V36" s="107">
        <v>0</v>
      </c>
      <c r="W36" s="103">
        <v>0</v>
      </c>
      <c r="X36" s="140">
        <v>0</v>
      </c>
      <c r="Y36" s="140">
        <v>0</v>
      </c>
      <c r="Z36" s="140">
        <v>0</v>
      </c>
      <c r="AA36" s="140">
        <v>0</v>
      </c>
      <c r="AB36" s="41">
        <v>0</v>
      </c>
      <c r="AC36" s="49">
        <v>0</v>
      </c>
      <c r="AD36" s="53">
        <v>0</v>
      </c>
      <c r="AE36" s="41">
        <v>0</v>
      </c>
      <c r="AF36" s="114">
        <v>0</v>
      </c>
      <c r="AG36" s="32">
        <v>0</v>
      </c>
      <c r="AH36" s="32">
        <v>0</v>
      </c>
      <c r="AI36" s="32">
        <v>0</v>
      </c>
      <c r="AJ36" s="54">
        <v>0</v>
      </c>
      <c r="AK36" s="103">
        <v>0</v>
      </c>
      <c r="AL36" s="103">
        <v>0</v>
      </c>
      <c r="AM36" s="75">
        <f t="shared" si="67"/>
        <v>0</v>
      </c>
      <c r="AN36" s="78">
        <f t="shared" si="68"/>
        <v>0</v>
      </c>
      <c r="AO36" s="103">
        <v>0</v>
      </c>
      <c r="AP36" s="103">
        <v>0</v>
      </c>
      <c r="AQ36" s="54">
        <v>0</v>
      </c>
      <c r="AR36" s="103">
        <v>0</v>
      </c>
      <c r="AS36" s="32">
        <v>0</v>
      </c>
      <c r="AT36" s="103">
        <v>0</v>
      </c>
      <c r="AU36" s="47">
        <v>0</v>
      </c>
      <c r="AV36" s="114">
        <v>0</v>
      </c>
      <c r="AW36" s="138">
        <v>0</v>
      </c>
      <c r="AX36" s="113">
        <v>0</v>
      </c>
      <c r="AY36" s="141">
        <v>0</v>
      </c>
      <c r="AZ36" s="114" t="s">
        <v>166</v>
      </c>
    </row>
    <row r="37" spans="1:52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7"/>
      <c r="AW37" s="96"/>
      <c r="AX37" s="96"/>
      <c r="AY37" s="97"/>
      <c r="AZ37" s="7"/>
    </row>
    <row r="38" spans="1:52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7"/>
      <c r="AW38" s="96"/>
      <c r="AX38" s="96"/>
      <c r="AY38" s="97"/>
      <c r="AZ38" s="7"/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autoFilter ref="A2:AZ36"/>
  <mergeCells count="2">
    <mergeCell ref="X1:AF1"/>
    <mergeCell ref="AG1:AM1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  <col min="29" max="29" width="13.44140625" customWidth="1"/>
  </cols>
  <sheetData>
    <row r="1" spans="1:52" ht="14.4" x14ac:dyDescent="0.3">
      <c r="A1" s="1"/>
      <c r="B1" s="11">
        <v>46054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57.6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5" t="s">
        <v>164</v>
      </c>
    </row>
    <row r="3" spans="1:52" ht="14.4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28</v>
      </c>
      <c r="J3" s="100">
        <v>28</v>
      </c>
      <c r="K3" s="71">
        <f>'Jan 2026'!O3</f>
        <v>8</v>
      </c>
      <c r="L3" s="101">
        <v>0</v>
      </c>
      <c r="M3" s="73">
        <v>0</v>
      </c>
      <c r="N3" s="71">
        <f t="shared" ref="N3:N7" si="0">IF(K3+L3-M3 &gt;= 0,0,M3-(K3+L3))</f>
        <v>0</v>
      </c>
      <c r="O3" s="71">
        <f t="shared" ref="O3:O16" si="1">IF(K3+L3-M3&gt;0,K3+L3-M3,0)</f>
        <v>8</v>
      </c>
      <c r="P3" s="71">
        <f t="shared" ref="P3:P20" si="2">J3-N3</f>
        <v>28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7" si="3">SUM(Q3:V3)</f>
        <v>100000</v>
      </c>
      <c r="X3" s="76">
        <f t="shared" ref="X3:X7" si="4">(Q3/I3*(J3)) * (1-N3/J3)</f>
        <v>29999.999999999996</v>
      </c>
      <c r="Y3" s="76">
        <f t="shared" ref="Y3:Y7" si="5">(R3/I3*(J3)) * (1-N3/J3)</f>
        <v>14999.999999999998</v>
      </c>
      <c r="Z3" s="76">
        <f t="shared" ref="Z3:Z7" si="6">(S3/I3*(J3)) * (1-N3/J3)</f>
        <v>7499.9999999999991</v>
      </c>
      <c r="AA3" s="76">
        <f t="shared" ref="AA3:AA7" si="7">(T3/I3*(J3)) * (1-N3/J3)</f>
        <v>7499.9999999999991</v>
      </c>
      <c r="AB3" s="10"/>
      <c r="AC3" s="106">
        <f t="shared" ref="AC3:AC4" si="8">V3*0.7</f>
        <v>28000</v>
      </c>
      <c r="AD3" s="12"/>
      <c r="AE3" s="10"/>
      <c r="AF3" s="77">
        <v>0</v>
      </c>
      <c r="AG3" s="75">
        <f t="shared" ref="AG3:AG7" si="9">IF(X3&gt;15000,(15000 * 12%),X3*0.12)</f>
        <v>1800</v>
      </c>
      <c r="AH3" s="75">
        <f t="shared" ref="AH3:AH4" si="10">IF(SUM(X3:AC3)&gt;=25000, 200, 0)</f>
        <v>200</v>
      </c>
      <c r="AI3" s="75">
        <f t="shared" ref="AI3:AI4" si="11">IF(SUM(Q3:T3) &lt; 21000, SUM(X3:AA3)*0.0075, 0)</f>
        <v>0</v>
      </c>
      <c r="AJ3" s="13"/>
      <c r="AK3" s="75">
        <f t="shared" ref="AK3:AK4" si="12">SUM(X3:AF3)</f>
        <v>88000</v>
      </c>
      <c r="AL3" s="75">
        <f t="shared" ref="AL3:AL20" si="13">SUM(AG3:AJ3)+AU3</f>
        <v>2000</v>
      </c>
      <c r="AM3" s="75">
        <f t="shared" ref="AM3:AM4" si="14">SUM(X3:AF3)-SUM(AG3:AJ3)</f>
        <v>86000</v>
      </c>
      <c r="AN3" s="78">
        <f t="shared" ref="AN3:AN4" si="15">ROUND(AM3-AF3,0)+AV3-AU3</f>
        <v>86000</v>
      </c>
      <c r="AO3" s="75">
        <f t="shared" ref="AO3:AO14" si="16">AI3/0.0075*0.0325</f>
        <v>0</v>
      </c>
      <c r="AP3" s="75">
        <f t="shared" ref="AP3:AP4" si="17">AG3</f>
        <v>1800</v>
      </c>
      <c r="AQ3" s="13"/>
      <c r="AR3" s="75">
        <f t="shared" ref="AR3:AR20" si="18">AK3+AO3+AP3</f>
        <v>89800</v>
      </c>
      <c r="AS3" s="29">
        <f>'Nov 2025'!AT3</f>
        <v>0</v>
      </c>
      <c r="AT3" s="75">
        <f t="shared" ref="AT3:AT4" si="19">AS3+AD3-AJ3</f>
        <v>0</v>
      </c>
      <c r="AU3" s="34"/>
      <c r="AV3" s="77">
        <f t="shared" ref="AV3:AV4" si="20">AF3*12</f>
        <v>0</v>
      </c>
      <c r="AW3" s="79">
        <f t="shared" ref="AW3:AW17" si="21">AU3</f>
        <v>0</v>
      </c>
      <c r="AX3" s="79"/>
      <c r="AY3" s="75">
        <v>0</v>
      </c>
      <c r="AZ3" s="77" t="s">
        <v>165</v>
      </c>
    </row>
    <row r="4" spans="1:52" ht="14.4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28</v>
      </c>
      <c r="J4" s="100">
        <v>28</v>
      </c>
      <c r="K4" s="71">
        <f>'Jan 2026'!O4</f>
        <v>8</v>
      </c>
      <c r="L4" s="101">
        <v>0</v>
      </c>
      <c r="M4" s="73">
        <v>0</v>
      </c>
      <c r="N4" s="71">
        <f t="shared" si="0"/>
        <v>0</v>
      </c>
      <c r="O4" s="71">
        <f t="shared" si="1"/>
        <v>8</v>
      </c>
      <c r="P4" s="71">
        <f t="shared" si="2"/>
        <v>28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29999.999999999996</v>
      </c>
      <c r="Y4" s="76">
        <f t="shared" si="5"/>
        <v>14999.999999999998</v>
      </c>
      <c r="Z4" s="76">
        <f t="shared" si="6"/>
        <v>7499.9999999999991</v>
      </c>
      <c r="AA4" s="76">
        <f t="shared" si="7"/>
        <v>7499.9999999999991</v>
      </c>
      <c r="AB4" s="10"/>
      <c r="AC4" s="106">
        <f t="shared" si="8"/>
        <v>28000</v>
      </c>
      <c r="AD4" s="12"/>
      <c r="AE4" s="10"/>
      <c r="AF4" s="77">
        <v>0</v>
      </c>
      <c r="AG4" s="75">
        <f t="shared" si="9"/>
        <v>1800</v>
      </c>
      <c r="AH4" s="75">
        <f t="shared" si="10"/>
        <v>200</v>
      </c>
      <c r="AI4" s="75">
        <f t="shared" si="11"/>
        <v>0</v>
      </c>
      <c r="AJ4" s="13"/>
      <c r="AK4" s="75">
        <f t="shared" si="12"/>
        <v>88000</v>
      </c>
      <c r="AL4" s="75">
        <f t="shared" si="13"/>
        <v>2000</v>
      </c>
      <c r="AM4" s="75">
        <f t="shared" si="14"/>
        <v>86000</v>
      </c>
      <c r="AN4" s="78">
        <f t="shared" si="15"/>
        <v>86000</v>
      </c>
      <c r="AO4" s="75">
        <f t="shared" si="16"/>
        <v>0</v>
      </c>
      <c r="AP4" s="75">
        <f t="shared" si="17"/>
        <v>1800</v>
      </c>
      <c r="AQ4" s="13"/>
      <c r="AR4" s="75">
        <f t="shared" si="18"/>
        <v>89800</v>
      </c>
      <c r="AS4" s="29">
        <f>'Nov 2025'!AT4</f>
        <v>0</v>
      </c>
      <c r="AT4" s="75">
        <f t="shared" si="19"/>
        <v>0</v>
      </c>
      <c r="AU4" s="34"/>
      <c r="AV4" s="77">
        <f t="shared" si="20"/>
        <v>0</v>
      </c>
      <c r="AW4" s="79">
        <f t="shared" si="21"/>
        <v>0</v>
      </c>
      <c r="AX4" s="79"/>
      <c r="AY4" s="75">
        <v>0</v>
      </c>
      <c r="AZ4" s="77" t="s">
        <v>165</v>
      </c>
    </row>
    <row r="5" spans="1:52" ht="14.4" x14ac:dyDescent="0.3">
      <c r="A5" s="81">
        <v>1001</v>
      </c>
      <c r="B5" s="69" t="e">
        <f>VLOOKUP(A5,#REF!,2,FALSE)</f>
        <v>#REF!</v>
      </c>
      <c r="C5" s="2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28</v>
      </c>
      <c r="J5" s="100">
        <v>28</v>
      </c>
      <c r="K5" s="71">
        <f>'Jan 2026'!O5</f>
        <v>2.5</v>
      </c>
      <c r="L5" s="101">
        <v>0</v>
      </c>
      <c r="M5" s="73">
        <v>2</v>
      </c>
      <c r="N5" s="24">
        <f t="shared" si="0"/>
        <v>0</v>
      </c>
      <c r="O5" s="24">
        <f t="shared" si="1"/>
        <v>0.5</v>
      </c>
      <c r="P5" s="24">
        <f t="shared" si="2"/>
        <v>28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14999.999999999998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121"/>
      <c r="AC5" s="106"/>
      <c r="AD5" s="9">
        <v>0</v>
      </c>
      <c r="AE5" s="41"/>
      <c r="AF5" s="42">
        <v>2277</v>
      </c>
      <c r="AG5" s="29">
        <f t="shared" si="9"/>
        <v>1799.9999999999998</v>
      </c>
      <c r="AH5" s="29">
        <f t="shared" ref="AH5:AH7" si="22">IF(SUM(X5:AA5)&gt;=25000, 200, 0)</f>
        <v>0</v>
      </c>
      <c r="AI5" s="29">
        <f t="shared" ref="AI5:AI6" si="23">IF(SUM(Q5:T5) &lt; 21000, SUM(X5:AA5)*0.75%, 0)</f>
        <v>156.75</v>
      </c>
      <c r="AJ5" s="32">
        <v>3000</v>
      </c>
      <c r="AK5" s="29">
        <f t="shared" ref="AK5:AK6" si="24">SUM(X5:AF5)-AD5</f>
        <v>23177</v>
      </c>
      <c r="AL5" s="29">
        <f t="shared" si="13"/>
        <v>4956.75</v>
      </c>
      <c r="AM5" s="29">
        <f t="shared" ref="AM5:AM6" si="25">SUM(X5:AF5)-SUM(AG5:AJ5)-AD5</f>
        <v>18220.25</v>
      </c>
      <c r="AN5" s="78">
        <f t="shared" ref="AN5:AN7" si="26">ROUND(AM5-AF5,0)-AU5</f>
        <v>15943</v>
      </c>
      <c r="AO5" s="29">
        <f t="shared" si="16"/>
        <v>679.25</v>
      </c>
      <c r="AP5" s="29">
        <f t="shared" ref="AP5:AP6" si="27">AG5/0.12*0.13</f>
        <v>1949.9999999999998</v>
      </c>
      <c r="AQ5" s="34"/>
      <c r="AR5" s="29">
        <f t="shared" si="18"/>
        <v>25806.25</v>
      </c>
      <c r="AS5" s="29">
        <f>'Jan 2026'!AT5</f>
        <v>180000</v>
      </c>
      <c r="AT5" s="29">
        <f t="shared" ref="AT5:AT20" si="28">AS5+AD5-AJ5-AY5</f>
        <v>177000</v>
      </c>
      <c r="AU5" s="34"/>
      <c r="AV5" s="102">
        <v>2277</v>
      </c>
      <c r="AW5" s="79">
        <f t="shared" si="21"/>
        <v>0</v>
      </c>
      <c r="AX5" s="79"/>
      <c r="AY5" s="75">
        <v>0</v>
      </c>
      <c r="AZ5" s="77" t="s">
        <v>165</v>
      </c>
    </row>
    <row r="6" spans="1:52" ht="14.4" x14ac:dyDescent="0.3">
      <c r="A6" s="81">
        <v>1006</v>
      </c>
      <c r="B6" s="69" t="e">
        <f>VLOOKUP(A6,#REF!,2,FALSE)</f>
        <v>#REF!</v>
      </c>
      <c r="C6" s="2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28</v>
      </c>
      <c r="J6" s="100">
        <v>28</v>
      </c>
      <c r="K6" s="71">
        <f>'Jan 2026'!O6</f>
        <v>3.5</v>
      </c>
      <c r="L6" s="101">
        <v>1</v>
      </c>
      <c r="M6" s="38">
        <v>2</v>
      </c>
      <c r="N6" s="24">
        <f t="shared" si="0"/>
        <v>0</v>
      </c>
      <c r="O6" s="24">
        <f t="shared" si="1"/>
        <v>2.5</v>
      </c>
      <c r="P6" s="24">
        <f t="shared" si="2"/>
        <v>28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14999.999999999998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121"/>
      <c r="AC6" s="106"/>
      <c r="AD6" s="9">
        <v>0</v>
      </c>
      <c r="AE6" s="41"/>
      <c r="AF6" s="42">
        <v>2390</v>
      </c>
      <c r="AG6" s="29">
        <f t="shared" si="9"/>
        <v>1799.9999999999998</v>
      </c>
      <c r="AH6" s="29">
        <f t="shared" si="22"/>
        <v>0</v>
      </c>
      <c r="AI6" s="29">
        <f t="shared" si="23"/>
        <v>156.75</v>
      </c>
      <c r="AJ6" s="32">
        <v>0</v>
      </c>
      <c r="AK6" s="29">
        <f t="shared" si="24"/>
        <v>23290</v>
      </c>
      <c r="AL6" s="29">
        <f t="shared" si="13"/>
        <v>1956.7499999999998</v>
      </c>
      <c r="AM6" s="29">
        <f t="shared" si="25"/>
        <v>21333.25</v>
      </c>
      <c r="AN6" s="78">
        <f t="shared" si="26"/>
        <v>18943</v>
      </c>
      <c r="AO6" s="29">
        <f t="shared" si="16"/>
        <v>679.25</v>
      </c>
      <c r="AP6" s="29">
        <f t="shared" si="27"/>
        <v>1949.9999999999998</v>
      </c>
      <c r="AQ6" s="34"/>
      <c r="AR6" s="29">
        <f t="shared" si="18"/>
        <v>25919.25</v>
      </c>
      <c r="AS6" s="29">
        <f>'Jan 2026'!AT6</f>
        <v>0</v>
      </c>
      <c r="AT6" s="29">
        <f t="shared" si="28"/>
        <v>0</v>
      </c>
      <c r="AU6" s="34"/>
      <c r="AV6" s="102">
        <v>2390</v>
      </c>
      <c r="AW6" s="79">
        <f t="shared" si="21"/>
        <v>0</v>
      </c>
      <c r="AX6" s="79"/>
      <c r="AY6" s="103">
        <v>0</v>
      </c>
      <c r="AZ6" s="77" t="s">
        <v>165</v>
      </c>
    </row>
    <row r="7" spans="1:52" ht="14.4" x14ac:dyDescent="0.3">
      <c r="A7" s="81">
        <v>1024</v>
      </c>
      <c r="B7" s="69" t="e">
        <f>VLOOKUP(A7,#REF!,2,FALSE)</f>
        <v>#REF!</v>
      </c>
      <c r="C7" s="2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28</v>
      </c>
      <c r="J7" s="100">
        <v>28</v>
      </c>
      <c r="K7" s="71">
        <f>'Jan 2026'!O7</f>
        <v>3.5</v>
      </c>
      <c r="L7" s="101">
        <v>0</v>
      </c>
      <c r="M7" s="38">
        <v>2.5</v>
      </c>
      <c r="N7" s="24">
        <f t="shared" si="0"/>
        <v>0</v>
      </c>
      <c r="O7" s="24">
        <f t="shared" si="1"/>
        <v>1</v>
      </c>
      <c r="P7" s="24">
        <f t="shared" si="2"/>
        <v>28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14999.999999999998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121"/>
      <c r="AC7" s="106"/>
      <c r="AD7" s="10"/>
      <c r="AE7" s="41"/>
      <c r="AF7" s="42">
        <v>1823</v>
      </c>
      <c r="AG7" s="29">
        <f t="shared" si="9"/>
        <v>1799.9999999999998</v>
      </c>
      <c r="AH7" s="29">
        <f t="shared" si="22"/>
        <v>0</v>
      </c>
      <c r="AI7" s="29">
        <f t="shared" ref="AI7:AI9" si="29">IF(SUM(Q7:T7) &lt; 21000, SUM(X7:AA7)*0.0075, 0)</f>
        <v>157.35</v>
      </c>
      <c r="AJ7" s="32">
        <v>0</v>
      </c>
      <c r="AK7" s="29">
        <f t="shared" ref="AK7:AK20" si="30">SUM(X7:AF7)</f>
        <v>22803</v>
      </c>
      <c r="AL7" s="29">
        <f t="shared" si="13"/>
        <v>1957.3499999999997</v>
      </c>
      <c r="AM7" s="29">
        <f t="shared" ref="AM7:AM20" si="31">SUM(X7:AF7)-SUM(AG7:AJ7)</f>
        <v>20845.650000000001</v>
      </c>
      <c r="AN7" s="78">
        <f t="shared" si="26"/>
        <v>19023</v>
      </c>
      <c r="AO7" s="29">
        <f t="shared" si="16"/>
        <v>681.85</v>
      </c>
      <c r="AP7" s="29">
        <f t="shared" ref="AP7:AP20" si="32">AG7</f>
        <v>1799.9999999999998</v>
      </c>
      <c r="AQ7" s="34"/>
      <c r="AR7" s="29">
        <f t="shared" si="18"/>
        <v>25284.85</v>
      </c>
      <c r="AS7" s="29">
        <f>'Jan 2026'!AT7</f>
        <v>0</v>
      </c>
      <c r="AT7" s="29">
        <f t="shared" si="28"/>
        <v>0</v>
      </c>
      <c r="AU7" s="34"/>
      <c r="AV7" s="102">
        <v>1823</v>
      </c>
      <c r="AW7" s="79">
        <f t="shared" si="21"/>
        <v>0</v>
      </c>
      <c r="AX7" s="79"/>
      <c r="AY7" s="103">
        <v>0</v>
      </c>
      <c r="AZ7" s="77" t="s">
        <v>165</v>
      </c>
    </row>
    <row r="8" spans="1:52" ht="14.4" hidden="1" x14ac:dyDescent="0.3">
      <c r="A8" s="116">
        <v>1028</v>
      </c>
      <c r="B8" s="122" t="e">
        <f>VLOOKUP(A8,#REF!,2,FALSE)</f>
        <v>#REF!</v>
      </c>
      <c r="C8" s="123" t="e">
        <f>VLOOKUP(A8,#REF!,19,FALSE)</f>
        <v>#REF!</v>
      </c>
      <c r="D8" s="118" t="e">
        <f>VLOOKUP(A8,#REF!,8,FALSE)</f>
        <v>#REF!</v>
      </c>
      <c r="E8" s="118" t="e">
        <f>VLOOKUP(A8,#REF!,10,FALSE)</f>
        <v>#REF!</v>
      </c>
      <c r="F8" s="118" t="e">
        <f>VLOOKUP(A8,#REF!,11,FALSE)</f>
        <v>#REF!</v>
      </c>
      <c r="G8" s="118" t="e">
        <f>VLOOKUP(A8,#REF!,12,FALSE)</f>
        <v>#REF!</v>
      </c>
      <c r="H8" s="118"/>
      <c r="I8" s="100">
        <v>28</v>
      </c>
      <c r="J8" s="100">
        <v>28</v>
      </c>
      <c r="K8" s="71">
        <f>'Jan 2026'!O8</f>
        <v>0</v>
      </c>
      <c r="L8" s="101">
        <v>0</v>
      </c>
      <c r="M8" s="127">
        <v>0</v>
      </c>
      <c r="N8" s="128">
        <v>0</v>
      </c>
      <c r="O8" s="129">
        <f t="shared" si="1"/>
        <v>0</v>
      </c>
      <c r="P8" s="129">
        <f t="shared" si="2"/>
        <v>28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30"/>
      <c r="AC8" s="131"/>
      <c r="AD8" s="132">
        <v>0</v>
      </c>
      <c r="AE8" s="132">
        <v>0</v>
      </c>
      <c r="AF8" s="133">
        <v>0</v>
      </c>
      <c r="AG8" s="120">
        <v>0</v>
      </c>
      <c r="AH8" s="120">
        <v>0</v>
      </c>
      <c r="AI8" s="133">
        <f t="shared" si="29"/>
        <v>0</v>
      </c>
      <c r="AJ8" s="132">
        <v>0</v>
      </c>
      <c r="AK8" s="133">
        <f t="shared" si="30"/>
        <v>0</v>
      </c>
      <c r="AL8" s="133">
        <f t="shared" si="13"/>
        <v>0</v>
      </c>
      <c r="AM8" s="133">
        <f t="shared" si="31"/>
        <v>0</v>
      </c>
      <c r="AN8" s="134">
        <f t="shared" ref="AN8:AN20" si="33">ROUND(AM8-AF8,0)+AV8-AU8</f>
        <v>0</v>
      </c>
      <c r="AO8" s="133">
        <f t="shared" si="16"/>
        <v>0</v>
      </c>
      <c r="AP8" s="133">
        <f t="shared" si="32"/>
        <v>0</v>
      </c>
      <c r="AQ8" s="135"/>
      <c r="AR8" s="133">
        <f t="shared" si="18"/>
        <v>0</v>
      </c>
      <c r="AS8" s="29">
        <f>'Jan 2026'!AT8</f>
        <v>0</v>
      </c>
      <c r="AT8" s="133">
        <f t="shared" si="28"/>
        <v>0</v>
      </c>
      <c r="AU8" s="135"/>
      <c r="AV8" s="133">
        <f t="shared" ref="AV8:AV20" si="34">AF8*12</f>
        <v>0</v>
      </c>
      <c r="AW8" s="135">
        <f t="shared" si="21"/>
        <v>0</v>
      </c>
      <c r="AX8" s="135"/>
      <c r="AY8" s="134">
        <v>0</v>
      </c>
      <c r="AZ8" s="136" t="s">
        <v>166</v>
      </c>
    </row>
    <row r="9" spans="1:52" ht="14.4" x14ac:dyDescent="0.3">
      <c r="A9" s="21">
        <v>1030</v>
      </c>
      <c r="B9" s="69" t="e">
        <f>VLOOKUP(A9,#REF!,2,FALSE)</f>
        <v>#REF!</v>
      </c>
      <c r="C9" s="2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28</v>
      </c>
      <c r="J9" s="100">
        <v>28</v>
      </c>
      <c r="K9" s="71">
        <f>'Jan 2026'!O9</f>
        <v>3.5</v>
      </c>
      <c r="L9" s="101">
        <v>0</v>
      </c>
      <c r="M9" s="38">
        <v>1</v>
      </c>
      <c r="N9" s="24">
        <f t="shared" ref="N9:N11" si="35">IF(K9+L9-M9 &gt;= 0,0,M9-(K9+L9))</f>
        <v>0</v>
      </c>
      <c r="O9" s="24">
        <f t="shared" si="1"/>
        <v>2.5</v>
      </c>
      <c r="P9" s="24">
        <f t="shared" si="2"/>
        <v>28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ref="W9:W20" si="36">SUM(Q9:V9)</f>
        <v>31478</v>
      </c>
      <c r="X9" s="30">
        <f t="shared" ref="X9:X20" si="37">(Q9/I9*(J9)) * (1-N9/J9)</f>
        <v>14999.999999999998</v>
      </c>
      <c r="Y9" s="30">
        <f t="shared" ref="Y9:Y20" si="38">(R9/I9*(J9)) * (1-N9/J9)</f>
        <v>3540</v>
      </c>
      <c r="Z9" s="30">
        <f t="shared" ref="Z9:Z20" si="39">(S9/I9*(J9)) * (1-N9/J9)</f>
        <v>1180</v>
      </c>
      <c r="AA9" s="30">
        <f t="shared" ref="AA9:AA20" si="40">(T9/I9*(J9)) * (1-N9/J9)</f>
        <v>1180</v>
      </c>
      <c r="AB9" s="121"/>
      <c r="AC9" s="106"/>
      <c r="AD9" s="10"/>
      <c r="AE9" s="10"/>
      <c r="AF9" s="31">
        <v>0</v>
      </c>
      <c r="AG9" s="29">
        <f t="shared" ref="AG9:AG20" si="41">IF(X9&gt;15000,(15000 * 12%),X9*0.12)</f>
        <v>1799.9999999999998</v>
      </c>
      <c r="AH9" s="29">
        <f>IF(SUM(X9:AA9)&gt;=25000, 200, 0)</f>
        <v>0</v>
      </c>
      <c r="AI9" s="29">
        <f t="shared" si="29"/>
        <v>156.75</v>
      </c>
      <c r="AJ9" s="34"/>
      <c r="AK9" s="29">
        <f t="shared" si="30"/>
        <v>20900</v>
      </c>
      <c r="AL9" s="29">
        <f t="shared" si="13"/>
        <v>1956.7499999999998</v>
      </c>
      <c r="AM9" s="29">
        <f t="shared" si="31"/>
        <v>18943.25</v>
      </c>
      <c r="AN9" s="33">
        <f t="shared" si="33"/>
        <v>18943</v>
      </c>
      <c r="AO9" s="29">
        <f t="shared" si="16"/>
        <v>679.25</v>
      </c>
      <c r="AP9" s="29">
        <f t="shared" si="32"/>
        <v>1799.9999999999998</v>
      </c>
      <c r="AQ9" s="34"/>
      <c r="AR9" s="29">
        <f t="shared" si="18"/>
        <v>23379.25</v>
      </c>
      <c r="AS9" s="29">
        <f>'Jan 2026'!AT9</f>
        <v>0</v>
      </c>
      <c r="AT9" s="29">
        <f t="shared" si="28"/>
        <v>0</v>
      </c>
      <c r="AU9" s="34"/>
      <c r="AV9" s="31">
        <f t="shared" si="34"/>
        <v>0</v>
      </c>
      <c r="AW9" s="79">
        <f t="shared" si="21"/>
        <v>0</v>
      </c>
      <c r="AX9" s="79"/>
      <c r="AY9" s="75">
        <v>0</v>
      </c>
      <c r="AZ9" s="77" t="s">
        <v>165</v>
      </c>
    </row>
    <row r="10" spans="1:52" ht="14.4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28</v>
      </c>
      <c r="J10" s="100">
        <v>28</v>
      </c>
      <c r="K10" s="71">
        <f>'Jan 2026'!O10</f>
        <v>0.5</v>
      </c>
      <c r="L10" s="101">
        <v>1</v>
      </c>
      <c r="M10" s="104">
        <v>2.5</v>
      </c>
      <c r="N10" s="24">
        <f t="shared" si="35"/>
        <v>1</v>
      </c>
      <c r="O10" s="71">
        <f t="shared" si="1"/>
        <v>0</v>
      </c>
      <c r="P10" s="71">
        <f t="shared" si="2"/>
        <v>27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6"/>
        <v>47000</v>
      </c>
      <c r="X10" s="76">
        <f t="shared" si="37"/>
        <v>14464.285714285712</v>
      </c>
      <c r="Y10" s="76">
        <f t="shared" si="38"/>
        <v>8678.5714285714294</v>
      </c>
      <c r="Z10" s="76">
        <f t="shared" si="39"/>
        <v>7714.2857142857147</v>
      </c>
      <c r="AA10" s="76">
        <f t="shared" si="40"/>
        <v>2892.8571428571431</v>
      </c>
      <c r="AB10" s="10">
        <f>U10*1.2</f>
        <v>7200</v>
      </c>
      <c r="AC10" s="9">
        <f>V10*0.7</f>
        <v>4200</v>
      </c>
      <c r="AD10" s="10"/>
      <c r="AE10" s="41">
        <v>8000</v>
      </c>
      <c r="AF10" s="114"/>
      <c r="AG10" s="75">
        <f t="shared" si="41"/>
        <v>1735.7142857142853</v>
      </c>
      <c r="AH10" s="75">
        <f>IF(SUM(X10:AC10)&gt;=25000, 200, 0)</f>
        <v>200</v>
      </c>
      <c r="AI10" s="84">
        <v>0</v>
      </c>
      <c r="AJ10" s="34"/>
      <c r="AK10" s="75">
        <f t="shared" si="30"/>
        <v>53150</v>
      </c>
      <c r="AL10" s="75">
        <f t="shared" si="13"/>
        <v>1935.7142857142853</v>
      </c>
      <c r="AM10" s="75">
        <f t="shared" si="31"/>
        <v>51214.285714285717</v>
      </c>
      <c r="AN10" s="78">
        <f t="shared" si="33"/>
        <v>51214</v>
      </c>
      <c r="AO10" s="75">
        <f t="shared" si="16"/>
        <v>0</v>
      </c>
      <c r="AP10" s="75">
        <f t="shared" si="32"/>
        <v>1735.7142857142853</v>
      </c>
      <c r="AQ10" s="34"/>
      <c r="AR10" s="75">
        <f t="shared" si="18"/>
        <v>54885.714285714283</v>
      </c>
      <c r="AS10" s="29">
        <f>'Jan 2026'!AT10</f>
        <v>0</v>
      </c>
      <c r="AT10" s="29">
        <f t="shared" si="28"/>
        <v>0</v>
      </c>
      <c r="AU10" s="34"/>
      <c r="AV10" s="77">
        <f t="shared" si="34"/>
        <v>0</v>
      </c>
      <c r="AW10" s="79">
        <f t="shared" si="21"/>
        <v>0</v>
      </c>
      <c r="AX10" s="79"/>
      <c r="AY10" s="75">
        <v>0</v>
      </c>
      <c r="AZ10" s="77" t="s">
        <v>165</v>
      </c>
    </row>
    <row r="11" spans="1:52" ht="14.4" x14ac:dyDescent="0.3">
      <c r="A11" s="21">
        <v>1033</v>
      </c>
      <c r="B11" s="69" t="e">
        <f>VLOOKUP(A11,#REF!,2,FALSE)</f>
        <v>#REF!</v>
      </c>
      <c r="C11" s="2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28</v>
      </c>
      <c r="J11" s="100">
        <v>28</v>
      </c>
      <c r="K11" s="71">
        <f>'Jan 2026'!O11</f>
        <v>0</v>
      </c>
      <c r="L11" s="101">
        <v>0</v>
      </c>
      <c r="M11" s="38">
        <v>28</v>
      </c>
      <c r="N11" s="24">
        <f t="shared" si="35"/>
        <v>28</v>
      </c>
      <c r="O11" s="24">
        <f t="shared" si="1"/>
        <v>0</v>
      </c>
      <c r="P11" s="24">
        <f t="shared" si="2"/>
        <v>0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6"/>
        <v>22000</v>
      </c>
      <c r="X11" s="30">
        <f t="shared" si="37"/>
        <v>0</v>
      </c>
      <c r="Y11" s="30">
        <f t="shared" si="38"/>
        <v>0</v>
      </c>
      <c r="Z11" s="30">
        <f t="shared" si="39"/>
        <v>0</v>
      </c>
      <c r="AA11" s="30">
        <f t="shared" si="40"/>
        <v>0</v>
      </c>
      <c r="AB11" s="10"/>
      <c r="AC11" s="9"/>
      <c r="AD11" s="10"/>
      <c r="AE11" s="10"/>
      <c r="AF11" s="31">
        <v>0</v>
      </c>
      <c r="AG11" s="29">
        <f t="shared" si="41"/>
        <v>0</v>
      </c>
      <c r="AH11" s="29">
        <f>IF(SUM(X11:AA11)&gt;=25000, 200, 0)</f>
        <v>0</v>
      </c>
      <c r="AI11" s="29">
        <f t="shared" ref="AI11:AI14" si="42">IF(SUM(Q11:T11) &lt; 21000, SUM(X11:AA11)*0.0075, 0)</f>
        <v>0</v>
      </c>
      <c r="AJ11" s="34"/>
      <c r="AK11" s="29">
        <f t="shared" si="30"/>
        <v>0</v>
      </c>
      <c r="AL11" s="29">
        <f t="shared" si="13"/>
        <v>0</v>
      </c>
      <c r="AM11" s="29">
        <f t="shared" si="31"/>
        <v>0</v>
      </c>
      <c r="AN11" s="33">
        <f t="shared" si="33"/>
        <v>0</v>
      </c>
      <c r="AO11" s="29">
        <f t="shared" si="16"/>
        <v>0</v>
      </c>
      <c r="AP11" s="29">
        <f t="shared" si="32"/>
        <v>0</v>
      </c>
      <c r="AQ11" s="34"/>
      <c r="AR11" s="29">
        <f t="shared" si="18"/>
        <v>0</v>
      </c>
      <c r="AS11" s="29">
        <f>'Jan 2026'!AT11</f>
        <v>0</v>
      </c>
      <c r="AT11" s="29">
        <f t="shared" si="28"/>
        <v>0</v>
      </c>
      <c r="AU11" s="34"/>
      <c r="AV11" s="31">
        <f t="shared" si="34"/>
        <v>0</v>
      </c>
      <c r="AW11" s="79">
        <f t="shared" si="21"/>
        <v>0</v>
      </c>
      <c r="AX11" s="79"/>
      <c r="AY11" s="29">
        <v>0</v>
      </c>
      <c r="AZ11" s="77" t="s">
        <v>165</v>
      </c>
    </row>
    <row r="12" spans="1:52" ht="14.4" x14ac:dyDescent="0.3">
      <c r="A12" s="21">
        <v>1034</v>
      </c>
      <c r="B12" s="69" t="e">
        <f>VLOOKUP(A12,#REF!,2,FALSE)</f>
        <v>#REF!</v>
      </c>
      <c r="C12" s="2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28</v>
      </c>
      <c r="J12" s="100">
        <v>28</v>
      </c>
      <c r="K12" s="71">
        <f>'Jan 2026'!O12</f>
        <v>1</v>
      </c>
      <c r="L12" s="101">
        <v>0</v>
      </c>
      <c r="M12" s="38">
        <v>4</v>
      </c>
      <c r="N12" s="45">
        <v>2</v>
      </c>
      <c r="O12" s="24">
        <f t="shared" si="1"/>
        <v>0</v>
      </c>
      <c r="P12" s="24">
        <f t="shared" si="2"/>
        <v>26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6"/>
        <v>30758</v>
      </c>
      <c r="X12" s="30">
        <f t="shared" si="37"/>
        <v>13928.571428571428</v>
      </c>
      <c r="Y12" s="30">
        <f t="shared" si="38"/>
        <v>4602</v>
      </c>
      <c r="Z12" s="30">
        <f t="shared" si="39"/>
        <v>1534</v>
      </c>
      <c r="AA12" s="30">
        <f t="shared" si="40"/>
        <v>1643.5714285714287</v>
      </c>
      <c r="AB12" s="10">
        <f>U12*0.8</f>
        <v>2952</v>
      </c>
      <c r="AC12" s="9">
        <f t="shared" ref="AC12:AC15" si="43">V12*0.7</f>
        <v>2583</v>
      </c>
      <c r="AD12" s="10"/>
      <c r="AE12" s="10"/>
      <c r="AF12" s="31">
        <v>0</v>
      </c>
      <c r="AG12" s="29">
        <f t="shared" si="41"/>
        <v>1671.4285714285713</v>
      </c>
      <c r="AH12" s="29">
        <f t="shared" ref="AH12:AH20" si="44">IF(SUM(X12:AC12)&gt;=25000, 200, 0)</f>
        <v>200</v>
      </c>
      <c r="AI12" s="29">
        <f t="shared" si="42"/>
        <v>0</v>
      </c>
      <c r="AJ12" s="34"/>
      <c r="AK12" s="29">
        <f t="shared" si="30"/>
        <v>27243.142857142855</v>
      </c>
      <c r="AL12" s="29">
        <f t="shared" si="13"/>
        <v>1871.4285714285713</v>
      </c>
      <c r="AM12" s="29">
        <f t="shared" si="31"/>
        <v>25371.714285714283</v>
      </c>
      <c r="AN12" s="33">
        <f t="shared" si="33"/>
        <v>25372</v>
      </c>
      <c r="AO12" s="29">
        <f t="shared" si="16"/>
        <v>0</v>
      </c>
      <c r="AP12" s="29">
        <f t="shared" si="32"/>
        <v>1671.4285714285713</v>
      </c>
      <c r="AQ12" s="34"/>
      <c r="AR12" s="29">
        <f t="shared" si="18"/>
        <v>28914.571428571428</v>
      </c>
      <c r="AS12" s="29">
        <f>'Jan 2026'!AT12</f>
        <v>0</v>
      </c>
      <c r="AT12" s="29">
        <f t="shared" si="28"/>
        <v>0</v>
      </c>
      <c r="AU12" s="34"/>
      <c r="AV12" s="31">
        <f t="shared" si="34"/>
        <v>0</v>
      </c>
      <c r="AW12" s="79">
        <f t="shared" si="21"/>
        <v>0</v>
      </c>
      <c r="AX12" s="79"/>
      <c r="AY12" s="75">
        <v>0</v>
      </c>
      <c r="AZ12" s="77" t="s">
        <v>165</v>
      </c>
    </row>
    <row r="13" spans="1:52" ht="14.4" x14ac:dyDescent="0.3">
      <c r="A13" s="21">
        <v>1036</v>
      </c>
      <c r="B13" s="69" t="e">
        <f>VLOOKUP(A13,#REF!,2,FALSE)</f>
        <v>#REF!</v>
      </c>
      <c r="C13" s="2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28</v>
      </c>
      <c r="J13" s="100">
        <v>28</v>
      </c>
      <c r="K13" s="71">
        <f>'Jan 2026'!O13</f>
        <v>3.5</v>
      </c>
      <c r="L13" s="101">
        <v>0</v>
      </c>
      <c r="M13" s="38">
        <v>4</v>
      </c>
      <c r="N13" s="24">
        <f t="shared" ref="N13:N20" si="45">IF(K13+L13-M13 &gt;= 0,0,M13-(K13+L13))</f>
        <v>0.5</v>
      </c>
      <c r="O13" s="24">
        <f t="shared" si="1"/>
        <v>0</v>
      </c>
      <c r="P13" s="24">
        <f t="shared" si="2"/>
        <v>27.5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6"/>
        <v>29828</v>
      </c>
      <c r="X13" s="30">
        <f t="shared" si="37"/>
        <v>14732.142857142855</v>
      </c>
      <c r="Y13" s="30">
        <f t="shared" si="38"/>
        <v>4867.5</v>
      </c>
      <c r="Z13" s="30">
        <f t="shared" si="39"/>
        <v>1622.5</v>
      </c>
      <c r="AA13" s="30">
        <f t="shared" si="40"/>
        <v>1158.9285714285713</v>
      </c>
      <c r="AB13" s="10">
        <f>U13*0.9</f>
        <v>3168</v>
      </c>
      <c r="AC13" s="9">
        <f t="shared" si="43"/>
        <v>2464</v>
      </c>
      <c r="AD13" s="12"/>
      <c r="AE13" s="10"/>
      <c r="AF13" s="31">
        <v>0</v>
      </c>
      <c r="AG13" s="29">
        <f t="shared" si="41"/>
        <v>1767.8571428571424</v>
      </c>
      <c r="AH13" s="29">
        <f t="shared" si="44"/>
        <v>200</v>
      </c>
      <c r="AI13" s="29">
        <f t="shared" si="42"/>
        <v>0</v>
      </c>
      <c r="AJ13" s="13"/>
      <c r="AK13" s="29">
        <f t="shared" si="30"/>
        <v>28013.071428571428</v>
      </c>
      <c r="AL13" s="29">
        <f t="shared" si="13"/>
        <v>1967.8571428571424</v>
      </c>
      <c r="AM13" s="29">
        <f t="shared" si="31"/>
        <v>26045.214285714286</v>
      </c>
      <c r="AN13" s="33">
        <f t="shared" si="33"/>
        <v>26045</v>
      </c>
      <c r="AO13" s="29">
        <f t="shared" si="16"/>
        <v>0</v>
      </c>
      <c r="AP13" s="29">
        <f t="shared" si="32"/>
        <v>1767.8571428571424</v>
      </c>
      <c r="AQ13" s="13"/>
      <c r="AR13" s="29">
        <f t="shared" si="18"/>
        <v>29780.928571428569</v>
      </c>
      <c r="AS13" s="29">
        <f>'Jan 2026'!AT13</f>
        <v>0</v>
      </c>
      <c r="AT13" s="29">
        <f t="shared" si="28"/>
        <v>0</v>
      </c>
      <c r="AU13" s="34"/>
      <c r="AV13" s="31">
        <f t="shared" si="34"/>
        <v>0</v>
      </c>
      <c r="AW13" s="79">
        <f t="shared" si="21"/>
        <v>0</v>
      </c>
      <c r="AX13" s="79"/>
      <c r="AY13" s="75">
        <v>0</v>
      </c>
      <c r="AZ13" s="77" t="s">
        <v>165</v>
      </c>
    </row>
    <row r="14" spans="1:52" ht="14.4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28</v>
      </c>
      <c r="J14" s="100">
        <v>10</v>
      </c>
      <c r="K14" s="71">
        <f>'Jan 2026'!O14</f>
        <v>0</v>
      </c>
      <c r="L14" s="101">
        <v>0</v>
      </c>
      <c r="M14" s="104">
        <v>0</v>
      </c>
      <c r="N14" s="71">
        <f t="shared" si="45"/>
        <v>0</v>
      </c>
      <c r="O14" s="71">
        <f t="shared" si="1"/>
        <v>0</v>
      </c>
      <c r="P14" s="71">
        <f t="shared" si="2"/>
        <v>10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6"/>
        <v>73810</v>
      </c>
      <c r="X14" s="76">
        <f t="shared" si="37"/>
        <v>9285.7142857142862</v>
      </c>
      <c r="Y14" s="76">
        <f t="shared" si="38"/>
        <v>5288.5714285714294</v>
      </c>
      <c r="Z14" s="76">
        <f t="shared" si="39"/>
        <v>3966.4285714285716</v>
      </c>
      <c r="AA14" s="76">
        <f t="shared" si="40"/>
        <v>3966.4285714285716</v>
      </c>
      <c r="AB14" s="10">
        <f>U14*0</f>
        <v>0</v>
      </c>
      <c r="AC14" s="9">
        <f t="shared" si="43"/>
        <v>3776.4999999999995</v>
      </c>
      <c r="AD14" s="12"/>
      <c r="AE14" s="10"/>
      <c r="AF14" s="77">
        <v>0</v>
      </c>
      <c r="AG14" s="75">
        <f t="shared" si="41"/>
        <v>1114.2857142857142</v>
      </c>
      <c r="AH14" s="75">
        <f t="shared" si="44"/>
        <v>200</v>
      </c>
      <c r="AI14" s="75">
        <f t="shared" si="42"/>
        <v>0</v>
      </c>
      <c r="AJ14" s="13"/>
      <c r="AK14" s="75">
        <f t="shared" si="30"/>
        <v>26283.642857142859</v>
      </c>
      <c r="AL14" s="75">
        <f t="shared" si="13"/>
        <v>1314.2857142857142</v>
      </c>
      <c r="AM14" s="75">
        <f t="shared" si="31"/>
        <v>24969.357142857145</v>
      </c>
      <c r="AN14" s="78">
        <f t="shared" si="33"/>
        <v>24969</v>
      </c>
      <c r="AO14" s="75">
        <f t="shared" si="16"/>
        <v>0</v>
      </c>
      <c r="AP14" s="75">
        <f t="shared" si="32"/>
        <v>1114.2857142857142</v>
      </c>
      <c r="AQ14" s="13"/>
      <c r="AR14" s="75">
        <f t="shared" si="18"/>
        <v>27397.928571428572</v>
      </c>
      <c r="AS14" s="29">
        <f>'Jan 2026'!AT14</f>
        <v>0</v>
      </c>
      <c r="AT14" s="29">
        <f t="shared" si="28"/>
        <v>0</v>
      </c>
      <c r="AU14" s="34"/>
      <c r="AV14" s="77">
        <f t="shared" si="34"/>
        <v>0</v>
      </c>
      <c r="AW14" s="79">
        <f t="shared" si="21"/>
        <v>0</v>
      </c>
      <c r="AX14" s="79"/>
      <c r="AY14" s="75">
        <v>0</v>
      </c>
      <c r="AZ14" s="114" t="s">
        <v>165</v>
      </c>
    </row>
    <row r="15" spans="1:52" ht="14.4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28</v>
      </c>
      <c r="J15" s="100">
        <v>28</v>
      </c>
      <c r="K15" s="71">
        <f>'Jan 2026'!O15</f>
        <v>6</v>
      </c>
      <c r="L15" s="101">
        <v>0</v>
      </c>
      <c r="M15" s="104">
        <v>0</v>
      </c>
      <c r="N15" s="71">
        <f t="shared" si="45"/>
        <v>0</v>
      </c>
      <c r="O15" s="71">
        <f t="shared" si="1"/>
        <v>6</v>
      </c>
      <c r="P15" s="71">
        <f t="shared" si="2"/>
        <v>28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6"/>
        <v>95895</v>
      </c>
      <c r="X15" s="76">
        <f t="shared" si="37"/>
        <v>29999.999999999996</v>
      </c>
      <c r="Y15" s="76">
        <f t="shared" si="38"/>
        <v>21300</v>
      </c>
      <c r="Z15" s="76">
        <f t="shared" si="39"/>
        <v>15975.000000000002</v>
      </c>
      <c r="AA15" s="76">
        <f t="shared" si="40"/>
        <v>12780</v>
      </c>
      <c r="AB15" s="10">
        <f t="shared" ref="AB15:AB16" si="46">U15*1</f>
        <v>7920</v>
      </c>
      <c r="AC15" s="9">
        <f t="shared" si="43"/>
        <v>5544</v>
      </c>
      <c r="AD15" s="10"/>
      <c r="AE15" s="10"/>
      <c r="AF15" s="77">
        <v>0</v>
      </c>
      <c r="AG15" s="75">
        <f t="shared" si="41"/>
        <v>1800</v>
      </c>
      <c r="AH15" s="75">
        <f t="shared" si="44"/>
        <v>200</v>
      </c>
      <c r="AI15" s="85">
        <v>0</v>
      </c>
      <c r="AJ15" s="34"/>
      <c r="AK15" s="75">
        <f t="shared" si="30"/>
        <v>93519</v>
      </c>
      <c r="AL15" s="75">
        <f t="shared" si="13"/>
        <v>2000</v>
      </c>
      <c r="AM15" s="75">
        <f t="shared" si="31"/>
        <v>91519</v>
      </c>
      <c r="AN15" s="78">
        <f t="shared" si="33"/>
        <v>91519</v>
      </c>
      <c r="AO15" s="75">
        <v>0</v>
      </c>
      <c r="AP15" s="75">
        <f t="shared" si="32"/>
        <v>1800</v>
      </c>
      <c r="AQ15" s="34"/>
      <c r="AR15" s="75">
        <f t="shared" si="18"/>
        <v>95319</v>
      </c>
      <c r="AS15" s="29">
        <f>'Jan 2026'!AT15</f>
        <v>0</v>
      </c>
      <c r="AT15" s="29">
        <f t="shared" si="28"/>
        <v>0</v>
      </c>
      <c r="AU15" s="34"/>
      <c r="AV15" s="77">
        <f t="shared" si="34"/>
        <v>0</v>
      </c>
      <c r="AW15" s="79">
        <f t="shared" si="21"/>
        <v>0</v>
      </c>
      <c r="AX15" s="79"/>
      <c r="AY15" s="75">
        <v>0</v>
      </c>
      <c r="AZ15" s="77" t="s">
        <v>165</v>
      </c>
    </row>
    <row r="16" spans="1:52" ht="14.4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28</v>
      </c>
      <c r="J16" s="100">
        <v>28</v>
      </c>
      <c r="K16" s="71">
        <f>'Jan 2026'!O16</f>
        <v>0</v>
      </c>
      <c r="L16" s="101">
        <v>0</v>
      </c>
      <c r="M16" s="104">
        <v>28</v>
      </c>
      <c r="N16" s="71">
        <f t="shared" si="45"/>
        <v>28</v>
      </c>
      <c r="O16" s="71">
        <f t="shared" si="1"/>
        <v>0</v>
      </c>
      <c r="P16" s="71">
        <f t="shared" si="2"/>
        <v>0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6"/>
        <v>85615</v>
      </c>
      <c r="X16" s="76">
        <f t="shared" si="37"/>
        <v>0</v>
      </c>
      <c r="Y16" s="76">
        <f t="shared" si="38"/>
        <v>0</v>
      </c>
      <c r="Z16" s="76">
        <f t="shared" si="39"/>
        <v>0</v>
      </c>
      <c r="AA16" s="76">
        <f t="shared" si="40"/>
        <v>0</v>
      </c>
      <c r="AB16" s="10">
        <f t="shared" si="46"/>
        <v>0</v>
      </c>
      <c r="AC16" s="9">
        <v>0</v>
      </c>
      <c r="AD16" s="12"/>
      <c r="AE16" s="41">
        <v>30000</v>
      </c>
      <c r="AF16" s="77">
        <v>0</v>
      </c>
      <c r="AG16" s="75">
        <f t="shared" si="41"/>
        <v>0</v>
      </c>
      <c r="AH16" s="75">
        <f t="shared" si="44"/>
        <v>0</v>
      </c>
      <c r="AI16" s="75">
        <f t="shared" ref="AI16:AI20" si="47">IF(SUM(Q16:T16) &lt; 21000, SUM(X16:AA16)*0.0075, 0)</f>
        <v>0</v>
      </c>
      <c r="AJ16" s="13"/>
      <c r="AK16" s="75">
        <f t="shared" si="30"/>
        <v>30000</v>
      </c>
      <c r="AL16" s="75">
        <f t="shared" si="13"/>
        <v>0</v>
      </c>
      <c r="AM16" s="75">
        <f t="shared" si="31"/>
        <v>30000</v>
      </c>
      <c r="AN16" s="78">
        <f t="shared" si="33"/>
        <v>30000</v>
      </c>
      <c r="AO16" s="75">
        <f t="shared" ref="AO16:AO20" si="48">AI16/0.0075*0.0325</f>
        <v>0</v>
      </c>
      <c r="AP16" s="75">
        <f t="shared" si="32"/>
        <v>0</v>
      </c>
      <c r="AQ16" s="13"/>
      <c r="AR16" s="75">
        <f t="shared" si="18"/>
        <v>30000</v>
      </c>
      <c r="AS16" s="29">
        <f>'Jan 2026'!AT16</f>
        <v>0</v>
      </c>
      <c r="AT16" s="29">
        <f t="shared" si="28"/>
        <v>0</v>
      </c>
      <c r="AU16" s="34"/>
      <c r="AV16" s="77">
        <f t="shared" si="34"/>
        <v>0</v>
      </c>
      <c r="AW16" s="79">
        <f t="shared" si="21"/>
        <v>0</v>
      </c>
      <c r="AX16" s="79"/>
      <c r="AY16" s="75">
        <v>0</v>
      </c>
      <c r="AZ16" s="77" t="s">
        <v>165</v>
      </c>
    </row>
    <row r="17" spans="1:52" ht="14.4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28</v>
      </c>
      <c r="J17" s="100">
        <v>28</v>
      </c>
      <c r="K17" s="71">
        <f>'Jan 2026'!O17</f>
        <v>0</v>
      </c>
      <c r="L17" s="101">
        <v>28</v>
      </c>
      <c r="M17" s="104">
        <v>28</v>
      </c>
      <c r="N17" s="71">
        <f t="shared" si="45"/>
        <v>0</v>
      </c>
      <c r="O17" s="115">
        <v>0</v>
      </c>
      <c r="P17" s="71">
        <f t="shared" si="2"/>
        <v>28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6"/>
        <v>83083.333333333343</v>
      </c>
      <c r="X17" s="76">
        <f t="shared" si="37"/>
        <v>26000</v>
      </c>
      <c r="Y17" s="76">
        <f t="shared" si="38"/>
        <v>18750</v>
      </c>
      <c r="Z17" s="76">
        <f t="shared" si="39"/>
        <v>1250</v>
      </c>
      <c r="AA17" s="76">
        <f t="shared" si="40"/>
        <v>10833.333333333334</v>
      </c>
      <c r="AB17" s="10">
        <f t="shared" ref="AB17:AC17" si="49">U17*0</f>
        <v>0</v>
      </c>
      <c r="AC17" s="9">
        <f t="shared" si="49"/>
        <v>0</v>
      </c>
      <c r="AD17" s="12"/>
      <c r="AE17" s="10"/>
      <c r="AF17" s="77">
        <v>0</v>
      </c>
      <c r="AG17" s="75">
        <f t="shared" si="41"/>
        <v>1800</v>
      </c>
      <c r="AH17" s="75">
        <f t="shared" si="44"/>
        <v>200</v>
      </c>
      <c r="AI17" s="75">
        <f t="shared" si="47"/>
        <v>0</v>
      </c>
      <c r="AJ17" s="13"/>
      <c r="AK17" s="75">
        <f t="shared" si="30"/>
        <v>56833.333333333336</v>
      </c>
      <c r="AL17" s="75">
        <f t="shared" si="13"/>
        <v>2000</v>
      </c>
      <c r="AM17" s="75">
        <f t="shared" si="31"/>
        <v>54833.333333333336</v>
      </c>
      <c r="AN17" s="78">
        <f t="shared" si="33"/>
        <v>54833</v>
      </c>
      <c r="AO17" s="75">
        <f t="shared" si="48"/>
        <v>0</v>
      </c>
      <c r="AP17" s="75">
        <f t="shared" si="32"/>
        <v>1800</v>
      </c>
      <c r="AQ17" s="13"/>
      <c r="AR17" s="75">
        <f t="shared" si="18"/>
        <v>58633.333333333336</v>
      </c>
      <c r="AS17" s="29">
        <f>'Jan 2026'!AT17</f>
        <v>0</v>
      </c>
      <c r="AT17" s="29">
        <f t="shared" si="28"/>
        <v>0</v>
      </c>
      <c r="AU17" s="34"/>
      <c r="AV17" s="77">
        <f t="shared" si="34"/>
        <v>0</v>
      </c>
      <c r="AW17" s="79">
        <f t="shared" si="21"/>
        <v>0</v>
      </c>
      <c r="AX17" s="79"/>
      <c r="AY17" s="75">
        <v>0</v>
      </c>
      <c r="AZ17" s="77" t="s">
        <v>165</v>
      </c>
    </row>
    <row r="18" spans="1:52" ht="14.4" x14ac:dyDescent="0.3">
      <c r="A18" s="21">
        <v>1039</v>
      </c>
      <c r="B18" s="69" t="e">
        <f>VLOOKUP(A18,#REF!,2,FALSE)</f>
        <v>#REF!</v>
      </c>
      <c r="C18" s="2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28</v>
      </c>
      <c r="J18" s="100">
        <v>28</v>
      </c>
      <c r="K18" s="71">
        <f>'Jan 2026'!O18</f>
        <v>2</v>
      </c>
      <c r="L18" s="101">
        <v>0</v>
      </c>
      <c r="M18" s="38">
        <v>1</v>
      </c>
      <c r="N18" s="24">
        <f t="shared" si="45"/>
        <v>0</v>
      </c>
      <c r="O18" s="24">
        <f t="shared" ref="O18:O20" si="50">IF(K18+L18-M18&gt;0,K18+L18-M18,0)</f>
        <v>1</v>
      </c>
      <c r="P18" s="24">
        <f t="shared" si="2"/>
        <v>28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6"/>
        <v>28560</v>
      </c>
      <c r="X18" s="30">
        <f t="shared" si="37"/>
        <v>14999.999999999998</v>
      </c>
      <c r="Y18" s="30">
        <f t="shared" si="38"/>
        <v>5700</v>
      </c>
      <c r="Z18" s="30">
        <f t="shared" si="39"/>
        <v>1900</v>
      </c>
      <c r="AA18" s="30">
        <f t="shared" si="40"/>
        <v>1900</v>
      </c>
      <c r="AB18" s="10">
        <f>U18*0.9</f>
        <v>1827</v>
      </c>
      <c r="AC18" s="9">
        <f t="shared" ref="AC18:AC20" si="51">V18*0.7</f>
        <v>1421</v>
      </c>
      <c r="AD18" s="12"/>
      <c r="AE18" s="41"/>
      <c r="AF18" s="31">
        <v>0</v>
      </c>
      <c r="AG18" s="29">
        <f t="shared" si="41"/>
        <v>1799.9999999999998</v>
      </c>
      <c r="AH18" s="29">
        <f t="shared" si="44"/>
        <v>200</v>
      </c>
      <c r="AI18" s="29">
        <f t="shared" si="47"/>
        <v>0</v>
      </c>
      <c r="AJ18" s="13"/>
      <c r="AK18" s="29">
        <f t="shared" si="30"/>
        <v>27748</v>
      </c>
      <c r="AL18" s="29">
        <f t="shared" si="13"/>
        <v>1999.9999999999998</v>
      </c>
      <c r="AM18" s="29">
        <f t="shared" si="31"/>
        <v>25748</v>
      </c>
      <c r="AN18" s="33">
        <f t="shared" si="33"/>
        <v>25748</v>
      </c>
      <c r="AO18" s="29">
        <f t="shared" si="48"/>
        <v>0</v>
      </c>
      <c r="AP18" s="29">
        <f t="shared" si="32"/>
        <v>1799.9999999999998</v>
      </c>
      <c r="AQ18" s="13"/>
      <c r="AR18" s="29">
        <f t="shared" si="18"/>
        <v>29548</v>
      </c>
      <c r="AS18" s="29">
        <f>'Jan 2026'!AT18</f>
        <v>0</v>
      </c>
      <c r="AT18" s="29">
        <f t="shared" si="28"/>
        <v>0</v>
      </c>
      <c r="AU18" s="34"/>
      <c r="AV18" s="31">
        <f t="shared" si="34"/>
        <v>0</v>
      </c>
      <c r="AW18" s="79"/>
      <c r="AX18" s="138"/>
      <c r="AY18" s="75">
        <v>0</v>
      </c>
      <c r="AZ18" s="77" t="s">
        <v>165</v>
      </c>
    </row>
    <row r="19" spans="1:52" ht="14.4" x14ac:dyDescent="0.3">
      <c r="A19" s="21">
        <v>1040</v>
      </c>
      <c r="B19" s="69" t="e">
        <f>VLOOKUP(A19,#REF!,2,FALSE)</f>
        <v>#REF!</v>
      </c>
      <c r="C19" s="2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28</v>
      </c>
      <c r="J19" s="100">
        <v>28</v>
      </c>
      <c r="K19" s="71">
        <f>'Jan 2026'!O19</f>
        <v>3.5</v>
      </c>
      <c r="L19" s="101">
        <v>0</v>
      </c>
      <c r="M19" s="38">
        <v>2</v>
      </c>
      <c r="N19" s="24">
        <f t="shared" si="45"/>
        <v>0</v>
      </c>
      <c r="O19" s="24">
        <f t="shared" si="50"/>
        <v>1.5</v>
      </c>
      <c r="P19" s="24">
        <f t="shared" si="2"/>
        <v>28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6"/>
        <v>29280</v>
      </c>
      <c r="X19" s="30">
        <f t="shared" si="37"/>
        <v>14999.999999999998</v>
      </c>
      <c r="Y19" s="30">
        <f t="shared" si="38"/>
        <v>5700</v>
      </c>
      <c r="Z19" s="30">
        <f t="shared" si="39"/>
        <v>1900</v>
      </c>
      <c r="AA19" s="30">
        <f t="shared" si="40"/>
        <v>1900</v>
      </c>
      <c r="AB19" s="10">
        <f>U19*1</f>
        <v>2390</v>
      </c>
      <c r="AC19" s="9">
        <f t="shared" si="51"/>
        <v>1673</v>
      </c>
      <c r="AD19" s="12"/>
      <c r="AE19" s="10"/>
      <c r="AF19" s="31">
        <v>0</v>
      </c>
      <c r="AG19" s="29">
        <f t="shared" si="41"/>
        <v>1799.9999999999998</v>
      </c>
      <c r="AH19" s="29">
        <f t="shared" si="44"/>
        <v>200</v>
      </c>
      <c r="AI19" s="29">
        <f t="shared" si="47"/>
        <v>0</v>
      </c>
      <c r="AJ19" s="13"/>
      <c r="AK19" s="29">
        <f t="shared" si="30"/>
        <v>28563</v>
      </c>
      <c r="AL19" s="29">
        <f t="shared" si="13"/>
        <v>1999.9999999999998</v>
      </c>
      <c r="AM19" s="29">
        <f t="shared" si="31"/>
        <v>26563</v>
      </c>
      <c r="AN19" s="33">
        <f t="shared" si="33"/>
        <v>26563</v>
      </c>
      <c r="AO19" s="29">
        <f t="shared" si="48"/>
        <v>0</v>
      </c>
      <c r="AP19" s="29">
        <f t="shared" si="32"/>
        <v>1799.9999999999998</v>
      </c>
      <c r="AQ19" s="13"/>
      <c r="AR19" s="29">
        <f t="shared" si="18"/>
        <v>30363</v>
      </c>
      <c r="AS19" s="29">
        <f>'Jan 2026'!AT19</f>
        <v>0</v>
      </c>
      <c r="AT19" s="29">
        <f t="shared" si="28"/>
        <v>0</v>
      </c>
      <c r="AU19" s="34"/>
      <c r="AV19" s="31">
        <f t="shared" si="34"/>
        <v>0</v>
      </c>
      <c r="AW19" s="79"/>
      <c r="AX19" s="79"/>
      <c r="AY19" s="75">
        <v>0</v>
      </c>
      <c r="AZ19" s="77" t="s">
        <v>165</v>
      </c>
    </row>
    <row r="20" spans="1:52" ht="14.4" x14ac:dyDescent="0.3">
      <c r="A20" s="21">
        <v>1043</v>
      </c>
      <c r="B20" s="69" t="e">
        <f>VLOOKUP(A20,#REF!,2,FALSE)</f>
        <v>#REF!</v>
      </c>
      <c r="C20" s="2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28</v>
      </c>
      <c r="J20" s="100">
        <v>28</v>
      </c>
      <c r="K20" s="71">
        <f>'Jan 2026'!O20</f>
        <v>1</v>
      </c>
      <c r="L20" s="101">
        <v>0</v>
      </c>
      <c r="M20" s="38">
        <v>0.5</v>
      </c>
      <c r="N20" s="24">
        <f t="shared" si="45"/>
        <v>0</v>
      </c>
      <c r="O20" s="24">
        <f t="shared" si="50"/>
        <v>0.5</v>
      </c>
      <c r="P20" s="24">
        <f t="shared" si="2"/>
        <v>28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6"/>
        <v>27204</v>
      </c>
      <c r="X20" s="30">
        <f t="shared" si="37"/>
        <v>14999.999999999998</v>
      </c>
      <c r="Y20" s="30">
        <f t="shared" si="38"/>
        <v>5130</v>
      </c>
      <c r="Z20" s="30">
        <f t="shared" si="39"/>
        <v>1710</v>
      </c>
      <c r="AA20" s="30">
        <f t="shared" si="40"/>
        <v>1710</v>
      </c>
      <c r="AB20" s="10">
        <f>U20*0.8</f>
        <v>1461.6000000000001</v>
      </c>
      <c r="AC20" s="9">
        <f t="shared" si="51"/>
        <v>1278.8999999999999</v>
      </c>
      <c r="AD20" s="12"/>
      <c r="AE20" s="10"/>
      <c r="AF20" s="31">
        <v>0</v>
      </c>
      <c r="AG20" s="29">
        <f t="shared" si="41"/>
        <v>1799.9999999999998</v>
      </c>
      <c r="AH20" s="29">
        <f t="shared" si="44"/>
        <v>200</v>
      </c>
      <c r="AI20" s="29">
        <f t="shared" si="47"/>
        <v>0</v>
      </c>
      <c r="AJ20" s="13"/>
      <c r="AK20" s="29">
        <f t="shared" si="30"/>
        <v>26290.5</v>
      </c>
      <c r="AL20" s="29">
        <f t="shared" si="13"/>
        <v>1999.9999999999998</v>
      </c>
      <c r="AM20" s="29">
        <f t="shared" si="31"/>
        <v>24290.5</v>
      </c>
      <c r="AN20" s="33">
        <f t="shared" si="33"/>
        <v>24291</v>
      </c>
      <c r="AO20" s="29">
        <f t="shared" si="48"/>
        <v>0</v>
      </c>
      <c r="AP20" s="29">
        <f t="shared" si="32"/>
        <v>1799.9999999999998</v>
      </c>
      <c r="AQ20" s="13"/>
      <c r="AR20" s="29">
        <f t="shared" si="18"/>
        <v>28090.5</v>
      </c>
      <c r="AS20" s="29">
        <f>'Jan 2026'!AT20</f>
        <v>0</v>
      </c>
      <c r="AT20" s="29">
        <f t="shared" si="28"/>
        <v>0</v>
      </c>
      <c r="AU20" s="34"/>
      <c r="AV20" s="31">
        <f t="shared" si="34"/>
        <v>0</v>
      </c>
      <c r="AW20" s="79"/>
      <c r="AX20" s="79"/>
      <c r="AY20" s="75">
        <v>0</v>
      </c>
      <c r="AZ20" s="77" t="s">
        <v>165</v>
      </c>
    </row>
    <row r="21" spans="1:52" ht="14.4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00">
        <v>28</v>
      </c>
      <c r="J21" s="100">
        <v>28</v>
      </c>
      <c r="K21" s="71">
        <f>'Jan 2026'!O21</f>
        <v>0</v>
      </c>
      <c r="L21" s="101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0">
        <v>0</v>
      </c>
      <c r="AC21" s="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  <c r="AK21" s="119">
        <v>0</v>
      </c>
      <c r="AL21" s="119">
        <v>0</v>
      </c>
      <c r="AM21" s="119">
        <v>0</v>
      </c>
      <c r="AN21" s="119">
        <v>0</v>
      </c>
      <c r="AO21" s="119">
        <v>0</v>
      </c>
      <c r="AP21" s="119">
        <v>0</v>
      </c>
      <c r="AQ21" s="119">
        <v>0</v>
      </c>
      <c r="AR21" s="119">
        <v>0</v>
      </c>
      <c r="AS21" s="29">
        <f>'Jan 2026'!AT21</f>
        <v>0</v>
      </c>
      <c r="AT21" s="119">
        <v>0</v>
      </c>
      <c r="AU21" s="119">
        <v>0</v>
      </c>
      <c r="AV21" s="119">
        <v>0</v>
      </c>
      <c r="AW21" s="119">
        <v>0</v>
      </c>
      <c r="AX21" s="119">
        <v>0</v>
      </c>
      <c r="AY21" s="119">
        <v>0</v>
      </c>
      <c r="AZ21" s="120" t="s">
        <v>166</v>
      </c>
    </row>
    <row r="22" spans="1:52" ht="14.4" x14ac:dyDescent="0.3">
      <c r="A22" s="21">
        <v>1046</v>
      </c>
      <c r="B22" s="69" t="e">
        <f>VLOOKUP(A22,#REF!,2,FALSE)</f>
        <v>#REF!</v>
      </c>
      <c r="C22" s="2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28</v>
      </c>
      <c r="J22" s="100">
        <v>28</v>
      </c>
      <c r="K22" s="71">
        <f>'Jan 2026'!O22</f>
        <v>5.5</v>
      </c>
      <c r="L22" s="101">
        <v>0</v>
      </c>
      <c r="M22" s="38">
        <v>2.5</v>
      </c>
      <c r="N22" s="24">
        <f t="shared" ref="N22:N35" si="52">IF(K22+L22-M22 &gt;= 0,0,M22-(K22+L22))</f>
        <v>0</v>
      </c>
      <c r="O22" s="24">
        <f t="shared" ref="O22:O38" si="53">IF(K22+L22-M22&gt;0,K22+L22-M22,0)</f>
        <v>3</v>
      </c>
      <c r="P22" s="24">
        <f t="shared" ref="P22:P35" si="54">J22-N22</f>
        <v>28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ref="W22:W35" si="55">SUM(Q22:V22)</f>
        <v>28804</v>
      </c>
      <c r="X22" s="30">
        <f t="shared" ref="X22:X35" si="56">(Q22/I22*(J22)) * (1-N22/J22)</f>
        <v>14999.999999999998</v>
      </c>
      <c r="Y22" s="30">
        <f t="shared" ref="Y22:Y35" si="57">(R22/I22*(J22)) * (1-N22/J22)</f>
        <v>5700</v>
      </c>
      <c r="Z22" s="30">
        <f t="shared" ref="Z22:Z35" si="58">(S22/I22*(J22)) * (1-N22/J22)</f>
        <v>1900</v>
      </c>
      <c r="AA22" s="30">
        <f t="shared" ref="AA22:AA35" si="59">(T22/I22*(J22)) * (1-N22/J22)</f>
        <v>1900</v>
      </c>
      <c r="AB22" s="10">
        <f>U22*1.1</f>
        <v>2367.2000000000003</v>
      </c>
      <c r="AC22" s="9">
        <f t="shared" ref="AC22:AC25" si="60">V22*0.7</f>
        <v>1506.3999999999999</v>
      </c>
      <c r="AD22" s="12"/>
      <c r="AE22" s="10"/>
      <c r="AF22" s="31">
        <v>0</v>
      </c>
      <c r="AG22" s="29">
        <f t="shared" ref="AG22:AG31" si="61">IF(X22&gt;15000,(15000 * 12%),X22*0.12)</f>
        <v>1799.9999999999998</v>
      </c>
      <c r="AH22" s="29">
        <f t="shared" ref="AH22:AH23" si="62">IF(SUM(X22:AC22)&gt;=25000, 200, 0)</f>
        <v>200</v>
      </c>
      <c r="AI22" s="29">
        <f t="shared" ref="AI22:AI34" si="63">IF(SUM(Q22:T22) &lt; 21000, SUM(X22:AA22)*0.0075, 0)</f>
        <v>0</v>
      </c>
      <c r="AJ22" s="13"/>
      <c r="AK22" s="29">
        <f t="shared" ref="AK22:AK35" si="64">SUM(X22:AF22)</f>
        <v>28373.600000000002</v>
      </c>
      <c r="AL22" s="29">
        <f t="shared" ref="AL22:AL35" si="65">SUM(AG22:AJ22)+AU22</f>
        <v>1999.9999999999998</v>
      </c>
      <c r="AM22" s="29">
        <f t="shared" ref="AM22:AM38" si="66">SUM(X22:AF22)-SUM(AG22:AJ22)</f>
        <v>26373.600000000002</v>
      </c>
      <c r="AN22" s="33">
        <f t="shared" ref="AN22:AN38" si="67">ROUND(AM22-AF22,0)+AV22-AU22</f>
        <v>26374</v>
      </c>
      <c r="AO22" s="29">
        <f t="shared" ref="AO22:AO34" si="68">AI22/0.0075*0.0325</f>
        <v>0</v>
      </c>
      <c r="AP22" s="29">
        <f t="shared" ref="AP22:AP34" si="69">AG22</f>
        <v>1799.9999999999998</v>
      </c>
      <c r="AQ22" s="13"/>
      <c r="AR22" s="29">
        <f t="shared" ref="AR22:AR34" si="70">AK22+AO22+AP22</f>
        <v>30173.600000000002</v>
      </c>
      <c r="AS22" s="29">
        <f>'Jan 2026'!AT22</f>
        <v>0</v>
      </c>
      <c r="AT22" s="29">
        <f t="shared" ref="AT22:AT28" si="71">AS22+AD22-AJ22-AY22</f>
        <v>0</v>
      </c>
      <c r="AU22" s="34"/>
      <c r="AV22" s="31">
        <f t="shared" ref="AV22:AV32" si="72">AF22*12</f>
        <v>0</v>
      </c>
      <c r="AW22" s="79"/>
      <c r="AX22" s="79"/>
      <c r="AY22" s="75">
        <v>0</v>
      </c>
      <c r="AZ22" s="77" t="s">
        <v>165</v>
      </c>
    </row>
    <row r="23" spans="1:52" ht="14.4" x14ac:dyDescent="0.3">
      <c r="A23" s="50">
        <v>1048</v>
      </c>
      <c r="B23" s="69" t="e">
        <f>VLOOKUP(A23,#REF!,2,FALSE)</f>
        <v>#REF!</v>
      </c>
      <c r="C23" s="2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28</v>
      </c>
      <c r="J23" s="100">
        <v>28</v>
      </c>
      <c r="K23" s="71">
        <f>'Jan 2026'!O23</f>
        <v>0</v>
      </c>
      <c r="L23" s="101">
        <v>0</v>
      </c>
      <c r="M23" s="38">
        <v>0</v>
      </c>
      <c r="N23" s="24">
        <f t="shared" si="52"/>
        <v>0</v>
      </c>
      <c r="O23" s="24">
        <f t="shared" si="53"/>
        <v>0</v>
      </c>
      <c r="P23" s="24">
        <f t="shared" si="54"/>
        <v>28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55"/>
        <v>25831</v>
      </c>
      <c r="X23" s="30">
        <f t="shared" si="56"/>
        <v>14999.999999999998</v>
      </c>
      <c r="Y23" s="30">
        <f t="shared" si="57"/>
        <v>4959</v>
      </c>
      <c r="Z23" s="30">
        <f t="shared" si="58"/>
        <v>1653</v>
      </c>
      <c r="AA23" s="30">
        <f t="shared" si="59"/>
        <v>1653</v>
      </c>
      <c r="AB23" s="10">
        <f>U23*0.9</f>
        <v>1154.7</v>
      </c>
      <c r="AC23" s="9">
        <f t="shared" si="60"/>
        <v>898.09999999999991</v>
      </c>
      <c r="AD23" s="12"/>
      <c r="AE23" s="10"/>
      <c r="AF23" s="31">
        <v>0</v>
      </c>
      <c r="AG23" s="29">
        <f t="shared" si="61"/>
        <v>1799.9999999999998</v>
      </c>
      <c r="AH23" s="29">
        <f t="shared" si="62"/>
        <v>200</v>
      </c>
      <c r="AI23" s="29">
        <f t="shared" si="63"/>
        <v>0</v>
      </c>
      <c r="AJ23" s="13"/>
      <c r="AK23" s="29">
        <f t="shared" si="64"/>
        <v>25317.8</v>
      </c>
      <c r="AL23" s="29">
        <f t="shared" si="65"/>
        <v>1999.9999999999998</v>
      </c>
      <c r="AM23" s="29">
        <f t="shared" si="66"/>
        <v>23317.8</v>
      </c>
      <c r="AN23" s="33">
        <f t="shared" si="67"/>
        <v>23318</v>
      </c>
      <c r="AO23" s="29">
        <f t="shared" si="68"/>
        <v>0</v>
      </c>
      <c r="AP23" s="29">
        <f t="shared" si="69"/>
        <v>1799.9999999999998</v>
      </c>
      <c r="AQ23" s="13"/>
      <c r="AR23" s="29">
        <f t="shared" si="70"/>
        <v>27117.8</v>
      </c>
      <c r="AS23" s="29">
        <f>'Jan 2026'!AT23</f>
        <v>0</v>
      </c>
      <c r="AT23" s="29">
        <f t="shared" si="71"/>
        <v>0</v>
      </c>
      <c r="AU23" s="34"/>
      <c r="AV23" s="31">
        <f t="shared" si="72"/>
        <v>0</v>
      </c>
      <c r="AW23" s="79"/>
      <c r="AX23" s="79"/>
      <c r="AY23" s="75">
        <v>0</v>
      </c>
      <c r="AZ23" s="77" t="s">
        <v>165</v>
      </c>
    </row>
    <row r="24" spans="1:52" ht="14.4" x14ac:dyDescent="0.3">
      <c r="A24" s="21">
        <v>1049</v>
      </c>
      <c r="B24" s="69" t="e">
        <f>VLOOKUP(A24,#REF!,2,FALSE)</f>
        <v>#REF!</v>
      </c>
      <c r="C24" s="2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28</v>
      </c>
      <c r="J24" s="100">
        <v>28</v>
      </c>
      <c r="K24" s="71">
        <f>'Jan 2026'!O24</f>
        <v>7</v>
      </c>
      <c r="L24" s="101">
        <v>1</v>
      </c>
      <c r="M24" s="38">
        <v>3.5</v>
      </c>
      <c r="N24" s="24">
        <f t="shared" si="52"/>
        <v>0</v>
      </c>
      <c r="O24" s="24">
        <f t="shared" si="53"/>
        <v>4.5</v>
      </c>
      <c r="P24" s="24">
        <f t="shared" si="54"/>
        <v>28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55"/>
        <v>40000</v>
      </c>
      <c r="X24" s="30">
        <f t="shared" si="56"/>
        <v>14999.999999999998</v>
      </c>
      <c r="Y24" s="30">
        <f t="shared" si="57"/>
        <v>6000</v>
      </c>
      <c r="Z24" s="30">
        <f t="shared" si="58"/>
        <v>5000</v>
      </c>
      <c r="AA24" s="30">
        <f t="shared" si="59"/>
        <v>6000</v>
      </c>
      <c r="AB24" s="10">
        <f>U24*1.2</f>
        <v>4800</v>
      </c>
      <c r="AC24" s="9">
        <f t="shared" si="60"/>
        <v>2800</v>
      </c>
      <c r="AD24" s="12"/>
      <c r="AE24" s="41"/>
      <c r="AF24" s="31">
        <v>0</v>
      </c>
      <c r="AG24" s="29">
        <f t="shared" si="61"/>
        <v>1799.9999999999998</v>
      </c>
      <c r="AH24" s="29">
        <f>IF(SUM(X24:AA24)&gt;=25000, 200, 0)</f>
        <v>200</v>
      </c>
      <c r="AI24" s="29">
        <f t="shared" si="63"/>
        <v>0</v>
      </c>
      <c r="AJ24" s="13"/>
      <c r="AK24" s="29">
        <f t="shared" si="64"/>
        <v>39600</v>
      </c>
      <c r="AL24" s="29">
        <f t="shared" si="65"/>
        <v>1999.9999999999998</v>
      </c>
      <c r="AM24" s="29">
        <f t="shared" si="66"/>
        <v>37600</v>
      </c>
      <c r="AN24" s="33">
        <f t="shared" si="67"/>
        <v>37600</v>
      </c>
      <c r="AO24" s="29">
        <f t="shared" si="68"/>
        <v>0</v>
      </c>
      <c r="AP24" s="29">
        <f t="shared" si="69"/>
        <v>1799.9999999999998</v>
      </c>
      <c r="AQ24" s="13"/>
      <c r="AR24" s="29">
        <f t="shared" si="70"/>
        <v>41400</v>
      </c>
      <c r="AS24" s="29">
        <f>'Jan 2026'!AT24</f>
        <v>0</v>
      </c>
      <c r="AT24" s="29">
        <f t="shared" si="71"/>
        <v>0</v>
      </c>
      <c r="AU24" s="34"/>
      <c r="AV24" s="31">
        <f t="shared" si="72"/>
        <v>0</v>
      </c>
      <c r="AW24" s="79"/>
      <c r="AX24" s="138"/>
      <c r="AY24" s="103">
        <v>0</v>
      </c>
      <c r="AZ24" s="77" t="s">
        <v>165</v>
      </c>
    </row>
    <row r="25" spans="1:52" ht="14.4" x14ac:dyDescent="0.3">
      <c r="A25" s="21">
        <v>1050</v>
      </c>
      <c r="B25" s="69" t="e">
        <f>VLOOKUP(A25,#REF!,2,FALSE)</f>
        <v>#REF!</v>
      </c>
      <c r="C25" s="2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28</v>
      </c>
      <c r="J25" s="100">
        <v>28</v>
      </c>
      <c r="K25" s="71">
        <f>'Jan 2026'!O25</f>
        <v>2</v>
      </c>
      <c r="L25" s="101">
        <v>0</v>
      </c>
      <c r="M25" s="38">
        <v>1.5</v>
      </c>
      <c r="N25" s="24">
        <f t="shared" si="52"/>
        <v>0</v>
      </c>
      <c r="O25" s="24">
        <f t="shared" si="53"/>
        <v>0.5</v>
      </c>
      <c r="P25" s="24">
        <f t="shared" si="54"/>
        <v>28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55"/>
        <v>30166</v>
      </c>
      <c r="X25" s="30">
        <f t="shared" si="56"/>
        <v>14999.999999999998</v>
      </c>
      <c r="Y25" s="30">
        <f t="shared" si="57"/>
        <v>5700</v>
      </c>
      <c r="Z25" s="30">
        <f t="shared" si="58"/>
        <v>1900</v>
      </c>
      <c r="AA25" s="30">
        <f t="shared" si="59"/>
        <v>1900</v>
      </c>
      <c r="AB25" s="10">
        <f>U25*1</f>
        <v>2833</v>
      </c>
      <c r="AC25" s="9">
        <f t="shared" si="60"/>
        <v>1983.1</v>
      </c>
      <c r="AD25" s="12"/>
      <c r="AE25" s="10"/>
      <c r="AF25" s="31">
        <v>0</v>
      </c>
      <c r="AG25" s="29">
        <f t="shared" si="61"/>
        <v>1799.9999999999998</v>
      </c>
      <c r="AH25" s="29">
        <f>IF(SUM(X25:AC25)&gt;=25000, 200, 0)</f>
        <v>200</v>
      </c>
      <c r="AI25" s="29">
        <f t="shared" si="63"/>
        <v>0</v>
      </c>
      <c r="AJ25" s="13"/>
      <c r="AK25" s="29">
        <f t="shared" si="64"/>
        <v>29316.1</v>
      </c>
      <c r="AL25" s="29">
        <f t="shared" si="65"/>
        <v>1999.9999999999998</v>
      </c>
      <c r="AM25" s="29">
        <f t="shared" si="66"/>
        <v>27316.1</v>
      </c>
      <c r="AN25" s="33">
        <f t="shared" si="67"/>
        <v>27316</v>
      </c>
      <c r="AO25" s="29">
        <f t="shared" si="68"/>
        <v>0</v>
      </c>
      <c r="AP25" s="29">
        <f t="shared" si="69"/>
        <v>1799.9999999999998</v>
      </c>
      <c r="AQ25" s="13"/>
      <c r="AR25" s="29">
        <f t="shared" si="70"/>
        <v>31116.1</v>
      </c>
      <c r="AS25" s="29">
        <f>'Jan 2026'!AT25</f>
        <v>0</v>
      </c>
      <c r="AT25" s="29">
        <f t="shared" si="71"/>
        <v>0</v>
      </c>
      <c r="AU25" s="34"/>
      <c r="AV25" s="31">
        <f t="shared" si="72"/>
        <v>0</v>
      </c>
      <c r="AW25" s="79"/>
      <c r="AX25" s="79"/>
      <c r="AY25" s="75">
        <v>0</v>
      </c>
      <c r="AZ25" s="77" t="s">
        <v>165</v>
      </c>
    </row>
    <row r="26" spans="1:52" ht="14.4" x14ac:dyDescent="0.3">
      <c r="A26" s="21">
        <v>1051</v>
      </c>
      <c r="B26" s="69" t="e">
        <f>VLOOKUP(A26,#REF!,2,FALSE)</f>
        <v>#REF!</v>
      </c>
      <c r="C26" s="2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28</v>
      </c>
      <c r="J26" s="100">
        <v>28</v>
      </c>
      <c r="K26" s="71">
        <f>'Jan 2026'!O26</f>
        <v>3</v>
      </c>
      <c r="L26" s="101">
        <v>0</v>
      </c>
      <c r="M26" s="38">
        <v>1</v>
      </c>
      <c r="N26" s="24">
        <f t="shared" si="52"/>
        <v>0</v>
      </c>
      <c r="O26" s="24">
        <f t="shared" si="53"/>
        <v>2</v>
      </c>
      <c r="P26" s="24">
        <f t="shared" si="54"/>
        <v>28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55"/>
        <v>25865</v>
      </c>
      <c r="X26" s="30">
        <f t="shared" si="56"/>
        <v>14999.999999999998</v>
      </c>
      <c r="Y26" s="30">
        <f t="shared" si="57"/>
        <v>3825</v>
      </c>
      <c r="Z26" s="30">
        <f t="shared" si="58"/>
        <v>1020</v>
      </c>
      <c r="AA26" s="30">
        <f t="shared" si="59"/>
        <v>1020</v>
      </c>
      <c r="AB26" s="121"/>
      <c r="AC26" s="106"/>
      <c r="AD26" s="12"/>
      <c r="AE26" s="10"/>
      <c r="AF26" s="31">
        <v>0</v>
      </c>
      <c r="AG26" s="29">
        <f t="shared" si="61"/>
        <v>1799.9999999999998</v>
      </c>
      <c r="AH26" s="29">
        <f>IF(SUM(X26:AA26)&gt;=25000, 200, 0)</f>
        <v>0</v>
      </c>
      <c r="AI26" s="29">
        <f t="shared" si="63"/>
        <v>156.48749999999998</v>
      </c>
      <c r="AJ26" s="13"/>
      <c r="AK26" s="29">
        <f t="shared" si="64"/>
        <v>20865</v>
      </c>
      <c r="AL26" s="29">
        <f t="shared" si="65"/>
        <v>1956.4874999999997</v>
      </c>
      <c r="AM26" s="29">
        <f t="shared" si="66"/>
        <v>18908.512500000001</v>
      </c>
      <c r="AN26" s="33">
        <f t="shared" si="67"/>
        <v>18909</v>
      </c>
      <c r="AO26" s="29">
        <f t="shared" si="68"/>
        <v>678.11250000000007</v>
      </c>
      <c r="AP26" s="29">
        <f t="shared" si="69"/>
        <v>1799.9999999999998</v>
      </c>
      <c r="AQ26" s="13"/>
      <c r="AR26" s="29">
        <f t="shared" si="70"/>
        <v>23343.112499999999</v>
      </c>
      <c r="AS26" s="29">
        <f>'Jan 2026'!AT26</f>
        <v>0</v>
      </c>
      <c r="AT26" s="29">
        <f t="shared" si="71"/>
        <v>0</v>
      </c>
      <c r="AU26" s="34"/>
      <c r="AV26" s="31">
        <f t="shared" si="72"/>
        <v>0</v>
      </c>
      <c r="AW26" s="79"/>
      <c r="AX26" s="79"/>
      <c r="AY26" s="75">
        <v>0</v>
      </c>
      <c r="AZ26" s="77" t="s">
        <v>165</v>
      </c>
    </row>
    <row r="27" spans="1:52" ht="14.4" x14ac:dyDescent="0.3">
      <c r="A27" s="87">
        <v>1053</v>
      </c>
      <c r="B27" s="69" t="e">
        <f>VLOOKUP(A27,#REF!,2,FALSE)</f>
        <v>#REF!</v>
      </c>
      <c r="C27" s="2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28</v>
      </c>
      <c r="J27" s="100">
        <v>28</v>
      </c>
      <c r="K27" s="71">
        <f>'Jan 2026'!O27</f>
        <v>3</v>
      </c>
      <c r="L27" s="101">
        <v>0</v>
      </c>
      <c r="M27" s="38">
        <v>3</v>
      </c>
      <c r="N27" s="24">
        <f t="shared" si="52"/>
        <v>0</v>
      </c>
      <c r="O27" s="24">
        <f t="shared" si="53"/>
        <v>0</v>
      </c>
      <c r="P27" s="24">
        <f t="shared" si="54"/>
        <v>28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55"/>
        <v>25831</v>
      </c>
      <c r="X27" s="30">
        <f t="shared" si="56"/>
        <v>14999.999999999998</v>
      </c>
      <c r="Y27" s="30">
        <f t="shared" si="57"/>
        <v>4845</v>
      </c>
      <c r="Z27" s="30">
        <f t="shared" si="58"/>
        <v>1615</v>
      </c>
      <c r="AA27" s="30">
        <f t="shared" si="59"/>
        <v>1615</v>
      </c>
      <c r="AB27" s="10">
        <f>U27*0.8</f>
        <v>1102.4000000000001</v>
      </c>
      <c r="AC27" s="9">
        <f t="shared" ref="AC27:AC29" si="73">V27*0.7</f>
        <v>964.59999999999991</v>
      </c>
      <c r="AD27" s="12"/>
      <c r="AE27" s="10"/>
      <c r="AF27" s="31">
        <v>0</v>
      </c>
      <c r="AG27" s="29">
        <f t="shared" si="61"/>
        <v>1799.9999999999998</v>
      </c>
      <c r="AH27" s="29">
        <f>IF(SUM(X27:AC27)&gt;=25000, 200, 0)</f>
        <v>200</v>
      </c>
      <c r="AI27" s="29">
        <f t="shared" si="63"/>
        <v>0</v>
      </c>
      <c r="AJ27" s="13"/>
      <c r="AK27" s="29">
        <f t="shared" si="64"/>
        <v>25142</v>
      </c>
      <c r="AL27" s="29">
        <f t="shared" si="65"/>
        <v>1999.9999999999998</v>
      </c>
      <c r="AM27" s="29">
        <f t="shared" si="66"/>
        <v>23142</v>
      </c>
      <c r="AN27" s="33">
        <f t="shared" si="67"/>
        <v>23142</v>
      </c>
      <c r="AO27" s="29">
        <f t="shared" si="68"/>
        <v>0</v>
      </c>
      <c r="AP27" s="29">
        <f t="shared" si="69"/>
        <v>1799.9999999999998</v>
      </c>
      <c r="AQ27" s="13"/>
      <c r="AR27" s="29">
        <f t="shared" si="70"/>
        <v>26942</v>
      </c>
      <c r="AS27" s="29">
        <f>'Jan 2026'!AT27</f>
        <v>0</v>
      </c>
      <c r="AT27" s="29">
        <f t="shared" si="71"/>
        <v>0</v>
      </c>
      <c r="AU27" s="34"/>
      <c r="AV27" s="31">
        <f t="shared" si="72"/>
        <v>0</v>
      </c>
      <c r="AW27" s="79"/>
      <c r="AX27" s="79"/>
      <c r="AY27" s="75">
        <v>0</v>
      </c>
      <c r="AZ27" s="77" t="s">
        <v>165</v>
      </c>
    </row>
    <row r="28" spans="1:52" ht="14.4" x14ac:dyDescent="0.3">
      <c r="A28" s="21">
        <v>1054</v>
      </c>
      <c r="B28" s="69" t="e">
        <f>VLOOKUP(A28,#REF!,2,FALSE)</f>
        <v>#REF!</v>
      </c>
      <c r="C28" s="2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28</v>
      </c>
      <c r="J28" s="100">
        <v>28</v>
      </c>
      <c r="K28" s="71">
        <f>'Jan 2026'!O28</f>
        <v>5.5</v>
      </c>
      <c r="L28" s="101">
        <v>0</v>
      </c>
      <c r="M28" s="38">
        <v>1</v>
      </c>
      <c r="N28" s="24">
        <f t="shared" si="52"/>
        <v>0</v>
      </c>
      <c r="O28" s="24">
        <f t="shared" si="53"/>
        <v>4.5</v>
      </c>
      <c r="P28" s="24">
        <f t="shared" si="54"/>
        <v>28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55"/>
        <v>33000</v>
      </c>
      <c r="X28" s="30">
        <f t="shared" si="56"/>
        <v>14999.999999999998</v>
      </c>
      <c r="Y28" s="30">
        <f t="shared" si="57"/>
        <v>4000</v>
      </c>
      <c r="Z28" s="30">
        <f t="shared" si="58"/>
        <v>4000</v>
      </c>
      <c r="AA28" s="30">
        <f t="shared" si="59"/>
        <v>4000</v>
      </c>
      <c r="AB28" s="10">
        <f t="shared" ref="AB28:AB29" si="74">U28*1.2</f>
        <v>3600</v>
      </c>
      <c r="AC28" s="9">
        <f t="shared" si="73"/>
        <v>2100</v>
      </c>
      <c r="AD28" s="12"/>
      <c r="AE28" s="10"/>
      <c r="AF28" s="31">
        <v>0</v>
      </c>
      <c r="AG28" s="29">
        <f t="shared" si="61"/>
        <v>1799.9999999999998</v>
      </c>
      <c r="AH28" s="29">
        <f>IF(SUM(X28:AA28)&gt;=25000, 200, 0)</f>
        <v>200</v>
      </c>
      <c r="AI28" s="29">
        <f t="shared" si="63"/>
        <v>0</v>
      </c>
      <c r="AJ28" s="13"/>
      <c r="AK28" s="29">
        <f t="shared" si="64"/>
        <v>32700</v>
      </c>
      <c r="AL28" s="29">
        <f t="shared" si="65"/>
        <v>1999.9999999999998</v>
      </c>
      <c r="AM28" s="29">
        <f t="shared" si="66"/>
        <v>30700</v>
      </c>
      <c r="AN28" s="33">
        <f t="shared" si="67"/>
        <v>30700</v>
      </c>
      <c r="AO28" s="29">
        <f t="shared" si="68"/>
        <v>0</v>
      </c>
      <c r="AP28" s="29">
        <f t="shared" si="69"/>
        <v>1799.9999999999998</v>
      </c>
      <c r="AQ28" s="13"/>
      <c r="AR28" s="29">
        <f t="shared" si="70"/>
        <v>34500</v>
      </c>
      <c r="AS28" s="29">
        <f>'Jan 2026'!AT28</f>
        <v>0</v>
      </c>
      <c r="AT28" s="29">
        <f t="shared" si="71"/>
        <v>0</v>
      </c>
      <c r="AU28" s="34"/>
      <c r="AV28" s="31">
        <f t="shared" si="72"/>
        <v>0</v>
      </c>
      <c r="AW28" s="79"/>
      <c r="AX28" s="79"/>
      <c r="AY28" s="103">
        <v>0</v>
      </c>
      <c r="AZ28" s="77" t="s">
        <v>165</v>
      </c>
    </row>
    <row r="29" spans="1:52" ht="14.4" x14ac:dyDescent="0.3">
      <c r="A29" s="21">
        <v>1055</v>
      </c>
      <c r="B29" s="69" t="e">
        <f>VLOOKUP(A29,#REF!,2,FALSE)</f>
        <v>#REF!</v>
      </c>
      <c r="C29" s="2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28</v>
      </c>
      <c r="J29" s="100">
        <v>28</v>
      </c>
      <c r="K29" s="71">
        <f>'Jan 2026'!O29</f>
        <v>6.5</v>
      </c>
      <c r="L29" s="101">
        <v>0</v>
      </c>
      <c r="M29" s="38">
        <v>2</v>
      </c>
      <c r="N29" s="24">
        <f t="shared" si="52"/>
        <v>0</v>
      </c>
      <c r="O29" s="24">
        <f t="shared" si="53"/>
        <v>4.5</v>
      </c>
      <c r="P29" s="24">
        <f t="shared" si="54"/>
        <v>28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55"/>
        <v>25400</v>
      </c>
      <c r="X29" s="30">
        <f t="shared" si="56"/>
        <v>14999.999999999998</v>
      </c>
      <c r="Y29" s="30">
        <f t="shared" si="57"/>
        <v>3000</v>
      </c>
      <c r="Z29" s="30">
        <f t="shared" si="58"/>
        <v>1800.0000000000002</v>
      </c>
      <c r="AA29" s="30">
        <f t="shared" si="59"/>
        <v>1800.0000000000002</v>
      </c>
      <c r="AB29" s="10">
        <f t="shared" si="74"/>
        <v>2280</v>
      </c>
      <c r="AC29" s="9">
        <f t="shared" si="73"/>
        <v>1330</v>
      </c>
      <c r="AD29" s="12"/>
      <c r="AE29" s="10"/>
      <c r="AF29" s="31">
        <v>0</v>
      </c>
      <c r="AG29" s="29">
        <f t="shared" si="61"/>
        <v>1799.9999999999998</v>
      </c>
      <c r="AH29" s="29">
        <f>IF(SUM(X29:AC29)&gt;=25000, 200, 0)</f>
        <v>200</v>
      </c>
      <c r="AI29" s="29">
        <f t="shared" si="63"/>
        <v>0</v>
      </c>
      <c r="AJ29" s="13"/>
      <c r="AK29" s="29">
        <f t="shared" si="64"/>
        <v>25210</v>
      </c>
      <c r="AL29" s="29">
        <f t="shared" si="65"/>
        <v>1999.9999999999998</v>
      </c>
      <c r="AM29" s="29">
        <f t="shared" si="66"/>
        <v>23210</v>
      </c>
      <c r="AN29" s="33">
        <f t="shared" si="67"/>
        <v>23210</v>
      </c>
      <c r="AO29" s="29">
        <f t="shared" si="68"/>
        <v>0</v>
      </c>
      <c r="AP29" s="29">
        <f t="shared" si="69"/>
        <v>1799.9999999999998</v>
      </c>
      <c r="AQ29" s="13"/>
      <c r="AR29" s="29">
        <f t="shared" si="70"/>
        <v>27010</v>
      </c>
      <c r="AS29" s="29">
        <f>'Jan 2026'!AT29</f>
        <v>0</v>
      </c>
      <c r="AT29" s="29">
        <f t="shared" ref="AT29:AT34" si="75">AS29+AD29-AJ29</f>
        <v>0</v>
      </c>
      <c r="AU29" s="34"/>
      <c r="AV29" s="31">
        <f t="shared" si="72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69" t="e">
        <f>VLOOKUP(A30,#REF!,2,FALSE)</f>
        <v>#REF!</v>
      </c>
      <c r="C30" s="2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28</v>
      </c>
      <c r="J30" s="100">
        <v>28</v>
      </c>
      <c r="K30" s="71">
        <f>'Jan 2026'!O30</f>
        <v>3</v>
      </c>
      <c r="L30" s="101">
        <v>0</v>
      </c>
      <c r="M30" s="38">
        <v>2</v>
      </c>
      <c r="N30" s="24">
        <f t="shared" si="52"/>
        <v>0</v>
      </c>
      <c r="O30" s="24">
        <f t="shared" si="53"/>
        <v>1</v>
      </c>
      <c r="P30" s="24">
        <f t="shared" si="54"/>
        <v>28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55"/>
        <v>24100</v>
      </c>
      <c r="X30" s="30">
        <f t="shared" si="56"/>
        <v>14999.999999999998</v>
      </c>
      <c r="Y30" s="30">
        <f t="shared" si="57"/>
        <v>2800</v>
      </c>
      <c r="Z30" s="30">
        <f t="shared" si="58"/>
        <v>1800.0000000000002</v>
      </c>
      <c r="AA30" s="30">
        <f t="shared" si="59"/>
        <v>1300</v>
      </c>
      <c r="AB30" s="121"/>
      <c r="AC30" s="106"/>
      <c r="AD30" s="53"/>
      <c r="AE30" s="10"/>
      <c r="AF30" s="31">
        <v>0</v>
      </c>
      <c r="AG30" s="29">
        <f t="shared" si="61"/>
        <v>1799.9999999999998</v>
      </c>
      <c r="AH30" s="29">
        <f t="shared" ref="AH30:AH31" si="76">IF(SUM(X30:AA30)&gt;=25000, 200, 0)</f>
        <v>0</v>
      </c>
      <c r="AI30" s="29">
        <f t="shared" si="63"/>
        <v>156.75</v>
      </c>
      <c r="AJ30" s="13"/>
      <c r="AK30" s="29">
        <f t="shared" si="64"/>
        <v>20900</v>
      </c>
      <c r="AL30" s="29">
        <f t="shared" si="65"/>
        <v>1956.7499999999998</v>
      </c>
      <c r="AM30" s="29">
        <f t="shared" si="66"/>
        <v>18943.25</v>
      </c>
      <c r="AN30" s="33">
        <f t="shared" si="67"/>
        <v>18943</v>
      </c>
      <c r="AO30" s="29">
        <f t="shared" si="68"/>
        <v>679.25</v>
      </c>
      <c r="AP30" s="29">
        <f t="shared" si="69"/>
        <v>1799.9999999999998</v>
      </c>
      <c r="AQ30" s="13"/>
      <c r="AR30" s="29">
        <f t="shared" si="70"/>
        <v>23379.25</v>
      </c>
      <c r="AS30" s="32">
        <v>500000</v>
      </c>
      <c r="AT30" s="29">
        <f t="shared" si="75"/>
        <v>500000</v>
      </c>
      <c r="AU30" s="34"/>
      <c r="AV30" s="31">
        <f t="shared" si="72"/>
        <v>0</v>
      </c>
      <c r="AW30" s="79"/>
      <c r="AX30" s="79"/>
      <c r="AY30" s="75">
        <v>0</v>
      </c>
      <c r="AZ30" s="77" t="s">
        <v>165</v>
      </c>
    </row>
    <row r="31" spans="1:52" ht="14.4" x14ac:dyDescent="0.3">
      <c r="A31" s="21">
        <v>1058</v>
      </c>
      <c r="B31" s="69" t="e">
        <f>VLOOKUP(A31,#REF!,2,FALSE)</f>
        <v>#REF!</v>
      </c>
      <c r="C31" s="2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28</v>
      </c>
      <c r="J31" s="100">
        <v>28</v>
      </c>
      <c r="K31" s="71">
        <f>'Jan 2026'!O31</f>
        <v>3</v>
      </c>
      <c r="L31" s="101">
        <v>0</v>
      </c>
      <c r="M31" s="38">
        <v>1</v>
      </c>
      <c r="N31" s="24">
        <f t="shared" si="52"/>
        <v>0</v>
      </c>
      <c r="O31" s="24">
        <f t="shared" si="53"/>
        <v>2</v>
      </c>
      <c r="P31" s="24">
        <f t="shared" si="54"/>
        <v>28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55"/>
        <v>24100</v>
      </c>
      <c r="X31" s="30">
        <f t="shared" si="56"/>
        <v>14999.999999999998</v>
      </c>
      <c r="Y31" s="30">
        <f t="shared" si="57"/>
        <v>2800</v>
      </c>
      <c r="Z31" s="30">
        <f t="shared" si="58"/>
        <v>1800.0000000000002</v>
      </c>
      <c r="AA31" s="30">
        <f t="shared" si="59"/>
        <v>1300</v>
      </c>
      <c r="AB31" s="121"/>
      <c r="AC31" s="106"/>
      <c r="AD31" s="12"/>
      <c r="AE31" s="10"/>
      <c r="AF31" s="31">
        <v>0</v>
      </c>
      <c r="AG31" s="29">
        <f t="shared" si="61"/>
        <v>1799.9999999999998</v>
      </c>
      <c r="AH31" s="29">
        <f t="shared" si="76"/>
        <v>0</v>
      </c>
      <c r="AI31" s="29">
        <f t="shared" si="63"/>
        <v>156.75</v>
      </c>
      <c r="AJ31" s="13"/>
      <c r="AK31" s="29">
        <f t="shared" si="64"/>
        <v>20900</v>
      </c>
      <c r="AL31" s="29">
        <f t="shared" si="65"/>
        <v>1956.7499999999998</v>
      </c>
      <c r="AM31" s="29">
        <f t="shared" si="66"/>
        <v>18943.25</v>
      </c>
      <c r="AN31" s="33">
        <f t="shared" si="67"/>
        <v>18943</v>
      </c>
      <c r="AO31" s="29">
        <f t="shared" si="68"/>
        <v>679.25</v>
      </c>
      <c r="AP31" s="29">
        <f t="shared" si="69"/>
        <v>1799.9999999999998</v>
      </c>
      <c r="AQ31" s="13"/>
      <c r="AR31" s="29">
        <f t="shared" si="70"/>
        <v>23379.25</v>
      </c>
      <c r="AS31" s="29">
        <f>'Jan 2026'!AT31</f>
        <v>0</v>
      </c>
      <c r="AT31" s="29">
        <f t="shared" si="75"/>
        <v>0</v>
      </c>
      <c r="AU31" s="34"/>
      <c r="AV31" s="31">
        <f t="shared" si="72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28</v>
      </c>
      <c r="J32" s="100">
        <v>28</v>
      </c>
      <c r="K32" s="71">
        <f>'Jan 2026'!O32</f>
        <v>2.5</v>
      </c>
      <c r="L32" s="101">
        <v>0</v>
      </c>
      <c r="M32" s="104">
        <v>1</v>
      </c>
      <c r="N32" s="24">
        <f t="shared" si="52"/>
        <v>0</v>
      </c>
      <c r="O32" s="71">
        <f t="shared" si="53"/>
        <v>1.5</v>
      </c>
      <c r="P32" s="71">
        <f t="shared" si="54"/>
        <v>28</v>
      </c>
      <c r="Q32" s="74">
        <v>90000</v>
      </c>
      <c r="R32" s="13"/>
      <c r="S32" s="13"/>
      <c r="T32" s="13"/>
      <c r="U32" s="13"/>
      <c r="V32" s="13"/>
      <c r="W32" s="75">
        <f t="shared" si="55"/>
        <v>90000</v>
      </c>
      <c r="X32" s="76">
        <f t="shared" si="56"/>
        <v>90000</v>
      </c>
      <c r="Y32" s="76">
        <f t="shared" si="57"/>
        <v>0</v>
      </c>
      <c r="Z32" s="76">
        <f t="shared" si="58"/>
        <v>0</v>
      </c>
      <c r="AA32" s="76">
        <f t="shared" si="59"/>
        <v>0</v>
      </c>
      <c r="AB32" s="10">
        <f>U32*0.9</f>
        <v>0</v>
      </c>
      <c r="AC32" s="9">
        <f>V32*0.9*1</f>
        <v>0</v>
      </c>
      <c r="AD32" s="12"/>
      <c r="AE32" s="41"/>
      <c r="AF32" s="77">
        <v>0</v>
      </c>
      <c r="AG32" s="75">
        <v>0</v>
      </c>
      <c r="AH32" s="75">
        <v>0</v>
      </c>
      <c r="AI32" s="29">
        <f t="shared" si="63"/>
        <v>0</v>
      </c>
      <c r="AJ32" s="13"/>
      <c r="AK32" s="75">
        <f t="shared" si="64"/>
        <v>90000</v>
      </c>
      <c r="AL32" s="75">
        <f t="shared" si="65"/>
        <v>9000</v>
      </c>
      <c r="AM32" s="75">
        <f t="shared" si="66"/>
        <v>90000</v>
      </c>
      <c r="AN32" s="78">
        <f t="shared" si="67"/>
        <v>81000</v>
      </c>
      <c r="AO32" s="75">
        <f t="shared" si="68"/>
        <v>0</v>
      </c>
      <c r="AP32" s="75">
        <f t="shared" si="69"/>
        <v>0</v>
      </c>
      <c r="AQ32" s="13"/>
      <c r="AR32" s="75">
        <f t="shared" si="70"/>
        <v>90000</v>
      </c>
      <c r="AS32" s="29">
        <f>'Jan 2026'!AT32</f>
        <v>0</v>
      </c>
      <c r="AT32" s="75">
        <f t="shared" si="75"/>
        <v>0</v>
      </c>
      <c r="AU32" s="92">
        <f>(0.1*AK32)</f>
        <v>9000</v>
      </c>
      <c r="AV32" s="77">
        <f t="shared" si="72"/>
        <v>0</v>
      </c>
      <c r="AW32" s="93">
        <f>AU32+'Apr 2025'!AU32+'May 2025'!AU32+'June 2025'!AU32+'July 2025'!AU32+'Aug 2025'!AU32+'Sep 2025'!AU32+'Oct 2025'!AU32+'Nov 2025'!AU32+'Dec 2025'!AU32+'Jan 2026'!AU32</f>
        <v>84221.017161033407</v>
      </c>
      <c r="AX32" s="113"/>
      <c r="AY32" s="75">
        <v>0</v>
      </c>
      <c r="AZ32" s="77" t="s">
        <v>165</v>
      </c>
    </row>
    <row r="33" spans="1:52" ht="14.4" x14ac:dyDescent="0.3">
      <c r="A33" s="21">
        <v>1062</v>
      </c>
      <c r="B33" s="69" t="e">
        <f>VLOOKUP(A33,#REF!,2,FALSE)</f>
        <v>#REF!</v>
      </c>
      <c r="C33" s="2" t="e">
        <f>VLOOKUP(A33,#REF!,19,FALSE)</f>
        <v>#REF!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28</v>
      </c>
      <c r="J33" s="100">
        <v>28</v>
      </c>
      <c r="K33" s="71">
        <f>'Jan 2026'!O33</f>
        <v>2</v>
      </c>
      <c r="L33" s="101">
        <v>2</v>
      </c>
      <c r="M33" s="104">
        <v>4</v>
      </c>
      <c r="N33" s="71">
        <f t="shared" si="52"/>
        <v>0</v>
      </c>
      <c r="O33" s="71">
        <f t="shared" si="53"/>
        <v>0</v>
      </c>
      <c r="P33" s="71">
        <f t="shared" si="54"/>
        <v>28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55"/>
        <v>18500</v>
      </c>
      <c r="X33" s="76">
        <f t="shared" si="56"/>
        <v>14999.999999999998</v>
      </c>
      <c r="Y33" s="76">
        <f t="shared" si="57"/>
        <v>1500</v>
      </c>
      <c r="Z33" s="76">
        <f t="shared" si="58"/>
        <v>0</v>
      </c>
      <c r="AA33" s="76">
        <f t="shared" si="59"/>
        <v>0</v>
      </c>
      <c r="AB33" s="121"/>
      <c r="AC33" s="106"/>
      <c r="AD33" s="53"/>
      <c r="AE33" s="10"/>
      <c r="AF33" s="77">
        <v>0</v>
      </c>
      <c r="AG33" s="29">
        <f t="shared" ref="AG33:AG34" si="77">IF(X33&gt;15000,(15000 * 12%),X33*0.12)</f>
        <v>1799.9999999999998</v>
      </c>
      <c r="AH33" s="29">
        <f t="shared" ref="AH33:AH34" si="78">IF(SUM(X33:AA33)&gt;=25000, 200, 0)</f>
        <v>0</v>
      </c>
      <c r="AI33" s="29">
        <f t="shared" si="63"/>
        <v>123.75</v>
      </c>
      <c r="AJ33" s="54">
        <v>1500</v>
      </c>
      <c r="AK33" s="75">
        <f t="shared" si="64"/>
        <v>16500</v>
      </c>
      <c r="AL33" s="75">
        <f t="shared" si="65"/>
        <v>3423.75</v>
      </c>
      <c r="AM33" s="75">
        <f t="shared" si="66"/>
        <v>13076.25</v>
      </c>
      <c r="AN33" s="78">
        <f t="shared" si="67"/>
        <v>13076</v>
      </c>
      <c r="AO33" s="29">
        <f t="shared" si="68"/>
        <v>536.25</v>
      </c>
      <c r="AP33" s="29">
        <f t="shared" si="69"/>
        <v>1799.9999999999998</v>
      </c>
      <c r="AQ33" s="13"/>
      <c r="AR33" s="75">
        <f t="shared" si="70"/>
        <v>18836.25</v>
      </c>
      <c r="AS33" s="29">
        <f>'Jan 2026'!AT33</f>
        <v>48500</v>
      </c>
      <c r="AT33" s="75">
        <f t="shared" si="75"/>
        <v>47000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69" t="e">
        <f>VLOOKUP(A34,#REF!,2,FALSE)</f>
        <v>#REF!</v>
      </c>
      <c r="C34" s="2" t="e">
        <f>VLOOKUP(A34,#REF!,19,FALSE)</f>
        <v>#REF!</v>
      </c>
      <c r="D34" s="1"/>
      <c r="E34" s="8" t="e">
        <f>VLOOKUP(A34,#REF!,10,FALSE)</f>
        <v>#REF!</v>
      </c>
      <c r="F34" s="8" t="e">
        <f>VLOOKUP(A34,#REF!,11,FALSE)</f>
        <v>#REF!</v>
      </c>
      <c r="G34" s="8" t="e">
        <f>VLOOKUP(A34,#REF!,12,FALSE)</f>
        <v>#REF!</v>
      </c>
      <c r="H34" s="1"/>
      <c r="I34" s="100">
        <v>28</v>
      </c>
      <c r="J34" s="100">
        <v>28</v>
      </c>
      <c r="K34" s="71">
        <f>'Jan 2026'!O34</f>
        <v>3</v>
      </c>
      <c r="L34" s="101">
        <v>1</v>
      </c>
      <c r="M34" s="104">
        <v>1</v>
      </c>
      <c r="N34" s="71">
        <f t="shared" si="52"/>
        <v>0</v>
      </c>
      <c r="O34" s="71">
        <f t="shared" si="53"/>
        <v>3</v>
      </c>
      <c r="P34" s="71">
        <f t="shared" si="54"/>
        <v>28</v>
      </c>
      <c r="Q34" s="36">
        <v>15000</v>
      </c>
      <c r="R34" s="107">
        <v>3500</v>
      </c>
      <c r="S34" s="13"/>
      <c r="T34" s="13"/>
      <c r="U34" s="107">
        <v>1000</v>
      </c>
      <c r="V34" s="107">
        <v>1000</v>
      </c>
      <c r="W34" s="75">
        <f t="shared" si="55"/>
        <v>20500</v>
      </c>
      <c r="X34" s="76">
        <f t="shared" si="56"/>
        <v>14999.999999999998</v>
      </c>
      <c r="Y34" s="76">
        <f t="shared" si="57"/>
        <v>3500</v>
      </c>
      <c r="Z34" s="76">
        <f t="shared" si="58"/>
        <v>0</v>
      </c>
      <c r="AA34" s="76">
        <f t="shared" si="59"/>
        <v>0</v>
      </c>
      <c r="AB34" s="10">
        <f>U34*1</f>
        <v>1000</v>
      </c>
      <c r="AC34" s="9">
        <f>V34*0.9*1</f>
        <v>900</v>
      </c>
      <c r="AD34" s="53"/>
      <c r="AE34" s="10"/>
      <c r="AF34" s="77">
        <v>0</v>
      </c>
      <c r="AG34" s="29">
        <f t="shared" si="77"/>
        <v>1799.9999999999998</v>
      </c>
      <c r="AH34" s="29">
        <f t="shared" si="78"/>
        <v>0</v>
      </c>
      <c r="AI34" s="29">
        <f t="shared" si="63"/>
        <v>138.75</v>
      </c>
      <c r="AJ34" s="54"/>
      <c r="AK34" s="75">
        <f t="shared" si="64"/>
        <v>20400</v>
      </c>
      <c r="AL34" s="75">
        <f t="shared" si="65"/>
        <v>1938.7499999999998</v>
      </c>
      <c r="AM34" s="75">
        <f t="shared" si="66"/>
        <v>18461.25</v>
      </c>
      <c r="AN34" s="78">
        <f t="shared" si="67"/>
        <v>18461</v>
      </c>
      <c r="AO34" s="29">
        <f t="shared" si="68"/>
        <v>601.25</v>
      </c>
      <c r="AP34" s="29">
        <f t="shared" si="69"/>
        <v>1799.9999999999998</v>
      </c>
      <c r="AQ34" s="13"/>
      <c r="AR34" s="75">
        <f t="shared" si="70"/>
        <v>22801.25</v>
      </c>
      <c r="AS34" s="29">
        <f>'Jan 2026'!AT34</f>
        <v>0</v>
      </c>
      <c r="AT34" s="75">
        <f t="shared" si="75"/>
        <v>0</v>
      </c>
      <c r="AU34" s="34"/>
      <c r="AV34" s="77">
        <v>0</v>
      </c>
      <c r="AW34" s="79"/>
      <c r="AX34" s="64"/>
      <c r="AY34" s="94">
        <v>0</v>
      </c>
      <c r="AZ34" s="114" t="s">
        <v>165</v>
      </c>
    </row>
    <row r="35" spans="1:52" ht="14.4" x14ac:dyDescent="0.3">
      <c r="A35" s="105">
        <v>1064</v>
      </c>
      <c r="B35" s="69" t="e">
        <f>VLOOKUP(A35,#REF!,2,FALSE)</f>
        <v>#REF!</v>
      </c>
      <c r="C35" s="2" t="e">
        <f>VLOOKUP(A35,#REF!,19,FALSE)</f>
        <v>#REF!</v>
      </c>
      <c r="D35" s="1"/>
      <c r="E35" s="8" t="e">
        <f>VLOOKUP(A35,#REF!,10,FALSE)</f>
        <v>#REF!</v>
      </c>
      <c r="F35" s="8" t="e">
        <f>VLOOKUP(A35,#REF!,11,FALSE)</f>
        <v>#REF!</v>
      </c>
      <c r="G35" s="8" t="e">
        <f>VLOOKUP(A35,#REF!,12,FALSE)</f>
        <v>#REF!</v>
      </c>
      <c r="H35" s="1"/>
      <c r="I35" s="100">
        <v>28</v>
      </c>
      <c r="J35" s="100">
        <v>28</v>
      </c>
      <c r="K35" s="71">
        <f>'Jan 2026'!O35</f>
        <v>0.5</v>
      </c>
      <c r="L35" s="101">
        <v>0</v>
      </c>
      <c r="M35" s="104">
        <v>2</v>
      </c>
      <c r="N35" s="71">
        <f t="shared" si="52"/>
        <v>1.5</v>
      </c>
      <c r="O35" s="71">
        <f t="shared" si="53"/>
        <v>0</v>
      </c>
      <c r="P35" s="71">
        <f t="shared" si="54"/>
        <v>26.5</v>
      </c>
      <c r="Q35" s="37">
        <v>10000</v>
      </c>
      <c r="R35" s="74"/>
      <c r="S35" s="13"/>
      <c r="T35" s="13"/>
      <c r="U35" s="74"/>
      <c r="V35" s="74"/>
      <c r="W35" s="75">
        <f t="shared" si="55"/>
        <v>10000</v>
      </c>
      <c r="X35" s="76">
        <f t="shared" si="56"/>
        <v>9464.2857142857138</v>
      </c>
      <c r="Y35" s="76">
        <f t="shared" si="57"/>
        <v>0</v>
      </c>
      <c r="Z35" s="76">
        <f t="shared" si="58"/>
        <v>0</v>
      </c>
      <c r="AA35" s="76">
        <f t="shared" si="59"/>
        <v>0</v>
      </c>
      <c r="AB35" s="10"/>
      <c r="AC35" s="9"/>
      <c r="AD35" s="53"/>
      <c r="AE35" s="10"/>
      <c r="AF35" s="77"/>
      <c r="AG35" s="29"/>
      <c r="AH35" s="29"/>
      <c r="AI35" s="29"/>
      <c r="AJ35" s="54"/>
      <c r="AK35" s="75">
        <f t="shared" si="64"/>
        <v>9464.2857142857138</v>
      </c>
      <c r="AL35" s="75">
        <f t="shared" si="65"/>
        <v>0</v>
      </c>
      <c r="AM35" s="75">
        <f t="shared" si="66"/>
        <v>9464.2857142857138</v>
      </c>
      <c r="AN35" s="78">
        <f t="shared" si="67"/>
        <v>9464</v>
      </c>
      <c r="AO35" s="75"/>
      <c r="AP35" s="75"/>
      <c r="AQ35" s="13"/>
      <c r="AR35" s="75"/>
      <c r="AS35" s="29">
        <f>'Jan 2026'!AT35</f>
        <v>0</v>
      </c>
      <c r="AT35" s="75"/>
      <c r="AU35" s="34"/>
      <c r="AV35" s="77"/>
      <c r="AW35" s="79"/>
      <c r="AX35" s="64"/>
      <c r="AY35" s="94"/>
      <c r="AZ35" s="114" t="s">
        <v>165</v>
      </c>
    </row>
    <row r="36" spans="1:52" ht="14.4" x14ac:dyDescent="0.3">
      <c r="A36" s="105">
        <v>1065</v>
      </c>
      <c r="B36" s="69" t="e">
        <f>VLOOKUP(A36,#REF!,2,FALSE)</f>
        <v>#REF!</v>
      </c>
      <c r="C36" s="2" t="e">
        <f>VLOOKUP(A36,#REF!,19,FALSE)</f>
        <v>#REF!</v>
      </c>
      <c r="D36" s="1"/>
      <c r="E36" s="8" t="e">
        <f>VLOOKUP(A36,#REF!,10,FALSE)</f>
        <v>#REF!</v>
      </c>
      <c r="F36" s="8" t="e">
        <f>VLOOKUP(A36,#REF!,11,FALSE)</f>
        <v>#REF!</v>
      </c>
      <c r="G36" s="8" t="e">
        <f>VLOOKUP(A36,#REF!,12,FALSE)</f>
        <v>#REF!</v>
      </c>
      <c r="H36" s="1"/>
      <c r="I36" s="100">
        <v>28</v>
      </c>
      <c r="J36" s="100">
        <v>0</v>
      </c>
      <c r="K36" s="71">
        <f>'Jan 2026'!O36</f>
        <v>0</v>
      </c>
      <c r="L36" s="101">
        <v>0</v>
      </c>
      <c r="M36" s="3">
        <v>0</v>
      </c>
      <c r="N36" s="115">
        <v>0</v>
      </c>
      <c r="O36" s="71">
        <f t="shared" si="53"/>
        <v>0</v>
      </c>
      <c r="P36" s="115">
        <v>0</v>
      </c>
      <c r="Q36" s="37">
        <v>0</v>
      </c>
      <c r="R36" s="107">
        <v>0</v>
      </c>
      <c r="S36" s="54">
        <v>0</v>
      </c>
      <c r="T36" s="54">
        <v>0</v>
      </c>
      <c r="U36" s="107">
        <v>0</v>
      </c>
      <c r="V36" s="107">
        <v>0</v>
      </c>
      <c r="W36" s="103">
        <v>0</v>
      </c>
      <c r="X36" s="140">
        <v>0</v>
      </c>
      <c r="Y36" s="140">
        <v>0</v>
      </c>
      <c r="Z36" s="140">
        <v>0</v>
      </c>
      <c r="AA36" s="140">
        <v>0</v>
      </c>
      <c r="AB36" s="41">
        <v>0</v>
      </c>
      <c r="AC36" s="49">
        <v>0</v>
      </c>
      <c r="AD36" s="53">
        <v>0</v>
      </c>
      <c r="AE36" s="41">
        <v>0</v>
      </c>
      <c r="AF36" s="114">
        <v>0</v>
      </c>
      <c r="AG36" s="32">
        <v>0</v>
      </c>
      <c r="AH36" s="32">
        <v>0</v>
      </c>
      <c r="AI36" s="32">
        <v>0</v>
      </c>
      <c r="AJ36" s="54">
        <v>0</v>
      </c>
      <c r="AK36" s="103">
        <v>0</v>
      </c>
      <c r="AL36" s="103">
        <v>0</v>
      </c>
      <c r="AM36" s="75">
        <f t="shared" si="66"/>
        <v>0</v>
      </c>
      <c r="AN36" s="78">
        <f t="shared" si="67"/>
        <v>0</v>
      </c>
      <c r="AO36" s="103">
        <v>0</v>
      </c>
      <c r="AP36" s="103">
        <v>0</v>
      </c>
      <c r="AQ36" s="54">
        <v>0</v>
      </c>
      <c r="AR36" s="103">
        <v>0</v>
      </c>
      <c r="AS36" s="29">
        <f>'Jan 2026'!AT36</f>
        <v>0</v>
      </c>
      <c r="AT36" s="103">
        <v>0</v>
      </c>
      <c r="AU36" s="47">
        <v>0</v>
      </c>
      <c r="AV36" s="114">
        <v>0</v>
      </c>
      <c r="AW36" s="138">
        <v>0</v>
      </c>
      <c r="AX36" s="113">
        <v>0</v>
      </c>
      <c r="AY36" s="141">
        <v>0</v>
      </c>
      <c r="AZ36" s="114" t="s">
        <v>166</v>
      </c>
    </row>
    <row r="37" spans="1:52" ht="14.4" x14ac:dyDescent="0.3">
      <c r="A37" s="142">
        <v>1066</v>
      </c>
      <c r="B37" s="69" t="e">
        <f>VLOOKUP(A37,#REF!,2,FALSE)</f>
        <v>#REF!</v>
      </c>
      <c r="C37" s="2" t="e">
        <f>VLOOKUP(A37,#REF!,19,FALSE)</f>
        <v>#REF!</v>
      </c>
      <c r="D37" s="1"/>
      <c r="E37" s="8" t="e">
        <f>VLOOKUP(A37,#REF!,10,FALSE)</f>
        <v>#REF!</v>
      </c>
      <c r="F37" s="8" t="e">
        <f>VLOOKUP(A37,#REF!,11,FALSE)</f>
        <v>#REF!</v>
      </c>
      <c r="G37" s="8" t="e">
        <f>VLOOKUP(A37,#REF!,12,FALSE)</f>
        <v>#REF!</v>
      </c>
      <c r="H37" s="1"/>
      <c r="I37" s="100">
        <v>28</v>
      </c>
      <c r="J37" s="100">
        <v>28</v>
      </c>
      <c r="K37" s="115">
        <v>0</v>
      </c>
      <c r="L37" s="101">
        <v>2</v>
      </c>
      <c r="M37" s="3">
        <v>1</v>
      </c>
      <c r="N37" s="115">
        <v>0</v>
      </c>
      <c r="O37" s="71">
        <f t="shared" si="53"/>
        <v>1</v>
      </c>
      <c r="P37" s="71">
        <f t="shared" ref="P37:P38" si="79">J37-N37</f>
        <v>28</v>
      </c>
      <c r="Q37" s="37">
        <v>10000</v>
      </c>
      <c r="R37" s="107">
        <v>0</v>
      </c>
      <c r="S37" s="54">
        <v>0</v>
      </c>
      <c r="T37" s="54">
        <v>0</v>
      </c>
      <c r="U37" s="107">
        <v>0</v>
      </c>
      <c r="V37" s="107">
        <v>0</v>
      </c>
      <c r="W37" s="75">
        <f t="shared" ref="W37:W38" si="80">SUM(Q37:V37)</f>
        <v>10000</v>
      </c>
      <c r="X37" s="76">
        <f t="shared" ref="X37:X38" si="81">(Q37/I37*(J37)) * (1-N37/J37)</f>
        <v>10000</v>
      </c>
      <c r="Y37" s="140">
        <v>0</v>
      </c>
      <c r="Z37" s="140">
        <v>0</v>
      </c>
      <c r="AA37" s="140">
        <v>0</v>
      </c>
      <c r="AB37" s="41">
        <v>0</v>
      </c>
      <c r="AC37" s="49">
        <v>0</v>
      </c>
      <c r="AD37" s="53">
        <v>0</v>
      </c>
      <c r="AE37" s="41">
        <v>0</v>
      </c>
      <c r="AF37" s="114">
        <v>0</v>
      </c>
      <c r="AG37" s="32">
        <v>0</v>
      </c>
      <c r="AH37" s="32">
        <v>0</v>
      </c>
      <c r="AI37" s="32">
        <v>0</v>
      </c>
      <c r="AJ37" s="54">
        <v>0</v>
      </c>
      <c r="AK37" s="103">
        <v>0</v>
      </c>
      <c r="AL37" s="103">
        <v>0</v>
      </c>
      <c r="AM37" s="75">
        <f t="shared" si="66"/>
        <v>10000</v>
      </c>
      <c r="AN37" s="78">
        <f t="shared" si="67"/>
        <v>10000</v>
      </c>
      <c r="AO37" s="103">
        <v>0</v>
      </c>
      <c r="AP37" s="103">
        <v>0</v>
      </c>
      <c r="AQ37" s="54">
        <v>0</v>
      </c>
      <c r="AR37" s="103">
        <v>0</v>
      </c>
      <c r="AS37" s="29">
        <f>'Jan 2026'!AT37</f>
        <v>0</v>
      </c>
      <c r="AT37" s="103">
        <v>0</v>
      </c>
      <c r="AU37" s="47">
        <v>0</v>
      </c>
      <c r="AV37" s="114">
        <v>0</v>
      </c>
      <c r="AW37" s="138">
        <v>0</v>
      </c>
      <c r="AX37" s="113">
        <v>0</v>
      </c>
      <c r="AY37" s="141">
        <v>0</v>
      </c>
      <c r="AZ37" s="114" t="s">
        <v>165</v>
      </c>
    </row>
    <row r="38" spans="1:52" ht="14.4" x14ac:dyDescent="0.3">
      <c r="A38" s="142">
        <v>1067</v>
      </c>
      <c r="B38" s="69" t="e">
        <f>VLOOKUP(A38,#REF!,2,FALSE)</f>
        <v>#REF!</v>
      </c>
      <c r="C38" s="2" t="e">
        <f>VLOOKUP(A38,#REF!,19,FALSE)</f>
        <v>#REF!</v>
      </c>
      <c r="D38" s="1"/>
      <c r="E38" s="8" t="e">
        <f>VLOOKUP(A38,#REF!,10,FALSE)</f>
        <v>#REF!</v>
      </c>
      <c r="F38" s="8" t="e">
        <f>VLOOKUP(A38,#REF!,11,FALSE)</f>
        <v>#REF!</v>
      </c>
      <c r="G38" s="8" t="e">
        <f>VLOOKUP(A38,#REF!,12,FALSE)</f>
        <v>#REF!</v>
      </c>
      <c r="H38" s="1"/>
      <c r="I38" s="100">
        <v>28</v>
      </c>
      <c r="J38" s="100">
        <v>6</v>
      </c>
      <c r="K38" s="115">
        <v>0</v>
      </c>
      <c r="L38" s="101">
        <v>1</v>
      </c>
      <c r="M38" s="104">
        <v>0</v>
      </c>
      <c r="N38" s="24">
        <f>IF(K38+L38-M38 &gt;= 0,0,M38-(K38+L38))</f>
        <v>0</v>
      </c>
      <c r="O38" s="71">
        <f t="shared" si="53"/>
        <v>1</v>
      </c>
      <c r="P38" s="71">
        <f t="shared" si="79"/>
        <v>6</v>
      </c>
      <c r="Q38" s="107">
        <v>75000</v>
      </c>
      <c r="R38" s="13"/>
      <c r="S38" s="13"/>
      <c r="T38" s="13"/>
      <c r="U38" s="13"/>
      <c r="V38" s="13"/>
      <c r="W38" s="75">
        <f t="shared" si="80"/>
        <v>75000</v>
      </c>
      <c r="X38" s="76">
        <f t="shared" si="81"/>
        <v>16071.428571428571</v>
      </c>
      <c r="Y38" s="76">
        <f>(R38/I38*(J38)) * (1-N38/J38)</f>
        <v>0</v>
      </c>
      <c r="Z38" s="76">
        <f>(S38/I38*(J38)) * (1-N38/J38)</f>
        <v>0</v>
      </c>
      <c r="AA38" s="76">
        <f>(T38/I38*(J38)) * (1-N38/J38)</f>
        <v>0</v>
      </c>
      <c r="AB38" s="10">
        <f>U38*0.9</f>
        <v>0</v>
      </c>
      <c r="AC38" s="9">
        <f>V38*0.9*1</f>
        <v>0</v>
      </c>
      <c r="AD38" s="12"/>
      <c r="AE38" s="41"/>
      <c r="AF38" s="77">
        <v>0</v>
      </c>
      <c r="AG38" s="75">
        <v>0</v>
      </c>
      <c r="AH38" s="75">
        <v>0</v>
      </c>
      <c r="AI38" s="29">
        <f>IF(SUM(Q38:T38) &lt; 21000, SUM(X38:AA38)*0.0075, 0)</f>
        <v>0</v>
      </c>
      <c r="AJ38" s="13"/>
      <c r="AK38" s="75">
        <f>SUM(X38:AF38)</f>
        <v>16071.428571428571</v>
      </c>
      <c r="AL38" s="75">
        <f>SUM(AG38:AJ38)+AU38</f>
        <v>1607.1428571428571</v>
      </c>
      <c r="AM38" s="75">
        <f t="shared" si="66"/>
        <v>16071.428571428571</v>
      </c>
      <c r="AN38" s="78">
        <f t="shared" si="67"/>
        <v>14463.857142857143</v>
      </c>
      <c r="AO38" s="75">
        <f>AI38/0.0075*0.0325</f>
        <v>0</v>
      </c>
      <c r="AP38" s="75">
        <f>AG38</f>
        <v>0</v>
      </c>
      <c r="AQ38" s="13"/>
      <c r="AR38" s="75">
        <f>AK38+AO38+AP38</f>
        <v>16071.428571428571</v>
      </c>
      <c r="AS38" s="29">
        <f>'Jan 2026'!AT38</f>
        <v>0</v>
      </c>
      <c r="AT38" s="75">
        <f>AS38+AD38-AJ38</f>
        <v>0</v>
      </c>
      <c r="AU38" s="92">
        <f>(0.1*AK38)</f>
        <v>1607.1428571428571</v>
      </c>
      <c r="AV38" s="77">
        <f>AF38*12</f>
        <v>0</v>
      </c>
      <c r="AW38" s="93">
        <f>AU38+'Apr 2025'!AU38+'May 2025'!AU38+'June 2025'!AU38+'July 2025'!AU38+'Aug 2025'!AU38+'Sep 2025'!AU38+'Oct 2025'!AU38+'Nov 2025'!AU38+'Dec 2025'!AU38+'Jan 2026'!AU38</f>
        <v>1607.1428571428571</v>
      </c>
      <c r="AX38" s="113"/>
      <c r="AY38" s="75">
        <v>0</v>
      </c>
      <c r="AZ38" s="77" t="s">
        <v>165</v>
      </c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autoFilter ref="A2:AZ38"/>
  <mergeCells count="2">
    <mergeCell ref="X1:AF1"/>
    <mergeCell ref="AG1:AM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  <col min="29" max="29" width="13.44140625" customWidth="1"/>
  </cols>
  <sheetData>
    <row r="1" spans="1:52" ht="14.4" x14ac:dyDescent="0.3">
      <c r="A1" s="1"/>
      <c r="B1" s="11">
        <v>46082</v>
      </c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66" t="s">
        <v>116</v>
      </c>
      <c r="Y1" s="164"/>
      <c r="Z1" s="164"/>
      <c r="AA1" s="164"/>
      <c r="AB1" s="164"/>
      <c r="AC1" s="164"/>
      <c r="AD1" s="164"/>
      <c r="AE1" s="164"/>
      <c r="AF1" s="165"/>
      <c r="AG1" s="167" t="s">
        <v>117</v>
      </c>
      <c r="AH1" s="164"/>
      <c r="AI1" s="164"/>
      <c r="AJ1" s="164"/>
      <c r="AK1" s="164"/>
      <c r="AL1" s="164"/>
      <c r="AM1" s="165"/>
      <c r="AN1" s="14"/>
      <c r="AO1" s="13"/>
      <c r="AP1" s="13"/>
      <c r="AQ1" s="13"/>
      <c r="AR1" s="13"/>
      <c r="AS1" s="13"/>
      <c r="AT1" s="13"/>
      <c r="AU1" s="13"/>
      <c r="AV1" s="12"/>
      <c r="AW1" s="64"/>
      <c r="AX1" s="64"/>
      <c r="AY1" s="13"/>
      <c r="AZ1" s="12"/>
    </row>
    <row r="2" spans="1:52" ht="57.6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9" t="s">
        <v>139</v>
      </c>
      <c r="Y2" s="19" t="s">
        <v>140</v>
      </c>
      <c r="Z2" s="19" t="s">
        <v>141</v>
      </c>
      <c r="AA2" s="19" t="s">
        <v>142</v>
      </c>
      <c r="AB2" s="17" t="s">
        <v>136</v>
      </c>
      <c r="AC2" s="17" t="s">
        <v>170</v>
      </c>
      <c r="AD2" s="17" t="s">
        <v>143</v>
      </c>
      <c r="AE2" s="17" t="s">
        <v>144</v>
      </c>
      <c r="AF2" s="17" t="s">
        <v>145</v>
      </c>
      <c r="AG2" s="18" t="s">
        <v>146</v>
      </c>
      <c r="AH2" s="18" t="s">
        <v>147</v>
      </c>
      <c r="AI2" s="18" t="s">
        <v>148</v>
      </c>
      <c r="AJ2" s="18" t="s">
        <v>149</v>
      </c>
      <c r="AK2" s="18" t="s">
        <v>150</v>
      </c>
      <c r="AL2" s="18" t="s">
        <v>151</v>
      </c>
      <c r="AM2" s="18" t="s">
        <v>152</v>
      </c>
      <c r="AN2" s="20" t="s">
        <v>153</v>
      </c>
      <c r="AO2" s="18" t="s">
        <v>154</v>
      </c>
      <c r="AP2" s="18" t="s">
        <v>155</v>
      </c>
      <c r="AQ2" s="18" t="s">
        <v>156</v>
      </c>
      <c r="AR2" s="18" t="s">
        <v>115</v>
      </c>
      <c r="AS2" s="65" t="s">
        <v>157</v>
      </c>
      <c r="AT2" s="18" t="s">
        <v>158</v>
      </c>
      <c r="AU2" s="18" t="s">
        <v>159</v>
      </c>
      <c r="AV2" s="17" t="s">
        <v>160</v>
      </c>
      <c r="AW2" s="65" t="s">
        <v>161</v>
      </c>
      <c r="AX2" s="66" t="s">
        <v>162</v>
      </c>
      <c r="AY2" s="18" t="s">
        <v>163</v>
      </c>
      <c r="AZ2" s="65" t="s">
        <v>164</v>
      </c>
    </row>
    <row r="3" spans="1:52" ht="14.4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31</v>
      </c>
      <c r="J3" s="100">
        <v>31</v>
      </c>
      <c r="K3" s="71">
        <f>'Feb 2026'!O3</f>
        <v>8</v>
      </c>
      <c r="L3" s="101">
        <v>0</v>
      </c>
      <c r="M3" s="73">
        <v>0</v>
      </c>
      <c r="N3" s="71">
        <f t="shared" ref="N3:N7" si="0">IF(K3+L3-M3 &gt;= 0,0,M3-(K3+L3))</f>
        <v>0</v>
      </c>
      <c r="O3" s="71">
        <f t="shared" ref="O3:O16" si="1">IF(K3+L3-M3&gt;0,K3+L3-M3,0)</f>
        <v>8</v>
      </c>
      <c r="P3" s="71">
        <f t="shared" ref="P3:P20" si="2">J3-N3</f>
        <v>31</v>
      </c>
      <c r="Q3" s="74">
        <v>30000</v>
      </c>
      <c r="R3" s="107">
        <v>15000</v>
      </c>
      <c r="S3" s="74">
        <v>7500</v>
      </c>
      <c r="T3" s="74">
        <v>7500</v>
      </c>
      <c r="U3" s="74">
        <v>0</v>
      </c>
      <c r="V3" s="74">
        <v>40000</v>
      </c>
      <c r="W3" s="75">
        <f t="shared" ref="W3:W7" si="3">SUM(Q3:V3)</f>
        <v>100000</v>
      </c>
      <c r="X3" s="76">
        <f t="shared" ref="X3:X7" si="4">(Q3/I3*(J3)) * (1-N3/J3)</f>
        <v>30000</v>
      </c>
      <c r="Y3" s="76">
        <f t="shared" ref="Y3:Y7" si="5">(R3/I3*(J3)) * (1-N3/J3)</f>
        <v>15000</v>
      </c>
      <c r="Z3" s="76">
        <f t="shared" ref="Z3:Z7" si="6">(S3/I3*(J3)) * (1-N3/J3)</f>
        <v>7500</v>
      </c>
      <c r="AA3" s="76">
        <f t="shared" ref="AA3:AA7" si="7">(T3/I3*(J3)) * (1-N3/J3)</f>
        <v>7500</v>
      </c>
      <c r="AB3" s="10"/>
      <c r="AC3" s="106">
        <f t="shared" ref="AC3:AC4" si="8">V3*0.8</f>
        <v>32000</v>
      </c>
      <c r="AD3" s="12"/>
      <c r="AE3" s="10"/>
      <c r="AF3" s="77">
        <v>0</v>
      </c>
      <c r="AG3" s="75">
        <f t="shared" ref="AG3:AG7" si="9">IF(X3&gt;15000,(15000 * 12%),X3*0.12)</f>
        <v>1800</v>
      </c>
      <c r="AH3" s="103">
        <v>300</v>
      </c>
      <c r="AI3" s="75">
        <f t="shared" ref="AI3:AI4" si="10">IF(SUM(Q3:T3) &lt; 21000, SUM(X3:AA3)*0.0075, 0)</f>
        <v>0</v>
      </c>
      <c r="AJ3" s="13"/>
      <c r="AK3" s="75">
        <f t="shared" ref="AK3:AK4" si="11">SUM(X3:AF3)</f>
        <v>92000</v>
      </c>
      <c r="AL3" s="75">
        <f t="shared" ref="AL3:AL20" si="12">SUM(AG3:AJ3)+AU3</f>
        <v>2100</v>
      </c>
      <c r="AM3" s="75">
        <f t="shared" ref="AM3:AM4" si="13">SUM(X3:AF3)-SUM(AG3:AJ3)</f>
        <v>89900</v>
      </c>
      <c r="AN3" s="78">
        <f t="shared" ref="AN3:AN4" si="14">ROUND(AM3-AF3,0)+AV3-AU3</f>
        <v>89900</v>
      </c>
      <c r="AO3" s="75">
        <f t="shared" ref="AO3:AO14" si="15">AI3/0.0075*0.0325</f>
        <v>0</v>
      </c>
      <c r="AP3" s="75">
        <f t="shared" ref="AP3:AP4" si="16">AG3</f>
        <v>1800</v>
      </c>
      <c r="AQ3" s="13"/>
      <c r="AR3" s="75">
        <f t="shared" ref="AR3:AR20" si="17">AK3+AO3+AP3</f>
        <v>93800</v>
      </c>
      <c r="AS3" s="29">
        <f>'Nov 2025'!AT3</f>
        <v>0</v>
      </c>
      <c r="AT3" s="75">
        <f t="shared" ref="AT3:AT4" si="18">AS3+AD3-AJ3</f>
        <v>0</v>
      </c>
      <c r="AU3" s="34"/>
      <c r="AV3" s="77">
        <f t="shared" ref="AV3:AV4" si="19">AF3*12</f>
        <v>0</v>
      </c>
      <c r="AW3" s="79">
        <f t="shared" ref="AW3:AW17" si="20">AU3</f>
        <v>0</v>
      </c>
      <c r="AX3" s="79"/>
      <c r="AY3" s="75">
        <v>0</v>
      </c>
      <c r="AZ3" s="77" t="s">
        <v>165</v>
      </c>
    </row>
    <row r="4" spans="1:52" ht="14.4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31</v>
      </c>
      <c r="J4" s="100">
        <v>31</v>
      </c>
      <c r="K4" s="71">
        <f>'Feb 2026'!O4</f>
        <v>8</v>
      </c>
      <c r="L4" s="101">
        <v>0</v>
      </c>
      <c r="M4" s="73">
        <v>0</v>
      </c>
      <c r="N4" s="71">
        <f t="shared" si="0"/>
        <v>0</v>
      </c>
      <c r="O4" s="71">
        <f t="shared" si="1"/>
        <v>8</v>
      </c>
      <c r="P4" s="71">
        <f t="shared" si="2"/>
        <v>31</v>
      </c>
      <c r="Q4" s="74">
        <v>30000</v>
      </c>
      <c r="R4" s="107">
        <v>15000</v>
      </c>
      <c r="S4" s="74">
        <v>7500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f t="shared" si="4"/>
        <v>30000</v>
      </c>
      <c r="Y4" s="76">
        <f t="shared" si="5"/>
        <v>15000</v>
      </c>
      <c r="Z4" s="76">
        <f t="shared" si="6"/>
        <v>7500</v>
      </c>
      <c r="AA4" s="76">
        <f t="shared" si="7"/>
        <v>7500</v>
      </c>
      <c r="AB4" s="10"/>
      <c r="AC4" s="106">
        <f t="shared" si="8"/>
        <v>32000</v>
      </c>
      <c r="AD4" s="12"/>
      <c r="AE4" s="10"/>
      <c r="AF4" s="77">
        <v>0</v>
      </c>
      <c r="AG4" s="75">
        <f t="shared" si="9"/>
        <v>1800</v>
      </c>
      <c r="AH4" s="103">
        <v>300</v>
      </c>
      <c r="AI4" s="75">
        <f t="shared" si="10"/>
        <v>0</v>
      </c>
      <c r="AJ4" s="13"/>
      <c r="AK4" s="75">
        <f t="shared" si="11"/>
        <v>92000</v>
      </c>
      <c r="AL4" s="75">
        <f t="shared" si="12"/>
        <v>2100</v>
      </c>
      <c r="AM4" s="75">
        <f t="shared" si="13"/>
        <v>89900</v>
      </c>
      <c r="AN4" s="78">
        <f t="shared" si="14"/>
        <v>89900</v>
      </c>
      <c r="AO4" s="75">
        <f t="shared" si="15"/>
        <v>0</v>
      </c>
      <c r="AP4" s="75">
        <f t="shared" si="16"/>
        <v>1800</v>
      </c>
      <c r="AQ4" s="13"/>
      <c r="AR4" s="75">
        <f t="shared" si="17"/>
        <v>93800</v>
      </c>
      <c r="AS4" s="29">
        <f>'Nov 2025'!AT4</f>
        <v>0</v>
      </c>
      <c r="AT4" s="75">
        <f t="shared" si="18"/>
        <v>0</v>
      </c>
      <c r="AU4" s="34"/>
      <c r="AV4" s="77">
        <f t="shared" si="19"/>
        <v>0</v>
      </c>
      <c r="AW4" s="79">
        <f t="shared" si="20"/>
        <v>0</v>
      </c>
      <c r="AX4" s="79"/>
      <c r="AY4" s="75">
        <v>0</v>
      </c>
      <c r="AZ4" s="77" t="s">
        <v>165</v>
      </c>
    </row>
    <row r="5" spans="1:52" ht="14.4" x14ac:dyDescent="0.3">
      <c r="A5" s="81">
        <v>1001</v>
      </c>
      <c r="B5" s="69" t="e">
        <f>VLOOKUP(A5,#REF!,2,FALSE)</f>
        <v>#REF!</v>
      </c>
      <c r="C5" s="2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31</v>
      </c>
      <c r="J5" s="100">
        <v>31</v>
      </c>
      <c r="K5" s="71">
        <f>'Feb 2026'!O5</f>
        <v>0.5</v>
      </c>
      <c r="L5" s="101">
        <v>0</v>
      </c>
      <c r="M5" s="104">
        <v>0</v>
      </c>
      <c r="N5" s="24">
        <f t="shared" si="0"/>
        <v>0</v>
      </c>
      <c r="O5" s="24">
        <f t="shared" si="1"/>
        <v>0.5</v>
      </c>
      <c r="P5" s="24">
        <f t="shared" si="2"/>
        <v>31</v>
      </c>
      <c r="Q5" s="29">
        <v>15000</v>
      </c>
      <c r="R5" s="29">
        <v>3540</v>
      </c>
      <c r="S5" s="29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f t="shared" si="4"/>
        <v>15000</v>
      </c>
      <c r="Y5" s="30">
        <f t="shared" si="5"/>
        <v>3540</v>
      </c>
      <c r="Z5" s="30">
        <f t="shared" si="6"/>
        <v>1180</v>
      </c>
      <c r="AA5" s="30">
        <f t="shared" si="7"/>
        <v>1180</v>
      </c>
      <c r="AB5" s="121">
        <f t="shared" ref="AB5:AB7" si="21">U5*1*3</f>
        <v>9969</v>
      </c>
      <c r="AC5" s="106">
        <f t="shared" ref="AC5:AC7" si="22">V5*0.8*3</f>
        <v>7975.2000000000007</v>
      </c>
      <c r="AD5" s="9">
        <v>0</v>
      </c>
      <c r="AE5" s="41">
        <f>(3*600)+(3.5*300)</f>
        <v>2850</v>
      </c>
      <c r="AF5" s="42">
        <v>2277</v>
      </c>
      <c r="AG5" s="29">
        <f t="shared" si="9"/>
        <v>1800</v>
      </c>
      <c r="AH5" s="29">
        <f t="shared" ref="AH5:AH7" si="23">IF(SUM(X5:AA5)&gt;=25000, 200, 0)</f>
        <v>0</v>
      </c>
      <c r="AI5" s="29">
        <f t="shared" ref="AI5:AI6" si="24">IF(SUM(Q5:T5) &lt; 21000, SUM(X5:AA5)*0.75%, 0)</f>
        <v>156.75</v>
      </c>
      <c r="AJ5" s="32">
        <v>6000</v>
      </c>
      <c r="AK5" s="29">
        <f t="shared" ref="AK5:AK6" si="25">SUM(X5:AF5)-AD5</f>
        <v>43971.199999999997</v>
      </c>
      <c r="AL5" s="29">
        <f t="shared" si="12"/>
        <v>7956.75</v>
      </c>
      <c r="AM5" s="29">
        <f t="shared" ref="AM5:AM6" si="26">SUM(X5:AF5)-SUM(AG5:AJ5)-AD5</f>
        <v>36014.449999999997</v>
      </c>
      <c r="AN5" s="78">
        <f t="shared" ref="AN5:AN7" si="27">ROUND(AM5-AF5,0)-AU5</f>
        <v>33737</v>
      </c>
      <c r="AO5" s="29">
        <f t="shared" si="15"/>
        <v>679.25</v>
      </c>
      <c r="AP5" s="29">
        <f t="shared" ref="AP5:AP6" si="28">AG5/0.12*0.13</f>
        <v>1950</v>
      </c>
      <c r="AQ5" s="34"/>
      <c r="AR5" s="29">
        <f t="shared" si="17"/>
        <v>46600.45</v>
      </c>
      <c r="AS5" s="29">
        <f>'Feb 2026'!AT5</f>
        <v>177000</v>
      </c>
      <c r="AT5" s="29">
        <f t="shared" ref="AT5:AT20" si="29">AS5+AD5-AJ5-AY5</f>
        <v>171000</v>
      </c>
      <c r="AU5" s="34"/>
      <c r="AV5" s="102">
        <v>2277</v>
      </c>
      <c r="AW5" s="79">
        <f t="shared" si="20"/>
        <v>0</v>
      </c>
      <c r="AX5" s="79"/>
      <c r="AY5" s="75">
        <v>0</v>
      </c>
      <c r="AZ5" s="77" t="s">
        <v>165</v>
      </c>
    </row>
    <row r="6" spans="1:52" ht="14.4" x14ac:dyDescent="0.3">
      <c r="A6" s="81">
        <v>1006</v>
      </c>
      <c r="B6" s="69" t="e">
        <f>VLOOKUP(A6,#REF!,2,FALSE)</f>
        <v>#REF!</v>
      </c>
      <c r="C6" s="2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31</v>
      </c>
      <c r="J6" s="100">
        <v>31</v>
      </c>
      <c r="K6" s="71">
        <f>'Feb 2026'!O6</f>
        <v>2.5</v>
      </c>
      <c r="L6" s="101">
        <v>0</v>
      </c>
      <c r="M6" s="38">
        <v>1</v>
      </c>
      <c r="N6" s="24">
        <f t="shared" si="0"/>
        <v>0</v>
      </c>
      <c r="O6" s="24">
        <f t="shared" si="1"/>
        <v>1.5</v>
      </c>
      <c r="P6" s="24">
        <f t="shared" si="2"/>
        <v>31</v>
      </c>
      <c r="Q6" s="29">
        <v>15000</v>
      </c>
      <c r="R6" s="29">
        <v>3540</v>
      </c>
      <c r="S6" s="29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f t="shared" si="4"/>
        <v>15000</v>
      </c>
      <c r="Y6" s="30">
        <f t="shared" si="5"/>
        <v>3540</v>
      </c>
      <c r="Z6" s="30">
        <f t="shared" si="6"/>
        <v>1180</v>
      </c>
      <c r="AA6" s="30">
        <f t="shared" si="7"/>
        <v>1180</v>
      </c>
      <c r="AB6" s="121">
        <f t="shared" si="21"/>
        <v>13104</v>
      </c>
      <c r="AC6" s="106">
        <f t="shared" si="22"/>
        <v>10483.200000000001</v>
      </c>
      <c r="AD6" s="9">
        <v>0</v>
      </c>
      <c r="AE6" s="41">
        <f>(4*600)+(5*300)</f>
        <v>3900</v>
      </c>
      <c r="AF6" s="42">
        <v>2390</v>
      </c>
      <c r="AG6" s="29">
        <f t="shared" si="9"/>
        <v>1800</v>
      </c>
      <c r="AH6" s="29">
        <f t="shared" si="23"/>
        <v>0</v>
      </c>
      <c r="AI6" s="29">
        <f t="shared" si="24"/>
        <v>156.75</v>
      </c>
      <c r="AJ6" s="32">
        <v>0</v>
      </c>
      <c r="AK6" s="29">
        <f t="shared" si="25"/>
        <v>50777.2</v>
      </c>
      <c r="AL6" s="29">
        <f t="shared" si="12"/>
        <v>1956.75</v>
      </c>
      <c r="AM6" s="29">
        <f t="shared" si="26"/>
        <v>48820.45</v>
      </c>
      <c r="AN6" s="78">
        <f t="shared" si="27"/>
        <v>46430</v>
      </c>
      <c r="AO6" s="29">
        <f t="shared" si="15"/>
        <v>679.25</v>
      </c>
      <c r="AP6" s="29">
        <f t="shared" si="28"/>
        <v>1950</v>
      </c>
      <c r="AQ6" s="34"/>
      <c r="AR6" s="29">
        <f t="shared" si="17"/>
        <v>53406.45</v>
      </c>
      <c r="AS6" s="29">
        <f>'Feb 2026'!AT6</f>
        <v>0</v>
      </c>
      <c r="AT6" s="29">
        <f t="shared" si="29"/>
        <v>0</v>
      </c>
      <c r="AU6" s="34"/>
      <c r="AV6" s="102">
        <v>2390</v>
      </c>
      <c r="AW6" s="79">
        <f t="shared" si="20"/>
        <v>0</v>
      </c>
      <c r="AX6" s="79"/>
      <c r="AY6" s="103">
        <v>0</v>
      </c>
      <c r="AZ6" s="77" t="s">
        <v>165</v>
      </c>
    </row>
    <row r="7" spans="1:52" ht="14.4" x14ac:dyDescent="0.3">
      <c r="A7" s="81">
        <v>1024</v>
      </c>
      <c r="B7" s="69" t="e">
        <f>VLOOKUP(A7,#REF!,2,FALSE)</f>
        <v>#REF!</v>
      </c>
      <c r="C7" s="2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31</v>
      </c>
      <c r="J7" s="100">
        <v>31</v>
      </c>
      <c r="K7" s="71">
        <f>'Feb 2026'!O7</f>
        <v>1</v>
      </c>
      <c r="L7" s="101">
        <v>1</v>
      </c>
      <c r="M7" s="38">
        <v>1</v>
      </c>
      <c r="N7" s="24">
        <f t="shared" si="0"/>
        <v>0</v>
      </c>
      <c r="O7" s="24">
        <f t="shared" si="1"/>
        <v>1</v>
      </c>
      <c r="P7" s="24">
        <f t="shared" si="2"/>
        <v>31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f t="shared" si="4"/>
        <v>15000</v>
      </c>
      <c r="Y7" s="30">
        <f t="shared" si="5"/>
        <v>3388</v>
      </c>
      <c r="Z7" s="30">
        <f t="shared" si="6"/>
        <v>1796</v>
      </c>
      <c r="AA7" s="30">
        <f t="shared" si="7"/>
        <v>796</v>
      </c>
      <c r="AB7" s="121">
        <f t="shared" si="21"/>
        <v>2700</v>
      </c>
      <c r="AC7" s="106">
        <f t="shared" si="22"/>
        <v>2160</v>
      </c>
      <c r="AD7" s="10"/>
      <c r="AE7" s="41">
        <f>(5*600)+(4.5*300)</f>
        <v>4350</v>
      </c>
      <c r="AF7" s="42">
        <v>1823</v>
      </c>
      <c r="AG7" s="29">
        <f t="shared" si="9"/>
        <v>1800</v>
      </c>
      <c r="AH7" s="29">
        <f t="shared" si="23"/>
        <v>0</v>
      </c>
      <c r="AI7" s="29">
        <f t="shared" ref="AI7:AI9" si="30">IF(SUM(Q7:T7) &lt; 21000, SUM(X7:AA7)*0.0075, 0)</f>
        <v>157.35</v>
      </c>
      <c r="AJ7" s="32">
        <v>0</v>
      </c>
      <c r="AK7" s="29">
        <f t="shared" ref="AK7:AK20" si="31">SUM(X7:AF7)</f>
        <v>32013</v>
      </c>
      <c r="AL7" s="29">
        <f t="shared" si="12"/>
        <v>1957.35</v>
      </c>
      <c r="AM7" s="29">
        <f t="shared" ref="AM7:AM20" si="32">SUM(X7:AF7)-SUM(AG7:AJ7)</f>
        <v>30055.65</v>
      </c>
      <c r="AN7" s="78">
        <f t="shared" si="27"/>
        <v>28233</v>
      </c>
      <c r="AO7" s="29">
        <f t="shared" si="15"/>
        <v>681.85</v>
      </c>
      <c r="AP7" s="29">
        <f t="shared" ref="AP7:AP20" si="33">AG7</f>
        <v>1800</v>
      </c>
      <c r="AQ7" s="34"/>
      <c r="AR7" s="29">
        <f t="shared" si="17"/>
        <v>34494.85</v>
      </c>
      <c r="AS7" s="29">
        <f>'Feb 2026'!AT7</f>
        <v>0</v>
      </c>
      <c r="AT7" s="29">
        <f t="shared" si="29"/>
        <v>0</v>
      </c>
      <c r="AU7" s="34"/>
      <c r="AV7" s="102">
        <v>1823</v>
      </c>
      <c r="AW7" s="79">
        <f t="shared" si="20"/>
        <v>0</v>
      </c>
      <c r="AX7" s="79"/>
      <c r="AY7" s="103">
        <v>0</v>
      </c>
      <c r="AZ7" s="77" t="s">
        <v>165</v>
      </c>
    </row>
    <row r="8" spans="1:52" ht="14.4" hidden="1" x14ac:dyDescent="0.3">
      <c r="A8" s="116">
        <v>1028</v>
      </c>
      <c r="B8" s="122" t="e">
        <f>VLOOKUP(A8,#REF!,2,FALSE)</f>
        <v>#REF!</v>
      </c>
      <c r="C8" s="123" t="e">
        <f>VLOOKUP(A8,#REF!,19,FALSE)</f>
        <v>#REF!</v>
      </c>
      <c r="D8" s="118" t="e">
        <f>VLOOKUP(A8,#REF!,8,FALSE)</f>
        <v>#REF!</v>
      </c>
      <c r="E8" s="118" t="e">
        <f>VLOOKUP(A8,#REF!,10,FALSE)</f>
        <v>#REF!</v>
      </c>
      <c r="F8" s="118" t="e">
        <f>VLOOKUP(A8,#REF!,11,FALSE)</f>
        <v>#REF!</v>
      </c>
      <c r="G8" s="118" t="e">
        <f>VLOOKUP(A8,#REF!,12,FALSE)</f>
        <v>#REF!</v>
      </c>
      <c r="H8" s="118"/>
      <c r="I8" s="100">
        <v>31</v>
      </c>
      <c r="J8" s="100">
        <v>31</v>
      </c>
      <c r="K8" s="71">
        <f>'Feb 2026'!O8</f>
        <v>0</v>
      </c>
      <c r="L8" s="101">
        <v>0</v>
      </c>
      <c r="M8" s="127">
        <v>0</v>
      </c>
      <c r="N8" s="128">
        <v>0</v>
      </c>
      <c r="O8" s="129">
        <f t="shared" si="1"/>
        <v>0</v>
      </c>
      <c r="P8" s="129">
        <f t="shared" si="2"/>
        <v>31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21">
        <f t="shared" ref="AB8:AB9" si="34">U8*0.9*3</f>
        <v>0</v>
      </c>
      <c r="AC8" s="106">
        <f t="shared" ref="AC8:AC9" si="35">V8*0.7*3</f>
        <v>0</v>
      </c>
      <c r="AD8" s="132">
        <v>0</v>
      </c>
      <c r="AE8" s="132">
        <v>0</v>
      </c>
      <c r="AF8" s="133">
        <v>0</v>
      </c>
      <c r="AG8" s="120">
        <v>0</v>
      </c>
      <c r="AH8" s="120">
        <v>0</v>
      </c>
      <c r="AI8" s="133">
        <f t="shared" si="30"/>
        <v>0</v>
      </c>
      <c r="AJ8" s="132">
        <v>0</v>
      </c>
      <c r="AK8" s="133">
        <f t="shared" si="31"/>
        <v>0</v>
      </c>
      <c r="AL8" s="133">
        <f t="shared" si="12"/>
        <v>0</v>
      </c>
      <c r="AM8" s="133">
        <f t="shared" si="32"/>
        <v>0</v>
      </c>
      <c r="AN8" s="134">
        <f t="shared" ref="AN8:AN20" si="36">ROUND(AM8-AF8,0)+AV8-AU8</f>
        <v>0</v>
      </c>
      <c r="AO8" s="133">
        <f t="shared" si="15"/>
        <v>0</v>
      </c>
      <c r="AP8" s="133">
        <f t="shared" si="33"/>
        <v>0</v>
      </c>
      <c r="AQ8" s="135"/>
      <c r="AR8" s="133">
        <f t="shared" si="17"/>
        <v>0</v>
      </c>
      <c r="AS8" s="29">
        <f>'Feb 2026'!AT8</f>
        <v>0</v>
      </c>
      <c r="AT8" s="133">
        <f t="shared" si="29"/>
        <v>0</v>
      </c>
      <c r="AU8" s="135"/>
      <c r="AV8" s="133">
        <f t="shared" ref="AV8:AV20" si="37">AF8*12</f>
        <v>0</v>
      </c>
      <c r="AW8" s="135">
        <f t="shared" si="20"/>
        <v>0</v>
      </c>
      <c r="AX8" s="135"/>
      <c r="AY8" s="134">
        <v>0</v>
      </c>
      <c r="AZ8" s="136" t="s">
        <v>166</v>
      </c>
    </row>
    <row r="9" spans="1:52" ht="14.4" x14ac:dyDescent="0.3">
      <c r="A9" s="21">
        <v>1030</v>
      </c>
      <c r="B9" s="69" t="e">
        <f>VLOOKUP(A9,#REF!,2,FALSE)</f>
        <v>#REF!</v>
      </c>
      <c r="C9" s="2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31</v>
      </c>
      <c r="J9" s="100">
        <v>31</v>
      </c>
      <c r="K9" s="71">
        <f>'Feb 2026'!O9</f>
        <v>2.5</v>
      </c>
      <c r="L9" s="101">
        <v>0</v>
      </c>
      <c r="M9" s="38">
        <v>0</v>
      </c>
      <c r="N9" s="24">
        <f t="shared" ref="N9:N11" si="38">IF(K9+L9-M9 &gt;= 0,0,M9-(K9+L9))</f>
        <v>0</v>
      </c>
      <c r="O9" s="24">
        <f t="shared" si="1"/>
        <v>2.5</v>
      </c>
      <c r="P9" s="24">
        <f t="shared" si="2"/>
        <v>31</v>
      </c>
      <c r="Q9" s="36">
        <v>15000</v>
      </c>
      <c r="R9" s="29">
        <v>3540</v>
      </c>
      <c r="S9" s="29">
        <v>1180</v>
      </c>
      <c r="T9" s="29">
        <v>1180</v>
      </c>
      <c r="U9" s="37">
        <v>5289</v>
      </c>
      <c r="V9" s="37">
        <v>5289</v>
      </c>
      <c r="W9" s="29">
        <f t="shared" ref="W9:W20" si="39">SUM(Q9:V9)</f>
        <v>31478</v>
      </c>
      <c r="X9" s="30">
        <f t="shared" ref="X9:X20" si="40">(Q9/I9*(J9)) * (1-N9/J9)</f>
        <v>15000</v>
      </c>
      <c r="Y9" s="30">
        <f t="shared" ref="Y9:Y20" si="41">(R9/I9*(J9)) * (1-N9/J9)</f>
        <v>3540</v>
      </c>
      <c r="Z9" s="30">
        <f t="shared" ref="Z9:Z20" si="42">(S9/I9*(J9)) * (1-N9/J9)</f>
        <v>1180</v>
      </c>
      <c r="AA9" s="30">
        <f t="shared" ref="AA9:AA20" si="43">(T9/I9*(J9)) * (1-N9/J9)</f>
        <v>1180</v>
      </c>
      <c r="AB9" s="121">
        <f t="shared" si="34"/>
        <v>14280.300000000001</v>
      </c>
      <c r="AC9" s="106">
        <f t="shared" si="35"/>
        <v>11106.9</v>
      </c>
      <c r="AD9" s="10"/>
      <c r="AE9" s="10"/>
      <c r="AF9" s="31">
        <v>0</v>
      </c>
      <c r="AG9" s="29">
        <f t="shared" ref="AG9:AG20" si="44">IF(X9&gt;15000,(15000 * 12%),X9*0.12)</f>
        <v>1800</v>
      </c>
      <c r="AH9" s="29">
        <f>IF(SUM(X9:AA9)&gt;=25000, 200, 0)</f>
        <v>0</v>
      </c>
      <c r="AI9" s="29">
        <f t="shared" si="30"/>
        <v>156.75</v>
      </c>
      <c r="AJ9" s="34"/>
      <c r="AK9" s="29">
        <f t="shared" si="31"/>
        <v>46287.200000000004</v>
      </c>
      <c r="AL9" s="29">
        <f t="shared" si="12"/>
        <v>1956.75</v>
      </c>
      <c r="AM9" s="29">
        <f t="shared" si="32"/>
        <v>44330.450000000004</v>
      </c>
      <c r="AN9" s="33">
        <f t="shared" si="36"/>
        <v>44330</v>
      </c>
      <c r="AO9" s="29">
        <f t="shared" si="15"/>
        <v>679.25</v>
      </c>
      <c r="AP9" s="29">
        <f t="shared" si="33"/>
        <v>1800</v>
      </c>
      <c r="AQ9" s="34"/>
      <c r="AR9" s="29">
        <f t="shared" si="17"/>
        <v>48766.450000000004</v>
      </c>
      <c r="AS9" s="29">
        <f>'Feb 2026'!AT9</f>
        <v>0</v>
      </c>
      <c r="AT9" s="29">
        <f t="shared" si="29"/>
        <v>0</v>
      </c>
      <c r="AU9" s="34"/>
      <c r="AV9" s="31">
        <f t="shared" si="37"/>
        <v>0</v>
      </c>
      <c r="AW9" s="79">
        <f t="shared" si="20"/>
        <v>0</v>
      </c>
      <c r="AX9" s="79"/>
      <c r="AY9" s="75">
        <v>0</v>
      </c>
      <c r="AZ9" s="77" t="s">
        <v>165</v>
      </c>
    </row>
    <row r="10" spans="1:52" ht="14.4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31</v>
      </c>
      <c r="J10" s="100">
        <v>31</v>
      </c>
      <c r="K10" s="71">
        <f>'Feb 2026'!O10</f>
        <v>0</v>
      </c>
      <c r="L10" s="101">
        <v>0</v>
      </c>
      <c r="M10" s="104">
        <v>1</v>
      </c>
      <c r="N10" s="24">
        <f t="shared" si="38"/>
        <v>1</v>
      </c>
      <c r="O10" s="71">
        <f t="shared" si="1"/>
        <v>0</v>
      </c>
      <c r="P10" s="71">
        <f t="shared" si="2"/>
        <v>30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9"/>
        <v>47000</v>
      </c>
      <c r="X10" s="76">
        <f t="shared" si="40"/>
        <v>14516.129032258064</v>
      </c>
      <c r="Y10" s="76">
        <f t="shared" si="41"/>
        <v>8709.677419354839</v>
      </c>
      <c r="Z10" s="76">
        <f t="shared" si="42"/>
        <v>7741.9354838709678</v>
      </c>
      <c r="AA10" s="76">
        <f t="shared" si="43"/>
        <v>2903.2258064516132</v>
      </c>
      <c r="AB10" s="10">
        <f>U10*1.2</f>
        <v>7200</v>
      </c>
      <c r="AC10" s="9">
        <f>V10*0.8</f>
        <v>4800</v>
      </c>
      <c r="AD10" s="10"/>
      <c r="AE10" s="41">
        <v>8000</v>
      </c>
      <c r="AF10" s="114"/>
      <c r="AG10" s="75">
        <f t="shared" si="44"/>
        <v>1741.9354838709676</v>
      </c>
      <c r="AH10" s="103">
        <v>300</v>
      </c>
      <c r="AI10" s="84">
        <v>0</v>
      </c>
      <c r="AJ10" s="34"/>
      <c r="AK10" s="75">
        <f t="shared" si="31"/>
        <v>53870.967741935485</v>
      </c>
      <c r="AL10" s="75">
        <f t="shared" si="12"/>
        <v>2041.9354838709676</v>
      </c>
      <c r="AM10" s="75">
        <f t="shared" si="32"/>
        <v>51829.032258064515</v>
      </c>
      <c r="AN10" s="78">
        <f t="shared" si="36"/>
        <v>51829</v>
      </c>
      <c r="AO10" s="75">
        <f t="shared" si="15"/>
        <v>0</v>
      </c>
      <c r="AP10" s="75">
        <f t="shared" si="33"/>
        <v>1741.9354838709676</v>
      </c>
      <c r="AQ10" s="34"/>
      <c r="AR10" s="75">
        <f t="shared" si="17"/>
        <v>55612.903225806454</v>
      </c>
      <c r="AS10" s="29">
        <f>'Feb 2026'!AT10</f>
        <v>0</v>
      </c>
      <c r="AT10" s="29">
        <f t="shared" si="29"/>
        <v>0</v>
      </c>
      <c r="AU10" s="34"/>
      <c r="AV10" s="77">
        <f t="shared" si="37"/>
        <v>0</v>
      </c>
      <c r="AW10" s="79">
        <f t="shared" si="20"/>
        <v>0</v>
      </c>
      <c r="AX10" s="79"/>
      <c r="AY10" s="75">
        <v>0</v>
      </c>
      <c r="AZ10" s="77" t="s">
        <v>165</v>
      </c>
    </row>
    <row r="11" spans="1:52" ht="14.4" x14ac:dyDescent="0.3">
      <c r="A11" s="21">
        <v>1033</v>
      </c>
      <c r="B11" s="69" t="e">
        <f>VLOOKUP(A11,#REF!,2,FALSE)</f>
        <v>#REF!</v>
      </c>
      <c r="C11" s="2" t="e">
        <f>VLOOKUP(A11,#REF!,19,FALSE)</f>
        <v>#REF!</v>
      </c>
      <c r="D11" s="8" t="e">
        <f>VLOOKUP(A11,#REF!,8,FALSE)</f>
        <v>#REF!</v>
      </c>
      <c r="E11" s="8" t="e">
        <f>VLOOKUP(A11,#REF!,10,FALSE)</f>
        <v>#REF!</v>
      </c>
      <c r="F11" s="8" t="e">
        <f>VLOOKUP(A11,#REF!,11,FALSE)</f>
        <v>#REF!</v>
      </c>
      <c r="G11" s="8" t="e">
        <f>VLOOKUP(A11,#REF!,12,FALSE)</f>
        <v>#REF!</v>
      </c>
      <c r="H11" s="8"/>
      <c r="I11" s="100">
        <v>31</v>
      </c>
      <c r="J11" s="100">
        <v>0</v>
      </c>
      <c r="K11" s="71">
        <f>'Feb 2026'!O11</f>
        <v>0</v>
      </c>
      <c r="L11" s="101">
        <v>0</v>
      </c>
      <c r="M11" s="38">
        <v>31</v>
      </c>
      <c r="N11" s="24">
        <f t="shared" si="38"/>
        <v>31</v>
      </c>
      <c r="O11" s="24">
        <f t="shared" si="1"/>
        <v>0</v>
      </c>
      <c r="P11" s="24">
        <f t="shared" si="2"/>
        <v>-31</v>
      </c>
      <c r="Q11" s="36">
        <v>15000</v>
      </c>
      <c r="R11" s="29">
        <v>3540</v>
      </c>
      <c r="S11" s="29">
        <v>1180</v>
      </c>
      <c r="T11" s="29">
        <v>1180</v>
      </c>
      <c r="U11" s="36">
        <v>550</v>
      </c>
      <c r="V11" s="36">
        <v>550</v>
      </c>
      <c r="W11" s="29">
        <f t="shared" si="39"/>
        <v>22000</v>
      </c>
      <c r="X11" s="30" t="e">
        <f t="shared" si="40"/>
        <v>#DIV/0!</v>
      </c>
      <c r="Y11" s="30" t="e">
        <f t="shared" si="41"/>
        <v>#DIV/0!</v>
      </c>
      <c r="Z11" s="30" t="e">
        <f t="shared" si="42"/>
        <v>#DIV/0!</v>
      </c>
      <c r="AA11" s="30" t="e">
        <f t="shared" si="43"/>
        <v>#DIV/0!</v>
      </c>
      <c r="AB11" s="10"/>
      <c r="AC11" s="9"/>
      <c r="AD11" s="10"/>
      <c r="AE11" s="10"/>
      <c r="AF11" s="31">
        <v>0</v>
      </c>
      <c r="AG11" s="29" t="e">
        <f t="shared" si="44"/>
        <v>#DIV/0!</v>
      </c>
      <c r="AH11" s="29" t="e">
        <f>IF(SUM(X11:AA11)&gt;=25000, 200, 0)</f>
        <v>#DIV/0!</v>
      </c>
      <c r="AI11" s="29" t="e">
        <f t="shared" ref="AI11:AI14" si="45">IF(SUM(Q11:T11) &lt; 21000, SUM(X11:AA11)*0.0075, 0)</f>
        <v>#DIV/0!</v>
      </c>
      <c r="AJ11" s="34"/>
      <c r="AK11" s="29" t="e">
        <f t="shared" si="31"/>
        <v>#DIV/0!</v>
      </c>
      <c r="AL11" s="29" t="e">
        <f t="shared" si="12"/>
        <v>#DIV/0!</v>
      </c>
      <c r="AM11" s="29" t="e">
        <f t="shared" si="32"/>
        <v>#DIV/0!</v>
      </c>
      <c r="AN11" s="33" t="e">
        <f t="shared" si="36"/>
        <v>#DIV/0!</v>
      </c>
      <c r="AO11" s="29" t="e">
        <f t="shared" si="15"/>
        <v>#DIV/0!</v>
      </c>
      <c r="AP11" s="29" t="e">
        <f t="shared" si="33"/>
        <v>#DIV/0!</v>
      </c>
      <c r="AQ11" s="34"/>
      <c r="AR11" s="29" t="e">
        <f t="shared" si="17"/>
        <v>#DIV/0!</v>
      </c>
      <c r="AS11" s="29">
        <f>'Feb 2026'!AT11</f>
        <v>0</v>
      </c>
      <c r="AT11" s="29">
        <f t="shared" si="29"/>
        <v>0</v>
      </c>
      <c r="AU11" s="34"/>
      <c r="AV11" s="31">
        <f t="shared" si="37"/>
        <v>0</v>
      </c>
      <c r="AW11" s="79">
        <f t="shared" si="20"/>
        <v>0</v>
      </c>
      <c r="AX11" s="79"/>
      <c r="AY11" s="29">
        <v>0</v>
      </c>
      <c r="AZ11" s="77" t="s">
        <v>165</v>
      </c>
    </row>
    <row r="12" spans="1:52" ht="14.4" x14ac:dyDescent="0.3">
      <c r="A12" s="21">
        <v>1034</v>
      </c>
      <c r="B12" s="69" t="e">
        <f>VLOOKUP(A12,#REF!,2,FALSE)</f>
        <v>#REF!</v>
      </c>
      <c r="C12" s="2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31</v>
      </c>
      <c r="J12" s="100">
        <v>0</v>
      </c>
      <c r="K12" s="71">
        <f>'Feb 2026'!O12</f>
        <v>0</v>
      </c>
      <c r="L12" s="101">
        <v>0</v>
      </c>
      <c r="M12" s="38">
        <v>0</v>
      </c>
      <c r="N12" s="45">
        <v>2</v>
      </c>
      <c r="O12" s="24">
        <f t="shared" si="1"/>
        <v>0</v>
      </c>
      <c r="P12" s="24">
        <f t="shared" si="2"/>
        <v>-2</v>
      </c>
      <c r="Q12" s="36">
        <v>15000</v>
      </c>
      <c r="R12" s="32">
        <v>4956</v>
      </c>
      <c r="S12" s="32">
        <v>1652</v>
      </c>
      <c r="T12" s="32">
        <v>1770</v>
      </c>
      <c r="U12" s="37">
        <v>3690</v>
      </c>
      <c r="V12" s="37">
        <v>3690</v>
      </c>
      <c r="W12" s="29">
        <f t="shared" si="39"/>
        <v>30758</v>
      </c>
      <c r="X12" s="30" t="e">
        <f t="shared" si="40"/>
        <v>#DIV/0!</v>
      </c>
      <c r="Y12" s="30" t="e">
        <f t="shared" si="41"/>
        <v>#DIV/0!</v>
      </c>
      <c r="Z12" s="30" t="e">
        <f t="shared" si="42"/>
        <v>#DIV/0!</v>
      </c>
      <c r="AA12" s="30" t="e">
        <f t="shared" si="43"/>
        <v>#DIV/0!</v>
      </c>
      <c r="AB12" s="10"/>
      <c r="AC12" s="9"/>
      <c r="AD12" s="10"/>
      <c r="AE12" s="10"/>
      <c r="AF12" s="31">
        <v>0</v>
      </c>
      <c r="AG12" s="29" t="e">
        <f t="shared" si="44"/>
        <v>#DIV/0!</v>
      </c>
      <c r="AH12" s="29" t="e">
        <f>IF(SUM(X12:AC12)&gt;=25000, 200, 0)</f>
        <v>#DIV/0!</v>
      </c>
      <c r="AI12" s="29">
        <f t="shared" si="45"/>
        <v>0</v>
      </c>
      <c r="AJ12" s="34"/>
      <c r="AK12" s="29" t="e">
        <f t="shared" si="31"/>
        <v>#DIV/0!</v>
      </c>
      <c r="AL12" s="29" t="e">
        <f t="shared" si="12"/>
        <v>#DIV/0!</v>
      </c>
      <c r="AM12" s="29" t="e">
        <f t="shared" si="32"/>
        <v>#DIV/0!</v>
      </c>
      <c r="AN12" s="33" t="e">
        <f t="shared" si="36"/>
        <v>#DIV/0!</v>
      </c>
      <c r="AO12" s="29">
        <f t="shared" si="15"/>
        <v>0</v>
      </c>
      <c r="AP12" s="29" t="e">
        <f t="shared" si="33"/>
        <v>#DIV/0!</v>
      </c>
      <c r="AQ12" s="34"/>
      <c r="AR12" s="29" t="e">
        <f t="shared" si="17"/>
        <v>#DIV/0!</v>
      </c>
      <c r="AS12" s="29">
        <f>'Feb 2026'!AT12</f>
        <v>0</v>
      </c>
      <c r="AT12" s="29">
        <f t="shared" si="29"/>
        <v>0</v>
      </c>
      <c r="AU12" s="34"/>
      <c r="AV12" s="31">
        <f t="shared" si="37"/>
        <v>0</v>
      </c>
      <c r="AW12" s="79">
        <f t="shared" si="20"/>
        <v>0</v>
      </c>
      <c r="AX12" s="79"/>
      <c r="AY12" s="75">
        <v>0</v>
      </c>
      <c r="AZ12" s="114" t="s">
        <v>166</v>
      </c>
    </row>
    <row r="13" spans="1:52" ht="14.4" x14ac:dyDescent="0.3">
      <c r="A13" s="21">
        <v>1036</v>
      </c>
      <c r="B13" s="69" t="e">
        <f>VLOOKUP(A13,#REF!,2,FALSE)</f>
        <v>#REF!</v>
      </c>
      <c r="C13" s="2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31</v>
      </c>
      <c r="J13" s="100">
        <v>31</v>
      </c>
      <c r="K13" s="71">
        <f>'Feb 2026'!O13</f>
        <v>0</v>
      </c>
      <c r="L13" s="101">
        <v>1</v>
      </c>
      <c r="M13" s="38">
        <v>1</v>
      </c>
      <c r="N13" s="24">
        <f t="shared" ref="N13:N20" si="46">IF(K13+L13-M13 &gt;= 0,0,M13-(K13+L13))</f>
        <v>0</v>
      </c>
      <c r="O13" s="24">
        <f t="shared" si="1"/>
        <v>0</v>
      </c>
      <c r="P13" s="24">
        <f t="shared" si="2"/>
        <v>31</v>
      </c>
      <c r="Q13" s="36">
        <v>15000</v>
      </c>
      <c r="R13" s="32">
        <v>4956</v>
      </c>
      <c r="S13" s="32">
        <v>1652</v>
      </c>
      <c r="T13" s="29">
        <v>1180</v>
      </c>
      <c r="U13" s="37">
        <v>3520</v>
      </c>
      <c r="V13" s="37">
        <v>3520</v>
      </c>
      <c r="W13" s="29">
        <f t="shared" si="39"/>
        <v>29828</v>
      </c>
      <c r="X13" s="30">
        <f t="shared" si="40"/>
        <v>15000</v>
      </c>
      <c r="Y13" s="30">
        <f t="shared" si="41"/>
        <v>4956</v>
      </c>
      <c r="Z13" s="30">
        <f t="shared" si="42"/>
        <v>1652</v>
      </c>
      <c r="AA13" s="30">
        <f t="shared" si="43"/>
        <v>1180</v>
      </c>
      <c r="AB13" s="10">
        <f>U13*0.9</f>
        <v>3168</v>
      </c>
      <c r="AC13" s="9">
        <f>V13*0.8</f>
        <v>2816</v>
      </c>
      <c r="AD13" s="12"/>
      <c r="AE13" s="10"/>
      <c r="AF13" s="31">
        <v>0</v>
      </c>
      <c r="AG13" s="29">
        <f t="shared" si="44"/>
        <v>1800</v>
      </c>
      <c r="AH13" s="32">
        <v>300</v>
      </c>
      <c r="AI13" s="29">
        <f t="shared" si="45"/>
        <v>0</v>
      </c>
      <c r="AJ13" s="13"/>
      <c r="AK13" s="29">
        <f t="shared" si="31"/>
        <v>28772</v>
      </c>
      <c r="AL13" s="29">
        <f t="shared" si="12"/>
        <v>2100</v>
      </c>
      <c r="AM13" s="29">
        <f t="shared" si="32"/>
        <v>26672</v>
      </c>
      <c r="AN13" s="33">
        <f t="shared" si="36"/>
        <v>26672</v>
      </c>
      <c r="AO13" s="29">
        <f t="shared" si="15"/>
        <v>0</v>
      </c>
      <c r="AP13" s="29">
        <f t="shared" si="33"/>
        <v>1800</v>
      </c>
      <c r="AQ13" s="13"/>
      <c r="AR13" s="29">
        <f t="shared" si="17"/>
        <v>30572</v>
      </c>
      <c r="AS13" s="29">
        <f>'Feb 2026'!AT13</f>
        <v>0</v>
      </c>
      <c r="AT13" s="29">
        <f t="shared" si="29"/>
        <v>0</v>
      </c>
      <c r="AU13" s="34"/>
      <c r="AV13" s="31">
        <f t="shared" si="37"/>
        <v>0</v>
      </c>
      <c r="AW13" s="79">
        <f t="shared" si="20"/>
        <v>0</v>
      </c>
      <c r="AX13" s="79"/>
      <c r="AY13" s="75">
        <v>0</v>
      </c>
      <c r="AZ13" s="77" t="s">
        <v>165</v>
      </c>
    </row>
    <row r="14" spans="1:52" ht="14.4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31</v>
      </c>
      <c r="J14" s="100">
        <v>0</v>
      </c>
      <c r="K14" s="71">
        <f>'Feb 2026'!O14</f>
        <v>0</v>
      </c>
      <c r="L14" s="101">
        <v>0</v>
      </c>
      <c r="M14" s="104">
        <v>0</v>
      </c>
      <c r="N14" s="71">
        <f t="shared" si="46"/>
        <v>0</v>
      </c>
      <c r="O14" s="71">
        <f t="shared" si="1"/>
        <v>0</v>
      </c>
      <c r="P14" s="71">
        <f t="shared" si="2"/>
        <v>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9"/>
        <v>73810</v>
      </c>
      <c r="X14" s="76" t="e">
        <f t="shared" si="40"/>
        <v>#DIV/0!</v>
      </c>
      <c r="Y14" s="76" t="e">
        <f t="shared" si="41"/>
        <v>#DIV/0!</v>
      </c>
      <c r="Z14" s="76" t="e">
        <f t="shared" si="42"/>
        <v>#DIV/0!</v>
      </c>
      <c r="AA14" s="76" t="e">
        <f t="shared" si="43"/>
        <v>#DIV/0!</v>
      </c>
      <c r="AB14" s="10">
        <f>U14*0</f>
        <v>0</v>
      </c>
      <c r="AC14" s="49">
        <v>0</v>
      </c>
      <c r="AD14" s="12"/>
      <c r="AE14" s="10"/>
      <c r="AF14" s="77">
        <v>0</v>
      </c>
      <c r="AG14" s="75" t="e">
        <f t="shared" si="44"/>
        <v>#DIV/0!</v>
      </c>
      <c r="AH14" s="75" t="e">
        <f>IF(SUM(X14:AC14)&gt;=25000, 200, 0)</f>
        <v>#DIV/0!</v>
      </c>
      <c r="AI14" s="75">
        <f t="shared" si="45"/>
        <v>0</v>
      </c>
      <c r="AJ14" s="13"/>
      <c r="AK14" s="75" t="e">
        <f t="shared" si="31"/>
        <v>#DIV/0!</v>
      </c>
      <c r="AL14" s="75" t="e">
        <f t="shared" si="12"/>
        <v>#DIV/0!</v>
      </c>
      <c r="AM14" s="75" t="e">
        <f t="shared" si="32"/>
        <v>#DIV/0!</v>
      </c>
      <c r="AN14" s="78" t="e">
        <f t="shared" si="36"/>
        <v>#DIV/0!</v>
      </c>
      <c r="AO14" s="75">
        <f t="shared" si="15"/>
        <v>0</v>
      </c>
      <c r="AP14" s="75" t="e">
        <f t="shared" si="33"/>
        <v>#DIV/0!</v>
      </c>
      <c r="AQ14" s="13"/>
      <c r="AR14" s="75" t="e">
        <f t="shared" si="17"/>
        <v>#DIV/0!</v>
      </c>
      <c r="AS14" s="29">
        <f>'Feb 2026'!AT14</f>
        <v>0</v>
      </c>
      <c r="AT14" s="29">
        <f t="shared" si="29"/>
        <v>0</v>
      </c>
      <c r="AU14" s="34"/>
      <c r="AV14" s="77">
        <f t="shared" si="37"/>
        <v>0</v>
      </c>
      <c r="AW14" s="79">
        <f t="shared" si="20"/>
        <v>0</v>
      </c>
      <c r="AX14" s="79"/>
      <c r="AY14" s="75">
        <v>0</v>
      </c>
      <c r="AZ14" s="114" t="s">
        <v>166</v>
      </c>
    </row>
    <row r="15" spans="1:52" ht="14.4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31</v>
      </c>
      <c r="J15" s="100">
        <v>31</v>
      </c>
      <c r="K15" s="71">
        <f>'Feb 2026'!O15</f>
        <v>6</v>
      </c>
      <c r="L15" s="101">
        <v>0</v>
      </c>
      <c r="M15" s="104">
        <v>0</v>
      </c>
      <c r="N15" s="71">
        <f t="shared" si="46"/>
        <v>0</v>
      </c>
      <c r="O15" s="71">
        <f t="shared" si="1"/>
        <v>6</v>
      </c>
      <c r="P15" s="71">
        <f t="shared" si="2"/>
        <v>31</v>
      </c>
      <c r="Q15" s="85">
        <v>30000</v>
      </c>
      <c r="R15" s="109">
        <v>21300</v>
      </c>
      <c r="S15" s="109">
        <v>15975</v>
      </c>
      <c r="T15" s="85">
        <v>12780</v>
      </c>
      <c r="U15" s="109">
        <v>7920</v>
      </c>
      <c r="V15" s="109">
        <v>7920</v>
      </c>
      <c r="W15" s="75">
        <f t="shared" si="39"/>
        <v>95895</v>
      </c>
      <c r="X15" s="76">
        <f t="shared" si="40"/>
        <v>30000</v>
      </c>
      <c r="Y15" s="76">
        <f t="shared" si="41"/>
        <v>21300</v>
      </c>
      <c r="Z15" s="76">
        <f t="shared" si="42"/>
        <v>15975.000000000002</v>
      </c>
      <c r="AA15" s="76">
        <f t="shared" si="43"/>
        <v>12780</v>
      </c>
      <c r="AB15" s="10">
        <f t="shared" ref="AB15:AB16" si="47">U15*1</f>
        <v>7920</v>
      </c>
      <c r="AC15" s="9">
        <f t="shared" ref="AC15:AC16" si="48">V15*0.8</f>
        <v>6336</v>
      </c>
      <c r="AD15" s="10"/>
      <c r="AE15" s="10"/>
      <c r="AF15" s="77">
        <v>0</v>
      </c>
      <c r="AG15" s="75">
        <f t="shared" si="44"/>
        <v>1800</v>
      </c>
      <c r="AH15" s="103">
        <v>300</v>
      </c>
      <c r="AI15" s="85">
        <v>0</v>
      </c>
      <c r="AJ15" s="34"/>
      <c r="AK15" s="75">
        <f t="shared" si="31"/>
        <v>94311</v>
      </c>
      <c r="AL15" s="75">
        <f t="shared" si="12"/>
        <v>2100</v>
      </c>
      <c r="AM15" s="75">
        <f t="shared" si="32"/>
        <v>92211</v>
      </c>
      <c r="AN15" s="78">
        <f t="shared" si="36"/>
        <v>92211</v>
      </c>
      <c r="AO15" s="75">
        <v>0</v>
      </c>
      <c r="AP15" s="75">
        <f t="shared" si="33"/>
        <v>1800</v>
      </c>
      <c r="AQ15" s="34"/>
      <c r="AR15" s="75">
        <f t="shared" si="17"/>
        <v>96111</v>
      </c>
      <c r="AS15" s="29">
        <f>'Feb 2026'!AT15</f>
        <v>0</v>
      </c>
      <c r="AT15" s="29">
        <f t="shared" si="29"/>
        <v>0</v>
      </c>
      <c r="AU15" s="34"/>
      <c r="AV15" s="77">
        <f t="shared" si="37"/>
        <v>0</v>
      </c>
      <c r="AW15" s="79">
        <f t="shared" si="20"/>
        <v>0</v>
      </c>
      <c r="AX15" s="79"/>
      <c r="AY15" s="75">
        <v>0</v>
      </c>
      <c r="AZ15" s="77" t="s">
        <v>165</v>
      </c>
    </row>
    <row r="16" spans="1:52" ht="14.4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31</v>
      </c>
      <c r="J16" s="100">
        <v>31</v>
      </c>
      <c r="K16" s="71">
        <f>'Feb 2026'!O16</f>
        <v>0</v>
      </c>
      <c r="L16" s="101">
        <v>0</v>
      </c>
      <c r="M16" s="104">
        <v>8</v>
      </c>
      <c r="N16" s="71">
        <f t="shared" si="46"/>
        <v>8</v>
      </c>
      <c r="O16" s="71">
        <f t="shared" si="1"/>
        <v>0</v>
      </c>
      <c r="P16" s="71">
        <f t="shared" si="2"/>
        <v>23</v>
      </c>
      <c r="Q16" s="74">
        <v>26000</v>
      </c>
      <c r="R16" s="74">
        <v>11600</v>
      </c>
      <c r="S16" s="107">
        <v>10440</v>
      </c>
      <c r="T16" s="74">
        <v>8700</v>
      </c>
      <c r="U16" s="74">
        <v>0</v>
      </c>
      <c r="V16" s="107">
        <v>28875</v>
      </c>
      <c r="W16" s="75">
        <f t="shared" si="39"/>
        <v>85615</v>
      </c>
      <c r="X16" s="76">
        <f t="shared" si="40"/>
        <v>19290.322580645163</v>
      </c>
      <c r="Y16" s="76">
        <f t="shared" si="41"/>
        <v>8606.4516129032254</v>
      </c>
      <c r="Z16" s="76">
        <f t="shared" si="42"/>
        <v>7745.8064516129034</v>
      </c>
      <c r="AA16" s="76">
        <f t="shared" si="43"/>
        <v>6454.8387096774195</v>
      </c>
      <c r="AB16" s="10">
        <f t="shared" si="47"/>
        <v>0</v>
      </c>
      <c r="AC16" s="9">
        <f t="shared" si="48"/>
        <v>23100</v>
      </c>
      <c r="AD16" s="12"/>
      <c r="AE16" s="41"/>
      <c r="AF16" s="77">
        <v>0</v>
      </c>
      <c r="AG16" s="75">
        <f t="shared" si="44"/>
        <v>1800</v>
      </c>
      <c r="AH16" s="75">
        <f>IF(SUM(X16:AC16)&gt;=25000, 200, 0)</f>
        <v>200</v>
      </c>
      <c r="AI16" s="75">
        <f t="shared" ref="AI16:AI20" si="49">IF(SUM(Q16:T16) &lt; 21000, SUM(X16:AA16)*0.0075, 0)</f>
        <v>0</v>
      </c>
      <c r="AJ16" s="13"/>
      <c r="AK16" s="75">
        <f t="shared" si="31"/>
        <v>65197.419354838705</v>
      </c>
      <c r="AL16" s="75">
        <f t="shared" si="12"/>
        <v>2000</v>
      </c>
      <c r="AM16" s="75">
        <f t="shared" si="32"/>
        <v>63197.419354838705</v>
      </c>
      <c r="AN16" s="78">
        <f t="shared" si="36"/>
        <v>63197</v>
      </c>
      <c r="AO16" s="75">
        <f t="shared" ref="AO16:AO20" si="50">AI16/0.0075*0.0325</f>
        <v>0</v>
      </c>
      <c r="AP16" s="75">
        <f t="shared" si="33"/>
        <v>1800</v>
      </c>
      <c r="AQ16" s="13"/>
      <c r="AR16" s="75">
        <f t="shared" si="17"/>
        <v>66997.419354838697</v>
      </c>
      <c r="AS16" s="29">
        <f>'Feb 2026'!AT16</f>
        <v>0</v>
      </c>
      <c r="AT16" s="29">
        <f t="shared" si="29"/>
        <v>0</v>
      </c>
      <c r="AU16" s="34"/>
      <c r="AV16" s="77">
        <f t="shared" si="37"/>
        <v>0</v>
      </c>
      <c r="AW16" s="79">
        <f t="shared" si="20"/>
        <v>0</v>
      </c>
      <c r="AX16" s="79"/>
      <c r="AY16" s="75">
        <v>0</v>
      </c>
      <c r="AZ16" s="77" t="s">
        <v>165</v>
      </c>
    </row>
    <row r="17" spans="1:52" ht="14.4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31</v>
      </c>
      <c r="J17" s="100">
        <v>31</v>
      </c>
      <c r="K17" s="71">
        <f>'Feb 2026'!O17</f>
        <v>0</v>
      </c>
      <c r="L17" s="101">
        <v>31</v>
      </c>
      <c r="M17" s="104">
        <v>31</v>
      </c>
      <c r="N17" s="71">
        <f t="shared" si="46"/>
        <v>0</v>
      </c>
      <c r="O17" s="115">
        <v>0</v>
      </c>
      <c r="P17" s="71">
        <f t="shared" si="2"/>
        <v>31</v>
      </c>
      <c r="Q17" s="74">
        <v>26000</v>
      </c>
      <c r="R17" s="85">
        <f>225000/12</f>
        <v>18750</v>
      </c>
      <c r="S17" s="85">
        <f>15000/12</f>
        <v>1250</v>
      </c>
      <c r="T17" s="85">
        <f>130000/12</f>
        <v>10833.333333333334</v>
      </c>
      <c r="U17" s="109">
        <v>13125</v>
      </c>
      <c r="V17" s="109">
        <v>13125</v>
      </c>
      <c r="W17" s="75">
        <f t="shared" si="39"/>
        <v>83083.333333333343</v>
      </c>
      <c r="X17" s="76">
        <f t="shared" si="40"/>
        <v>26000</v>
      </c>
      <c r="Y17" s="76">
        <f t="shared" si="41"/>
        <v>18750</v>
      </c>
      <c r="Z17" s="76">
        <f t="shared" si="42"/>
        <v>1250</v>
      </c>
      <c r="AA17" s="76">
        <f t="shared" si="43"/>
        <v>10833.333333333334</v>
      </c>
      <c r="AB17" s="10">
        <f t="shared" ref="AB17:AC17" si="51">U17*0</f>
        <v>0</v>
      </c>
      <c r="AC17" s="9">
        <f t="shared" si="51"/>
        <v>0</v>
      </c>
      <c r="AD17" s="12"/>
      <c r="AE17" s="10"/>
      <c r="AF17" s="77">
        <v>0</v>
      </c>
      <c r="AG17" s="75">
        <f t="shared" si="44"/>
        <v>1800</v>
      </c>
      <c r="AH17" s="103">
        <v>300</v>
      </c>
      <c r="AI17" s="75">
        <f t="shared" si="49"/>
        <v>0</v>
      </c>
      <c r="AJ17" s="13"/>
      <c r="AK17" s="75">
        <f t="shared" si="31"/>
        <v>56833.333333333336</v>
      </c>
      <c r="AL17" s="75">
        <f t="shared" si="12"/>
        <v>2100</v>
      </c>
      <c r="AM17" s="75">
        <f t="shared" si="32"/>
        <v>54733.333333333336</v>
      </c>
      <c r="AN17" s="78">
        <f t="shared" si="36"/>
        <v>54733</v>
      </c>
      <c r="AO17" s="75">
        <f t="shared" si="50"/>
        <v>0</v>
      </c>
      <c r="AP17" s="75">
        <f t="shared" si="33"/>
        <v>1800</v>
      </c>
      <c r="AQ17" s="13"/>
      <c r="AR17" s="75">
        <f t="shared" si="17"/>
        <v>58633.333333333336</v>
      </c>
      <c r="AS17" s="29">
        <f>'Feb 2026'!AT17</f>
        <v>0</v>
      </c>
      <c r="AT17" s="29">
        <f t="shared" si="29"/>
        <v>0</v>
      </c>
      <c r="AU17" s="34"/>
      <c r="AV17" s="77">
        <f t="shared" si="37"/>
        <v>0</v>
      </c>
      <c r="AW17" s="79">
        <f t="shared" si="20"/>
        <v>0</v>
      </c>
      <c r="AX17" s="79"/>
      <c r="AY17" s="75">
        <v>0</v>
      </c>
      <c r="AZ17" s="77" t="s">
        <v>165</v>
      </c>
    </row>
    <row r="18" spans="1:52" ht="14.4" x14ac:dyDescent="0.3">
      <c r="A18" s="21">
        <v>1039</v>
      </c>
      <c r="B18" s="69" t="e">
        <f>VLOOKUP(A18,#REF!,2,FALSE)</f>
        <v>#REF!</v>
      </c>
      <c r="C18" s="2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31</v>
      </c>
      <c r="J18" s="100">
        <v>31</v>
      </c>
      <c r="K18" s="71">
        <f>'Feb 2026'!O18</f>
        <v>1</v>
      </c>
      <c r="L18" s="101">
        <v>1</v>
      </c>
      <c r="M18" s="38">
        <v>1.5</v>
      </c>
      <c r="N18" s="24">
        <f t="shared" si="46"/>
        <v>0</v>
      </c>
      <c r="O18" s="24">
        <f t="shared" ref="O18:O20" si="52">IF(K18+L18-M18&gt;0,K18+L18-M18,0)</f>
        <v>0.5</v>
      </c>
      <c r="P18" s="24">
        <f t="shared" si="2"/>
        <v>31</v>
      </c>
      <c r="Q18" s="36">
        <v>15000</v>
      </c>
      <c r="R18" s="37">
        <v>5700</v>
      </c>
      <c r="S18" s="37">
        <v>1900</v>
      </c>
      <c r="T18" s="37">
        <v>1900</v>
      </c>
      <c r="U18" s="37">
        <v>2030</v>
      </c>
      <c r="V18" s="37">
        <v>2030</v>
      </c>
      <c r="W18" s="29">
        <f t="shared" si="39"/>
        <v>28560</v>
      </c>
      <c r="X18" s="30">
        <f t="shared" si="40"/>
        <v>15000</v>
      </c>
      <c r="Y18" s="30">
        <f t="shared" si="41"/>
        <v>5700</v>
      </c>
      <c r="Z18" s="30">
        <f t="shared" si="42"/>
        <v>1900</v>
      </c>
      <c r="AA18" s="30">
        <f t="shared" si="43"/>
        <v>1900</v>
      </c>
      <c r="AB18" s="10">
        <f>U18*0.9</f>
        <v>1827</v>
      </c>
      <c r="AC18" s="9">
        <f t="shared" ref="AC18:AC19" si="53">V18*0.8</f>
        <v>1624</v>
      </c>
      <c r="AD18" s="12"/>
      <c r="AE18" s="41"/>
      <c r="AF18" s="31">
        <v>0</v>
      </c>
      <c r="AG18" s="29">
        <f t="shared" si="44"/>
        <v>1800</v>
      </c>
      <c r="AH18" s="32">
        <v>300</v>
      </c>
      <c r="AI18" s="29">
        <f t="shared" si="49"/>
        <v>0</v>
      </c>
      <c r="AJ18" s="13"/>
      <c r="AK18" s="29">
        <f t="shared" si="31"/>
        <v>27951</v>
      </c>
      <c r="AL18" s="29">
        <f t="shared" si="12"/>
        <v>2100</v>
      </c>
      <c r="AM18" s="29">
        <f t="shared" si="32"/>
        <v>25851</v>
      </c>
      <c r="AN18" s="33">
        <f t="shared" si="36"/>
        <v>25851</v>
      </c>
      <c r="AO18" s="29">
        <f t="shared" si="50"/>
        <v>0</v>
      </c>
      <c r="AP18" s="29">
        <f t="shared" si="33"/>
        <v>1800</v>
      </c>
      <c r="AQ18" s="13"/>
      <c r="AR18" s="29">
        <f t="shared" si="17"/>
        <v>29751</v>
      </c>
      <c r="AS18" s="29">
        <f>'Feb 2026'!AT18</f>
        <v>0</v>
      </c>
      <c r="AT18" s="29">
        <f t="shared" si="29"/>
        <v>0</v>
      </c>
      <c r="AU18" s="34"/>
      <c r="AV18" s="31">
        <f t="shared" si="37"/>
        <v>0</v>
      </c>
      <c r="AW18" s="79"/>
      <c r="AX18" s="138"/>
      <c r="AY18" s="75">
        <v>0</v>
      </c>
      <c r="AZ18" s="77" t="s">
        <v>165</v>
      </c>
    </row>
    <row r="19" spans="1:52" ht="14.4" x14ac:dyDescent="0.3">
      <c r="A19" s="21">
        <v>1040</v>
      </c>
      <c r="B19" s="69" t="e">
        <f>VLOOKUP(A19,#REF!,2,FALSE)</f>
        <v>#REF!</v>
      </c>
      <c r="C19" s="2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31</v>
      </c>
      <c r="J19" s="100">
        <v>31</v>
      </c>
      <c r="K19" s="71">
        <f>'Feb 2026'!O19</f>
        <v>1.5</v>
      </c>
      <c r="L19" s="101">
        <v>0</v>
      </c>
      <c r="M19" s="38">
        <v>1</v>
      </c>
      <c r="N19" s="24">
        <f t="shared" si="46"/>
        <v>0</v>
      </c>
      <c r="O19" s="24">
        <f t="shared" si="52"/>
        <v>0.5</v>
      </c>
      <c r="P19" s="24">
        <f t="shared" si="2"/>
        <v>31</v>
      </c>
      <c r="Q19" s="36">
        <v>15000</v>
      </c>
      <c r="R19" s="37">
        <v>5700</v>
      </c>
      <c r="S19" s="37">
        <v>1900</v>
      </c>
      <c r="T19" s="37">
        <v>1900</v>
      </c>
      <c r="U19" s="37">
        <v>2390</v>
      </c>
      <c r="V19" s="37">
        <v>2390</v>
      </c>
      <c r="W19" s="29">
        <f t="shared" si="39"/>
        <v>29280</v>
      </c>
      <c r="X19" s="30">
        <f t="shared" si="40"/>
        <v>15000</v>
      </c>
      <c r="Y19" s="30">
        <f t="shared" si="41"/>
        <v>5700</v>
      </c>
      <c r="Z19" s="30">
        <f t="shared" si="42"/>
        <v>1900</v>
      </c>
      <c r="AA19" s="30">
        <f t="shared" si="43"/>
        <v>1900</v>
      </c>
      <c r="AB19" s="10">
        <f>U19*1</f>
        <v>2390</v>
      </c>
      <c r="AC19" s="9">
        <f t="shared" si="53"/>
        <v>1912</v>
      </c>
      <c r="AD19" s="12"/>
      <c r="AE19" s="10"/>
      <c r="AF19" s="31">
        <v>0</v>
      </c>
      <c r="AG19" s="29">
        <f t="shared" si="44"/>
        <v>1800</v>
      </c>
      <c r="AH19" s="32">
        <v>300</v>
      </c>
      <c r="AI19" s="29">
        <f t="shared" si="49"/>
        <v>0</v>
      </c>
      <c r="AJ19" s="13"/>
      <c r="AK19" s="29">
        <f t="shared" si="31"/>
        <v>28802</v>
      </c>
      <c r="AL19" s="29">
        <f t="shared" si="12"/>
        <v>2100</v>
      </c>
      <c r="AM19" s="29">
        <f t="shared" si="32"/>
        <v>26702</v>
      </c>
      <c r="AN19" s="33">
        <f t="shared" si="36"/>
        <v>26702</v>
      </c>
      <c r="AO19" s="29">
        <f t="shared" si="50"/>
        <v>0</v>
      </c>
      <c r="AP19" s="29">
        <f t="shared" si="33"/>
        <v>1800</v>
      </c>
      <c r="AQ19" s="13"/>
      <c r="AR19" s="29">
        <f t="shared" si="17"/>
        <v>30602</v>
      </c>
      <c r="AS19" s="29">
        <f>'Feb 2026'!AT19</f>
        <v>0</v>
      </c>
      <c r="AT19" s="29">
        <f t="shared" si="29"/>
        <v>0</v>
      </c>
      <c r="AU19" s="34"/>
      <c r="AV19" s="31">
        <f t="shared" si="37"/>
        <v>0</v>
      </c>
      <c r="AW19" s="79"/>
      <c r="AX19" s="79"/>
      <c r="AY19" s="75">
        <v>0</v>
      </c>
      <c r="AZ19" s="77" t="s">
        <v>165</v>
      </c>
    </row>
    <row r="20" spans="1:52" ht="14.4" x14ac:dyDescent="0.3">
      <c r="A20" s="21">
        <v>1043</v>
      </c>
      <c r="B20" s="69" t="e">
        <f>VLOOKUP(A20,#REF!,2,FALSE)</f>
        <v>#REF!</v>
      </c>
      <c r="C20" s="2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31</v>
      </c>
      <c r="J20" s="100">
        <v>31</v>
      </c>
      <c r="K20" s="71">
        <f>'Feb 2026'!O20</f>
        <v>0.5</v>
      </c>
      <c r="L20" s="101">
        <v>1</v>
      </c>
      <c r="M20" s="38">
        <v>1.5</v>
      </c>
      <c r="N20" s="24">
        <f t="shared" si="46"/>
        <v>0</v>
      </c>
      <c r="O20" s="24">
        <f t="shared" si="52"/>
        <v>0</v>
      </c>
      <c r="P20" s="24">
        <f t="shared" si="2"/>
        <v>31</v>
      </c>
      <c r="Q20" s="36">
        <v>15000</v>
      </c>
      <c r="R20" s="37">
        <v>5130</v>
      </c>
      <c r="S20" s="37">
        <v>1710</v>
      </c>
      <c r="T20" s="37">
        <v>1710</v>
      </c>
      <c r="U20" s="37">
        <v>1827</v>
      </c>
      <c r="V20" s="37">
        <v>1827</v>
      </c>
      <c r="W20" s="29">
        <f t="shared" si="39"/>
        <v>27204</v>
      </c>
      <c r="X20" s="30">
        <f t="shared" si="40"/>
        <v>15000</v>
      </c>
      <c r="Y20" s="30">
        <f t="shared" si="41"/>
        <v>5130</v>
      </c>
      <c r="Z20" s="30">
        <f t="shared" si="42"/>
        <v>1710</v>
      </c>
      <c r="AA20" s="30">
        <f t="shared" si="43"/>
        <v>1710</v>
      </c>
      <c r="AB20" s="10">
        <f t="shared" ref="AB20:AC20" si="54">U20*0.8</f>
        <v>1461.6000000000001</v>
      </c>
      <c r="AC20" s="9">
        <f t="shared" si="54"/>
        <v>1461.6000000000001</v>
      </c>
      <c r="AD20" s="12"/>
      <c r="AE20" s="10"/>
      <c r="AF20" s="31">
        <v>0</v>
      </c>
      <c r="AG20" s="29">
        <f t="shared" si="44"/>
        <v>1800</v>
      </c>
      <c r="AH20" s="32">
        <v>300</v>
      </c>
      <c r="AI20" s="29">
        <f t="shared" si="49"/>
        <v>0</v>
      </c>
      <c r="AJ20" s="13"/>
      <c r="AK20" s="29">
        <f t="shared" si="31"/>
        <v>26473.199999999997</v>
      </c>
      <c r="AL20" s="29">
        <f t="shared" si="12"/>
        <v>2100</v>
      </c>
      <c r="AM20" s="29">
        <f t="shared" si="32"/>
        <v>24373.199999999997</v>
      </c>
      <c r="AN20" s="33">
        <f t="shared" si="36"/>
        <v>24373</v>
      </c>
      <c r="AO20" s="29">
        <f t="shared" si="50"/>
        <v>0</v>
      </c>
      <c r="AP20" s="29">
        <f t="shared" si="33"/>
        <v>1800</v>
      </c>
      <c r="AQ20" s="13"/>
      <c r="AR20" s="29">
        <f t="shared" si="17"/>
        <v>28273.199999999997</v>
      </c>
      <c r="AS20" s="29">
        <f>'Feb 2026'!AT20</f>
        <v>0</v>
      </c>
      <c r="AT20" s="29">
        <f t="shared" si="29"/>
        <v>0</v>
      </c>
      <c r="AU20" s="34"/>
      <c r="AV20" s="31">
        <f t="shared" si="37"/>
        <v>0</v>
      </c>
      <c r="AW20" s="79"/>
      <c r="AX20" s="79"/>
      <c r="AY20" s="75">
        <v>0</v>
      </c>
      <c r="AZ20" s="77" t="s">
        <v>165</v>
      </c>
    </row>
    <row r="21" spans="1:52" ht="14.4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00">
        <v>31</v>
      </c>
      <c r="J21" s="100">
        <v>0</v>
      </c>
      <c r="K21" s="71">
        <f>'Feb 2026'!O21</f>
        <v>0</v>
      </c>
      <c r="L21" s="101">
        <v>0</v>
      </c>
      <c r="M21" s="119">
        <v>0</v>
      </c>
      <c r="N21" s="119">
        <v>0</v>
      </c>
      <c r="O21" s="119">
        <v>0</v>
      </c>
      <c r="P21" s="119">
        <v>0</v>
      </c>
      <c r="Q21" s="119">
        <v>0</v>
      </c>
      <c r="R21" s="119">
        <v>0</v>
      </c>
      <c r="S21" s="119">
        <v>0</v>
      </c>
      <c r="T21" s="119">
        <v>0</v>
      </c>
      <c r="U21" s="119">
        <v>0</v>
      </c>
      <c r="V21" s="119">
        <v>0</v>
      </c>
      <c r="W21" s="119">
        <v>0</v>
      </c>
      <c r="X21" s="119">
        <v>0</v>
      </c>
      <c r="Y21" s="119">
        <v>0</v>
      </c>
      <c r="Z21" s="119">
        <v>0</v>
      </c>
      <c r="AA21" s="119">
        <v>0</v>
      </c>
      <c r="AB21" s="10">
        <v>0</v>
      </c>
      <c r="AC21" s="9">
        <v>0</v>
      </c>
      <c r="AD21" s="119">
        <v>0</v>
      </c>
      <c r="AE21" s="119">
        <v>0</v>
      </c>
      <c r="AF21" s="119">
        <v>0</v>
      </c>
      <c r="AG21" s="119">
        <v>0</v>
      </c>
      <c r="AH21" s="119">
        <v>0</v>
      </c>
      <c r="AI21" s="119">
        <v>0</v>
      </c>
      <c r="AJ21" s="119">
        <v>0</v>
      </c>
      <c r="AK21" s="119">
        <v>0</v>
      </c>
      <c r="AL21" s="119">
        <v>0</v>
      </c>
      <c r="AM21" s="119">
        <v>0</v>
      </c>
      <c r="AN21" s="119">
        <v>0</v>
      </c>
      <c r="AO21" s="119">
        <v>0</v>
      </c>
      <c r="AP21" s="119">
        <v>0</v>
      </c>
      <c r="AQ21" s="119">
        <v>0</v>
      </c>
      <c r="AR21" s="119">
        <v>0</v>
      </c>
      <c r="AS21" s="29">
        <f>'Feb 2026'!AT21</f>
        <v>0</v>
      </c>
      <c r="AT21" s="119">
        <v>0</v>
      </c>
      <c r="AU21" s="119">
        <v>0</v>
      </c>
      <c r="AV21" s="119">
        <v>0</v>
      </c>
      <c r="AW21" s="119">
        <v>0</v>
      </c>
      <c r="AX21" s="119">
        <v>0</v>
      </c>
      <c r="AY21" s="119">
        <v>0</v>
      </c>
      <c r="AZ21" s="120" t="s">
        <v>166</v>
      </c>
    </row>
    <row r="22" spans="1:52" ht="14.4" x14ac:dyDescent="0.3">
      <c r="A22" s="21">
        <v>1046</v>
      </c>
      <c r="B22" s="69" t="e">
        <f>VLOOKUP(A22,#REF!,2,FALSE)</f>
        <v>#REF!</v>
      </c>
      <c r="C22" s="2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31</v>
      </c>
      <c r="J22" s="100">
        <v>31</v>
      </c>
      <c r="K22" s="71">
        <f>'Feb 2026'!O22</f>
        <v>3</v>
      </c>
      <c r="L22" s="101">
        <v>1</v>
      </c>
      <c r="M22" s="38">
        <v>1.5</v>
      </c>
      <c r="N22" s="24">
        <f t="shared" ref="N22:N35" si="55">IF(K22+L22-M22 &gt;= 0,0,M22-(K22+L22))</f>
        <v>0</v>
      </c>
      <c r="O22" s="24">
        <f t="shared" ref="O22:O38" si="56">IF(K22+L22-M22&gt;0,K22+L22-M22,0)</f>
        <v>2.5</v>
      </c>
      <c r="P22" s="24">
        <f t="shared" ref="P22:P35" si="57">J22-N22</f>
        <v>31</v>
      </c>
      <c r="Q22" s="36">
        <v>15000</v>
      </c>
      <c r="R22" s="37">
        <v>5700</v>
      </c>
      <c r="S22" s="37">
        <v>1900</v>
      </c>
      <c r="T22" s="37">
        <v>1900</v>
      </c>
      <c r="U22" s="37">
        <v>2152</v>
      </c>
      <c r="V22" s="37">
        <v>2152</v>
      </c>
      <c r="W22" s="29">
        <f t="shared" ref="W22:W35" si="58">SUM(Q22:V22)</f>
        <v>28804</v>
      </c>
      <c r="X22" s="30">
        <f t="shared" ref="X22:X35" si="59">(Q22/I22*(J22)) * (1-N22/J22)</f>
        <v>15000</v>
      </c>
      <c r="Y22" s="30">
        <f t="shared" ref="Y22:Y35" si="60">(R22/I22*(J22)) * (1-N22/J22)</f>
        <v>5700</v>
      </c>
      <c r="Z22" s="30">
        <f t="shared" ref="Z22:Z35" si="61">(S22/I22*(J22)) * (1-N22/J22)</f>
        <v>1900</v>
      </c>
      <c r="AA22" s="30">
        <f t="shared" ref="AA22:AA35" si="62">(T22/I22*(J22)) * (1-N22/J22)</f>
        <v>1900</v>
      </c>
      <c r="AB22" s="10">
        <f t="shared" ref="AB22:AB23" si="63">U22*0.9</f>
        <v>1936.8</v>
      </c>
      <c r="AC22" s="9">
        <f t="shared" ref="AC22:AC25" si="64">V22*0.8</f>
        <v>1721.6000000000001</v>
      </c>
      <c r="AD22" s="12"/>
      <c r="AE22" s="10"/>
      <c r="AF22" s="31">
        <v>0</v>
      </c>
      <c r="AG22" s="29">
        <f t="shared" ref="AG22:AG31" si="65">IF(X22&gt;15000,(15000 * 12%),X22*0.12)</f>
        <v>1800</v>
      </c>
      <c r="AH22" s="32">
        <v>300</v>
      </c>
      <c r="AI22" s="29">
        <f t="shared" ref="AI22:AI34" si="66">IF(SUM(Q22:T22) &lt; 21000, SUM(X22:AA22)*0.0075, 0)</f>
        <v>0</v>
      </c>
      <c r="AJ22" s="13"/>
      <c r="AK22" s="29">
        <f t="shared" ref="AK22:AK38" si="67">SUM(X22:AF22)</f>
        <v>28158.399999999998</v>
      </c>
      <c r="AL22" s="29">
        <f t="shared" ref="AL22:AL35" si="68">SUM(AG22:AJ22)+AU22</f>
        <v>2100</v>
      </c>
      <c r="AM22" s="29">
        <f t="shared" ref="AM22:AM38" si="69">SUM(X22:AF22)-SUM(AG22:AJ22)</f>
        <v>26058.399999999998</v>
      </c>
      <c r="AN22" s="33">
        <f t="shared" ref="AN22:AN38" si="70">ROUND(AM22-AF22,0)+AV22-AU22</f>
        <v>26058</v>
      </c>
      <c r="AO22" s="29">
        <f t="shared" ref="AO22:AO34" si="71">AI22/0.0075*0.0325</f>
        <v>0</v>
      </c>
      <c r="AP22" s="29">
        <f t="shared" ref="AP22:AP34" si="72">AG22</f>
        <v>1800</v>
      </c>
      <c r="AQ22" s="13"/>
      <c r="AR22" s="29">
        <f t="shared" ref="AR22:AR34" si="73">AK22+AO22+AP22</f>
        <v>29958.399999999998</v>
      </c>
      <c r="AS22" s="29">
        <f>'Feb 2026'!AT22</f>
        <v>0</v>
      </c>
      <c r="AT22" s="29">
        <f t="shared" ref="AT22:AT28" si="74">AS22+AD22-AJ22-AY22</f>
        <v>0</v>
      </c>
      <c r="AU22" s="34"/>
      <c r="AV22" s="31">
        <f t="shared" ref="AV22:AV32" si="75">AF22*12</f>
        <v>0</v>
      </c>
      <c r="AW22" s="79"/>
      <c r="AX22" s="79"/>
      <c r="AY22" s="75">
        <v>0</v>
      </c>
      <c r="AZ22" s="77" t="s">
        <v>165</v>
      </c>
    </row>
    <row r="23" spans="1:52" ht="14.4" x14ac:dyDescent="0.3">
      <c r="A23" s="50">
        <v>1048</v>
      </c>
      <c r="B23" s="69" t="e">
        <f>VLOOKUP(A23,#REF!,2,FALSE)</f>
        <v>#REF!</v>
      </c>
      <c r="C23" s="2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31</v>
      </c>
      <c r="J23" s="100">
        <v>31</v>
      </c>
      <c r="K23" s="71">
        <f>'Feb 2026'!O23</f>
        <v>0</v>
      </c>
      <c r="L23" s="101">
        <v>0.5</v>
      </c>
      <c r="M23" s="38">
        <v>1.5</v>
      </c>
      <c r="N23" s="24">
        <f t="shared" si="55"/>
        <v>1</v>
      </c>
      <c r="O23" s="24">
        <f t="shared" si="56"/>
        <v>0</v>
      </c>
      <c r="P23" s="24">
        <f t="shared" si="57"/>
        <v>30</v>
      </c>
      <c r="Q23" s="36">
        <v>15000</v>
      </c>
      <c r="R23" s="37">
        <v>4959</v>
      </c>
      <c r="S23" s="37">
        <v>1653</v>
      </c>
      <c r="T23" s="37">
        <v>1653</v>
      </c>
      <c r="U23" s="37">
        <v>1283</v>
      </c>
      <c r="V23" s="37">
        <v>1283</v>
      </c>
      <c r="W23" s="29">
        <f t="shared" si="58"/>
        <v>25831</v>
      </c>
      <c r="X23" s="30">
        <f t="shared" si="59"/>
        <v>14516.129032258064</v>
      </c>
      <c r="Y23" s="30">
        <f t="shared" si="60"/>
        <v>4799.0322580645161</v>
      </c>
      <c r="Z23" s="30">
        <f t="shared" si="61"/>
        <v>1599.6774193548388</v>
      </c>
      <c r="AA23" s="30">
        <f t="shared" si="62"/>
        <v>1599.6774193548388</v>
      </c>
      <c r="AB23" s="10">
        <f t="shared" si="63"/>
        <v>1154.7</v>
      </c>
      <c r="AC23" s="9">
        <f t="shared" si="64"/>
        <v>1026.4000000000001</v>
      </c>
      <c r="AD23" s="12"/>
      <c r="AE23" s="10"/>
      <c r="AF23" s="31">
        <v>0</v>
      </c>
      <c r="AG23" s="29">
        <f t="shared" si="65"/>
        <v>1741.9354838709676</v>
      </c>
      <c r="AH23" s="32">
        <v>100</v>
      </c>
      <c r="AI23" s="29">
        <f t="shared" si="66"/>
        <v>0</v>
      </c>
      <c r="AJ23" s="13"/>
      <c r="AK23" s="29">
        <f t="shared" si="67"/>
        <v>24695.616129032256</v>
      </c>
      <c r="AL23" s="29">
        <f t="shared" si="68"/>
        <v>1841.9354838709676</v>
      </c>
      <c r="AM23" s="29">
        <f t="shared" si="69"/>
        <v>22853.68064516129</v>
      </c>
      <c r="AN23" s="33">
        <f t="shared" si="70"/>
        <v>22854</v>
      </c>
      <c r="AO23" s="29">
        <f t="shared" si="71"/>
        <v>0</v>
      </c>
      <c r="AP23" s="29">
        <f t="shared" si="72"/>
        <v>1741.9354838709676</v>
      </c>
      <c r="AQ23" s="13"/>
      <c r="AR23" s="29">
        <f t="shared" si="73"/>
        <v>26437.551612903222</v>
      </c>
      <c r="AS23" s="29">
        <f>'Feb 2026'!AT23</f>
        <v>0</v>
      </c>
      <c r="AT23" s="29">
        <f t="shared" si="74"/>
        <v>0</v>
      </c>
      <c r="AU23" s="34"/>
      <c r="AV23" s="31">
        <f t="shared" si="75"/>
        <v>0</v>
      </c>
      <c r="AW23" s="79"/>
      <c r="AX23" s="79"/>
      <c r="AY23" s="75">
        <v>0</v>
      </c>
      <c r="AZ23" s="77" t="s">
        <v>165</v>
      </c>
    </row>
    <row r="24" spans="1:52" ht="14.4" x14ac:dyDescent="0.3">
      <c r="A24" s="21">
        <v>1049</v>
      </c>
      <c r="B24" s="69" t="e">
        <f>VLOOKUP(A24,#REF!,2,FALSE)</f>
        <v>#REF!</v>
      </c>
      <c r="C24" s="2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31</v>
      </c>
      <c r="J24" s="100">
        <v>31</v>
      </c>
      <c r="K24" s="71">
        <f>'Feb 2026'!O24</f>
        <v>4.5</v>
      </c>
      <c r="L24" s="101">
        <v>3</v>
      </c>
      <c r="M24" s="38">
        <v>5.5</v>
      </c>
      <c r="N24" s="24">
        <f t="shared" si="55"/>
        <v>0</v>
      </c>
      <c r="O24" s="24">
        <f t="shared" si="56"/>
        <v>2</v>
      </c>
      <c r="P24" s="24">
        <f t="shared" si="57"/>
        <v>31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58"/>
        <v>40000</v>
      </c>
      <c r="X24" s="30">
        <f t="shared" si="59"/>
        <v>15000</v>
      </c>
      <c r="Y24" s="30">
        <f t="shared" si="60"/>
        <v>6000</v>
      </c>
      <c r="Z24" s="30">
        <f t="shared" si="61"/>
        <v>5000</v>
      </c>
      <c r="AA24" s="30">
        <f t="shared" si="62"/>
        <v>6000</v>
      </c>
      <c r="AB24" s="10">
        <f>U24*1.2</f>
        <v>4800</v>
      </c>
      <c r="AC24" s="9">
        <f t="shared" si="64"/>
        <v>3200</v>
      </c>
      <c r="AD24" s="12"/>
      <c r="AE24" s="41"/>
      <c r="AF24" s="31">
        <v>0</v>
      </c>
      <c r="AG24" s="29">
        <f t="shared" si="65"/>
        <v>1800</v>
      </c>
      <c r="AH24" s="32">
        <v>300</v>
      </c>
      <c r="AI24" s="29">
        <f t="shared" si="66"/>
        <v>0</v>
      </c>
      <c r="AJ24" s="13"/>
      <c r="AK24" s="29">
        <f t="shared" si="67"/>
        <v>40000</v>
      </c>
      <c r="AL24" s="29">
        <f t="shared" si="68"/>
        <v>2100</v>
      </c>
      <c r="AM24" s="29">
        <f t="shared" si="69"/>
        <v>37900</v>
      </c>
      <c r="AN24" s="33">
        <f t="shared" si="70"/>
        <v>37900</v>
      </c>
      <c r="AO24" s="29">
        <f t="shared" si="71"/>
        <v>0</v>
      </c>
      <c r="AP24" s="29">
        <f t="shared" si="72"/>
        <v>1800</v>
      </c>
      <c r="AQ24" s="13"/>
      <c r="AR24" s="29">
        <f t="shared" si="73"/>
        <v>41800</v>
      </c>
      <c r="AS24" s="29">
        <f>'Feb 2026'!AT24</f>
        <v>0</v>
      </c>
      <c r="AT24" s="29">
        <f t="shared" si="74"/>
        <v>0</v>
      </c>
      <c r="AU24" s="34"/>
      <c r="AV24" s="31">
        <f t="shared" si="75"/>
        <v>0</v>
      </c>
      <c r="AW24" s="79"/>
      <c r="AX24" s="138"/>
      <c r="AY24" s="103">
        <v>0</v>
      </c>
      <c r="AZ24" s="77" t="s">
        <v>165</v>
      </c>
    </row>
    <row r="25" spans="1:52" ht="14.4" x14ac:dyDescent="0.3">
      <c r="A25" s="21">
        <v>1050</v>
      </c>
      <c r="B25" s="69" t="e">
        <f>VLOOKUP(A25,#REF!,2,FALSE)</f>
        <v>#REF!</v>
      </c>
      <c r="C25" s="2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31</v>
      </c>
      <c r="J25" s="100">
        <v>31</v>
      </c>
      <c r="K25" s="71">
        <f>'Feb 2026'!O25</f>
        <v>0.5</v>
      </c>
      <c r="L25" s="101">
        <v>1</v>
      </c>
      <c r="M25" s="38">
        <v>1.5</v>
      </c>
      <c r="N25" s="24">
        <f t="shared" si="55"/>
        <v>0</v>
      </c>
      <c r="O25" s="24">
        <f t="shared" si="56"/>
        <v>0</v>
      </c>
      <c r="P25" s="24">
        <f t="shared" si="57"/>
        <v>31</v>
      </c>
      <c r="Q25" s="36">
        <v>15000</v>
      </c>
      <c r="R25" s="37">
        <v>5700</v>
      </c>
      <c r="S25" s="37">
        <v>1900</v>
      </c>
      <c r="T25" s="37">
        <v>1900</v>
      </c>
      <c r="U25" s="37">
        <v>2833</v>
      </c>
      <c r="V25" s="37">
        <v>2833</v>
      </c>
      <c r="W25" s="29">
        <f t="shared" si="58"/>
        <v>30166</v>
      </c>
      <c r="X25" s="30">
        <f t="shared" si="59"/>
        <v>15000</v>
      </c>
      <c r="Y25" s="30">
        <f t="shared" si="60"/>
        <v>5700</v>
      </c>
      <c r="Z25" s="30">
        <f t="shared" si="61"/>
        <v>1900</v>
      </c>
      <c r="AA25" s="30">
        <f t="shared" si="62"/>
        <v>1900</v>
      </c>
      <c r="AB25" s="10">
        <f>U25*1</f>
        <v>2833</v>
      </c>
      <c r="AC25" s="9">
        <f t="shared" si="64"/>
        <v>2266.4</v>
      </c>
      <c r="AD25" s="12"/>
      <c r="AE25" s="10"/>
      <c r="AF25" s="31">
        <v>0</v>
      </c>
      <c r="AG25" s="29">
        <f t="shared" si="65"/>
        <v>1800</v>
      </c>
      <c r="AH25" s="32">
        <v>300</v>
      </c>
      <c r="AI25" s="29">
        <f t="shared" si="66"/>
        <v>0</v>
      </c>
      <c r="AJ25" s="13"/>
      <c r="AK25" s="29">
        <f t="shared" si="67"/>
        <v>29599.4</v>
      </c>
      <c r="AL25" s="29">
        <f t="shared" si="68"/>
        <v>2100</v>
      </c>
      <c r="AM25" s="29">
        <f t="shared" si="69"/>
        <v>27499.4</v>
      </c>
      <c r="AN25" s="33">
        <f t="shared" si="70"/>
        <v>27499</v>
      </c>
      <c r="AO25" s="29">
        <f t="shared" si="71"/>
        <v>0</v>
      </c>
      <c r="AP25" s="29">
        <f t="shared" si="72"/>
        <v>1800</v>
      </c>
      <c r="AQ25" s="13"/>
      <c r="AR25" s="29">
        <f t="shared" si="73"/>
        <v>31399.4</v>
      </c>
      <c r="AS25" s="29">
        <f>'Feb 2026'!AT25</f>
        <v>0</v>
      </c>
      <c r="AT25" s="29">
        <f t="shared" si="74"/>
        <v>0</v>
      </c>
      <c r="AU25" s="34"/>
      <c r="AV25" s="31">
        <f t="shared" si="75"/>
        <v>0</v>
      </c>
      <c r="AW25" s="79"/>
      <c r="AX25" s="79"/>
      <c r="AY25" s="75">
        <v>0</v>
      </c>
      <c r="AZ25" s="77" t="s">
        <v>165</v>
      </c>
    </row>
    <row r="26" spans="1:52" ht="14.4" x14ac:dyDescent="0.3">
      <c r="A26" s="21">
        <v>1051</v>
      </c>
      <c r="B26" s="69" t="e">
        <f>VLOOKUP(A26,#REF!,2,FALSE)</f>
        <v>#REF!</v>
      </c>
      <c r="C26" s="2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31</v>
      </c>
      <c r="J26" s="100">
        <v>31</v>
      </c>
      <c r="K26" s="71">
        <f>'Feb 2026'!O26</f>
        <v>2</v>
      </c>
      <c r="L26" s="101">
        <v>1</v>
      </c>
      <c r="M26" s="38">
        <v>1</v>
      </c>
      <c r="N26" s="24">
        <f t="shared" si="55"/>
        <v>0</v>
      </c>
      <c r="O26" s="24">
        <f t="shared" si="56"/>
        <v>2</v>
      </c>
      <c r="P26" s="24">
        <f t="shared" si="57"/>
        <v>31</v>
      </c>
      <c r="Q26" s="36">
        <v>15000</v>
      </c>
      <c r="R26" s="37">
        <v>3825</v>
      </c>
      <c r="S26" s="37">
        <v>1020</v>
      </c>
      <c r="T26" s="37">
        <v>1020</v>
      </c>
      <c r="U26" s="37">
        <v>2500</v>
      </c>
      <c r="V26" s="37">
        <v>2500</v>
      </c>
      <c r="W26" s="29">
        <f t="shared" si="58"/>
        <v>25865</v>
      </c>
      <c r="X26" s="30">
        <f t="shared" si="59"/>
        <v>15000</v>
      </c>
      <c r="Y26" s="30">
        <f t="shared" si="60"/>
        <v>3825</v>
      </c>
      <c r="Z26" s="30">
        <f t="shared" si="61"/>
        <v>1020.0000000000001</v>
      </c>
      <c r="AA26" s="30">
        <f t="shared" si="62"/>
        <v>1020.0000000000001</v>
      </c>
      <c r="AB26" s="121">
        <f>U26*1*3</f>
        <v>7500</v>
      </c>
      <c r="AC26" s="106">
        <f>V26*0.8*3</f>
        <v>6000</v>
      </c>
      <c r="AD26" s="12"/>
      <c r="AE26" s="10"/>
      <c r="AF26" s="31">
        <v>0</v>
      </c>
      <c r="AG26" s="29">
        <f t="shared" si="65"/>
        <v>1800</v>
      </c>
      <c r="AH26" s="29">
        <f>IF(SUM(X26:AA26)&gt;=25000, 200, 0)</f>
        <v>0</v>
      </c>
      <c r="AI26" s="29">
        <f t="shared" si="66"/>
        <v>156.48749999999998</v>
      </c>
      <c r="AJ26" s="13"/>
      <c r="AK26" s="29">
        <f t="shared" si="67"/>
        <v>34365</v>
      </c>
      <c r="AL26" s="29">
        <f t="shared" si="68"/>
        <v>1956.4875</v>
      </c>
      <c r="AM26" s="29">
        <f t="shared" si="69"/>
        <v>32408.512500000001</v>
      </c>
      <c r="AN26" s="33">
        <f t="shared" si="70"/>
        <v>32409</v>
      </c>
      <c r="AO26" s="29">
        <f t="shared" si="71"/>
        <v>678.11250000000007</v>
      </c>
      <c r="AP26" s="29">
        <f t="shared" si="72"/>
        <v>1800</v>
      </c>
      <c r="AQ26" s="13"/>
      <c r="AR26" s="29">
        <f t="shared" si="73"/>
        <v>36843.112500000003</v>
      </c>
      <c r="AS26" s="29">
        <f>'Feb 2026'!AT26</f>
        <v>0</v>
      </c>
      <c r="AT26" s="29">
        <f t="shared" si="74"/>
        <v>0</v>
      </c>
      <c r="AU26" s="34"/>
      <c r="AV26" s="31">
        <f t="shared" si="75"/>
        <v>0</v>
      </c>
      <c r="AW26" s="79"/>
      <c r="AX26" s="79"/>
      <c r="AY26" s="75">
        <v>0</v>
      </c>
      <c r="AZ26" s="77" t="s">
        <v>165</v>
      </c>
    </row>
    <row r="27" spans="1:52" ht="14.4" x14ac:dyDescent="0.3">
      <c r="A27" s="87">
        <v>1053</v>
      </c>
      <c r="B27" s="69" t="e">
        <f>VLOOKUP(A27,#REF!,2,FALSE)</f>
        <v>#REF!</v>
      </c>
      <c r="C27" s="2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31</v>
      </c>
      <c r="J27" s="100">
        <v>31</v>
      </c>
      <c r="K27" s="71">
        <f>'Feb 2026'!O27</f>
        <v>0</v>
      </c>
      <c r="L27" s="101">
        <v>1</v>
      </c>
      <c r="M27" s="38">
        <v>1</v>
      </c>
      <c r="N27" s="24">
        <f t="shared" si="55"/>
        <v>0</v>
      </c>
      <c r="O27" s="24">
        <f t="shared" si="56"/>
        <v>0</v>
      </c>
      <c r="P27" s="24">
        <f t="shared" si="57"/>
        <v>31</v>
      </c>
      <c r="Q27" s="36">
        <v>15000</v>
      </c>
      <c r="R27" s="37">
        <v>4845</v>
      </c>
      <c r="S27" s="37">
        <v>1615</v>
      </c>
      <c r="T27" s="37">
        <v>1615</v>
      </c>
      <c r="U27" s="37">
        <v>1378</v>
      </c>
      <c r="V27" s="37">
        <v>1378</v>
      </c>
      <c r="W27" s="29">
        <f t="shared" si="58"/>
        <v>25831</v>
      </c>
      <c r="X27" s="30">
        <f t="shared" si="59"/>
        <v>15000</v>
      </c>
      <c r="Y27" s="30">
        <f t="shared" si="60"/>
        <v>4845</v>
      </c>
      <c r="Z27" s="30">
        <f t="shared" si="61"/>
        <v>1615</v>
      </c>
      <c r="AA27" s="30">
        <f t="shared" si="62"/>
        <v>1615</v>
      </c>
      <c r="AB27" s="10">
        <f t="shared" ref="AB27:AC27" si="76">U27*0.8</f>
        <v>1102.4000000000001</v>
      </c>
      <c r="AC27" s="9">
        <f t="shared" si="76"/>
        <v>1102.4000000000001</v>
      </c>
      <c r="AD27" s="12"/>
      <c r="AE27" s="10"/>
      <c r="AF27" s="31">
        <v>0</v>
      </c>
      <c r="AG27" s="29">
        <f t="shared" si="65"/>
        <v>1800</v>
      </c>
      <c r="AH27" s="32">
        <v>300</v>
      </c>
      <c r="AI27" s="29">
        <f t="shared" si="66"/>
        <v>0</v>
      </c>
      <c r="AJ27" s="13"/>
      <c r="AK27" s="29">
        <f t="shared" si="67"/>
        <v>25279.800000000003</v>
      </c>
      <c r="AL27" s="29">
        <f t="shared" si="68"/>
        <v>2100</v>
      </c>
      <c r="AM27" s="29">
        <f t="shared" si="69"/>
        <v>23179.800000000003</v>
      </c>
      <c r="AN27" s="33">
        <f t="shared" si="70"/>
        <v>23180</v>
      </c>
      <c r="AO27" s="29">
        <f t="shared" si="71"/>
        <v>0</v>
      </c>
      <c r="AP27" s="29">
        <f t="shared" si="72"/>
        <v>1800</v>
      </c>
      <c r="AQ27" s="13"/>
      <c r="AR27" s="29">
        <f t="shared" si="73"/>
        <v>27079.800000000003</v>
      </c>
      <c r="AS27" s="32">
        <v>350000</v>
      </c>
      <c r="AT27" s="29">
        <f t="shared" si="74"/>
        <v>350000</v>
      </c>
      <c r="AU27" s="34"/>
      <c r="AV27" s="31">
        <f t="shared" si="75"/>
        <v>0</v>
      </c>
      <c r="AW27" s="79"/>
      <c r="AX27" s="79"/>
      <c r="AY27" s="75">
        <v>0</v>
      </c>
      <c r="AZ27" s="77" t="s">
        <v>165</v>
      </c>
    </row>
    <row r="28" spans="1:52" ht="14.4" x14ac:dyDescent="0.3">
      <c r="A28" s="21">
        <v>1054</v>
      </c>
      <c r="B28" s="69" t="e">
        <f>VLOOKUP(A28,#REF!,2,FALSE)</f>
        <v>#REF!</v>
      </c>
      <c r="C28" s="2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31</v>
      </c>
      <c r="J28" s="100">
        <v>31</v>
      </c>
      <c r="K28" s="71">
        <f>'Feb 2026'!O28</f>
        <v>4.5</v>
      </c>
      <c r="L28" s="101">
        <v>1</v>
      </c>
      <c r="M28" s="38">
        <v>1</v>
      </c>
      <c r="N28" s="24">
        <f t="shared" si="55"/>
        <v>0</v>
      </c>
      <c r="O28" s="24">
        <f t="shared" si="56"/>
        <v>4.5</v>
      </c>
      <c r="P28" s="24">
        <f t="shared" si="57"/>
        <v>31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58"/>
        <v>33000</v>
      </c>
      <c r="X28" s="30">
        <f t="shared" si="59"/>
        <v>15000</v>
      </c>
      <c r="Y28" s="30">
        <f t="shared" si="60"/>
        <v>4000</v>
      </c>
      <c r="Z28" s="30">
        <f t="shared" si="61"/>
        <v>4000</v>
      </c>
      <c r="AA28" s="30">
        <f t="shared" si="62"/>
        <v>4000</v>
      </c>
      <c r="AB28" s="10">
        <f>U28*1.2</f>
        <v>3600</v>
      </c>
      <c r="AC28" s="9">
        <f t="shared" ref="AC28:AC29" si="77">V28*0.8</f>
        <v>2400</v>
      </c>
      <c r="AD28" s="12"/>
      <c r="AE28" s="10"/>
      <c r="AF28" s="31">
        <v>0</v>
      </c>
      <c r="AG28" s="29">
        <f t="shared" si="65"/>
        <v>1800</v>
      </c>
      <c r="AH28" s="32">
        <v>300</v>
      </c>
      <c r="AI28" s="29">
        <f t="shared" si="66"/>
        <v>0</v>
      </c>
      <c r="AJ28" s="13"/>
      <c r="AK28" s="29">
        <f t="shared" si="67"/>
        <v>33000</v>
      </c>
      <c r="AL28" s="29">
        <f t="shared" si="68"/>
        <v>2100</v>
      </c>
      <c r="AM28" s="29">
        <f t="shared" si="69"/>
        <v>30900</v>
      </c>
      <c r="AN28" s="33">
        <f t="shared" si="70"/>
        <v>30900</v>
      </c>
      <c r="AO28" s="29">
        <f t="shared" si="71"/>
        <v>0</v>
      </c>
      <c r="AP28" s="29">
        <f t="shared" si="72"/>
        <v>1800</v>
      </c>
      <c r="AQ28" s="13"/>
      <c r="AR28" s="29">
        <f t="shared" si="73"/>
        <v>34800</v>
      </c>
      <c r="AS28" s="29">
        <f>'Feb 2026'!AT28</f>
        <v>0</v>
      </c>
      <c r="AT28" s="29">
        <f t="shared" si="74"/>
        <v>0</v>
      </c>
      <c r="AU28" s="34"/>
      <c r="AV28" s="31">
        <f t="shared" si="75"/>
        <v>0</v>
      </c>
      <c r="AW28" s="79"/>
      <c r="AX28" s="79"/>
      <c r="AY28" s="103">
        <v>0</v>
      </c>
      <c r="AZ28" s="77" t="s">
        <v>165</v>
      </c>
    </row>
    <row r="29" spans="1:52" ht="14.4" x14ac:dyDescent="0.3">
      <c r="A29" s="21">
        <v>1055</v>
      </c>
      <c r="B29" s="69" t="e">
        <f>VLOOKUP(A29,#REF!,2,FALSE)</f>
        <v>#REF!</v>
      </c>
      <c r="C29" s="2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31</v>
      </c>
      <c r="J29" s="100">
        <v>31</v>
      </c>
      <c r="K29" s="71">
        <f>'Feb 2026'!O29</f>
        <v>4.5</v>
      </c>
      <c r="L29" s="101">
        <v>1</v>
      </c>
      <c r="M29" s="38">
        <v>1</v>
      </c>
      <c r="N29" s="24">
        <f t="shared" si="55"/>
        <v>0</v>
      </c>
      <c r="O29" s="24">
        <f t="shared" si="56"/>
        <v>4.5</v>
      </c>
      <c r="P29" s="24">
        <f t="shared" si="57"/>
        <v>31</v>
      </c>
      <c r="Q29" s="36">
        <v>15000</v>
      </c>
      <c r="R29" s="37">
        <v>3000</v>
      </c>
      <c r="S29" s="37">
        <v>1800</v>
      </c>
      <c r="T29" s="37">
        <v>1800</v>
      </c>
      <c r="U29" s="37">
        <v>1900</v>
      </c>
      <c r="V29" s="37">
        <v>1900</v>
      </c>
      <c r="W29" s="29">
        <f t="shared" si="58"/>
        <v>25400</v>
      </c>
      <c r="X29" s="30">
        <f t="shared" si="59"/>
        <v>15000</v>
      </c>
      <c r="Y29" s="30">
        <f t="shared" si="60"/>
        <v>3000</v>
      </c>
      <c r="Z29" s="30">
        <f t="shared" si="61"/>
        <v>1800</v>
      </c>
      <c r="AA29" s="30">
        <f t="shared" si="62"/>
        <v>1800</v>
      </c>
      <c r="AB29" s="10">
        <f>U29*1.1</f>
        <v>2090</v>
      </c>
      <c r="AC29" s="9">
        <f t="shared" si="77"/>
        <v>1520</v>
      </c>
      <c r="AD29" s="12"/>
      <c r="AE29" s="10"/>
      <c r="AF29" s="31">
        <v>0</v>
      </c>
      <c r="AG29" s="29">
        <f t="shared" si="65"/>
        <v>1800</v>
      </c>
      <c r="AH29" s="32">
        <v>300</v>
      </c>
      <c r="AI29" s="29">
        <f t="shared" si="66"/>
        <v>0</v>
      </c>
      <c r="AJ29" s="13"/>
      <c r="AK29" s="29">
        <f t="shared" si="67"/>
        <v>25210</v>
      </c>
      <c r="AL29" s="29">
        <f t="shared" si="68"/>
        <v>2100</v>
      </c>
      <c r="AM29" s="29">
        <f t="shared" si="69"/>
        <v>23110</v>
      </c>
      <c r="AN29" s="33">
        <f t="shared" si="70"/>
        <v>23110</v>
      </c>
      <c r="AO29" s="29">
        <f t="shared" si="71"/>
        <v>0</v>
      </c>
      <c r="AP29" s="29">
        <f t="shared" si="72"/>
        <v>1800</v>
      </c>
      <c r="AQ29" s="13"/>
      <c r="AR29" s="29">
        <f t="shared" si="73"/>
        <v>27010</v>
      </c>
      <c r="AS29" s="29">
        <f>'Feb 2026'!AT29</f>
        <v>0</v>
      </c>
      <c r="AT29" s="29">
        <f>AS29+AD29-AJ29</f>
        <v>0</v>
      </c>
      <c r="AU29" s="34"/>
      <c r="AV29" s="31">
        <f t="shared" si="75"/>
        <v>0</v>
      </c>
      <c r="AW29" s="79"/>
      <c r="AX29" s="79"/>
      <c r="AY29" s="75">
        <v>0</v>
      </c>
      <c r="AZ29" s="77" t="s">
        <v>165</v>
      </c>
    </row>
    <row r="30" spans="1:52" ht="14.4" x14ac:dyDescent="0.3">
      <c r="A30" s="21">
        <v>1057</v>
      </c>
      <c r="B30" s="69" t="e">
        <f>VLOOKUP(A30,#REF!,2,FALSE)</f>
        <v>#REF!</v>
      </c>
      <c r="C30" s="2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31</v>
      </c>
      <c r="J30" s="100">
        <v>31</v>
      </c>
      <c r="K30" s="71">
        <f>'Feb 2026'!O30</f>
        <v>1</v>
      </c>
      <c r="L30" s="101">
        <v>1</v>
      </c>
      <c r="M30" s="38">
        <v>1</v>
      </c>
      <c r="N30" s="24">
        <f t="shared" si="55"/>
        <v>0</v>
      </c>
      <c r="O30" s="24">
        <f t="shared" si="56"/>
        <v>1</v>
      </c>
      <c r="P30" s="24">
        <f t="shared" si="57"/>
        <v>31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58"/>
        <v>24100</v>
      </c>
      <c r="X30" s="30">
        <f t="shared" si="59"/>
        <v>15000</v>
      </c>
      <c r="Y30" s="30">
        <f t="shared" si="60"/>
        <v>2800</v>
      </c>
      <c r="Z30" s="30">
        <f t="shared" si="61"/>
        <v>1800</v>
      </c>
      <c r="AA30" s="30">
        <f t="shared" si="62"/>
        <v>1300</v>
      </c>
      <c r="AB30" s="121">
        <f t="shared" ref="AB30:AB31" si="78">U30*1*3</f>
        <v>4800</v>
      </c>
      <c r="AC30" s="106">
        <f t="shared" ref="AC30:AC31" si="79">V30*0.8*3</f>
        <v>3840</v>
      </c>
      <c r="AD30" s="53"/>
      <c r="AE30" s="10"/>
      <c r="AF30" s="31">
        <v>0</v>
      </c>
      <c r="AG30" s="29">
        <f t="shared" si="65"/>
        <v>1800</v>
      </c>
      <c r="AH30" s="29">
        <f t="shared" ref="AH30:AH31" si="80">IF(SUM(X30:AA30)&gt;=25000, 200, 0)</f>
        <v>0</v>
      </c>
      <c r="AI30" s="29">
        <f t="shared" si="66"/>
        <v>156.75</v>
      </c>
      <c r="AJ30" s="13"/>
      <c r="AK30" s="29">
        <f t="shared" si="67"/>
        <v>29540</v>
      </c>
      <c r="AL30" s="29">
        <f t="shared" si="68"/>
        <v>1956.75</v>
      </c>
      <c r="AM30" s="29">
        <f t="shared" si="69"/>
        <v>27583.25</v>
      </c>
      <c r="AN30" s="33">
        <f t="shared" si="70"/>
        <v>27583</v>
      </c>
      <c r="AO30" s="29">
        <f t="shared" si="71"/>
        <v>679.25</v>
      </c>
      <c r="AP30" s="29">
        <f t="shared" si="72"/>
        <v>1800</v>
      </c>
      <c r="AQ30" s="13"/>
      <c r="AR30" s="29">
        <f t="shared" si="73"/>
        <v>32019.25</v>
      </c>
      <c r="AS30" s="29">
        <f>'Feb 2026'!AT30</f>
        <v>500000</v>
      </c>
      <c r="AT30" s="29">
        <f>AS30+AD30-AJ30-AY30</f>
        <v>250000</v>
      </c>
      <c r="AU30" s="34"/>
      <c r="AV30" s="31">
        <f t="shared" si="75"/>
        <v>0</v>
      </c>
      <c r="AW30" s="79"/>
      <c r="AX30" s="79"/>
      <c r="AY30" s="103">
        <v>250000</v>
      </c>
      <c r="AZ30" s="77" t="s">
        <v>165</v>
      </c>
    </row>
    <row r="31" spans="1:52" ht="14.4" x14ac:dyDescent="0.3">
      <c r="A31" s="21">
        <v>1058</v>
      </c>
      <c r="B31" s="69" t="e">
        <f>VLOOKUP(A31,#REF!,2,FALSE)</f>
        <v>#REF!</v>
      </c>
      <c r="C31" s="2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31</v>
      </c>
      <c r="J31" s="100">
        <v>31</v>
      </c>
      <c r="K31" s="71">
        <f>'Feb 2026'!O31</f>
        <v>2</v>
      </c>
      <c r="L31" s="101">
        <v>0.5</v>
      </c>
      <c r="M31" s="38">
        <v>1.5</v>
      </c>
      <c r="N31" s="24">
        <f t="shared" si="55"/>
        <v>0</v>
      </c>
      <c r="O31" s="24">
        <f t="shared" si="56"/>
        <v>1</v>
      </c>
      <c r="P31" s="24">
        <f t="shared" si="57"/>
        <v>31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58"/>
        <v>24100</v>
      </c>
      <c r="X31" s="30">
        <f t="shared" si="59"/>
        <v>15000</v>
      </c>
      <c r="Y31" s="30">
        <f t="shared" si="60"/>
        <v>2800</v>
      </c>
      <c r="Z31" s="30">
        <f t="shared" si="61"/>
        <v>1800</v>
      </c>
      <c r="AA31" s="30">
        <f t="shared" si="62"/>
        <v>1300</v>
      </c>
      <c r="AB31" s="121">
        <f t="shared" si="78"/>
        <v>4800</v>
      </c>
      <c r="AC31" s="106">
        <f t="shared" si="79"/>
        <v>3840</v>
      </c>
      <c r="AD31" s="12"/>
      <c r="AE31" s="10"/>
      <c r="AF31" s="31">
        <v>0</v>
      </c>
      <c r="AG31" s="29">
        <f t="shared" si="65"/>
        <v>1800</v>
      </c>
      <c r="AH31" s="29">
        <f t="shared" si="80"/>
        <v>0</v>
      </c>
      <c r="AI31" s="29">
        <f t="shared" si="66"/>
        <v>156.75</v>
      </c>
      <c r="AJ31" s="13"/>
      <c r="AK31" s="29">
        <f t="shared" si="67"/>
        <v>29540</v>
      </c>
      <c r="AL31" s="29">
        <f t="shared" si="68"/>
        <v>1956.75</v>
      </c>
      <c r="AM31" s="29">
        <f t="shared" si="69"/>
        <v>27583.25</v>
      </c>
      <c r="AN31" s="33">
        <f t="shared" si="70"/>
        <v>27583</v>
      </c>
      <c r="AO31" s="29">
        <f t="shared" si="71"/>
        <v>679.25</v>
      </c>
      <c r="AP31" s="29">
        <f t="shared" si="72"/>
        <v>1800</v>
      </c>
      <c r="AQ31" s="13"/>
      <c r="AR31" s="29">
        <f t="shared" si="73"/>
        <v>32019.25</v>
      </c>
      <c r="AS31" s="29">
        <f>'Feb 2026'!AT31</f>
        <v>0</v>
      </c>
      <c r="AT31" s="29">
        <f t="shared" ref="AT31:AT34" si="81">AS31+AD31-AJ31</f>
        <v>0</v>
      </c>
      <c r="AU31" s="34"/>
      <c r="AV31" s="31">
        <f t="shared" si="75"/>
        <v>0</v>
      </c>
      <c r="AW31" s="79"/>
      <c r="AX31" s="79"/>
      <c r="AY31" s="75">
        <v>0</v>
      </c>
      <c r="AZ31" s="77" t="s">
        <v>165</v>
      </c>
    </row>
    <row r="32" spans="1:52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100">
        <v>31</v>
      </c>
      <c r="J32" s="100">
        <v>31</v>
      </c>
      <c r="K32" s="71">
        <f>'Feb 2026'!O32</f>
        <v>1.5</v>
      </c>
      <c r="L32" s="101">
        <v>0</v>
      </c>
      <c r="M32" s="104">
        <v>0.5</v>
      </c>
      <c r="N32" s="24">
        <f t="shared" si="55"/>
        <v>0</v>
      </c>
      <c r="O32" s="71">
        <f t="shared" si="56"/>
        <v>1</v>
      </c>
      <c r="P32" s="71">
        <f t="shared" si="57"/>
        <v>31</v>
      </c>
      <c r="Q32" s="74">
        <v>90000</v>
      </c>
      <c r="R32" s="13"/>
      <c r="S32" s="13"/>
      <c r="T32" s="13"/>
      <c r="U32" s="13"/>
      <c r="V32" s="13"/>
      <c r="W32" s="75">
        <f t="shared" si="58"/>
        <v>90000</v>
      </c>
      <c r="X32" s="76">
        <f t="shared" si="59"/>
        <v>90000</v>
      </c>
      <c r="Y32" s="76">
        <f t="shared" si="60"/>
        <v>0</v>
      </c>
      <c r="Z32" s="76">
        <f t="shared" si="61"/>
        <v>0</v>
      </c>
      <c r="AA32" s="76">
        <f t="shared" si="62"/>
        <v>0</v>
      </c>
      <c r="AB32" s="10">
        <f>U32*0.9</f>
        <v>0</v>
      </c>
      <c r="AC32" s="9">
        <f>V32*0.9*1</f>
        <v>0</v>
      </c>
      <c r="AD32" s="12"/>
      <c r="AE32" s="41">
        <v>1000</v>
      </c>
      <c r="AF32" s="77">
        <v>0</v>
      </c>
      <c r="AG32" s="75">
        <v>0</v>
      </c>
      <c r="AH32" s="75">
        <v>0</v>
      </c>
      <c r="AI32" s="29">
        <f t="shared" si="66"/>
        <v>0</v>
      </c>
      <c r="AJ32" s="13"/>
      <c r="AK32" s="75">
        <f t="shared" si="67"/>
        <v>91000</v>
      </c>
      <c r="AL32" s="75">
        <f t="shared" si="68"/>
        <v>9100</v>
      </c>
      <c r="AM32" s="75">
        <f t="shared" si="69"/>
        <v>91000</v>
      </c>
      <c r="AN32" s="78">
        <f t="shared" si="70"/>
        <v>81900</v>
      </c>
      <c r="AO32" s="75">
        <f t="shared" si="71"/>
        <v>0</v>
      </c>
      <c r="AP32" s="75">
        <f t="shared" si="72"/>
        <v>0</v>
      </c>
      <c r="AQ32" s="13"/>
      <c r="AR32" s="75">
        <f t="shared" si="73"/>
        <v>91000</v>
      </c>
      <c r="AS32" s="29">
        <f>'Feb 2026'!AT32</f>
        <v>0</v>
      </c>
      <c r="AT32" s="75">
        <f t="shared" si="81"/>
        <v>0</v>
      </c>
      <c r="AU32" s="92">
        <f>(0.1*AK32)</f>
        <v>9100</v>
      </c>
      <c r="AV32" s="77">
        <f t="shared" si="75"/>
        <v>0</v>
      </c>
      <c r="AW32" s="93">
        <f>AU32+'Apr 2025'!AU32+'May 2025'!AU32+'June 2025'!AU32+'July 2025'!AU32+'Aug 2025'!AU32+'Sep 2025'!AU32+'Oct 2025'!AU32+'Nov 2025'!AU32+'Dec 2025'!AU32+'Jan 2026'!AU32+'Feb 2026'!AU32</f>
        <v>93321.017161033407</v>
      </c>
      <c r="AX32" s="113"/>
      <c r="AY32" s="75">
        <v>0</v>
      </c>
      <c r="AZ32" s="77" t="s">
        <v>165</v>
      </c>
    </row>
    <row r="33" spans="1:52" ht="14.4" x14ac:dyDescent="0.3">
      <c r="A33" s="21">
        <v>1062</v>
      </c>
      <c r="B33" s="69" t="e">
        <f>VLOOKUP(A33,#REF!,2,FALSE)</f>
        <v>#REF!</v>
      </c>
      <c r="C33" s="2" t="e">
        <f>VLOOKUP(A33,#REF!,19,FALSE)</f>
        <v>#REF!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31</v>
      </c>
      <c r="J33" s="100">
        <v>31</v>
      </c>
      <c r="K33" s="71">
        <f>'Feb 2026'!O33</f>
        <v>0</v>
      </c>
      <c r="L33" s="101">
        <v>0</v>
      </c>
      <c r="M33" s="104">
        <v>2.5</v>
      </c>
      <c r="N33" s="71">
        <f t="shared" si="55"/>
        <v>2.5</v>
      </c>
      <c r="O33" s="71">
        <f t="shared" si="56"/>
        <v>0</v>
      </c>
      <c r="P33" s="71">
        <f t="shared" si="57"/>
        <v>28.5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58"/>
        <v>18500</v>
      </c>
      <c r="X33" s="76">
        <f t="shared" si="59"/>
        <v>13790.322580645161</v>
      </c>
      <c r="Y33" s="76">
        <f t="shared" si="60"/>
        <v>1379.0322580645161</v>
      </c>
      <c r="Z33" s="76">
        <f t="shared" si="61"/>
        <v>0</v>
      </c>
      <c r="AA33" s="76">
        <f t="shared" si="62"/>
        <v>0</v>
      </c>
      <c r="AB33" s="121">
        <f>U33*0.9*3</f>
        <v>2700</v>
      </c>
      <c r="AC33" s="106">
        <f>V33*0.8*3</f>
        <v>2400</v>
      </c>
      <c r="AD33" s="53"/>
      <c r="AE33" s="10"/>
      <c r="AF33" s="77">
        <v>0</v>
      </c>
      <c r="AG33" s="29">
        <f t="shared" ref="AG33:AG34" si="82">IF(X33&gt;15000,(15000 * 12%),X33*0.12)</f>
        <v>1654.8387096774193</v>
      </c>
      <c r="AH33" s="29">
        <f t="shared" ref="AH33:AH34" si="83">IF(SUM(X33:AA33)&gt;=25000, 200, 0)</f>
        <v>0</v>
      </c>
      <c r="AI33" s="29">
        <f t="shared" si="66"/>
        <v>113.77016129032258</v>
      </c>
      <c r="AJ33" s="54">
        <v>1500</v>
      </c>
      <c r="AK33" s="75">
        <f t="shared" si="67"/>
        <v>20269.354838709678</v>
      </c>
      <c r="AL33" s="75">
        <f t="shared" si="68"/>
        <v>3268.608870967742</v>
      </c>
      <c r="AM33" s="75">
        <f t="shared" si="69"/>
        <v>17000.745967741936</v>
      </c>
      <c r="AN33" s="78">
        <f t="shared" si="70"/>
        <v>17001</v>
      </c>
      <c r="AO33" s="29">
        <f t="shared" si="71"/>
        <v>493.00403225806457</v>
      </c>
      <c r="AP33" s="29">
        <f t="shared" si="72"/>
        <v>1654.8387096774193</v>
      </c>
      <c r="AQ33" s="13"/>
      <c r="AR33" s="75">
        <f t="shared" si="73"/>
        <v>22417.197580645163</v>
      </c>
      <c r="AS33" s="29">
        <f>'Feb 2026'!AT33</f>
        <v>47000</v>
      </c>
      <c r="AT33" s="75">
        <f t="shared" si="81"/>
        <v>45500</v>
      </c>
      <c r="AU33" s="34"/>
      <c r="AV33" s="77">
        <v>0</v>
      </c>
      <c r="AW33" s="79"/>
      <c r="AX33" s="64"/>
      <c r="AY33" s="94">
        <v>0</v>
      </c>
      <c r="AZ33" s="77" t="s">
        <v>165</v>
      </c>
    </row>
    <row r="34" spans="1:52" ht="14.4" x14ac:dyDescent="0.3">
      <c r="A34" s="105">
        <v>1063</v>
      </c>
      <c r="B34" s="69" t="e">
        <f>VLOOKUP(A34,#REF!,2,FALSE)</f>
        <v>#REF!</v>
      </c>
      <c r="C34" s="2" t="e">
        <f>VLOOKUP(A34,#REF!,19,FALSE)</f>
        <v>#REF!</v>
      </c>
      <c r="D34" s="1"/>
      <c r="E34" s="8" t="e">
        <f>VLOOKUP(A34,#REF!,10,FALSE)</f>
        <v>#REF!</v>
      </c>
      <c r="F34" s="8" t="e">
        <f>VLOOKUP(A34,#REF!,11,FALSE)</f>
        <v>#REF!</v>
      </c>
      <c r="G34" s="8" t="e">
        <f>VLOOKUP(A34,#REF!,12,FALSE)</f>
        <v>#REF!</v>
      </c>
      <c r="H34" s="1"/>
      <c r="I34" s="100">
        <v>31</v>
      </c>
      <c r="J34" s="100">
        <v>31</v>
      </c>
      <c r="K34" s="71">
        <f>'Feb 2026'!O34</f>
        <v>3</v>
      </c>
      <c r="L34" s="101">
        <v>0</v>
      </c>
      <c r="M34" s="104">
        <v>1</v>
      </c>
      <c r="N34" s="71">
        <f t="shared" si="55"/>
        <v>0</v>
      </c>
      <c r="O34" s="71">
        <f t="shared" si="56"/>
        <v>2</v>
      </c>
      <c r="P34" s="71">
        <f t="shared" si="57"/>
        <v>31</v>
      </c>
      <c r="Q34" s="36">
        <v>15000</v>
      </c>
      <c r="R34" s="107">
        <v>3500</v>
      </c>
      <c r="S34" s="13"/>
      <c r="T34" s="13"/>
      <c r="U34" s="107">
        <v>1000</v>
      </c>
      <c r="V34" s="107">
        <v>1000</v>
      </c>
      <c r="W34" s="75">
        <f t="shared" si="58"/>
        <v>20500</v>
      </c>
      <c r="X34" s="76">
        <f t="shared" si="59"/>
        <v>15000</v>
      </c>
      <c r="Y34" s="76">
        <f t="shared" si="60"/>
        <v>3500</v>
      </c>
      <c r="Z34" s="76">
        <f t="shared" si="61"/>
        <v>0</v>
      </c>
      <c r="AA34" s="76">
        <f t="shared" si="62"/>
        <v>0</v>
      </c>
      <c r="AB34" s="10">
        <f>U34*1</f>
        <v>1000</v>
      </c>
      <c r="AC34" s="9">
        <f>V34*0.8</f>
        <v>800</v>
      </c>
      <c r="AD34" s="53"/>
      <c r="AE34" s="10"/>
      <c r="AF34" s="77">
        <v>0</v>
      </c>
      <c r="AG34" s="29">
        <f t="shared" si="82"/>
        <v>1800</v>
      </c>
      <c r="AH34" s="29">
        <f t="shared" si="83"/>
        <v>0</v>
      </c>
      <c r="AI34" s="29">
        <f t="shared" si="66"/>
        <v>138.75</v>
      </c>
      <c r="AJ34" s="54"/>
      <c r="AK34" s="75">
        <f t="shared" si="67"/>
        <v>20300</v>
      </c>
      <c r="AL34" s="75">
        <f t="shared" si="68"/>
        <v>1938.75</v>
      </c>
      <c r="AM34" s="75">
        <f t="shared" si="69"/>
        <v>18361.25</v>
      </c>
      <c r="AN34" s="78">
        <f t="shared" si="70"/>
        <v>18361</v>
      </c>
      <c r="AO34" s="29">
        <f t="shared" si="71"/>
        <v>601.25</v>
      </c>
      <c r="AP34" s="29">
        <f t="shared" si="72"/>
        <v>1800</v>
      </c>
      <c r="AQ34" s="13"/>
      <c r="AR34" s="75">
        <f t="shared" si="73"/>
        <v>22701.25</v>
      </c>
      <c r="AS34" s="29">
        <f>'Feb 2026'!AT34</f>
        <v>0</v>
      </c>
      <c r="AT34" s="75">
        <f t="shared" si="81"/>
        <v>0</v>
      </c>
      <c r="AU34" s="34"/>
      <c r="AV34" s="77">
        <v>0</v>
      </c>
      <c r="AW34" s="79"/>
      <c r="AX34" s="64"/>
      <c r="AY34" s="94">
        <v>0</v>
      </c>
      <c r="AZ34" s="114" t="s">
        <v>165</v>
      </c>
    </row>
    <row r="35" spans="1:52" ht="14.4" x14ac:dyDescent="0.3">
      <c r="A35" s="105">
        <v>1064</v>
      </c>
      <c r="B35" s="69" t="e">
        <f>VLOOKUP(A35,#REF!,2,FALSE)</f>
        <v>#REF!</v>
      </c>
      <c r="C35" s="2" t="e">
        <f>VLOOKUP(A35,#REF!,19,FALSE)</f>
        <v>#REF!</v>
      </c>
      <c r="D35" s="1"/>
      <c r="E35" s="8" t="e">
        <f>VLOOKUP(A35,#REF!,10,FALSE)</f>
        <v>#REF!</v>
      </c>
      <c r="F35" s="8" t="e">
        <f>VLOOKUP(A35,#REF!,11,FALSE)</f>
        <v>#REF!</v>
      </c>
      <c r="G35" s="8" t="e">
        <f>VLOOKUP(A35,#REF!,12,FALSE)</f>
        <v>#REF!</v>
      </c>
      <c r="H35" s="1"/>
      <c r="I35" s="100">
        <v>31</v>
      </c>
      <c r="J35" s="100">
        <v>31</v>
      </c>
      <c r="K35" s="71">
        <f>'Feb 2026'!O35</f>
        <v>0</v>
      </c>
      <c r="L35" s="101">
        <v>0</v>
      </c>
      <c r="M35" s="104">
        <v>0</v>
      </c>
      <c r="N35" s="71">
        <f t="shared" si="55"/>
        <v>0</v>
      </c>
      <c r="O35" s="71">
        <f t="shared" si="56"/>
        <v>0</v>
      </c>
      <c r="P35" s="71">
        <f t="shared" si="57"/>
        <v>31</v>
      </c>
      <c r="Q35" s="37">
        <v>10000</v>
      </c>
      <c r="R35" s="74"/>
      <c r="S35" s="13"/>
      <c r="T35" s="13"/>
      <c r="U35" s="74"/>
      <c r="V35" s="74"/>
      <c r="W35" s="75">
        <f t="shared" si="58"/>
        <v>10000</v>
      </c>
      <c r="X35" s="76">
        <f t="shared" si="59"/>
        <v>10000</v>
      </c>
      <c r="Y35" s="76">
        <f t="shared" si="60"/>
        <v>0</v>
      </c>
      <c r="Z35" s="76">
        <f t="shared" si="61"/>
        <v>0</v>
      </c>
      <c r="AA35" s="76">
        <f t="shared" si="62"/>
        <v>0</v>
      </c>
      <c r="AB35" s="10"/>
      <c r="AC35" s="9"/>
      <c r="AD35" s="53"/>
      <c r="AE35" s="10"/>
      <c r="AF35" s="77"/>
      <c r="AG35" s="29"/>
      <c r="AH35" s="29"/>
      <c r="AI35" s="29"/>
      <c r="AJ35" s="54"/>
      <c r="AK35" s="75">
        <f t="shared" si="67"/>
        <v>10000</v>
      </c>
      <c r="AL35" s="75">
        <f t="shared" si="68"/>
        <v>0</v>
      </c>
      <c r="AM35" s="75">
        <f t="shared" si="69"/>
        <v>10000</v>
      </c>
      <c r="AN35" s="78">
        <f t="shared" si="70"/>
        <v>10000</v>
      </c>
      <c r="AO35" s="75"/>
      <c r="AP35" s="75"/>
      <c r="AQ35" s="13"/>
      <c r="AR35" s="75"/>
      <c r="AS35" s="29">
        <f>'Feb 2026'!AT35</f>
        <v>0</v>
      </c>
      <c r="AT35" s="75"/>
      <c r="AU35" s="34"/>
      <c r="AV35" s="77"/>
      <c r="AW35" s="79"/>
      <c r="AX35" s="64"/>
      <c r="AY35" s="94"/>
      <c r="AZ35" s="114" t="s">
        <v>165</v>
      </c>
    </row>
    <row r="36" spans="1:52" ht="14.4" x14ac:dyDescent="0.3">
      <c r="A36" s="105">
        <v>1065</v>
      </c>
      <c r="B36" s="69" t="e">
        <f>VLOOKUP(A36,#REF!,2,FALSE)</f>
        <v>#REF!</v>
      </c>
      <c r="C36" s="2" t="e">
        <f>VLOOKUP(A36,#REF!,19,FALSE)</f>
        <v>#REF!</v>
      </c>
      <c r="D36" s="1"/>
      <c r="E36" s="8" t="e">
        <f>VLOOKUP(A36,#REF!,10,FALSE)</f>
        <v>#REF!</v>
      </c>
      <c r="F36" s="8" t="e">
        <f>VLOOKUP(A36,#REF!,11,FALSE)</f>
        <v>#REF!</v>
      </c>
      <c r="G36" s="8" t="e">
        <f>VLOOKUP(A36,#REF!,12,FALSE)</f>
        <v>#REF!</v>
      </c>
      <c r="H36" s="1"/>
      <c r="I36" s="100">
        <v>31</v>
      </c>
      <c r="J36" s="100">
        <v>0</v>
      </c>
      <c r="K36" s="71">
        <f>'Feb 2026'!O36</f>
        <v>0</v>
      </c>
      <c r="L36" s="101">
        <v>0</v>
      </c>
      <c r="M36" s="3">
        <v>0</v>
      </c>
      <c r="N36" s="115">
        <v>0</v>
      </c>
      <c r="O36" s="71">
        <f t="shared" si="56"/>
        <v>0</v>
      </c>
      <c r="P36" s="115">
        <v>0</v>
      </c>
      <c r="Q36" s="37">
        <v>0</v>
      </c>
      <c r="R36" s="107">
        <v>0</v>
      </c>
      <c r="S36" s="54">
        <v>0</v>
      </c>
      <c r="T36" s="54">
        <v>0</v>
      </c>
      <c r="U36" s="107">
        <v>0</v>
      </c>
      <c r="V36" s="107">
        <v>0</v>
      </c>
      <c r="W36" s="103">
        <v>0</v>
      </c>
      <c r="X36" s="140">
        <v>0</v>
      </c>
      <c r="Y36" s="140">
        <v>0</v>
      </c>
      <c r="Z36" s="140">
        <v>0</v>
      </c>
      <c r="AA36" s="140">
        <v>0</v>
      </c>
      <c r="AB36" s="41">
        <v>0</v>
      </c>
      <c r="AC36" s="49">
        <v>0</v>
      </c>
      <c r="AD36" s="53">
        <v>0</v>
      </c>
      <c r="AE36" s="41">
        <v>0</v>
      </c>
      <c r="AF36" s="114">
        <v>0</v>
      </c>
      <c r="AG36" s="32">
        <v>0</v>
      </c>
      <c r="AH36" s="32">
        <v>0</v>
      </c>
      <c r="AI36" s="32">
        <v>0</v>
      </c>
      <c r="AJ36" s="54">
        <v>0</v>
      </c>
      <c r="AK36" s="75">
        <f t="shared" si="67"/>
        <v>0</v>
      </c>
      <c r="AL36" s="103">
        <v>0</v>
      </c>
      <c r="AM36" s="75">
        <f t="shared" si="69"/>
        <v>0</v>
      </c>
      <c r="AN36" s="78">
        <f t="shared" si="70"/>
        <v>0</v>
      </c>
      <c r="AO36" s="103">
        <v>0</v>
      </c>
      <c r="AP36" s="103">
        <v>0</v>
      </c>
      <c r="AQ36" s="54">
        <v>0</v>
      </c>
      <c r="AR36" s="103">
        <v>0</v>
      </c>
      <c r="AS36" s="29">
        <f>'Feb 2026'!AT36</f>
        <v>0</v>
      </c>
      <c r="AT36" s="103">
        <v>0</v>
      </c>
      <c r="AU36" s="47">
        <v>0</v>
      </c>
      <c r="AV36" s="114">
        <v>0</v>
      </c>
      <c r="AW36" s="138">
        <v>0</v>
      </c>
      <c r="AX36" s="113">
        <v>0</v>
      </c>
      <c r="AY36" s="141">
        <v>0</v>
      </c>
      <c r="AZ36" s="114" t="s">
        <v>166</v>
      </c>
    </row>
    <row r="37" spans="1:52" ht="14.4" x14ac:dyDescent="0.3">
      <c r="A37" s="142">
        <v>1066</v>
      </c>
      <c r="B37" s="69" t="e">
        <f>VLOOKUP(A37,#REF!,2,FALSE)</f>
        <v>#REF!</v>
      </c>
      <c r="C37" s="2" t="e">
        <f>VLOOKUP(A37,#REF!,19,FALSE)</f>
        <v>#REF!</v>
      </c>
      <c r="D37" s="1"/>
      <c r="E37" s="8" t="e">
        <f>VLOOKUP(A37,#REF!,10,FALSE)</f>
        <v>#REF!</v>
      </c>
      <c r="F37" s="8" t="e">
        <f>VLOOKUP(A37,#REF!,11,FALSE)</f>
        <v>#REF!</v>
      </c>
      <c r="G37" s="8" t="e">
        <f>VLOOKUP(A37,#REF!,12,FALSE)</f>
        <v>#REF!</v>
      </c>
      <c r="H37" s="1"/>
      <c r="I37" s="100">
        <v>31</v>
      </c>
      <c r="J37" s="100">
        <v>31</v>
      </c>
      <c r="K37" s="71">
        <f>'Feb 2026'!O37</f>
        <v>1</v>
      </c>
      <c r="L37" s="101">
        <v>0</v>
      </c>
      <c r="M37" s="3">
        <v>0</v>
      </c>
      <c r="N37" s="115">
        <v>0</v>
      </c>
      <c r="O37" s="71">
        <f t="shared" si="56"/>
        <v>1</v>
      </c>
      <c r="P37" s="71">
        <f t="shared" ref="P37:P38" si="84">J37-N37</f>
        <v>31</v>
      </c>
      <c r="Q37" s="37">
        <v>10000</v>
      </c>
      <c r="R37" s="107">
        <v>0</v>
      </c>
      <c r="S37" s="54">
        <v>0</v>
      </c>
      <c r="T37" s="54">
        <v>0</v>
      </c>
      <c r="U37" s="107">
        <v>0</v>
      </c>
      <c r="V37" s="107">
        <v>0</v>
      </c>
      <c r="W37" s="75">
        <f t="shared" ref="W37:W38" si="85">SUM(Q37:V37)</f>
        <v>10000</v>
      </c>
      <c r="X37" s="76">
        <f t="shared" ref="X37:X38" si="86">(Q37/I37*(J37)) * (1-N37/J37)</f>
        <v>10000</v>
      </c>
      <c r="Y37" s="140">
        <v>0</v>
      </c>
      <c r="Z37" s="140">
        <v>0</v>
      </c>
      <c r="AA37" s="140">
        <v>0</v>
      </c>
      <c r="AB37" s="41">
        <v>0</v>
      </c>
      <c r="AC37" s="49">
        <v>0</v>
      </c>
      <c r="AD37" s="53">
        <v>0</v>
      </c>
      <c r="AE37" s="41">
        <v>0</v>
      </c>
      <c r="AF37" s="114">
        <v>0</v>
      </c>
      <c r="AG37" s="32">
        <v>0</v>
      </c>
      <c r="AH37" s="32">
        <v>0</v>
      </c>
      <c r="AI37" s="32">
        <v>0</v>
      </c>
      <c r="AJ37" s="54">
        <v>0</v>
      </c>
      <c r="AK37" s="75">
        <f t="shared" si="67"/>
        <v>10000</v>
      </c>
      <c r="AL37" s="103">
        <v>0</v>
      </c>
      <c r="AM37" s="75">
        <f t="shared" si="69"/>
        <v>10000</v>
      </c>
      <c r="AN37" s="78">
        <f t="shared" si="70"/>
        <v>10000</v>
      </c>
      <c r="AO37" s="103">
        <v>0</v>
      </c>
      <c r="AP37" s="103">
        <v>0</v>
      </c>
      <c r="AQ37" s="54">
        <v>0</v>
      </c>
      <c r="AR37" s="103">
        <v>0</v>
      </c>
      <c r="AS37" s="29">
        <f>'Jan 2026'!AT37</f>
        <v>0</v>
      </c>
      <c r="AT37" s="103">
        <v>0</v>
      </c>
      <c r="AU37" s="47">
        <v>0</v>
      </c>
      <c r="AV37" s="114">
        <v>0</v>
      </c>
      <c r="AW37" s="138">
        <v>0</v>
      </c>
      <c r="AX37" s="113">
        <v>0</v>
      </c>
      <c r="AY37" s="141">
        <v>0</v>
      </c>
      <c r="AZ37" s="114" t="s">
        <v>165</v>
      </c>
    </row>
    <row r="38" spans="1:52" ht="14.4" x14ac:dyDescent="0.3">
      <c r="A38" s="142">
        <v>1067</v>
      </c>
      <c r="B38" s="69" t="e">
        <f>VLOOKUP(A38,#REF!,2,FALSE)</f>
        <v>#REF!</v>
      </c>
      <c r="C38" s="2" t="e">
        <f>VLOOKUP(A38,#REF!,19,FALSE)</f>
        <v>#REF!</v>
      </c>
      <c r="D38" s="1"/>
      <c r="E38" s="8" t="e">
        <f>VLOOKUP(A38,#REF!,10,FALSE)</f>
        <v>#REF!</v>
      </c>
      <c r="F38" s="8" t="e">
        <f>VLOOKUP(A38,#REF!,11,FALSE)</f>
        <v>#REF!</v>
      </c>
      <c r="G38" s="8" t="e">
        <f>VLOOKUP(A38,#REF!,12,FALSE)</f>
        <v>#REF!</v>
      </c>
      <c r="H38" s="1"/>
      <c r="I38" s="100">
        <v>31</v>
      </c>
      <c r="J38" s="100">
        <v>31</v>
      </c>
      <c r="K38" s="71">
        <f>'Feb 2026'!O38</f>
        <v>1</v>
      </c>
      <c r="L38" s="101">
        <v>0</v>
      </c>
      <c r="M38" s="104">
        <v>1</v>
      </c>
      <c r="N38" s="24">
        <f>IF(K38+L38-M38 &gt;= 0,0,M38-(K38+L38))</f>
        <v>0</v>
      </c>
      <c r="O38" s="71">
        <f t="shared" si="56"/>
        <v>0</v>
      </c>
      <c r="P38" s="71">
        <f t="shared" si="84"/>
        <v>31</v>
      </c>
      <c r="Q38" s="107">
        <v>75000</v>
      </c>
      <c r="R38" s="13"/>
      <c r="S38" s="13"/>
      <c r="T38" s="13"/>
      <c r="U38" s="13"/>
      <c r="V38" s="13"/>
      <c r="W38" s="75">
        <f t="shared" si="85"/>
        <v>75000</v>
      </c>
      <c r="X38" s="76">
        <f t="shared" si="86"/>
        <v>75000</v>
      </c>
      <c r="Y38" s="76">
        <f>(R38/I38*(J38)) * (1-N38/J38)</f>
        <v>0</v>
      </c>
      <c r="Z38" s="76">
        <f>(S38/I38*(J38)) * (1-N38/J38)</f>
        <v>0</v>
      </c>
      <c r="AA38" s="76">
        <f>(T38/I38*(J38)) * (1-N38/J38)</f>
        <v>0</v>
      </c>
      <c r="AB38" s="10">
        <f>U38*0.9</f>
        <v>0</v>
      </c>
      <c r="AC38" s="9">
        <f>V38*0.9*1</f>
        <v>0</v>
      </c>
      <c r="AD38" s="12"/>
      <c r="AE38" s="41"/>
      <c r="AF38" s="77">
        <v>0</v>
      </c>
      <c r="AG38" s="75">
        <v>0</v>
      </c>
      <c r="AH38" s="75">
        <v>0</v>
      </c>
      <c r="AI38" s="29">
        <f>IF(SUM(Q38:T38) &lt; 21000, SUM(X38:AA38)*0.0075, 0)</f>
        <v>0</v>
      </c>
      <c r="AJ38" s="13"/>
      <c r="AK38" s="75">
        <f t="shared" si="67"/>
        <v>75000</v>
      </c>
      <c r="AL38" s="75">
        <f>SUM(AG38:AJ38)+AU38</f>
        <v>7500</v>
      </c>
      <c r="AM38" s="75">
        <f t="shared" si="69"/>
        <v>75000</v>
      </c>
      <c r="AN38" s="78">
        <f t="shared" si="70"/>
        <v>67500</v>
      </c>
      <c r="AO38" s="75">
        <f>AI38/0.0075*0.0325</f>
        <v>0</v>
      </c>
      <c r="AP38" s="75">
        <f>AG38</f>
        <v>0</v>
      </c>
      <c r="AQ38" s="13"/>
      <c r="AR38" s="75">
        <f>AK38+AO38+AP38</f>
        <v>75000</v>
      </c>
      <c r="AS38" s="29">
        <f>'Jan 2026'!AT38</f>
        <v>0</v>
      </c>
      <c r="AT38" s="75">
        <f>AS38+AD38-AJ38</f>
        <v>0</v>
      </c>
      <c r="AU38" s="92">
        <f>(0.1*AK38)</f>
        <v>7500</v>
      </c>
      <c r="AV38" s="77">
        <f>AF38*12</f>
        <v>0</v>
      </c>
      <c r="AW38" s="93">
        <f>AU38+'Apr 2025'!AU38+'May 2025'!AU38+'June 2025'!AU38+'July 2025'!AU38+'Aug 2025'!AU38+'Sep 2025'!AU38+'Oct 2025'!AU38+'Nov 2025'!AU38+'Dec 2025'!AU38+'Jan 2026'!AU38+'Feb 2026'!AU38</f>
        <v>9107.1428571428569</v>
      </c>
      <c r="AX38" s="113"/>
      <c r="AY38" s="75">
        <v>0</v>
      </c>
      <c r="AZ38" s="77" t="s">
        <v>165</v>
      </c>
    </row>
    <row r="39" spans="1:52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7"/>
      <c r="AW39" s="96"/>
      <c r="AX39" s="96"/>
      <c r="AY39" s="97"/>
      <c r="AZ39" s="7"/>
    </row>
    <row r="40" spans="1:52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7"/>
      <c r="AW40" s="96"/>
      <c r="AX40" s="96"/>
      <c r="AY40" s="97"/>
      <c r="AZ40" s="7"/>
    </row>
    <row r="41" spans="1:52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7"/>
      <c r="AW41" s="96"/>
      <c r="AX41" s="96"/>
      <c r="AY41" s="97"/>
      <c r="AZ41" s="7"/>
    </row>
    <row r="42" spans="1:52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7"/>
      <c r="AW42" s="96"/>
      <c r="AX42" s="96"/>
      <c r="AY42" s="97"/>
      <c r="AZ42" s="7"/>
    </row>
    <row r="43" spans="1:52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7"/>
      <c r="AW43" s="96"/>
      <c r="AX43" s="96"/>
      <c r="AY43" s="97"/>
      <c r="AZ43" s="7"/>
    </row>
    <row r="44" spans="1:52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7"/>
      <c r="AW44" s="96"/>
      <c r="AX44" s="96"/>
      <c r="AY44" s="97"/>
      <c r="AZ44" s="7"/>
    </row>
    <row r="45" spans="1:52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7"/>
      <c r="AW45" s="96"/>
      <c r="AX45" s="96"/>
      <c r="AY45" s="97"/>
      <c r="AZ45" s="7"/>
    </row>
    <row r="46" spans="1:52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7"/>
      <c r="AW46" s="96"/>
      <c r="AX46" s="96"/>
      <c r="AY46" s="97"/>
      <c r="AZ46" s="7"/>
    </row>
    <row r="47" spans="1:52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7"/>
      <c r="AW47" s="96"/>
      <c r="AX47" s="96"/>
      <c r="AY47" s="97"/>
      <c r="AZ47" s="7"/>
    </row>
    <row r="48" spans="1:52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7"/>
      <c r="AW48" s="96"/>
      <c r="AX48" s="96"/>
      <c r="AY48" s="97"/>
      <c r="AZ48" s="7"/>
    </row>
    <row r="49" spans="1:52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7"/>
      <c r="AW49" s="96"/>
      <c r="AX49" s="96"/>
      <c r="AY49" s="97"/>
      <c r="AZ49" s="7"/>
    </row>
    <row r="50" spans="1:52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7"/>
      <c r="AW50" s="96"/>
      <c r="AX50" s="96"/>
      <c r="AY50" s="97"/>
      <c r="AZ50" s="7"/>
    </row>
    <row r="51" spans="1:52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7"/>
      <c r="AW51" s="96"/>
      <c r="AX51" s="96"/>
      <c r="AY51" s="97"/>
      <c r="AZ51" s="7"/>
    </row>
    <row r="52" spans="1:52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7"/>
      <c r="AW52" s="96"/>
      <c r="AX52" s="96"/>
      <c r="AY52" s="97"/>
      <c r="AZ52" s="7"/>
    </row>
    <row r="53" spans="1:52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7"/>
      <c r="AW53" s="96"/>
      <c r="AX53" s="96"/>
      <c r="AY53" s="97"/>
      <c r="AZ53" s="7"/>
    </row>
    <row r="54" spans="1:52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7"/>
      <c r="AW54" s="96"/>
      <c r="AX54" s="96"/>
      <c r="AY54" s="97"/>
      <c r="AZ54" s="7"/>
    </row>
    <row r="55" spans="1:52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7"/>
      <c r="AW55" s="96"/>
      <c r="AX55" s="96"/>
      <c r="AY55" s="97"/>
      <c r="AZ55" s="7"/>
    </row>
    <row r="56" spans="1:52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7"/>
      <c r="AW56" s="96"/>
      <c r="AX56" s="96"/>
      <c r="AY56" s="97"/>
      <c r="AZ56" s="7"/>
    </row>
    <row r="57" spans="1:52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7"/>
      <c r="AW57" s="96"/>
      <c r="AX57" s="96"/>
      <c r="AY57" s="97"/>
      <c r="AZ57" s="7"/>
    </row>
    <row r="58" spans="1:52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7"/>
      <c r="AW58" s="96"/>
      <c r="AX58" s="96"/>
      <c r="AY58" s="97"/>
      <c r="AZ58" s="7"/>
    </row>
    <row r="59" spans="1:52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7"/>
      <c r="AW59" s="96"/>
      <c r="AX59" s="96"/>
      <c r="AY59" s="97"/>
      <c r="AZ59" s="7"/>
    </row>
    <row r="60" spans="1:52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7"/>
      <c r="AW60" s="96"/>
      <c r="AX60" s="96"/>
      <c r="AY60" s="97"/>
      <c r="AZ60" s="7"/>
    </row>
    <row r="61" spans="1:52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7"/>
      <c r="AW61" s="96"/>
      <c r="AX61" s="96"/>
      <c r="AY61" s="97"/>
      <c r="AZ61" s="7"/>
    </row>
    <row r="62" spans="1:52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7"/>
      <c r="AW62" s="96"/>
      <c r="AX62" s="96"/>
      <c r="AY62" s="97"/>
      <c r="AZ62" s="7"/>
    </row>
    <row r="63" spans="1:52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7"/>
      <c r="AW63" s="96"/>
      <c r="AX63" s="96"/>
      <c r="AY63" s="97"/>
      <c r="AZ63" s="7"/>
    </row>
    <row r="64" spans="1:52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7"/>
      <c r="AW64" s="96"/>
      <c r="AX64" s="96"/>
      <c r="AY64" s="97"/>
      <c r="AZ64" s="7"/>
    </row>
    <row r="65" spans="1:52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7"/>
      <c r="AW65" s="96"/>
      <c r="AX65" s="96"/>
      <c r="AY65" s="97"/>
      <c r="AZ65" s="7"/>
    </row>
    <row r="66" spans="1:52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7"/>
      <c r="AW66" s="96"/>
      <c r="AX66" s="96"/>
      <c r="AY66" s="97"/>
      <c r="AZ66" s="7"/>
    </row>
    <row r="67" spans="1:52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7"/>
      <c r="AW67" s="96"/>
      <c r="AX67" s="96"/>
      <c r="AY67" s="97"/>
      <c r="AZ67" s="7"/>
    </row>
    <row r="68" spans="1:52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7"/>
      <c r="AW68" s="96"/>
      <c r="AX68" s="96"/>
      <c r="AY68" s="97"/>
      <c r="AZ68" s="7"/>
    </row>
    <row r="69" spans="1:52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7"/>
      <c r="AW69" s="96"/>
      <c r="AX69" s="96"/>
      <c r="AY69" s="97"/>
      <c r="AZ69" s="7"/>
    </row>
    <row r="70" spans="1:52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7"/>
      <c r="AW70" s="96"/>
      <c r="AX70" s="96"/>
      <c r="AY70" s="97"/>
      <c r="AZ70" s="7"/>
    </row>
    <row r="71" spans="1:52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7"/>
      <c r="AW71" s="96"/>
      <c r="AX71" s="96"/>
      <c r="AY71" s="97"/>
      <c r="AZ71" s="7"/>
    </row>
    <row r="72" spans="1:52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7"/>
      <c r="AW72" s="96"/>
      <c r="AX72" s="96"/>
      <c r="AY72" s="97"/>
      <c r="AZ72" s="7"/>
    </row>
    <row r="73" spans="1:52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7"/>
      <c r="AW73" s="96"/>
      <c r="AX73" s="96"/>
      <c r="AY73" s="97"/>
      <c r="AZ73" s="7"/>
    </row>
    <row r="74" spans="1:52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7"/>
      <c r="AW74" s="96"/>
      <c r="AX74" s="96"/>
      <c r="AY74" s="97"/>
      <c r="AZ74" s="7"/>
    </row>
    <row r="75" spans="1:52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7"/>
      <c r="AW75" s="96"/>
      <c r="AX75" s="96"/>
      <c r="AY75" s="97"/>
      <c r="AZ75" s="7"/>
    </row>
    <row r="76" spans="1:52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7"/>
      <c r="AW76" s="96"/>
      <c r="AX76" s="96"/>
      <c r="AY76" s="97"/>
      <c r="AZ76" s="7"/>
    </row>
    <row r="77" spans="1:52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7"/>
      <c r="AW77" s="96"/>
      <c r="AX77" s="96"/>
      <c r="AY77" s="97"/>
      <c r="AZ77" s="7"/>
    </row>
    <row r="78" spans="1:52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7"/>
      <c r="AW78" s="96"/>
      <c r="AX78" s="96"/>
      <c r="AY78" s="97"/>
      <c r="AZ78" s="7"/>
    </row>
    <row r="79" spans="1:52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7"/>
      <c r="AW79" s="96"/>
      <c r="AX79" s="96"/>
      <c r="AY79" s="97"/>
      <c r="AZ79" s="7"/>
    </row>
    <row r="80" spans="1:52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7"/>
      <c r="AW80" s="96"/>
      <c r="AX80" s="96"/>
      <c r="AY80" s="97"/>
      <c r="AZ80" s="7"/>
    </row>
    <row r="81" spans="1:52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7"/>
      <c r="AW81" s="96"/>
      <c r="AX81" s="96"/>
      <c r="AY81" s="97"/>
      <c r="AZ81" s="7"/>
    </row>
    <row r="82" spans="1:52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7"/>
      <c r="AW82" s="96"/>
      <c r="AX82" s="96"/>
      <c r="AY82" s="97"/>
      <c r="AZ82" s="7"/>
    </row>
    <row r="83" spans="1:52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7"/>
      <c r="AW83" s="96"/>
      <c r="AX83" s="96"/>
      <c r="AY83" s="97"/>
      <c r="AZ83" s="7"/>
    </row>
    <row r="84" spans="1:52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7"/>
      <c r="AW84" s="96"/>
      <c r="AX84" s="96"/>
      <c r="AY84" s="97"/>
      <c r="AZ84" s="7"/>
    </row>
    <row r="85" spans="1:52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7"/>
      <c r="AW85" s="96"/>
      <c r="AX85" s="96"/>
      <c r="AY85" s="97"/>
      <c r="AZ85" s="7"/>
    </row>
    <row r="86" spans="1:52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7"/>
      <c r="AW86" s="96"/>
      <c r="AX86" s="96"/>
      <c r="AY86" s="97"/>
      <c r="AZ86" s="7"/>
    </row>
    <row r="87" spans="1:52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7"/>
      <c r="AW87" s="96"/>
      <c r="AX87" s="96"/>
      <c r="AY87" s="97"/>
      <c r="AZ87" s="7"/>
    </row>
    <row r="88" spans="1:52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7"/>
      <c r="AW88" s="96"/>
      <c r="AX88" s="96"/>
      <c r="AY88" s="97"/>
      <c r="AZ88" s="7"/>
    </row>
    <row r="89" spans="1:52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7"/>
      <c r="AW89" s="96"/>
      <c r="AX89" s="96"/>
      <c r="AY89" s="97"/>
      <c r="AZ89" s="7"/>
    </row>
    <row r="90" spans="1:52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7"/>
      <c r="AW90" s="96"/>
      <c r="AX90" s="96"/>
      <c r="AY90" s="97"/>
      <c r="AZ90" s="7"/>
    </row>
    <row r="91" spans="1:52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7"/>
      <c r="AW91" s="96"/>
      <c r="AX91" s="96"/>
      <c r="AY91" s="97"/>
      <c r="AZ91" s="7"/>
    </row>
    <row r="92" spans="1:52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7"/>
      <c r="AW92" s="96"/>
      <c r="AX92" s="96"/>
      <c r="AY92" s="97"/>
      <c r="AZ92" s="7"/>
    </row>
    <row r="93" spans="1:52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7"/>
      <c r="AW93" s="96"/>
      <c r="AX93" s="96"/>
      <c r="AY93" s="97"/>
      <c r="AZ93" s="7"/>
    </row>
    <row r="94" spans="1:52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7"/>
      <c r="AW94" s="96"/>
      <c r="AX94" s="96"/>
      <c r="AY94" s="97"/>
      <c r="AZ94" s="7"/>
    </row>
    <row r="95" spans="1:52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7"/>
      <c r="AW95" s="96"/>
      <c r="AX95" s="96"/>
      <c r="AY95" s="97"/>
      <c r="AZ95" s="7"/>
    </row>
    <row r="96" spans="1:52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7"/>
      <c r="AW96" s="96"/>
      <c r="AX96" s="96"/>
      <c r="AY96" s="97"/>
      <c r="AZ96" s="7"/>
    </row>
    <row r="97" spans="1:52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7"/>
      <c r="AW97" s="96"/>
      <c r="AX97" s="96"/>
      <c r="AY97" s="97"/>
      <c r="AZ97" s="7"/>
    </row>
    <row r="98" spans="1:52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7"/>
      <c r="AW98" s="96"/>
      <c r="AX98" s="96"/>
      <c r="AY98" s="97"/>
      <c r="AZ98" s="7"/>
    </row>
    <row r="99" spans="1:52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7"/>
      <c r="AW99" s="96"/>
      <c r="AX99" s="96"/>
      <c r="AY99" s="97"/>
      <c r="AZ99" s="7"/>
    </row>
    <row r="100" spans="1:52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7"/>
      <c r="AW100" s="96"/>
      <c r="AX100" s="96"/>
      <c r="AY100" s="97"/>
      <c r="AZ100" s="7"/>
    </row>
    <row r="101" spans="1:52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7"/>
      <c r="AW101" s="96"/>
      <c r="AX101" s="96"/>
      <c r="AY101" s="97"/>
      <c r="AZ101" s="7"/>
    </row>
    <row r="102" spans="1:52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7"/>
      <c r="AW102" s="96"/>
      <c r="AX102" s="96"/>
      <c r="AY102" s="97"/>
      <c r="AZ102" s="7"/>
    </row>
    <row r="103" spans="1:52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7"/>
      <c r="AW103" s="96"/>
      <c r="AX103" s="96"/>
      <c r="AY103" s="97"/>
      <c r="AZ103" s="7"/>
    </row>
    <row r="104" spans="1:52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7"/>
      <c r="AW104" s="96"/>
      <c r="AX104" s="96"/>
      <c r="AY104" s="97"/>
      <c r="AZ104" s="7"/>
    </row>
    <row r="105" spans="1:52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7"/>
      <c r="AW105" s="96"/>
      <c r="AX105" s="96"/>
      <c r="AY105" s="97"/>
      <c r="AZ105" s="7"/>
    </row>
    <row r="106" spans="1:52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7"/>
      <c r="AW106" s="96"/>
      <c r="AX106" s="96"/>
      <c r="AY106" s="97"/>
      <c r="AZ106" s="7"/>
    </row>
    <row r="107" spans="1:52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7"/>
      <c r="AW107" s="96"/>
      <c r="AX107" s="96"/>
      <c r="AY107" s="97"/>
      <c r="AZ107" s="7"/>
    </row>
    <row r="108" spans="1:52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7"/>
      <c r="AW108" s="96"/>
      <c r="AX108" s="96"/>
      <c r="AY108" s="97"/>
      <c r="AZ108" s="7"/>
    </row>
    <row r="109" spans="1:52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7"/>
      <c r="AW109" s="96"/>
      <c r="AX109" s="96"/>
      <c r="AY109" s="97"/>
      <c r="AZ109" s="7"/>
    </row>
    <row r="110" spans="1:52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7"/>
      <c r="AW110" s="96"/>
      <c r="AX110" s="96"/>
      <c r="AY110" s="97"/>
      <c r="AZ110" s="7"/>
    </row>
    <row r="111" spans="1:52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7"/>
      <c r="AW111" s="96"/>
      <c r="AX111" s="96"/>
      <c r="AY111" s="97"/>
      <c r="AZ111" s="7"/>
    </row>
    <row r="112" spans="1:52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7"/>
      <c r="AW112" s="96"/>
      <c r="AX112" s="96"/>
      <c r="AY112" s="97"/>
      <c r="AZ112" s="7"/>
    </row>
    <row r="113" spans="1:52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7"/>
      <c r="AW113" s="96"/>
      <c r="AX113" s="96"/>
      <c r="AY113" s="97"/>
      <c r="AZ113" s="7"/>
    </row>
    <row r="114" spans="1:52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7"/>
      <c r="AW114" s="96"/>
      <c r="AX114" s="96"/>
      <c r="AY114" s="97"/>
      <c r="AZ114" s="7"/>
    </row>
    <row r="115" spans="1:52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7"/>
      <c r="AW115" s="96"/>
      <c r="AX115" s="96"/>
      <c r="AY115" s="97"/>
      <c r="AZ115" s="7"/>
    </row>
    <row r="116" spans="1:52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7"/>
      <c r="AW116" s="96"/>
      <c r="AX116" s="96"/>
      <c r="AY116" s="97"/>
      <c r="AZ116" s="7"/>
    </row>
    <row r="117" spans="1:52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7"/>
      <c r="AW117" s="96"/>
      <c r="AX117" s="96"/>
      <c r="AY117" s="97"/>
      <c r="AZ117" s="7"/>
    </row>
    <row r="118" spans="1:52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7"/>
      <c r="AW118" s="96"/>
      <c r="AX118" s="96"/>
      <c r="AY118" s="97"/>
      <c r="AZ118" s="7"/>
    </row>
    <row r="119" spans="1:52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7"/>
      <c r="AW119" s="96"/>
      <c r="AX119" s="96"/>
      <c r="AY119" s="97"/>
      <c r="AZ119" s="7"/>
    </row>
    <row r="120" spans="1:52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7"/>
      <c r="AW120" s="96"/>
      <c r="AX120" s="96"/>
      <c r="AY120" s="97"/>
      <c r="AZ120" s="7"/>
    </row>
    <row r="121" spans="1:52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7"/>
      <c r="AW121" s="96"/>
      <c r="AX121" s="96"/>
      <c r="AY121" s="97"/>
      <c r="AZ121" s="7"/>
    </row>
    <row r="122" spans="1:52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7"/>
      <c r="AW122" s="96"/>
      <c r="AX122" s="96"/>
      <c r="AY122" s="97"/>
      <c r="AZ122" s="7"/>
    </row>
    <row r="123" spans="1:52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7"/>
      <c r="AW123" s="96"/>
      <c r="AX123" s="96"/>
      <c r="AY123" s="97"/>
      <c r="AZ123" s="7"/>
    </row>
    <row r="124" spans="1:52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7"/>
      <c r="AW124" s="96"/>
      <c r="AX124" s="96"/>
      <c r="AY124" s="97"/>
      <c r="AZ124" s="7"/>
    </row>
    <row r="125" spans="1:52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7"/>
      <c r="AW125" s="96"/>
      <c r="AX125" s="96"/>
      <c r="AY125" s="97"/>
      <c r="AZ125" s="7"/>
    </row>
    <row r="126" spans="1:52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7"/>
      <c r="AW126" s="96"/>
      <c r="AX126" s="96"/>
      <c r="AY126" s="97"/>
      <c r="AZ126" s="7"/>
    </row>
    <row r="127" spans="1:52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7"/>
      <c r="AW127" s="96"/>
      <c r="AX127" s="96"/>
      <c r="AY127" s="97"/>
      <c r="AZ127" s="7"/>
    </row>
    <row r="128" spans="1:52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7"/>
      <c r="AW128" s="96"/>
      <c r="AX128" s="96"/>
      <c r="AY128" s="97"/>
      <c r="AZ128" s="7"/>
    </row>
    <row r="129" spans="1:52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7"/>
      <c r="AW129" s="96"/>
      <c r="AX129" s="96"/>
      <c r="AY129" s="97"/>
      <c r="AZ129" s="7"/>
    </row>
    <row r="130" spans="1:52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7"/>
      <c r="AW130" s="96"/>
      <c r="AX130" s="96"/>
      <c r="AY130" s="97"/>
      <c r="AZ130" s="7"/>
    </row>
    <row r="131" spans="1:52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7"/>
      <c r="AW131" s="96"/>
      <c r="AX131" s="96"/>
      <c r="AY131" s="97"/>
      <c r="AZ131" s="7"/>
    </row>
    <row r="132" spans="1:52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7"/>
      <c r="AW132" s="96"/>
      <c r="AX132" s="96"/>
      <c r="AY132" s="97"/>
      <c r="AZ132" s="7"/>
    </row>
    <row r="133" spans="1:52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7"/>
      <c r="AW133" s="96"/>
      <c r="AX133" s="96"/>
      <c r="AY133" s="97"/>
      <c r="AZ133" s="7"/>
    </row>
    <row r="134" spans="1:52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7"/>
      <c r="AW134" s="96"/>
      <c r="AX134" s="96"/>
      <c r="AY134" s="97"/>
      <c r="AZ134" s="7"/>
    </row>
    <row r="135" spans="1:52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7"/>
      <c r="AW135" s="96"/>
      <c r="AX135" s="96"/>
      <c r="AY135" s="97"/>
      <c r="AZ135" s="7"/>
    </row>
    <row r="136" spans="1:52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7"/>
      <c r="AW136" s="96"/>
      <c r="AX136" s="96"/>
      <c r="AY136" s="97"/>
      <c r="AZ136" s="7"/>
    </row>
    <row r="137" spans="1:52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7"/>
      <c r="AW137" s="96"/>
      <c r="AX137" s="96"/>
      <c r="AY137" s="97"/>
      <c r="AZ137" s="7"/>
    </row>
    <row r="138" spans="1:52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7"/>
      <c r="AW138" s="96"/>
      <c r="AX138" s="96"/>
      <c r="AY138" s="97"/>
      <c r="AZ138" s="7"/>
    </row>
    <row r="139" spans="1:52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7"/>
      <c r="AW139" s="96"/>
      <c r="AX139" s="96"/>
      <c r="AY139" s="97"/>
      <c r="AZ139" s="7"/>
    </row>
    <row r="140" spans="1:52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7"/>
      <c r="AW140" s="96"/>
      <c r="AX140" s="96"/>
      <c r="AY140" s="97"/>
      <c r="AZ140" s="7"/>
    </row>
    <row r="141" spans="1:52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7"/>
      <c r="AW141" s="96"/>
      <c r="AX141" s="96"/>
      <c r="AY141" s="97"/>
      <c r="AZ141" s="7"/>
    </row>
    <row r="142" spans="1:52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7"/>
      <c r="AW142" s="96"/>
      <c r="AX142" s="96"/>
      <c r="AY142" s="97"/>
      <c r="AZ142" s="7"/>
    </row>
    <row r="143" spans="1:52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7"/>
      <c r="AW143" s="96"/>
      <c r="AX143" s="96"/>
      <c r="AY143" s="97"/>
      <c r="AZ143" s="7"/>
    </row>
    <row r="144" spans="1:52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7"/>
      <c r="AW144" s="96"/>
      <c r="AX144" s="96"/>
      <c r="AY144" s="97"/>
      <c r="AZ144" s="7"/>
    </row>
    <row r="145" spans="1:52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7"/>
      <c r="AW145" s="96"/>
      <c r="AX145" s="96"/>
      <c r="AY145" s="97"/>
      <c r="AZ145" s="7"/>
    </row>
    <row r="146" spans="1:52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7"/>
      <c r="AW146" s="96"/>
      <c r="AX146" s="96"/>
      <c r="AY146" s="97"/>
      <c r="AZ146" s="7"/>
    </row>
    <row r="147" spans="1:52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7"/>
      <c r="AW147" s="96"/>
      <c r="AX147" s="96"/>
      <c r="AY147" s="97"/>
      <c r="AZ147" s="7"/>
    </row>
    <row r="148" spans="1:52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7"/>
      <c r="AW148" s="96"/>
      <c r="AX148" s="96"/>
      <c r="AY148" s="97"/>
      <c r="AZ148" s="7"/>
    </row>
    <row r="149" spans="1:52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7"/>
      <c r="AW149" s="96"/>
      <c r="AX149" s="96"/>
      <c r="AY149" s="97"/>
      <c r="AZ149" s="7"/>
    </row>
    <row r="150" spans="1:52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7"/>
      <c r="AW150" s="96"/>
      <c r="AX150" s="96"/>
      <c r="AY150" s="97"/>
      <c r="AZ150" s="7"/>
    </row>
    <row r="151" spans="1:52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7"/>
      <c r="AW151" s="96"/>
      <c r="AX151" s="96"/>
      <c r="AY151" s="97"/>
      <c r="AZ151" s="7"/>
    </row>
    <row r="152" spans="1:52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7"/>
      <c r="AW152" s="96"/>
      <c r="AX152" s="96"/>
      <c r="AY152" s="97"/>
      <c r="AZ152" s="7"/>
    </row>
    <row r="153" spans="1:52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7"/>
      <c r="AW153" s="96"/>
      <c r="AX153" s="96"/>
      <c r="AY153" s="97"/>
      <c r="AZ153" s="7"/>
    </row>
    <row r="154" spans="1:52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7"/>
      <c r="AW154" s="96"/>
      <c r="AX154" s="96"/>
      <c r="AY154" s="97"/>
      <c r="AZ154" s="7"/>
    </row>
    <row r="155" spans="1:52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7"/>
      <c r="AW155" s="96"/>
      <c r="AX155" s="96"/>
      <c r="AY155" s="97"/>
      <c r="AZ155" s="7"/>
    </row>
    <row r="156" spans="1:52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7"/>
      <c r="AW156" s="96"/>
      <c r="AX156" s="96"/>
      <c r="AY156" s="97"/>
      <c r="AZ156" s="7"/>
    </row>
    <row r="157" spans="1:52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7"/>
      <c r="AW157" s="96"/>
      <c r="AX157" s="96"/>
      <c r="AY157" s="97"/>
      <c r="AZ157" s="7"/>
    </row>
    <row r="158" spans="1:52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7"/>
      <c r="AW158" s="96"/>
      <c r="AX158" s="96"/>
      <c r="AY158" s="97"/>
      <c r="AZ158" s="7"/>
    </row>
    <row r="159" spans="1:52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7"/>
      <c r="AW159" s="96"/>
      <c r="AX159" s="96"/>
      <c r="AY159" s="97"/>
      <c r="AZ159" s="7"/>
    </row>
    <row r="160" spans="1:52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7"/>
      <c r="AW160" s="96"/>
      <c r="AX160" s="96"/>
      <c r="AY160" s="97"/>
      <c r="AZ160" s="7"/>
    </row>
    <row r="161" spans="1:52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7"/>
      <c r="AW161" s="96"/>
      <c r="AX161" s="96"/>
      <c r="AY161" s="97"/>
      <c r="AZ161" s="7"/>
    </row>
    <row r="162" spans="1:52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7"/>
      <c r="AW162" s="96"/>
      <c r="AX162" s="96"/>
      <c r="AY162" s="97"/>
      <c r="AZ162" s="7"/>
    </row>
    <row r="163" spans="1:52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7"/>
      <c r="AW163" s="96"/>
      <c r="AX163" s="96"/>
      <c r="AY163" s="97"/>
      <c r="AZ163" s="7"/>
    </row>
    <row r="164" spans="1:52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7"/>
      <c r="AW164" s="96"/>
      <c r="AX164" s="96"/>
      <c r="AY164" s="97"/>
      <c r="AZ164" s="7"/>
    </row>
    <row r="165" spans="1:52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7"/>
      <c r="AW165" s="96"/>
      <c r="AX165" s="96"/>
      <c r="AY165" s="97"/>
      <c r="AZ165" s="7"/>
    </row>
    <row r="166" spans="1:52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7"/>
      <c r="AW166" s="96"/>
      <c r="AX166" s="96"/>
      <c r="AY166" s="97"/>
      <c r="AZ166" s="7"/>
    </row>
    <row r="167" spans="1:52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7"/>
      <c r="AW167" s="96"/>
      <c r="AX167" s="96"/>
      <c r="AY167" s="97"/>
      <c r="AZ167" s="7"/>
    </row>
    <row r="168" spans="1:52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7"/>
      <c r="AW168" s="96"/>
      <c r="AX168" s="96"/>
      <c r="AY168" s="97"/>
      <c r="AZ168" s="7"/>
    </row>
    <row r="169" spans="1:52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7"/>
      <c r="AW169" s="96"/>
      <c r="AX169" s="96"/>
      <c r="AY169" s="97"/>
      <c r="AZ169" s="7"/>
    </row>
    <row r="170" spans="1:52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7"/>
      <c r="AW170" s="96"/>
      <c r="AX170" s="96"/>
      <c r="AY170" s="97"/>
      <c r="AZ170" s="7"/>
    </row>
    <row r="171" spans="1:52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7"/>
      <c r="AW171" s="96"/>
      <c r="AX171" s="96"/>
      <c r="AY171" s="97"/>
      <c r="AZ171" s="7"/>
    </row>
    <row r="172" spans="1:52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7"/>
      <c r="AW172" s="96"/>
      <c r="AX172" s="96"/>
      <c r="AY172" s="97"/>
      <c r="AZ172" s="7"/>
    </row>
    <row r="173" spans="1:52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7"/>
      <c r="AW173" s="96"/>
      <c r="AX173" s="96"/>
      <c r="AY173" s="97"/>
      <c r="AZ173" s="7"/>
    </row>
    <row r="174" spans="1:52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7"/>
      <c r="AW174" s="96"/>
      <c r="AX174" s="96"/>
      <c r="AY174" s="97"/>
      <c r="AZ174" s="7"/>
    </row>
    <row r="175" spans="1:52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7"/>
      <c r="AW175" s="96"/>
      <c r="AX175" s="96"/>
      <c r="AY175" s="97"/>
      <c r="AZ175" s="7"/>
    </row>
    <row r="176" spans="1:52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7"/>
      <c r="AW176" s="96"/>
      <c r="AX176" s="96"/>
      <c r="AY176" s="97"/>
      <c r="AZ176" s="7"/>
    </row>
    <row r="177" spans="1:52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7"/>
      <c r="AW177" s="96"/>
      <c r="AX177" s="96"/>
      <c r="AY177" s="97"/>
      <c r="AZ177" s="7"/>
    </row>
    <row r="178" spans="1:52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7"/>
      <c r="AW178" s="96"/>
      <c r="AX178" s="96"/>
      <c r="AY178" s="97"/>
      <c r="AZ178" s="7"/>
    </row>
    <row r="179" spans="1:52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7"/>
      <c r="AW179" s="96"/>
      <c r="AX179" s="96"/>
      <c r="AY179" s="97"/>
      <c r="AZ179" s="7"/>
    </row>
    <row r="180" spans="1:52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7"/>
      <c r="AW180" s="96"/>
      <c r="AX180" s="96"/>
      <c r="AY180" s="97"/>
      <c r="AZ180" s="7"/>
    </row>
    <row r="181" spans="1:52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7"/>
      <c r="AW181" s="96"/>
      <c r="AX181" s="96"/>
      <c r="AY181" s="97"/>
      <c r="AZ181" s="7"/>
    </row>
    <row r="182" spans="1:52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7"/>
      <c r="AW182" s="96"/>
      <c r="AX182" s="96"/>
      <c r="AY182" s="97"/>
      <c r="AZ182" s="7"/>
    </row>
    <row r="183" spans="1:52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7"/>
      <c r="AW183" s="96"/>
      <c r="AX183" s="96"/>
      <c r="AY183" s="97"/>
      <c r="AZ183" s="7"/>
    </row>
    <row r="184" spans="1:52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7"/>
      <c r="AW184" s="96"/>
      <c r="AX184" s="96"/>
      <c r="AY184" s="97"/>
      <c r="AZ184" s="7"/>
    </row>
    <row r="185" spans="1:52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7"/>
      <c r="AW185" s="96"/>
      <c r="AX185" s="96"/>
      <c r="AY185" s="97"/>
      <c r="AZ185" s="7"/>
    </row>
    <row r="186" spans="1:52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7"/>
      <c r="AW186" s="96"/>
      <c r="AX186" s="96"/>
      <c r="AY186" s="97"/>
      <c r="AZ186" s="7"/>
    </row>
    <row r="187" spans="1:52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7"/>
      <c r="AW187" s="96"/>
      <c r="AX187" s="96"/>
      <c r="AY187" s="97"/>
      <c r="AZ187" s="7"/>
    </row>
    <row r="188" spans="1:52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7"/>
      <c r="AW188" s="96"/>
      <c r="AX188" s="96"/>
      <c r="AY188" s="97"/>
      <c r="AZ188" s="7"/>
    </row>
    <row r="189" spans="1:52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7"/>
      <c r="AW189" s="96"/>
      <c r="AX189" s="96"/>
      <c r="AY189" s="97"/>
      <c r="AZ189" s="7"/>
    </row>
    <row r="190" spans="1:52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7"/>
      <c r="AW190" s="96"/>
      <c r="AX190" s="96"/>
      <c r="AY190" s="97"/>
      <c r="AZ190" s="7"/>
    </row>
    <row r="191" spans="1:52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7"/>
      <c r="AW191" s="96"/>
      <c r="AX191" s="96"/>
      <c r="AY191" s="97"/>
      <c r="AZ191" s="7"/>
    </row>
    <row r="192" spans="1:52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7"/>
      <c r="AW192" s="96"/>
      <c r="AX192" s="96"/>
      <c r="AY192" s="97"/>
      <c r="AZ192" s="7"/>
    </row>
    <row r="193" spans="1:52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7"/>
      <c r="AW193" s="96"/>
      <c r="AX193" s="96"/>
      <c r="AY193" s="97"/>
      <c r="AZ193" s="7"/>
    </row>
    <row r="194" spans="1:52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7"/>
      <c r="AW194" s="96"/>
      <c r="AX194" s="96"/>
      <c r="AY194" s="97"/>
      <c r="AZ194" s="7"/>
    </row>
    <row r="195" spans="1:52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7"/>
      <c r="AW195" s="96"/>
      <c r="AX195" s="96"/>
      <c r="AY195" s="97"/>
      <c r="AZ195" s="7"/>
    </row>
    <row r="196" spans="1:52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7"/>
      <c r="AW196" s="96"/>
      <c r="AX196" s="96"/>
      <c r="AY196" s="97"/>
      <c r="AZ196" s="7"/>
    </row>
    <row r="197" spans="1:52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7"/>
      <c r="AW197" s="96"/>
      <c r="AX197" s="96"/>
      <c r="AY197" s="97"/>
      <c r="AZ197" s="7"/>
    </row>
    <row r="198" spans="1:52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7"/>
      <c r="AW198" s="96"/>
      <c r="AX198" s="96"/>
      <c r="AY198" s="97"/>
      <c r="AZ198" s="7"/>
    </row>
    <row r="199" spans="1:52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7"/>
      <c r="AW199" s="96"/>
      <c r="AX199" s="96"/>
      <c r="AY199" s="97"/>
      <c r="AZ199" s="7"/>
    </row>
    <row r="200" spans="1:52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7"/>
      <c r="AW200" s="96"/>
      <c r="AX200" s="96"/>
      <c r="AY200" s="97"/>
      <c r="AZ200" s="7"/>
    </row>
    <row r="201" spans="1:52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7"/>
      <c r="AW201" s="96"/>
      <c r="AX201" s="96"/>
      <c r="AY201" s="97"/>
      <c r="AZ201" s="7"/>
    </row>
    <row r="202" spans="1:52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7"/>
      <c r="AW202" s="96"/>
      <c r="AX202" s="96"/>
      <c r="AY202" s="97"/>
      <c r="AZ202" s="7"/>
    </row>
    <row r="203" spans="1:52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7"/>
      <c r="AW203" s="96"/>
      <c r="AX203" s="96"/>
      <c r="AY203" s="97"/>
      <c r="AZ203" s="7"/>
    </row>
    <row r="204" spans="1:52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7"/>
      <c r="AW204" s="96"/>
      <c r="AX204" s="96"/>
      <c r="AY204" s="97"/>
      <c r="AZ204" s="7"/>
    </row>
    <row r="205" spans="1:52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7"/>
      <c r="AW205" s="96"/>
      <c r="AX205" s="96"/>
      <c r="AY205" s="97"/>
      <c r="AZ205" s="7"/>
    </row>
    <row r="206" spans="1:52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7"/>
      <c r="AW206" s="96"/>
      <c r="AX206" s="96"/>
      <c r="AY206" s="97"/>
      <c r="AZ206" s="7"/>
    </row>
    <row r="207" spans="1:52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7"/>
      <c r="AW207" s="96"/>
      <c r="AX207" s="96"/>
      <c r="AY207" s="97"/>
      <c r="AZ207" s="7"/>
    </row>
    <row r="208" spans="1:52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7"/>
      <c r="AW208" s="96"/>
      <c r="AX208" s="96"/>
      <c r="AY208" s="97"/>
      <c r="AZ208" s="7"/>
    </row>
    <row r="209" spans="1:52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7"/>
      <c r="AW209" s="96"/>
      <c r="AX209" s="96"/>
      <c r="AY209" s="97"/>
      <c r="AZ209" s="7"/>
    </row>
    <row r="210" spans="1:52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7"/>
      <c r="AW210" s="96"/>
      <c r="AX210" s="96"/>
      <c r="AY210" s="97"/>
      <c r="AZ210" s="7"/>
    </row>
    <row r="211" spans="1:52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7"/>
      <c r="AW211" s="96"/>
      <c r="AX211" s="96"/>
      <c r="AY211" s="97"/>
      <c r="AZ211" s="7"/>
    </row>
    <row r="212" spans="1:52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7"/>
      <c r="AW212" s="96"/>
      <c r="AX212" s="96"/>
      <c r="AY212" s="97"/>
      <c r="AZ212" s="7"/>
    </row>
    <row r="213" spans="1:52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7"/>
      <c r="AW213" s="96"/>
      <c r="AX213" s="96"/>
      <c r="AY213" s="97"/>
      <c r="AZ213" s="7"/>
    </row>
    <row r="214" spans="1:52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7"/>
      <c r="AW214" s="96"/>
      <c r="AX214" s="96"/>
      <c r="AY214" s="97"/>
      <c r="AZ214" s="7"/>
    </row>
    <row r="215" spans="1:52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7"/>
      <c r="AW215" s="96"/>
      <c r="AX215" s="96"/>
      <c r="AY215" s="97"/>
      <c r="AZ215" s="7"/>
    </row>
    <row r="216" spans="1:52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7"/>
      <c r="AW216" s="96"/>
      <c r="AX216" s="96"/>
      <c r="AY216" s="97"/>
      <c r="AZ216" s="7"/>
    </row>
    <row r="217" spans="1:52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7"/>
      <c r="AW217" s="96"/>
      <c r="AX217" s="96"/>
      <c r="AY217" s="97"/>
      <c r="AZ217" s="7"/>
    </row>
    <row r="218" spans="1:52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7"/>
      <c r="AW218" s="96"/>
      <c r="AX218" s="96"/>
      <c r="AY218" s="97"/>
      <c r="AZ218" s="7"/>
    </row>
    <row r="219" spans="1:52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7"/>
      <c r="AW219" s="96"/>
      <c r="AX219" s="96"/>
      <c r="AY219" s="97"/>
      <c r="AZ219" s="7"/>
    </row>
    <row r="220" spans="1:52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7"/>
      <c r="AW220" s="96"/>
      <c r="AX220" s="96"/>
      <c r="AY220" s="97"/>
      <c r="AZ220" s="7"/>
    </row>
    <row r="221" spans="1:52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7"/>
      <c r="AW221" s="96"/>
      <c r="AX221" s="96"/>
      <c r="AY221" s="97"/>
      <c r="AZ221" s="7"/>
    </row>
    <row r="222" spans="1:52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7"/>
      <c r="AW222" s="96"/>
      <c r="AX222" s="96"/>
      <c r="AY222" s="97"/>
      <c r="AZ222" s="7"/>
    </row>
    <row r="223" spans="1:52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7"/>
      <c r="AW223" s="96"/>
      <c r="AX223" s="96"/>
      <c r="AY223" s="97"/>
      <c r="AZ223" s="7"/>
    </row>
    <row r="224" spans="1:52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7"/>
      <c r="AW224" s="96"/>
      <c r="AX224" s="96"/>
      <c r="AY224" s="97"/>
      <c r="AZ224" s="7"/>
    </row>
    <row r="225" spans="1:52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7"/>
      <c r="AW225" s="96"/>
      <c r="AX225" s="96"/>
      <c r="AY225" s="97"/>
      <c r="AZ225" s="7"/>
    </row>
    <row r="226" spans="1:52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7"/>
      <c r="AW226" s="96"/>
      <c r="AX226" s="96"/>
      <c r="AY226" s="97"/>
      <c r="AZ226" s="7"/>
    </row>
    <row r="227" spans="1:52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7"/>
      <c r="AW227" s="96"/>
      <c r="AX227" s="96"/>
      <c r="AY227" s="97"/>
      <c r="AZ227" s="7"/>
    </row>
    <row r="228" spans="1:52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7"/>
      <c r="AW228" s="96"/>
      <c r="AX228" s="96"/>
      <c r="AY228" s="97"/>
      <c r="AZ228" s="7"/>
    </row>
    <row r="229" spans="1:52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7"/>
      <c r="AW229" s="96"/>
      <c r="AX229" s="96"/>
      <c r="AY229" s="97"/>
      <c r="AZ229" s="7"/>
    </row>
    <row r="230" spans="1:52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7"/>
      <c r="AW230" s="96"/>
      <c r="AX230" s="96"/>
      <c r="AY230" s="97"/>
      <c r="AZ230" s="7"/>
    </row>
    <row r="231" spans="1:52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7"/>
      <c r="AW231" s="96"/>
      <c r="AX231" s="96"/>
      <c r="AY231" s="97"/>
      <c r="AZ231" s="7"/>
    </row>
    <row r="232" spans="1:52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7"/>
      <c r="AW232" s="96"/>
      <c r="AX232" s="96"/>
      <c r="AY232" s="97"/>
      <c r="AZ232" s="7"/>
    </row>
    <row r="233" spans="1:52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7"/>
      <c r="AW233" s="96"/>
      <c r="AX233" s="96"/>
      <c r="AY233" s="97"/>
      <c r="AZ233" s="7"/>
    </row>
    <row r="234" spans="1:52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7"/>
      <c r="AW234" s="96"/>
      <c r="AX234" s="96"/>
      <c r="AY234" s="97"/>
      <c r="AZ234" s="7"/>
    </row>
    <row r="235" spans="1:52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7"/>
      <c r="AW235" s="96"/>
      <c r="AX235" s="96"/>
      <c r="AY235" s="97"/>
      <c r="AZ235" s="7"/>
    </row>
    <row r="236" spans="1:52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7"/>
      <c r="AW236" s="96"/>
      <c r="AX236" s="96"/>
      <c r="AY236" s="97"/>
      <c r="AZ236" s="7"/>
    </row>
    <row r="237" spans="1:52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7"/>
      <c r="AW237" s="96"/>
      <c r="AX237" s="96"/>
      <c r="AY237" s="97"/>
      <c r="AZ237" s="7"/>
    </row>
    <row r="238" spans="1:52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7"/>
      <c r="AW238" s="96"/>
      <c r="AX238" s="96"/>
      <c r="AY238" s="97"/>
      <c r="AZ238" s="7"/>
    </row>
    <row r="239" spans="1:52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7"/>
      <c r="AW239" s="96"/>
      <c r="AX239" s="96"/>
      <c r="AY239" s="97"/>
      <c r="AZ239" s="7"/>
    </row>
    <row r="240" spans="1:52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7"/>
      <c r="AW240" s="96"/>
      <c r="AX240" s="96"/>
      <c r="AY240" s="97"/>
      <c r="AZ240" s="7"/>
    </row>
    <row r="241" spans="1:52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7"/>
      <c r="AW241" s="96"/>
      <c r="AX241" s="96"/>
      <c r="AY241" s="97"/>
      <c r="AZ241" s="7"/>
    </row>
    <row r="242" spans="1:52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7"/>
      <c r="AW242" s="96"/>
      <c r="AX242" s="96"/>
      <c r="AY242" s="97"/>
      <c r="AZ242" s="7"/>
    </row>
    <row r="243" spans="1:52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7"/>
      <c r="AW243" s="96"/>
      <c r="AX243" s="96"/>
      <c r="AY243" s="97"/>
      <c r="AZ243" s="7"/>
    </row>
    <row r="244" spans="1:52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7"/>
      <c r="AW244" s="96"/>
      <c r="AX244" s="96"/>
      <c r="AY244" s="97"/>
      <c r="AZ244" s="7"/>
    </row>
    <row r="245" spans="1:52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7"/>
      <c r="AW245" s="96"/>
      <c r="AX245" s="96"/>
      <c r="AY245" s="97"/>
      <c r="AZ245" s="7"/>
    </row>
    <row r="246" spans="1:52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7"/>
      <c r="AW246" s="96"/>
      <c r="AX246" s="96"/>
      <c r="AY246" s="97"/>
      <c r="AZ246" s="7"/>
    </row>
    <row r="247" spans="1:52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7"/>
      <c r="AW247" s="96"/>
      <c r="AX247" s="96"/>
      <c r="AY247" s="97"/>
      <c r="AZ247" s="7"/>
    </row>
    <row r="248" spans="1:52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7"/>
      <c r="AW248" s="96"/>
      <c r="AX248" s="96"/>
      <c r="AY248" s="97"/>
      <c r="AZ248" s="7"/>
    </row>
    <row r="249" spans="1:52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7"/>
      <c r="AW249" s="96"/>
      <c r="AX249" s="96"/>
      <c r="AY249" s="97"/>
      <c r="AZ249" s="7"/>
    </row>
    <row r="250" spans="1:52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7"/>
      <c r="AW250" s="96"/>
      <c r="AX250" s="96"/>
      <c r="AY250" s="97"/>
      <c r="AZ250" s="7"/>
    </row>
    <row r="251" spans="1:52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7"/>
      <c r="AW251" s="96"/>
      <c r="AX251" s="96"/>
      <c r="AY251" s="97"/>
      <c r="AZ251" s="7"/>
    </row>
    <row r="252" spans="1:52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7"/>
      <c r="AW252" s="96"/>
      <c r="AX252" s="96"/>
      <c r="AY252" s="97"/>
      <c r="AZ252" s="7"/>
    </row>
    <row r="253" spans="1:52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7"/>
      <c r="AW253" s="96"/>
      <c r="AX253" s="96"/>
      <c r="AY253" s="97"/>
      <c r="AZ253" s="7"/>
    </row>
    <row r="254" spans="1:52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7"/>
      <c r="AW254" s="96"/>
      <c r="AX254" s="96"/>
      <c r="AY254" s="97"/>
      <c r="AZ254" s="7"/>
    </row>
    <row r="255" spans="1:52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7"/>
      <c r="AW255" s="96"/>
      <c r="AX255" s="96"/>
      <c r="AY255" s="97"/>
      <c r="AZ255" s="7"/>
    </row>
    <row r="256" spans="1:52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7"/>
      <c r="AW256" s="96"/>
      <c r="AX256" s="96"/>
      <c r="AY256" s="97"/>
      <c r="AZ256" s="7"/>
    </row>
    <row r="257" spans="1:52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7"/>
      <c r="AW257" s="96"/>
      <c r="AX257" s="96"/>
      <c r="AY257" s="97"/>
      <c r="AZ257" s="7"/>
    </row>
    <row r="258" spans="1:52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7"/>
      <c r="AW258" s="96"/>
      <c r="AX258" s="96"/>
      <c r="AY258" s="97"/>
      <c r="AZ258" s="7"/>
    </row>
    <row r="259" spans="1:52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7"/>
      <c r="AW259" s="96"/>
      <c r="AX259" s="96"/>
      <c r="AY259" s="97"/>
      <c r="AZ259" s="7"/>
    </row>
    <row r="260" spans="1:52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7"/>
      <c r="AW260" s="96"/>
      <c r="AX260" s="96"/>
      <c r="AY260" s="97"/>
      <c r="AZ260" s="7"/>
    </row>
    <row r="261" spans="1:52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7"/>
      <c r="AW261" s="96"/>
      <c r="AX261" s="96"/>
      <c r="AY261" s="97"/>
      <c r="AZ261" s="7"/>
    </row>
    <row r="262" spans="1:52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7"/>
      <c r="AW262" s="96"/>
      <c r="AX262" s="96"/>
      <c r="AY262" s="97"/>
      <c r="AZ262" s="7"/>
    </row>
    <row r="263" spans="1:52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7"/>
      <c r="AW263" s="96"/>
      <c r="AX263" s="96"/>
      <c r="AY263" s="97"/>
      <c r="AZ263" s="7"/>
    </row>
    <row r="264" spans="1:52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7"/>
      <c r="AW264" s="96"/>
      <c r="AX264" s="96"/>
      <c r="AY264" s="97"/>
      <c r="AZ264" s="7"/>
    </row>
    <row r="265" spans="1:52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7"/>
      <c r="AW265" s="96"/>
      <c r="AX265" s="96"/>
      <c r="AY265" s="97"/>
      <c r="AZ265" s="7"/>
    </row>
    <row r="266" spans="1:52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7"/>
      <c r="AW266" s="96"/>
      <c r="AX266" s="96"/>
      <c r="AY266" s="97"/>
      <c r="AZ266" s="7"/>
    </row>
    <row r="267" spans="1:52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7"/>
      <c r="AW267" s="96"/>
      <c r="AX267" s="96"/>
      <c r="AY267" s="97"/>
      <c r="AZ267" s="7"/>
    </row>
    <row r="268" spans="1:52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7"/>
      <c r="AW268" s="96"/>
      <c r="AX268" s="96"/>
      <c r="AY268" s="97"/>
      <c r="AZ268" s="7"/>
    </row>
    <row r="269" spans="1:52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7"/>
      <c r="AW269" s="96"/>
      <c r="AX269" s="96"/>
      <c r="AY269" s="97"/>
      <c r="AZ269" s="7"/>
    </row>
    <row r="270" spans="1:52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7"/>
      <c r="AW270" s="96"/>
      <c r="AX270" s="96"/>
      <c r="AY270" s="97"/>
      <c r="AZ270" s="7"/>
    </row>
    <row r="271" spans="1:52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7"/>
      <c r="AW271" s="96"/>
      <c r="AX271" s="96"/>
      <c r="AY271" s="97"/>
      <c r="AZ271" s="7"/>
    </row>
    <row r="272" spans="1:52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7"/>
      <c r="AW272" s="96"/>
      <c r="AX272" s="96"/>
      <c r="AY272" s="97"/>
      <c r="AZ272" s="7"/>
    </row>
    <row r="273" spans="1:52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7"/>
      <c r="AW273" s="96"/>
      <c r="AX273" s="96"/>
      <c r="AY273" s="97"/>
      <c r="AZ273" s="7"/>
    </row>
    <row r="274" spans="1:52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7"/>
      <c r="AW274" s="96"/>
      <c r="AX274" s="96"/>
      <c r="AY274" s="97"/>
      <c r="AZ274" s="7"/>
    </row>
    <row r="275" spans="1:52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7"/>
      <c r="AW275" s="96"/>
      <c r="AX275" s="96"/>
      <c r="AY275" s="97"/>
      <c r="AZ275" s="7"/>
    </row>
    <row r="276" spans="1:52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7"/>
      <c r="AW276" s="96"/>
      <c r="AX276" s="96"/>
      <c r="AY276" s="97"/>
      <c r="AZ276" s="7"/>
    </row>
    <row r="277" spans="1:52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7"/>
      <c r="AW277" s="96"/>
      <c r="AX277" s="96"/>
      <c r="AY277" s="97"/>
      <c r="AZ277" s="7"/>
    </row>
    <row r="278" spans="1:52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7"/>
      <c r="AW278" s="96"/>
      <c r="AX278" s="96"/>
      <c r="AY278" s="97"/>
      <c r="AZ278" s="7"/>
    </row>
    <row r="279" spans="1:52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7"/>
      <c r="AW279" s="96"/>
      <c r="AX279" s="96"/>
      <c r="AY279" s="97"/>
      <c r="AZ279" s="7"/>
    </row>
    <row r="280" spans="1:52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7"/>
      <c r="AW280" s="96"/>
      <c r="AX280" s="96"/>
      <c r="AY280" s="97"/>
      <c r="AZ280" s="7"/>
    </row>
    <row r="281" spans="1:52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7"/>
      <c r="AW281" s="96"/>
      <c r="AX281" s="96"/>
      <c r="AY281" s="97"/>
      <c r="AZ281" s="7"/>
    </row>
    <row r="282" spans="1:52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7"/>
      <c r="AW282" s="96"/>
      <c r="AX282" s="96"/>
      <c r="AY282" s="97"/>
      <c r="AZ282" s="7"/>
    </row>
    <row r="283" spans="1:52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7"/>
      <c r="AW283" s="96"/>
      <c r="AX283" s="96"/>
      <c r="AY283" s="97"/>
      <c r="AZ283" s="7"/>
    </row>
    <row r="284" spans="1:52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7"/>
      <c r="AW284" s="96"/>
      <c r="AX284" s="96"/>
      <c r="AY284" s="97"/>
      <c r="AZ284" s="7"/>
    </row>
    <row r="285" spans="1:52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7"/>
      <c r="AW285" s="96"/>
      <c r="AX285" s="96"/>
      <c r="AY285" s="97"/>
      <c r="AZ285" s="7"/>
    </row>
    <row r="286" spans="1:52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7"/>
      <c r="AW286" s="96"/>
      <c r="AX286" s="96"/>
      <c r="AY286" s="97"/>
      <c r="AZ286" s="7"/>
    </row>
    <row r="287" spans="1:52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7"/>
      <c r="AW287" s="96"/>
      <c r="AX287" s="96"/>
      <c r="AY287" s="97"/>
      <c r="AZ287" s="7"/>
    </row>
    <row r="288" spans="1:52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7"/>
      <c r="AW288" s="96"/>
      <c r="AX288" s="96"/>
      <c r="AY288" s="97"/>
      <c r="AZ288" s="7"/>
    </row>
    <row r="289" spans="1:52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7"/>
      <c r="AW289" s="96"/>
      <c r="AX289" s="96"/>
      <c r="AY289" s="97"/>
      <c r="AZ289" s="7"/>
    </row>
    <row r="290" spans="1:52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7"/>
      <c r="AW290" s="96"/>
      <c r="AX290" s="96"/>
      <c r="AY290" s="97"/>
      <c r="AZ290" s="7"/>
    </row>
    <row r="291" spans="1:52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7"/>
      <c r="AW291" s="96"/>
      <c r="AX291" s="96"/>
      <c r="AY291" s="97"/>
      <c r="AZ291" s="7"/>
    </row>
    <row r="292" spans="1:52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7"/>
      <c r="AW292" s="96"/>
      <c r="AX292" s="96"/>
      <c r="AY292" s="97"/>
      <c r="AZ292" s="7"/>
    </row>
    <row r="293" spans="1:52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7"/>
      <c r="AW293" s="96"/>
      <c r="AX293" s="96"/>
      <c r="AY293" s="97"/>
      <c r="AZ293" s="7"/>
    </row>
    <row r="294" spans="1:52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7"/>
      <c r="AW294" s="96"/>
      <c r="AX294" s="96"/>
      <c r="AY294" s="97"/>
      <c r="AZ294" s="7"/>
    </row>
    <row r="295" spans="1:52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7"/>
      <c r="AW295" s="96"/>
      <c r="AX295" s="96"/>
      <c r="AY295" s="97"/>
      <c r="AZ295" s="7"/>
    </row>
    <row r="296" spans="1:52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7"/>
      <c r="AW296" s="96"/>
      <c r="AX296" s="96"/>
      <c r="AY296" s="97"/>
      <c r="AZ296" s="7"/>
    </row>
    <row r="297" spans="1:52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7"/>
      <c r="AW297" s="96"/>
      <c r="AX297" s="96"/>
      <c r="AY297" s="97"/>
      <c r="AZ297" s="7"/>
    </row>
    <row r="298" spans="1:52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7"/>
      <c r="AW298" s="96"/>
      <c r="AX298" s="96"/>
      <c r="AY298" s="97"/>
      <c r="AZ298" s="7"/>
    </row>
    <row r="299" spans="1:52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7"/>
      <c r="AW299" s="96"/>
      <c r="AX299" s="96"/>
      <c r="AY299" s="97"/>
      <c r="AZ299" s="7"/>
    </row>
    <row r="300" spans="1:52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7"/>
      <c r="AW300" s="96"/>
      <c r="AX300" s="96"/>
      <c r="AY300" s="97"/>
      <c r="AZ300" s="7"/>
    </row>
    <row r="301" spans="1:52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7"/>
      <c r="AW301" s="96"/>
      <c r="AX301" s="96"/>
      <c r="AY301" s="97"/>
      <c r="AZ301" s="7"/>
    </row>
    <row r="302" spans="1:52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7"/>
      <c r="AW302" s="96"/>
      <c r="AX302" s="96"/>
      <c r="AY302" s="97"/>
      <c r="AZ302" s="7"/>
    </row>
    <row r="303" spans="1:52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7"/>
      <c r="AW303" s="96"/>
      <c r="AX303" s="96"/>
      <c r="AY303" s="97"/>
      <c r="AZ303" s="7"/>
    </row>
    <row r="304" spans="1:52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7"/>
      <c r="AW304" s="96"/>
      <c r="AX304" s="96"/>
      <c r="AY304" s="97"/>
      <c r="AZ304" s="7"/>
    </row>
    <row r="305" spans="1:52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7"/>
      <c r="AW305" s="96"/>
      <c r="AX305" s="96"/>
      <c r="AY305" s="97"/>
      <c r="AZ305" s="7"/>
    </row>
    <row r="306" spans="1:52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7"/>
      <c r="AW306" s="96"/>
      <c r="AX306" s="96"/>
      <c r="AY306" s="97"/>
      <c r="AZ306" s="7"/>
    </row>
    <row r="307" spans="1:52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7"/>
      <c r="AW307" s="96"/>
      <c r="AX307" s="96"/>
      <c r="AY307" s="97"/>
      <c r="AZ307" s="7"/>
    </row>
    <row r="308" spans="1:52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7"/>
      <c r="AW308" s="96"/>
      <c r="AX308" s="96"/>
      <c r="AY308" s="97"/>
      <c r="AZ308" s="7"/>
    </row>
    <row r="309" spans="1:52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7"/>
      <c r="AW309" s="96"/>
      <c r="AX309" s="96"/>
      <c r="AY309" s="97"/>
      <c r="AZ309" s="7"/>
    </row>
    <row r="310" spans="1:52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7"/>
      <c r="AW310" s="96"/>
      <c r="AX310" s="96"/>
      <c r="AY310" s="97"/>
      <c r="AZ310" s="7"/>
    </row>
    <row r="311" spans="1:52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7"/>
      <c r="AW311" s="96"/>
      <c r="AX311" s="96"/>
      <c r="AY311" s="97"/>
      <c r="AZ311" s="7"/>
    </row>
    <row r="312" spans="1:52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7"/>
      <c r="AW312" s="96"/>
      <c r="AX312" s="96"/>
      <c r="AY312" s="97"/>
      <c r="AZ312" s="7"/>
    </row>
    <row r="313" spans="1:52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7"/>
      <c r="AW313" s="96"/>
      <c r="AX313" s="96"/>
      <c r="AY313" s="97"/>
      <c r="AZ313" s="7"/>
    </row>
    <row r="314" spans="1:52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7"/>
      <c r="AW314" s="96"/>
      <c r="AX314" s="96"/>
      <c r="AY314" s="97"/>
      <c r="AZ314" s="7"/>
    </row>
    <row r="315" spans="1:52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7"/>
      <c r="AW315" s="96"/>
      <c r="AX315" s="96"/>
      <c r="AY315" s="97"/>
      <c r="AZ315" s="7"/>
    </row>
    <row r="316" spans="1:52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7"/>
      <c r="AW316" s="96"/>
      <c r="AX316" s="96"/>
      <c r="AY316" s="97"/>
      <c r="AZ316" s="7"/>
    </row>
    <row r="317" spans="1:52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7"/>
      <c r="AW317" s="96"/>
      <c r="AX317" s="96"/>
      <c r="AY317" s="97"/>
      <c r="AZ317" s="7"/>
    </row>
    <row r="318" spans="1:52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7"/>
      <c r="AW318" s="96"/>
      <c r="AX318" s="96"/>
      <c r="AY318" s="97"/>
      <c r="AZ318" s="7"/>
    </row>
    <row r="319" spans="1:52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7"/>
      <c r="AW319" s="96"/>
      <c r="AX319" s="96"/>
      <c r="AY319" s="97"/>
      <c r="AZ319" s="7"/>
    </row>
    <row r="320" spans="1:52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7"/>
      <c r="AW320" s="96"/>
      <c r="AX320" s="96"/>
      <c r="AY320" s="97"/>
      <c r="AZ320" s="7"/>
    </row>
    <row r="321" spans="1:52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7"/>
      <c r="AW321" s="96"/>
      <c r="AX321" s="96"/>
      <c r="AY321" s="97"/>
      <c r="AZ321" s="7"/>
    </row>
    <row r="322" spans="1:52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7"/>
      <c r="AW322" s="96"/>
      <c r="AX322" s="96"/>
      <c r="AY322" s="97"/>
      <c r="AZ322" s="7"/>
    </row>
    <row r="323" spans="1:52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7"/>
      <c r="AW323" s="96"/>
      <c r="AX323" s="96"/>
      <c r="AY323" s="97"/>
      <c r="AZ323" s="7"/>
    </row>
    <row r="324" spans="1:52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7"/>
      <c r="AW324" s="96"/>
      <c r="AX324" s="96"/>
      <c r="AY324" s="97"/>
      <c r="AZ324" s="7"/>
    </row>
    <row r="325" spans="1:52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7"/>
      <c r="AW325" s="96"/>
      <c r="AX325" s="96"/>
      <c r="AY325" s="97"/>
      <c r="AZ325" s="7"/>
    </row>
    <row r="326" spans="1:52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7"/>
      <c r="AW326" s="96"/>
      <c r="AX326" s="96"/>
      <c r="AY326" s="97"/>
      <c r="AZ326" s="7"/>
    </row>
    <row r="327" spans="1:52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7"/>
      <c r="AW327" s="96"/>
      <c r="AX327" s="96"/>
      <c r="AY327" s="97"/>
      <c r="AZ327" s="7"/>
    </row>
    <row r="328" spans="1:52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7"/>
      <c r="AW328" s="96"/>
      <c r="AX328" s="96"/>
      <c r="AY328" s="97"/>
      <c r="AZ328" s="7"/>
    </row>
    <row r="329" spans="1:52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7"/>
      <c r="AW329" s="96"/>
      <c r="AX329" s="96"/>
      <c r="AY329" s="97"/>
      <c r="AZ329" s="7"/>
    </row>
    <row r="330" spans="1:52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7"/>
      <c r="AW330" s="96"/>
      <c r="AX330" s="96"/>
      <c r="AY330" s="97"/>
      <c r="AZ330" s="7"/>
    </row>
    <row r="331" spans="1:52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7"/>
      <c r="AW331" s="96"/>
      <c r="AX331" s="96"/>
      <c r="AY331" s="97"/>
      <c r="AZ331" s="7"/>
    </row>
    <row r="332" spans="1:52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7"/>
      <c r="AW332" s="96"/>
      <c r="AX332" s="96"/>
      <c r="AY332" s="97"/>
      <c r="AZ332" s="7"/>
    </row>
    <row r="333" spans="1:52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7"/>
      <c r="AW333" s="96"/>
      <c r="AX333" s="96"/>
      <c r="AY333" s="97"/>
      <c r="AZ333" s="7"/>
    </row>
    <row r="334" spans="1:52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7"/>
      <c r="AW334" s="96"/>
      <c r="AX334" s="96"/>
      <c r="AY334" s="97"/>
      <c r="AZ334" s="7"/>
    </row>
    <row r="335" spans="1:52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7"/>
      <c r="AW335" s="96"/>
      <c r="AX335" s="96"/>
      <c r="AY335" s="97"/>
      <c r="AZ335" s="7"/>
    </row>
    <row r="336" spans="1:52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7"/>
      <c r="AW336" s="96"/>
      <c r="AX336" s="96"/>
      <c r="AY336" s="97"/>
      <c r="AZ336" s="7"/>
    </row>
    <row r="337" spans="1:52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7"/>
      <c r="AW337" s="96"/>
      <c r="AX337" s="96"/>
      <c r="AY337" s="97"/>
      <c r="AZ337" s="7"/>
    </row>
    <row r="338" spans="1:52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7"/>
      <c r="AW338" s="96"/>
      <c r="AX338" s="96"/>
      <c r="AY338" s="97"/>
      <c r="AZ338" s="7"/>
    </row>
    <row r="339" spans="1:52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7"/>
      <c r="AW339" s="96"/>
      <c r="AX339" s="96"/>
      <c r="AY339" s="97"/>
      <c r="AZ339" s="7"/>
    </row>
    <row r="340" spans="1:52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7"/>
      <c r="AW340" s="96"/>
      <c r="AX340" s="96"/>
      <c r="AY340" s="97"/>
      <c r="AZ340" s="7"/>
    </row>
    <row r="341" spans="1:52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7"/>
      <c r="AW341" s="96"/>
      <c r="AX341" s="96"/>
      <c r="AY341" s="97"/>
      <c r="AZ341" s="7"/>
    </row>
    <row r="342" spans="1:52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7"/>
      <c r="AW342" s="96"/>
      <c r="AX342" s="96"/>
      <c r="AY342" s="97"/>
      <c r="AZ342" s="7"/>
    </row>
    <row r="343" spans="1:52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7"/>
      <c r="AW343" s="96"/>
      <c r="AX343" s="96"/>
      <c r="AY343" s="97"/>
      <c r="AZ343" s="7"/>
    </row>
    <row r="344" spans="1:52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7"/>
      <c r="AW344" s="96"/>
      <c r="AX344" s="96"/>
      <c r="AY344" s="97"/>
      <c r="AZ344" s="7"/>
    </row>
    <row r="345" spans="1:52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7"/>
      <c r="AW345" s="96"/>
      <c r="AX345" s="96"/>
      <c r="AY345" s="97"/>
      <c r="AZ345" s="7"/>
    </row>
    <row r="346" spans="1:52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7"/>
      <c r="AW346" s="96"/>
      <c r="AX346" s="96"/>
      <c r="AY346" s="97"/>
      <c r="AZ346" s="7"/>
    </row>
    <row r="347" spans="1:52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7"/>
      <c r="AW347" s="96"/>
      <c r="AX347" s="96"/>
      <c r="AY347" s="97"/>
      <c r="AZ347" s="7"/>
    </row>
    <row r="348" spans="1:52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7"/>
      <c r="AW348" s="96"/>
      <c r="AX348" s="96"/>
      <c r="AY348" s="97"/>
      <c r="AZ348" s="7"/>
    </row>
    <row r="349" spans="1:52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7"/>
      <c r="AW349" s="96"/>
      <c r="AX349" s="96"/>
      <c r="AY349" s="97"/>
      <c r="AZ349" s="7"/>
    </row>
    <row r="350" spans="1:52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7"/>
      <c r="AW350" s="96"/>
      <c r="AX350" s="96"/>
      <c r="AY350" s="97"/>
      <c r="AZ350" s="7"/>
    </row>
    <row r="351" spans="1:52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7"/>
      <c r="AW351" s="96"/>
      <c r="AX351" s="96"/>
      <c r="AY351" s="97"/>
      <c r="AZ351" s="7"/>
    </row>
    <row r="352" spans="1:52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7"/>
      <c r="AW352" s="96"/>
      <c r="AX352" s="96"/>
      <c r="AY352" s="97"/>
      <c r="AZ352" s="7"/>
    </row>
    <row r="353" spans="1:52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7"/>
      <c r="AW353" s="96"/>
      <c r="AX353" s="96"/>
      <c r="AY353" s="97"/>
      <c r="AZ353" s="7"/>
    </row>
    <row r="354" spans="1:52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7"/>
      <c r="AW354" s="96"/>
      <c r="AX354" s="96"/>
      <c r="AY354" s="97"/>
      <c r="AZ354" s="7"/>
    </row>
    <row r="355" spans="1:52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7"/>
      <c r="AW355" s="96"/>
      <c r="AX355" s="96"/>
      <c r="AY355" s="97"/>
      <c r="AZ355" s="7"/>
    </row>
    <row r="356" spans="1:52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7"/>
      <c r="AW356" s="96"/>
      <c r="AX356" s="96"/>
      <c r="AY356" s="97"/>
      <c r="AZ356" s="7"/>
    </row>
    <row r="357" spans="1:52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7"/>
      <c r="AW357" s="96"/>
      <c r="AX357" s="96"/>
      <c r="AY357" s="97"/>
      <c r="AZ357" s="7"/>
    </row>
    <row r="358" spans="1:52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7"/>
      <c r="AW358" s="96"/>
      <c r="AX358" s="96"/>
      <c r="AY358" s="97"/>
      <c r="AZ358" s="7"/>
    </row>
    <row r="359" spans="1:52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7"/>
      <c r="AW359" s="96"/>
      <c r="AX359" s="96"/>
      <c r="AY359" s="97"/>
      <c r="AZ359" s="7"/>
    </row>
    <row r="360" spans="1:52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7"/>
      <c r="AW360" s="96"/>
      <c r="AX360" s="96"/>
      <c r="AY360" s="97"/>
      <c r="AZ360" s="7"/>
    </row>
    <row r="361" spans="1:52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7"/>
      <c r="AW361" s="96"/>
      <c r="AX361" s="96"/>
      <c r="AY361" s="97"/>
      <c r="AZ361" s="7"/>
    </row>
    <row r="362" spans="1:52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7"/>
      <c r="AW362" s="96"/>
      <c r="AX362" s="96"/>
      <c r="AY362" s="97"/>
      <c r="AZ362" s="7"/>
    </row>
    <row r="363" spans="1:52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7"/>
      <c r="AW363" s="96"/>
      <c r="AX363" s="96"/>
      <c r="AY363" s="97"/>
      <c r="AZ363" s="7"/>
    </row>
    <row r="364" spans="1:52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7"/>
      <c r="AW364" s="96"/>
      <c r="AX364" s="96"/>
      <c r="AY364" s="97"/>
      <c r="AZ364" s="7"/>
    </row>
    <row r="365" spans="1:52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7"/>
      <c r="AW365" s="96"/>
      <c r="AX365" s="96"/>
      <c r="AY365" s="97"/>
      <c r="AZ365" s="7"/>
    </row>
    <row r="366" spans="1:52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7"/>
      <c r="AW366" s="96"/>
      <c r="AX366" s="96"/>
      <c r="AY366" s="97"/>
      <c r="AZ366" s="7"/>
    </row>
    <row r="367" spans="1:52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7"/>
      <c r="AW367" s="96"/>
      <c r="AX367" s="96"/>
      <c r="AY367" s="97"/>
      <c r="AZ367" s="7"/>
    </row>
    <row r="368" spans="1:52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7"/>
      <c r="AW368" s="96"/>
      <c r="AX368" s="96"/>
      <c r="AY368" s="97"/>
      <c r="AZ368" s="7"/>
    </row>
    <row r="369" spans="1:52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7"/>
      <c r="AW369" s="96"/>
      <c r="AX369" s="96"/>
      <c r="AY369" s="97"/>
      <c r="AZ369" s="7"/>
    </row>
    <row r="370" spans="1:52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7"/>
      <c r="AW370" s="96"/>
      <c r="AX370" s="96"/>
      <c r="AY370" s="97"/>
      <c r="AZ370" s="7"/>
    </row>
    <row r="371" spans="1:52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7"/>
      <c r="AW371" s="96"/>
      <c r="AX371" s="96"/>
      <c r="AY371" s="97"/>
      <c r="AZ371" s="7"/>
    </row>
    <row r="372" spans="1:52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7"/>
      <c r="AW372" s="96"/>
      <c r="AX372" s="96"/>
      <c r="AY372" s="97"/>
      <c r="AZ372" s="7"/>
    </row>
    <row r="373" spans="1:52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7"/>
      <c r="AW373" s="96"/>
      <c r="AX373" s="96"/>
      <c r="AY373" s="97"/>
      <c r="AZ373" s="7"/>
    </row>
    <row r="374" spans="1:52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7"/>
      <c r="AW374" s="96"/>
      <c r="AX374" s="96"/>
      <c r="AY374" s="97"/>
      <c r="AZ374" s="7"/>
    </row>
    <row r="375" spans="1:52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7"/>
      <c r="AW375" s="96"/>
      <c r="AX375" s="96"/>
      <c r="AY375" s="97"/>
      <c r="AZ375" s="7"/>
    </row>
    <row r="376" spans="1:52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7"/>
      <c r="AW376" s="96"/>
      <c r="AX376" s="96"/>
      <c r="AY376" s="97"/>
      <c r="AZ376" s="7"/>
    </row>
    <row r="377" spans="1:52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7"/>
      <c r="AW377" s="96"/>
      <c r="AX377" s="96"/>
      <c r="AY377" s="97"/>
      <c r="AZ377" s="7"/>
    </row>
    <row r="378" spans="1:52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7"/>
      <c r="AW378" s="96"/>
      <c r="AX378" s="96"/>
      <c r="AY378" s="97"/>
      <c r="AZ378" s="7"/>
    </row>
    <row r="379" spans="1:52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7"/>
      <c r="AW379" s="96"/>
      <c r="AX379" s="96"/>
      <c r="AY379" s="97"/>
      <c r="AZ379" s="7"/>
    </row>
    <row r="380" spans="1:52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7"/>
      <c r="AW380" s="96"/>
      <c r="AX380" s="96"/>
      <c r="AY380" s="97"/>
      <c r="AZ380" s="7"/>
    </row>
    <row r="381" spans="1:52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7"/>
      <c r="AW381" s="96"/>
      <c r="AX381" s="96"/>
      <c r="AY381" s="97"/>
      <c r="AZ381" s="7"/>
    </row>
    <row r="382" spans="1:52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7"/>
      <c r="AW382" s="96"/>
      <c r="AX382" s="96"/>
      <c r="AY382" s="97"/>
      <c r="AZ382" s="7"/>
    </row>
    <row r="383" spans="1:52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7"/>
      <c r="AW383" s="96"/>
      <c r="AX383" s="96"/>
      <c r="AY383" s="97"/>
      <c r="AZ383" s="7"/>
    </row>
    <row r="384" spans="1:52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7"/>
      <c r="AW384" s="96"/>
      <c r="AX384" s="96"/>
      <c r="AY384" s="97"/>
      <c r="AZ384" s="7"/>
    </row>
    <row r="385" spans="1:52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7"/>
      <c r="AW385" s="96"/>
      <c r="AX385" s="96"/>
      <c r="AY385" s="97"/>
      <c r="AZ385" s="7"/>
    </row>
    <row r="386" spans="1:52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7"/>
      <c r="AW386" s="96"/>
      <c r="AX386" s="96"/>
      <c r="AY386" s="97"/>
      <c r="AZ386" s="7"/>
    </row>
    <row r="387" spans="1:52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7"/>
      <c r="AW387" s="96"/>
      <c r="AX387" s="96"/>
      <c r="AY387" s="97"/>
      <c r="AZ387" s="7"/>
    </row>
    <row r="388" spans="1:52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7"/>
      <c r="AW388" s="96"/>
      <c r="AX388" s="96"/>
      <c r="AY388" s="97"/>
      <c r="AZ388" s="7"/>
    </row>
    <row r="389" spans="1:52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7"/>
      <c r="AW389" s="96"/>
      <c r="AX389" s="96"/>
      <c r="AY389" s="97"/>
      <c r="AZ389" s="7"/>
    </row>
    <row r="390" spans="1:52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7"/>
      <c r="AW390" s="96"/>
      <c r="AX390" s="96"/>
      <c r="AY390" s="97"/>
      <c r="AZ390" s="7"/>
    </row>
    <row r="391" spans="1:52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7"/>
      <c r="AW391" s="96"/>
      <c r="AX391" s="96"/>
      <c r="AY391" s="97"/>
      <c r="AZ391" s="7"/>
    </row>
    <row r="392" spans="1:52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7"/>
      <c r="AW392" s="96"/>
      <c r="AX392" s="96"/>
      <c r="AY392" s="97"/>
      <c r="AZ392" s="7"/>
    </row>
    <row r="393" spans="1:52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7"/>
      <c r="AW393" s="96"/>
      <c r="AX393" s="96"/>
      <c r="AY393" s="97"/>
      <c r="AZ393" s="7"/>
    </row>
    <row r="394" spans="1:52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7"/>
      <c r="AW394" s="96"/>
      <c r="AX394" s="96"/>
      <c r="AY394" s="97"/>
      <c r="AZ394" s="7"/>
    </row>
    <row r="395" spans="1:52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7"/>
      <c r="AW395" s="96"/>
      <c r="AX395" s="96"/>
      <c r="AY395" s="97"/>
      <c r="AZ395" s="7"/>
    </row>
    <row r="396" spans="1:52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7"/>
      <c r="AW396" s="96"/>
      <c r="AX396" s="96"/>
      <c r="AY396" s="97"/>
      <c r="AZ396" s="7"/>
    </row>
    <row r="397" spans="1:52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7"/>
      <c r="AW397" s="96"/>
      <c r="AX397" s="96"/>
      <c r="AY397" s="97"/>
      <c r="AZ397" s="7"/>
    </row>
    <row r="398" spans="1:52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7"/>
      <c r="AW398" s="96"/>
      <c r="AX398" s="96"/>
      <c r="AY398" s="97"/>
      <c r="AZ398" s="7"/>
    </row>
    <row r="399" spans="1:52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7"/>
      <c r="AW399" s="96"/>
      <c r="AX399" s="96"/>
      <c r="AY399" s="97"/>
      <c r="AZ399" s="7"/>
    </row>
    <row r="400" spans="1:52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7"/>
      <c r="AW400" s="96"/>
      <c r="AX400" s="96"/>
      <c r="AY400" s="97"/>
      <c r="AZ400" s="7"/>
    </row>
    <row r="401" spans="1:52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7"/>
      <c r="AW401" s="96"/>
      <c r="AX401" s="96"/>
      <c r="AY401" s="97"/>
      <c r="AZ401" s="7"/>
    </row>
    <row r="402" spans="1:52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7"/>
      <c r="AW402" s="96"/>
      <c r="AX402" s="96"/>
      <c r="AY402" s="97"/>
      <c r="AZ402" s="7"/>
    </row>
    <row r="403" spans="1:52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7"/>
      <c r="AW403" s="96"/>
      <c r="AX403" s="96"/>
      <c r="AY403" s="97"/>
      <c r="AZ403" s="7"/>
    </row>
    <row r="404" spans="1:52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7"/>
      <c r="AW404" s="96"/>
      <c r="AX404" s="96"/>
      <c r="AY404" s="97"/>
      <c r="AZ404" s="7"/>
    </row>
    <row r="405" spans="1:52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7"/>
      <c r="AW405" s="96"/>
      <c r="AX405" s="96"/>
      <c r="AY405" s="97"/>
      <c r="AZ405" s="7"/>
    </row>
    <row r="406" spans="1:52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7"/>
      <c r="AW406" s="96"/>
      <c r="AX406" s="96"/>
      <c r="AY406" s="97"/>
      <c r="AZ406" s="7"/>
    </row>
    <row r="407" spans="1:52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7"/>
      <c r="AW407" s="96"/>
      <c r="AX407" s="96"/>
      <c r="AY407" s="97"/>
      <c r="AZ407" s="7"/>
    </row>
    <row r="408" spans="1:52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7"/>
      <c r="AW408" s="96"/>
      <c r="AX408" s="96"/>
      <c r="AY408" s="97"/>
      <c r="AZ408" s="7"/>
    </row>
    <row r="409" spans="1:52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7"/>
      <c r="AW409" s="96"/>
      <c r="AX409" s="96"/>
      <c r="AY409" s="97"/>
      <c r="AZ409" s="7"/>
    </row>
    <row r="410" spans="1:52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7"/>
      <c r="AW410" s="96"/>
      <c r="AX410" s="96"/>
      <c r="AY410" s="97"/>
      <c r="AZ410" s="7"/>
    </row>
    <row r="411" spans="1:52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7"/>
      <c r="AW411" s="96"/>
      <c r="AX411" s="96"/>
      <c r="AY411" s="97"/>
      <c r="AZ411" s="7"/>
    </row>
    <row r="412" spans="1:52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7"/>
      <c r="AW412" s="96"/>
      <c r="AX412" s="96"/>
      <c r="AY412" s="97"/>
      <c r="AZ412" s="7"/>
    </row>
    <row r="413" spans="1:52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7"/>
      <c r="AW413" s="96"/>
      <c r="AX413" s="96"/>
      <c r="AY413" s="97"/>
      <c r="AZ413" s="7"/>
    </row>
    <row r="414" spans="1:52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7"/>
      <c r="AW414" s="96"/>
      <c r="AX414" s="96"/>
      <c r="AY414" s="97"/>
      <c r="AZ414" s="7"/>
    </row>
    <row r="415" spans="1:52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7"/>
      <c r="AW415" s="96"/>
      <c r="AX415" s="96"/>
      <c r="AY415" s="97"/>
      <c r="AZ415" s="7"/>
    </row>
    <row r="416" spans="1:52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7"/>
      <c r="AW416" s="96"/>
      <c r="AX416" s="96"/>
      <c r="AY416" s="97"/>
      <c r="AZ416" s="7"/>
    </row>
    <row r="417" spans="1:52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7"/>
      <c r="AW417" s="96"/>
      <c r="AX417" s="96"/>
      <c r="AY417" s="97"/>
      <c r="AZ417" s="7"/>
    </row>
    <row r="418" spans="1:52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7"/>
      <c r="AW418" s="96"/>
      <c r="AX418" s="96"/>
      <c r="AY418" s="97"/>
      <c r="AZ418" s="7"/>
    </row>
    <row r="419" spans="1:52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7"/>
      <c r="AW419" s="96"/>
      <c r="AX419" s="96"/>
      <c r="AY419" s="97"/>
      <c r="AZ419" s="7"/>
    </row>
    <row r="420" spans="1:52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7"/>
      <c r="AW420" s="96"/>
      <c r="AX420" s="96"/>
      <c r="AY420" s="97"/>
      <c r="AZ420" s="7"/>
    </row>
    <row r="421" spans="1:52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7"/>
      <c r="AW421" s="96"/>
      <c r="AX421" s="96"/>
      <c r="AY421" s="97"/>
      <c r="AZ421" s="7"/>
    </row>
    <row r="422" spans="1:52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7"/>
      <c r="AW422" s="96"/>
      <c r="AX422" s="96"/>
      <c r="AY422" s="97"/>
      <c r="AZ422" s="7"/>
    </row>
    <row r="423" spans="1:52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7"/>
      <c r="AW423" s="96"/>
      <c r="AX423" s="96"/>
      <c r="AY423" s="97"/>
      <c r="AZ423" s="7"/>
    </row>
    <row r="424" spans="1:52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7"/>
      <c r="AW424" s="96"/>
      <c r="AX424" s="96"/>
      <c r="AY424" s="97"/>
      <c r="AZ424" s="7"/>
    </row>
    <row r="425" spans="1:52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7"/>
      <c r="AW425" s="96"/>
      <c r="AX425" s="96"/>
      <c r="AY425" s="97"/>
      <c r="AZ425" s="7"/>
    </row>
    <row r="426" spans="1:52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7"/>
      <c r="AW426" s="96"/>
      <c r="AX426" s="96"/>
      <c r="AY426" s="97"/>
      <c r="AZ426" s="7"/>
    </row>
    <row r="427" spans="1:52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7"/>
      <c r="AW427" s="96"/>
      <c r="AX427" s="96"/>
      <c r="AY427" s="97"/>
      <c r="AZ427" s="7"/>
    </row>
    <row r="428" spans="1:52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7"/>
      <c r="AW428" s="96"/>
      <c r="AX428" s="96"/>
      <c r="AY428" s="97"/>
      <c r="AZ428" s="7"/>
    </row>
    <row r="429" spans="1:52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7"/>
      <c r="AW429" s="96"/>
      <c r="AX429" s="96"/>
      <c r="AY429" s="97"/>
      <c r="AZ429" s="7"/>
    </row>
    <row r="430" spans="1:52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7"/>
      <c r="AW430" s="96"/>
      <c r="AX430" s="96"/>
      <c r="AY430" s="97"/>
      <c r="AZ430" s="7"/>
    </row>
    <row r="431" spans="1:52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7"/>
      <c r="AW431" s="96"/>
      <c r="AX431" s="96"/>
      <c r="AY431" s="97"/>
      <c r="AZ431" s="7"/>
    </row>
    <row r="432" spans="1:52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7"/>
      <c r="AW432" s="96"/>
      <c r="AX432" s="96"/>
      <c r="AY432" s="97"/>
      <c r="AZ432" s="7"/>
    </row>
    <row r="433" spans="1:52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7"/>
      <c r="AW433" s="96"/>
      <c r="AX433" s="96"/>
      <c r="AY433" s="97"/>
      <c r="AZ433" s="7"/>
    </row>
    <row r="434" spans="1:52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7"/>
      <c r="AW434" s="96"/>
      <c r="AX434" s="96"/>
      <c r="AY434" s="97"/>
      <c r="AZ434" s="7"/>
    </row>
    <row r="435" spans="1:52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7"/>
      <c r="AW435" s="96"/>
      <c r="AX435" s="96"/>
      <c r="AY435" s="97"/>
      <c r="AZ435" s="7"/>
    </row>
    <row r="436" spans="1:52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7"/>
      <c r="AW436" s="96"/>
      <c r="AX436" s="96"/>
      <c r="AY436" s="97"/>
      <c r="AZ436" s="7"/>
    </row>
    <row r="437" spans="1:52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7"/>
      <c r="AW437" s="96"/>
      <c r="AX437" s="96"/>
      <c r="AY437" s="97"/>
      <c r="AZ437" s="7"/>
    </row>
    <row r="438" spans="1:52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7"/>
      <c r="AW438" s="96"/>
      <c r="AX438" s="96"/>
      <c r="AY438" s="97"/>
      <c r="AZ438" s="7"/>
    </row>
    <row r="439" spans="1:52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7"/>
      <c r="AW439" s="96"/>
      <c r="AX439" s="96"/>
      <c r="AY439" s="97"/>
      <c r="AZ439" s="7"/>
    </row>
    <row r="440" spans="1:52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7"/>
      <c r="AW440" s="96"/>
      <c r="AX440" s="96"/>
      <c r="AY440" s="97"/>
      <c r="AZ440" s="7"/>
    </row>
    <row r="441" spans="1:52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7"/>
      <c r="AW441" s="96"/>
      <c r="AX441" s="96"/>
      <c r="AY441" s="97"/>
      <c r="AZ441" s="7"/>
    </row>
    <row r="442" spans="1:52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7"/>
      <c r="AW442" s="96"/>
      <c r="AX442" s="96"/>
      <c r="AY442" s="97"/>
      <c r="AZ442" s="7"/>
    </row>
    <row r="443" spans="1:52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7"/>
      <c r="AW443" s="96"/>
      <c r="AX443" s="96"/>
      <c r="AY443" s="97"/>
      <c r="AZ443" s="7"/>
    </row>
    <row r="444" spans="1:52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7"/>
      <c r="AW444" s="96"/>
      <c r="AX444" s="96"/>
      <c r="AY444" s="97"/>
      <c r="AZ444" s="7"/>
    </row>
    <row r="445" spans="1:52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7"/>
      <c r="AW445" s="96"/>
      <c r="AX445" s="96"/>
      <c r="AY445" s="97"/>
      <c r="AZ445" s="7"/>
    </row>
    <row r="446" spans="1:52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7"/>
      <c r="AW446" s="96"/>
      <c r="AX446" s="96"/>
      <c r="AY446" s="97"/>
      <c r="AZ446" s="7"/>
    </row>
    <row r="447" spans="1:52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7"/>
      <c r="AW447" s="96"/>
      <c r="AX447" s="96"/>
      <c r="AY447" s="97"/>
      <c r="AZ447" s="7"/>
    </row>
    <row r="448" spans="1:52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7"/>
      <c r="AW448" s="96"/>
      <c r="AX448" s="96"/>
      <c r="AY448" s="97"/>
      <c r="AZ448" s="7"/>
    </row>
    <row r="449" spans="1:52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7"/>
      <c r="AW449" s="96"/>
      <c r="AX449" s="96"/>
      <c r="AY449" s="97"/>
      <c r="AZ449" s="7"/>
    </row>
    <row r="450" spans="1:52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7"/>
      <c r="AW450" s="96"/>
      <c r="AX450" s="96"/>
      <c r="AY450" s="97"/>
      <c r="AZ450" s="7"/>
    </row>
    <row r="451" spans="1:52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7"/>
      <c r="AW451" s="96"/>
      <c r="AX451" s="96"/>
      <c r="AY451" s="97"/>
      <c r="AZ451" s="7"/>
    </row>
    <row r="452" spans="1:52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7"/>
      <c r="AW452" s="96"/>
      <c r="AX452" s="96"/>
      <c r="AY452" s="97"/>
      <c r="AZ452" s="7"/>
    </row>
    <row r="453" spans="1:52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7"/>
      <c r="AW453" s="96"/>
      <c r="AX453" s="96"/>
      <c r="AY453" s="97"/>
      <c r="AZ453" s="7"/>
    </row>
    <row r="454" spans="1:52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7"/>
      <c r="AW454" s="96"/>
      <c r="AX454" s="96"/>
      <c r="AY454" s="97"/>
      <c r="AZ454" s="7"/>
    </row>
    <row r="455" spans="1:52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7"/>
      <c r="AW455" s="96"/>
      <c r="AX455" s="96"/>
      <c r="AY455" s="97"/>
      <c r="AZ455" s="7"/>
    </row>
    <row r="456" spans="1:52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7"/>
      <c r="AW456" s="96"/>
      <c r="AX456" s="96"/>
      <c r="AY456" s="97"/>
      <c r="AZ456" s="7"/>
    </row>
    <row r="457" spans="1:52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7"/>
      <c r="AW457" s="96"/>
      <c r="AX457" s="96"/>
      <c r="AY457" s="97"/>
      <c r="AZ457" s="7"/>
    </row>
    <row r="458" spans="1:52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7"/>
      <c r="AW458" s="96"/>
      <c r="AX458" s="96"/>
      <c r="AY458" s="97"/>
      <c r="AZ458" s="7"/>
    </row>
    <row r="459" spans="1:52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7"/>
      <c r="AW459" s="96"/>
      <c r="AX459" s="96"/>
      <c r="AY459" s="97"/>
      <c r="AZ459" s="7"/>
    </row>
    <row r="460" spans="1:52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7"/>
      <c r="AW460" s="96"/>
      <c r="AX460" s="96"/>
      <c r="AY460" s="97"/>
      <c r="AZ460" s="7"/>
    </row>
    <row r="461" spans="1:52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7"/>
      <c r="AW461" s="96"/>
      <c r="AX461" s="96"/>
      <c r="AY461" s="97"/>
      <c r="AZ461" s="7"/>
    </row>
    <row r="462" spans="1:52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7"/>
      <c r="AW462" s="96"/>
      <c r="AX462" s="96"/>
      <c r="AY462" s="97"/>
      <c r="AZ462" s="7"/>
    </row>
    <row r="463" spans="1:52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7"/>
      <c r="AW463" s="96"/>
      <c r="AX463" s="96"/>
      <c r="AY463" s="97"/>
      <c r="AZ463" s="7"/>
    </row>
    <row r="464" spans="1:52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7"/>
      <c r="AW464" s="96"/>
      <c r="AX464" s="96"/>
      <c r="AY464" s="97"/>
      <c r="AZ464" s="7"/>
    </row>
    <row r="465" spans="1:52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7"/>
      <c r="AW465" s="96"/>
      <c r="AX465" s="96"/>
      <c r="AY465" s="97"/>
      <c r="AZ465" s="7"/>
    </row>
    <row r="466" spans="1:52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7"/>
      <c r="AW466" s="96"/>
      <c r="AX466" s="96"/>
      <c r="AY466" s="97"/>
      <c r="AZ466" s="7"/>
    </row>
    <row r="467" spans="1:52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7"/>
      <c r="AW467" s="96"/>
      <c r="AX467" s="96"/>
      <c r="AY467" s="97"/>
      <c r="AZ467" s="7"/>
    </row>
    <row r="468" spans="1:52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7"/>
      <c r="AW468" s="96"/>
      <c r="AX468" s="96"/>
      <c r="AY468" s="97"/>
      <c r="AZ468" s="7"/>
    </row>
    <row r="469" spans="1:52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7"/>
      <c r="AW469" s="96"/>
      <c r="AX469" s="96"/>
      <c r="AY469" s="97"/>
      <c r="AZ469" s="7"/>
    </row>
    <row r="470" spans="1:52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7"/>
      <c r="AW470" s="96"/>
      <c r="AX470" s="96"/>
      <c r="AY470" s="97"/>
      <c r="AZ470" s="7"/>
    </row>
    <row r="471" spans="1:52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7"/>
      <c r="AW471" s="96"/>
      <c r="AX471" s="96"/>
      <c r="AY471" s="97"/>
      <c r="AZ471" s="7"/>
    </row>
    <row r="472" spans="1:52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7"/>
      <c r="AW472" s="96"/>
      <c r="AX472" s="96"/>
      <c r="AY472" s="97"/>
      <c r="AZ472" s="7"/>
    </row>
    <row r="473" spans="1:52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7"/>
      <c r="AW473" s="96"/>
      <c r="AX473" s="96"/>
      <c r="AY473" s="97"/>
      <c r="AZ473" s="7"/>
    </row>
    <row r="474" spans="1:52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7"/>
      <c r="AW474" s="96"/>
      <c r="AX474" s="96"/>
      <c r="AY474" s="97"/>
      <c r="AZ474" s="7"/>
    </row>
    <row r="475" spans="1:52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7"/>
      <c r="AW475" s="96"/>
      <c r="AX475" s="96"/>
      <c r="AY475" s="97"/>
      <c r="AZ475" s="7"/>
    </row>
    <row r="476" spans="1:52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7"/>
      <c r="AW476" s="96"/>
      <c r="AX476" s="96"/>
      <c r="AY476" s="97"/>
      <c r="AZ476" s="7"/>
    </row>
    <row r="477" spans="1:52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7"/>
      <c r="AW477" s="96"/>
      <c r="AX477" s="96"/>
      <c r="AY477" s="97"/>
      <c r="AZ477" s="7"/>
    </row>
    <row r="478" spans="1:52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7"/>
      <c r="AW478" s="96"/>
      <c r="AX478" s="96"/>
      <c r="AY478" s="97"/>
      <c r="AZ478" s="7"/>
    </row>
    <row r="479" spans="1:52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7"/>
      <c r="AW479" s="96"/>
      <c r="AX479" s="96"/>
      <c r="AY479" s="97"/>
      <c r="AZ479" s="7"/>
    </row>
    <row r="480" spans="1:52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7"/>
      <c r="AW480" s="96"/>
      <c r="AX480" s="96"/>
      <c r="AY480" s="97"/>
      <c r="AZ480" s="7"/>
    </row>
    <row r="481" spans="1:52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7"/>
      <c r="AW481" s="96"/>
      <c r="AX481" s="96"/>
      <c r="AY481" s="97"/>
      <c r="AZ481" s="7"/>
    </row>
    <row r="482" spans="1:52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7"/>
      <c r="AW482" s="96"/>
      <c r="AX482" s="96"/>
      <c r="AY482" s="97"/>
      <c r="AZ482" s="7"/>
    </row>
    <row r="483" spans="1:52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7"/>
      <c r="AW483" s="96"/>
      <c r="AX483" s="96"/>
      <c r="AY483" s="97"/>
      <c r="AZ483" s="7"/>
    </row>
    <row r="484" spans="1:52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7"/>
      <c r="AW484" s="96"/>
      <c r="AX484" s="96"/>
      <c r="AY484" s="97"/>
      <c r="AZ484" s="7"/>
    </row>
    <row r="485" spans="1:52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7"/>
      <c r="AW485" s="96"/>
      <c r="AX485" s="96"/>
      <c r="AY485" s="97"/>
      <c r="AZ485" s="7"/>
    </row>
    <row r="486" spans="1:52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7"/>
      <c r="AW486" s="96"/>
      <c r="AX486" s="96"/>
      <c r="AY486" s="97"/>
      <c r="AZ486" s="7"/>
    </row>
    <row r="487" spans="1:52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7"/>
      <c r="AW487" s="96"/>
      <c r="AX487" s="96"/>
      <c r="AY487" s="97"/>
      <c r="AZ487" s="7"/>
    </row>
    <row r="488" spans="1:52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7"/>
      <c r="AW488" s="96"/>
      <c r="AX488" s="96"/>
      <c r="AY488" s="97"/>
      <c r="AZ488" s="7"/>
    </row>
    <row r="489" spans="1:52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7"/>
      <c r="AW489" s="96"/>
      <c r="AX489" s="96"/>
      <c r="AY489" s="97"/>
      <c r="AZ489" s="7"/>
    </row>
    <row r="490" spans="1:52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7"/>
      <c r="AW490" s="96"/>
      <c r="AX490" s="96"/>
      <c r="AY490" s="97"/>
      <c r="AZ490" s="7"/>
    </row>
    <row r="491" spans="1:52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7"/>
      <c r="AW491" s="96"/>
      <c r="AX491" s="96"/>
      <c r="AY491" s="97"/>
      <c r="AZ491" s="7"/>
    </row>
    <row r="492" spans="1:52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7"/>
      <c r="AW492" s="96"/>
      <c r="AX492" s="96"/>
      <c r="AY492" s="97"/>
      <c r="AZ492" s="7"/>
    </row>
    <row r="493" spans="1:52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7"/>
      <c r="AW493" s="96"/>
      <c r="AX493" s="96"/>
      <c r="AY493" s="97"/>
      <c r="AZ493" s="7"/>
    </row>
    <row r="494" spans="1:52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7"/>
      <c r="AW494" s="96"/>
      <c r="AX494" s="96"/>
      <c r="AY494" s="97"/>
      <c r="AZ494" s="7"/>
    </row>
    <row r="495" spans="1:52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7"/>
      <c r="AW495" s="96"/>
      <c r="AX495" s="96"/>
      <c r="AY495" s="97"/>
      <c r="AZ495" s="7"/>
    </row>
    <row r="496" spans="1:52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7"/>
      <c r="AW496" s="96"/>
      <c r="AX496" s="96"/>
      <c r="AY496" s="97"/>
      <c r="AZ496" s="7"/>
    </row>
    <row r="497" spans="1:52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7"/>
      <c r="AW497" s="96"/>
      <c r="AX497" s="96"/>
      <c r="AY497" s="97"/>
      <c r="AZ497" s="7"/>
    </row>
    <row r="498" spans="1:52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7"/>
      <c r="AW498" s="96"/>
      <c r="AX498" s="96"/>
      <c r="AY498" s="97"/>
      <c r="AZ498" s="7"/>
    </row>
    <row r="499" spans="1:52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7"/>
      <c r="AW499" s="96"/>
      <c r="AX499" s="96"/>
      <c r="AY499" s="97"/>
      <c r="AZ499" s="7"/>
    </row>
    <row r="500" spans="1:52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7"/>
      <c r="AW500" s="96"/>
      <c r="AX500" s="96"/>
      <c r="AY500" s="97"/>
      <c r="AZ500" s="7"/>
    </row>
    <row r="501" spans="1:52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7"/>
      <c r="AW501" s="96"/>
      <c r="AX501" s="96"/>
      <c r="AY501" s="97"/>
      <c r="AZ501" s="7"/>
    </row>
    <row r="502" spans="1:52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7"/>
      <c r="AW502" s="96"/>
      <c r="AX502" s="96"/>
      <c r="AY502" s="97"/>
      <c r="AZ502" s="7"/>
    </row>
    <row r="503" spans="1:52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7"/>
      <c r="AW503" s="96"/>
      <c r="AX503" s="96"/>
      <c r="AY503" s="97"/>
      <c r="AZ503" s="7"/>
    </row>
    <row r="504" spans="1:52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7"/>
      <c r="AW504" s="96"/>
      <c r="AX504" s="96"/>
      <c r="AY504" s="97"/>
      <c r="AZ504" s="7"/>
    </row>
    <row r="505" spans="1:52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7"/>
      <c r="AW505" s="96"/>
      <c r="AX505" s="96"/>
      <c r="AY505" s="97"/>
      <c r="AZ505" s="7"/>
    </row>
    <row r="506" spans="1:52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7"/>
      <c r="AW506" s="96"/>
      <c r="AX506" s="96"/>
      <c r="AY506" s="97"/>
      <c r="AZ506" s="7"/>
    </row>
    <row r="507" spans="1:52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7"/>
      <c r="AW507" s="96"/>
      <c r="AX507" s="96"/>
      <c r="AY507" s="97"/>
      <c r="AZ507" s="7"/>
    </row>
    <row r="508" spans="1:52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7"/>
      <c r="AW508" s="96"/>
      <c r="AX508" s="96"/>
      <c r="AY508" s="97"/>
      <c r="AZ508" s="7"/>
    </row>
    <row r="509" spans="1:52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7"/>
      <c r="AW509" s="96"/>
      <c r="AX509" s="96"/>
      <c r="AY509" s="97"/>
      <c r="AZ509" s="7"/>
    </row>
    <row r="510" spans="1:52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7"/>
      <c r="AW510" s="96"/>
      <c r="AX510" s="96"/>
      <c r="AY510" s="97"/>
      <c r="AZ510" s="7"/>
    </row>
    <row r="511" spans="1:52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7"/>
      <c r="AW511" s="96"/>
      <c r="AX511" s="96"/>
      <c r="AY511" s="97"/>
      <c r="AZ511" s="7"/>
    </row>
    <row r="512" spans="1:52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7"/>
      <c r="AW512" s="96"/>
      <c r="AX512" s="96"/>
      <c r="AY512" s="97"/>
      <c r="AZ512" s="7"/>
    </row>
    <row r="513" spans="1:52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7"/>
      <c r="AW513" s="96"/>
      <c r="AX513" s="96"/>
      <c r="AY513" s="97"/>
      <c r="AZ513" s="7"/>
    </row>
    <row r="514" spans="1:52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7"/>
      <c r="AW514" s="96"/>
      <c r="AX514" s="96"/>
      <c r="AY514" s="97"/>
      <c r="AZ514" s="7"/>
    </row>
    <row r="515" spans="1:52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7"/>
      <c r="AW515" s="96"/>
      <c r="AX515" s="96"/>
      <c r="AY515" s="97"/>
      <c r="AZ515" s="7"/>
    </row>
    <row r="516" spans="1:52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7"/>
      <c r="AW516" s="96"/>
      <c r="AX516" s="96"/>
      <c r="AY516" s="97"/>
      <c r="AZ516" s="7"/>
    </row>
    <row r="517" spans="1:52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7"/>
      <c r="AW517" s="96"/>
      <c r="AX517" s="96"/>
      <c r="AY517" s="97"/>
      <c r="AZ517" s="7"/>
    </row>
    <row r="518" spans="1:52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7"/>
      <c r="AW518" s="96"/>
      <c r="AX518" s="96"/>
      <c r="AY518" s="97"/>
      <c r="AZ518" s="7"/>
    </row>
    <row r="519" spans="1:52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7"/>
      <c r="AW519" s="96"/>
      <c r="AX519" s="96"/>
      <c r="AY519" s="97"/>
      <c r="AZ519" s="7"/>
    </row>
    <row r="520" spans="1:52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7"/>
      <c r="AW520" s="96"/>
      <c r="AX520" s="96"/>
      <c r="AY520" s="97"/>
      <c r="AZ520" s="7"/>
    </row>
    <row r="521" spans="1:52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7"/>
      <c r="AW521" s="96"/>
      <c r="AX521" s="96"/>
      <c r="AY521" s="97"/>
      <c r="AZ521" s="7"/>
    </row>
    <row r="522" spans="1:52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7"/>
      <c r="AW522" s="96"/>
      <c r="AX522" s="96"/>
      <c r="AY522" s="97"/>
      <c r="AZ522" s="7"/>
    </row>
    <row r="523" spans="1:52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7"/>
      <c r="AW523" s="96"/>
      <c r="AX523" s="96"/>
      <c r="AY523" s="97"/>
      <c r="AZ523" s="7"/>
    </row>
    <row r="524" spans="1:52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7"/>
      <c r="AW524" s="96"/>
      <c r="AX524" s="96"/>
      <c r="AY524" s="97"/>
      <c r="AZ524" s="7"/>
    </row>
    <row r="525" spans="1:52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7"/>
      <c r="AW525" s="96"/>
      <c r="AX525" s="96"/>
      <c r="AY525" s="97"/>
      <c r="AZ525" s="7"/>
    </row>
    <row r="526" spans="1:52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7"/>
      <c r="AW526" s="96"/>
      <c r="AX526" s="96"/>
      <c r="AY526" s="97"/>
      <c r="AZ526" s="7"/>
    </row>
    <row r="527" spans="1:52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7"/>
      <c r="AW527" s="96"/>
      <c r="AX527" s="96"/>
      <c r="AY527" s="97"/>
      <c r="AZ527" s="7"/>
    </row>
    <row r="528" spans="1:52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7"/>
      <c r="AW528" s="96"/>
      <c r="AX528" s="96"/>
      <c r="AY528" s="97"/>
      <c r="AZ528" s="7"/>
    </row>
    <row r="529" spans="1:52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7"/>
      <c r="AW529" s="96"/>
      <c r="AX529" s="96"/>
      <c r="AY529" s="97"/>
      <c r="AZ529" s="7"/>
    </row>
    <row r="530" spans="1:52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7"/>
      <c r="AW530" s="96"/>
      <c r="AX530" s="96"/>
      <c r="AY530" s="97"/>
      <c r="AZ530" s="7"/>
    </row>
    <row r="531" spans="1:52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7"/>
      <c r="AW531" s="96"/>
      <c r="AX531" s="96"/>
      <c r="AY531" s="97"/>
      <c r="AZ531" s="7"/>
    </row>
    <row r="532" spans="1:52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7"/>
      <c r="AW532" s="96"/>
      <c r="AX532" s="96"/>
      <c r="AY532" s="97"/>
      <c r="AZ532" s="7"/>
    </row>
    <row r="533" spans="1:52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7"/>
      <c r="AW533" s="96"/>
      <c r="AX533" s="96"/>
      <c r="AY533" s="97"/>
      <c r="AZ533" s="7"/>
    </row>
    <row r="534" spans="1:52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7"/>
      <c r="AW534" s="96"/>
      <c r="AX534" s="96"/>
      <c r="AY534" s="97"/>
      <c r="AZ534" s="7"/>
    </row>
    <row r="535" spans="1:52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7"/>
      <c r="AW535" s="96"/>
      <c r="AX535" s="96"/>
      <c r="AY535" s="97"/>
      <c r="AZ535" s="7"/>
    </row>
    <row r="536" spans="1:52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7"/>
      <c r="AW536" s="96"/>
      <c r="AX536" s="96"/>
      <c r="AY536" s="97"/>
      <c r="AZ536" s="7"/>
    </row>
    <row r="537" spans="1:52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7"/>
      <c r="AW537" s="96"/>
      <c r="AX537" s="96"/>
      <c r="AY537" s="97"/>
      <c r="AZ537" s="7"/>
    </row>
    <row r="538" spans="1:52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7"/>
      <c r="AW538" s="96"/>
      <c r="AX538" s="96"/>
      <c r="AY538" s="97"/>
      <c r="AZ538" s="7"/>
    </row>
    <row r="539" spans="1:52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7"/>
      <c r="AW539" s="96"/>
      <c r="AX539" s="96"/>
      <c r="AY539" s="97"/>
      <c r="AZ539" s="7"/>
    </row>
    <row r="540" spans="1:52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7"/>
      <c r="AW540" s="96"/>
      <c r="AX540" s="96"/>
      <c r="AY540" s="97"/>
      <c r="AZ540" s="7"/>
    </row>
    <row r="541" spans="1:52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7"/>
      <c r="AW541" s="96"/>
      <c r="AX541" s="96"/>
      <c r="AY541" s="97"/>
      <c r="AZ541" s="7"/>
    </row>
    <row r="542" spans="1:52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7"/>
      <c r="AW542" s="96"/>
      <c r="AX542" s="96"/>
      <c r="AY542" s="97"/>
      <c r="AZ542" s="7"/>
    </row>
    <row r="543" spans="1:52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7"/>
      <c r="AW543" s="96"/>
      <c r="AX543" s="96"/>
      <c r="AY543" s="97"/>
      <c r="AZ543" s="7"/>
    </row>
    <row r="544" spans="1:52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7"/>
      <c r="AW544" s="96"/>
      <c r="AX544" s="96"/>
      <c r="AY544" s="97"/>
      <c r="AZ544" s="7"/>
    </row>
    <row r="545" spans="1:52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7"/>
      <c r="AW545" s="96"/>
      <c r="AX545" s="96"/>
      <c r="AY545" s="97"/>
      <c r="AZ545" s="7"/>
    </row>
    <row r="546" spans="1:52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7"/>
      <c r="AW546" s="96"/>
      <c r="AX546" s="96"/>
      <c r="AY546" s="97"/>
      <c r="AZ546" s="7"/>
    </row>
    <row r="547" spans="1:52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7"/>
      <c r="AW547" s="96"/>
      <c r="AX547" s="96"/>
      <c r="AY547" s="97"/>
      <c r="AZ547" s="7"/>
    </row>
    <row r="548" spans="1:52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7"/>
      <c r="AW548" s="96"/>
      <c r="AX548" s="96"/>
      <c r="AY548" s="97"/>
      <c r="AZ548" s="7"/>
    </row>
    <row r="549" spans="1:52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7"/>
      <c r="AW549" s="96"/>
      <c r="AX549" s="96"/>
      <c r="AY549" s="97"/>
      <c r="AZ549" s="7"/>
    </row>
    <row r="550" spans="1:52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7"/>
      <c r="AW550" s="96"/>
      <c r="AX550" s="96"/>
      <c r="AY550" s="97"/>
      <c r="AZ550" s="7"/>
    </row>
    <row r="551" spans="1:52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7"/>
      <c r="AW551" s="96"/>
      <c r="AX551" s="96"/>
      <c r="AY551" s="97"/>
      <c r="AZ551" s="7"/>
    </row>
    <row r="552" spans="1:52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7"/>
      <c r="AW552" s="96"/>
      <c r="AX552" s="96"/>
      <c r="AY552" s="97"/>
      <c r="AZ552" s="7"/>
    </row>
    <row r="553" spans="1:52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7"/>
      <c r="AW553" s="96"/>
      <c r="AX553" s="96"/>
      <c r="AY553" s="97"/>
      <c r="AZ553" s="7"/>
    </row>
    <row r="554" spans="1:52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7"/>
      <c r="AW554" s="96"/>
      <c r="AX554" s="96"/>
      <c r="AY554" s="97"/>
      <c r="AZ554" s="7"/>
    </row>
    <row r="555" spans="1:52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7"/>
      <c r="AW555" s="96"/>
      <c r="AX555" s="96"/>
      <c r="AY555" s="97"/>
      <c r="AZ555" s="7"/>
    </row>
    <row r="556" spans="1:52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7"/>
      <c r="AW556" s="96"/>
      <c r="AX556" s="96"/>
      <c r="AY556" s="97"/>
      <c r="AZ556" s="7"/>
    </row>
    <row r="557" spans="1:52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7"/>
      <c r="AW557" s="96"/>
      <c r="AX557" s="96"/>
      <c r="AY557" s="97"/>
      <c r="AZ557" s="7"/>
    </row>
    <row r="558" spans="1:52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7"/>
      <c r="AW558" s="96"/>
      <c r="AX558" s="96"/>
      <c r="AY558" s="97"/>
      <c r="AZ558" s="7"/>
    </row>
    <row r="559" spans="1:52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7"/>
      <c r="AW559" s="96"/>
      <c r="AX559" s="96"/>
      <c r="AY559" s="97"/>
      <c r="AZ559" s="7"/>
    </row>
    <row r="560" spans="1:52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7"/>
      <c r="AW560" s="96"/>
      <c r="AX560" s="96"/>
      <c r="AY560" s="97"/>
      <c r="AZ560" s="7"/>
    </row>
    <row r="561" spans="1:52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7"/>
      <c r="AW561" s="96"/>
      <c r="AX561" s="96"/>
      <c r="AY561" s="97"/>
      <c r="AZ561" s="7"/>
    </row>
    <row r="562" spans="1:52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7"/>
      <c r="AW562" s="96"/>
      <c r="AX562" s="96"/>
      <c r="AY562" s="97"/>
      <c r="AZ562" s="7"/>
    </row>
    <row r="563" spans="1:52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7"/>
      <c r="AW563" s="96"/>
      <c r="AX563" s="96"/>
      <c r="AY563" s="97"/>
      <c r="AZ563" s="7"/>
    </row>
    <row r="564" spans="1:52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7"/>
      <c r="AW564" s="96"/>
      <c r="AX564" s="96"/>
      <c r="AY564" s="97"/>
      <c r="AZ564" s="7"/>
    </row>
    <row r="565" spans="1:52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7"/>
      <c r="AW565" s="96"/>
      <c r="AX565" s="96"/>
      <c r="AY565" s="97"/>
      <c r="AZ565" s="7"/>
    </row>
    <row r="566" spans="1:52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7"/>
      <c r="AW566" s="96"/>
      <c r="AX566" s="96"/>
      <c r="AY566" s="97"/>
      <c r="AZ566" s="7"/>
    </row>
    <row r="567" spans="1:52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7"/>
      <c r="AW567" s="96"/>
      <c r="AX567" s="96"/>
      <c r="AY567" s="97"/>
      <c r="AZ567" s="7"/>
    </row>
    <row r="568" spans="1:52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7"/>
      <c r="AW568" s="96"/>
      <c r="AX568" s="96"/>
      <c r="AY568" s="97"/>
      <c r="AZ568" s="7"/>
    </row>
    <row r="569" spans="1:52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7"/>
      <c r="AW569" s="96"/>
      <c r="AX569" s="96"/>
      <c r="AY569" s="97"/>
      <c r="AZ569" s="7"/>
    </row>
    <row r="570" spans="1:52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7"/>
      <c r="AW570" s="96"/>
      <c r="AX570" s="96"/>
      <c r="AY570" s="97"/>
      <c r="AZ570" s="7"/>
    </row>
    <row r="571" spans="1:52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7"/>
      <c r="AW571" s="96"/>
      <c r="AX571" s="96"/>
      <c r="AY571" s="97"/>
      <c r="AZ571" s="7"/>
    </row>
    <row r="572" spans="1:52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7"/>
      <c r="AW572" s="96"/>
      <c r="AX572" s="96"/>
      <c r="AY572" s="97"/>
      <c r="AZ572" s="7"/>
    </row>
    <row r="573" spans="1:52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7"/>
      <c r="AW573" s="96"/>
      <c r="AX573" s="96"/>
      <c r="AY573" s="97"/>
      <c r="AZ573" s="7"/>
    </row>
    <row r="574" spans="1:52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7"/>
      <c r="AW574" s="96"/>
      <c r="AX574" s="96"/>
      <c r="AY574" s="97"/>
      <c r="AZ574" s="7"/>
    </row>
    <row r="575" spans="1:52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7"/>
      <c r="AW575" s="96"/>
      <c r="AX575" s="96"/>
      <c r="AY575" s="97"/>
      <c r="AZ575" s="7"/>
    </row>
    <row r="576" spans="1:52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7"/>
      <c r="AW576" s="96"/>
      <c r="AX576" s="96"/>
      <c r="AY576" s="97"/>
      <c r="AZ576" s="7"/>
    </row>
    <row r="577" spans="1:52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7"/>
      <c r="AW577" s="96"/>
      <c r="AX577" s="96"/>
      <c r="AY577" s="97"/>
      <c r="AZ577" s="7"/>
    </row>
    <row r="578" spans="1:52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7"/>
      <c r="AW578" s="96"/>
      <c r="AX578" s="96"/>
      <c r="AY578" s="97"/>
      <c r="AZ578" s="7"/>
    </row>
    <row r="579" spans="1:52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7"/>
      <c r="AW579" s="96"/>
      <c r="AX579" s="96"/>
      <c r="AY579" s="97"/>
      <c r="AZ579" s="7"/>
    </row>
    <row r="580" spans="1:52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7"/>
      <c r="AW580" s="96"/>
      <c r="AX580" s="96"/>
      <c r="AY580" s="97"/>
      <c r="AZ580" s="7"/>
    </row>
    <row r="581" spans="1:52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7"/>
      <c r="AW581" s="96"/>
      <c r="AX581" s="96"/>
      <c r="AY581" s="97"/>
      <c r="AZ581" s="7"/>
    </row>
    <row r="582" spans="1:52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7"/>
      <c r="AW582" s="96"/>
      <c r="AX582" s="96"/>
      <c r="AY582" s="97"/>
      <c r="AZ582" s="7"/>
    </row>
    <row r="583" spans="1:52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7"/>
      <c r="AW583" s="96"/>
      <c r="AX583" s="96"/>
      <c r="AY583" s="97"/>
      <c r="AZ583" s="7"/>
    </row>
    <row r="584" spans="1:52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7"/>
      <c r="AW584" s="96"/>
      <c r="AX584" s="96"/>
      <c r="AY584" s="97"/>
      <c r="AZ584" s="7"/>
    </row>
    <row r="585" spans="1:52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7"/>
      <c r="AW585" s="96"/>
      <c r="AX585" s="96"/>
      <c r="AY585" s="97"/>
      <c r="AZ585" s="7"/>
    </row>
    <row r="586" spans="1:52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7"/>
      <c r="AW586" s="96"/>
      <c r="AX586" s="96"/>
      <c r="AY586" s="97"/>
      <c r="AZ586" s="7"/>
    </row>
    <row r="587" spans="1:52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7"/>
      <c r="AW587" s="96"/>
      <c r="AX587" s="96"/>
      <c r="AY587" s="97"/>
      <c r="AZ587" s="7"/>
    </row>
    <row r="588" spans="1:52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7"/>
      <c r="AW588" s="96"/>
      <c r="AX588" s="96"/>
      <c r="AY588" s="97"/>
      <c r="AZ588" s="7"/>
    </row>
    <row r="589" spans="1:52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7"/>
      <c r="AW589" s="96"/>
      <c r="AX589" s="96"/>
      <c r="AY589" s="97"/>
      <c r="AZ589" s="7"/>
    </row>
    <row r="590" spans="1:52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7"/>
      <c r="AW590" s="96"/>
      <c r="AX590" s="96"/>
      <c r="AY590" s="97"/>
      <c r="AZ590" s="7"/>
    </row>
    <row r="591" spans="1:52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7"/>
      <c r="AW591" s="96"/>
      <c r="AX591" s="96"/>
      <c r="AY591" s="97"/>
      <c r="AZ591" s="7"/>
    </row>
    <row r="592" spans="1:52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7"/>
      <c r="AW592" s="96"/>
      <c r="AX592" s="96"/>
      <c r="AY592" s="97"/>
      <c r="AZ592" s="7"/>
    </row>
    <row r="593" spans="1:52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7"/>
      <c r="AW593" s="96"/>
      <c r="AX593" s="96"/>
      <c r="AY593" s="97"/>
      <c r="AZ593" s="7"/>
    </row>
    <row r="594" spans="1:52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7"/>
      <c r="AW594" s="96"/>
      <c r="AX594" s="96"/>
      <c r="AY594" s="97"/>
      <c r="AZ594" s="7"/>
    </row>
    <row r="595" spans="1:52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7"/>
      <c r="AW595" s="96"/>
      <c r="AX595" s="96"/>
      <c r="AY595" s="97"/>
      <c r="AZ595" s="7"/>
    </row>
    <row r="596" spans="1:52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7"/>
      <c r="AW596" s="96"/>
      <c r="AX596" s="96"/>
      <c r="AY596" s="97"/>
      <c r="AZ596" s="7"/>
    </row>
    <row r="597" spans="1:52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7"/>
      <c r="AW597" s="96"/>
      <c r="AX597" s="96"/>
      <c r="AY597" s="97"/>
      <c r="AZ597" s="7"/>
    </row>
    <row r="598" spans="1:52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7"/>
      <c r="AW598" s="96"/>
      <c r="AX598" s="96"/>
      <c r="AY598" s="97"/>
      <c r="AZ598" s="7"/>
    </row>
    <row r="599" spans="1:52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7"/>
      <c r="AW599" s="96"/>
      <c r="AX599" s="96"/>
      <c r="AY599" s="97"/>
      <c r="AZ599" s="7"/>
    </row>
    <row r="600" spans="1:52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7"/>
      <c r="AW600" s="96"/>
      <c r="AX600" s="96"/>
      <c r="AY600" s="97"/>
      <c r="AZ600" s="7"/>
    </row>
    <row r="601" spans="1:52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7"/>
      <c r="AW601" s="96"/>
      <c r="AX601" s="96"/>
      <c r="AY601" s="97"/>
      <c r="AZ601" s="7"/>
    </row>
    <row r="602" spans="1:52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7"/>
      <c r="AW602" s="96"/>
      <c r="AX602" s="96"/>
      <c r="AY602" s="97"/>
      <c r="AZ602" s="7"/>
    </row>
    <row r="603" spans="1:52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7"/>
      <c r="AW603" s="96"/>
      <c r="AX603" s="96"/>
      <c r="AY603" s="97"/>
      <c r="AZ603" s="7"/>
    </row>
    <row r="604" spans="1:52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7"/>
      <c r="AW604" s="96"/>
      <c r="AX604" s="96"/>
      <c r="AY604" s="97"/>
      <c r="AZ604" s="7"/>
    </row>
    <row r="605" spans="1:52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7"/>
      <c r="AW605" s="96"/>
      <c r="AX605" s="96"/>
      <c r="AY605" s="97"/>
      <c r="AZ605" s="7"/>
    </row>
    <row r="606" spans="1:52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7"/>
      <c r="AW606" s="96"/>
      <c r="AX606" s="96"/>
      <c r="AY606" s="97"/>
      <c r="AZ606" s="7"/>
    </row>
    <row r="607" spans="1:52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7"/>
      <c r="AW607" s="96"/>
      <c r="AX607" s="96"/>
      <c r="AY607" s="97"/>
      <c r="AZ607" s="7"/>
    </row>
    <row r="608" spans="1:52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7"/>
      <c r="AW608" s="96"/>
      <c r="AX608" s="96"/>
      <c r="AY608" s="97"/>
      <c r="AZ608" s="7"/>
    </row>
    <row r="609" spans="1:52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7"/>
      <c r="AW609" s="96"/>
      <c r="AX609" s="96"/>
      <c r="AY609" s="97"/>
      <c r="AZ609" s="7"/>
    </row>
    <row r="610" spans="1:52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7"/>
      <c r="AW610" s="96"/>
      <c r="AX610" s="96"/>
      <c r="AY610" s="97"/>
      <c r="AZ610" s="7"/>
    </row>
    <row r="611" spans="1:52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7"/>
      <c r="AW611" s="96"/>
      <c r="AX611" s="96"/>
      <c r="AY611" s="97"/>
      <c r="AZ611" s="7"/>
    </row>
    <row r="612" spans="1:52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7"/>
      <c r="AW612" s="96"/>
      <c r="AX612" s="96"/>
      <c r="AY612" s="97"/>
      <c r="AZ612" s="7"/>
    </row>
    <row r="613" spans="1:52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7"/>
      <c r="AW613" s="96"/>
      <c r="AX613" s="96"/>
      <c r="AY613" s="97"/>
      <c r="AZ613" s="7"/>
    </row>
    <row r="614" spans="1:52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7"/>
      <c r="AW614" s="96"/>
      <c r="AX614" s="96"/>
      <c r="AY614" s="97"/>
      <c r="AZ614" s="7"/>
    </row>
    <row r="615" spans="1:52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7"/>
      <c r="AW615" s="96"/>
      <c r="AX615" s="96"/>
      <c r="AY615" s="97"/>
      <c r="AZ615" s="7"/>
    </row>
    <row r="616" spans="1:52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7"/>
      <c r="AW616" s="96"/>
      <c r="AX616" s="96"/>
      <c r="AY616" s="97"/>
      <c r="AZ616" s="7"/>
    </row>
    <row r="617" spans="1:52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7"/>
      <c r="AW617" s="96"/>
      <c r="AX617" s="96"/>
      <c r="AY617" s="97"/>
      <c r="AZ617" s="7"/>
    </row>
    <row r="618" spans="1:52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7"/>
      <c r="AW618" s="96"/>
      <c r="AX618" s="96"/>
      <c r="AY618" s="97"/>
      <c r="AZ618" s="7"/>
    </row>
    <row r="619" spans="1:52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7"/>
      <c r="AW619" s="96"/>
      <c r="AX619" s="96"/>
      <c r="AY619" s="97"/>
      <c r="AZ619" s="7"/>
    </row>
    <row r="620" spans="1:52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7"/>
      <c r="AW620" s="96"/>
      <c r="AX620" s="96"/>
      <c r="AY620" s="97"/>
      <c r="AZ620" s="7"/>
    </row>
    <row r="621" spans="1:52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7"/>
      <c r="AW621" s="96"/>
      <c r="AX621" s="96"/>
      <c r="AY621" s="97"/>
      <c r="AZ621" s="7"/>
    </row>
    <row r="622" spans="1:52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7"/>
      <c r="AW622" s="96"/>
      <c r="AX622" s="96"/>
      <c r="AY622" s="97"/>
      <c r="AZ622" s="7"/>
    </row>
    <row r="623" spans="1:52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7"/>
      <c r="AW623" s="96"/>
      <c r="AX623" s="96"/>
      <c r="AY623" s="97"/>
      <c r="AZ623" s="7"/>
    </row>
    <row r="624" spans="1:52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7"/>
      <c r="AW624" s="96"/>
      <c r="AX624" s="96"/>
      <c r="AY624" s="97"/>
      <c r="AZ624" s="7"/>
    </row>
    <row r="625" spans="1:52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7"/>
      <c r="AW625" s="96"/>
      <c r="AX625" s="96"/>
      <c r="AY625" s="97"/>
      <c r="AZ625" s="7"/>
    </row>
    <row r="626" spans="1:52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7"/>
      <c r="AW626" s="96"/>
      <c r="AX626" s="96"/>
      <c r="AY626" s="97"/>
      <c r="AZ626" s="7"/>
    </row>
    <row r="627" spans="1:52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7"/>
      <c r="AW627" s="96"/>
      <c r="AX627" s="96"/>
      <c r="AY627" s="97"/>
      <c r="AZ627" s="7"/>
    </row>
    <row r="628" spans="1:52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7"/>
      <c r="AW628" s="96"/>
      <c r="AX628" s="96"/>
      <c r="AY628" s="97"/>
      <c r="AZ628" s="7"/>
    </row>
    <row r="629" spans="1:52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7"/>
      <c r="AW629" s="96"/>
      <c r="AX629" s="96"/>
      <c r="AY629" s="97"/>
      <c r="AZ629" s="7"/>
    </row>
    <row r="630" spans="1:52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7"/>
      <c r="AW630" s="96"/>
      <c r="AX630" s="96"/>
      <c r="AY630" s="97"/>
      <c r="AZ630" s="7"/>
    </row>
    <row r="631" spans="1:52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7"/>
      <c r="AW631" s="96"/>
      <c r="AX631" s="96"/>
      <c r="AY631" s="97"/>
      <c r="AZ631" s="7"/>
    </row>
    <row r="632" spans="1:52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7"/>
      <c r="AW632" s="96"/>
      <c r="AX632" s="96"/>
      <c r="AY632" s="97"/>
      <c r="AZ632" s="7"/>
    </row>
    <row r="633" spans="1:52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7"/>
      <c r="AW633" s="96"/>
      <c r="AX633" s="96"/>
      <c r="AY633" s="97"/>
      <c r="AZ633" s="7"/>
    </row>
    <row r="634" spans="1:52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7"/>
      <c r="AW634" s="96"/>
      <c r="AX634" s="96"/>
      <c r="AY634" s="97"/>
      <c r="AZ634" s="7"/>
    </row>
    <row r="635" spans="1:52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7"/>
      <c r="AW635" s="96"/>
      <c r="AX635" s="96"/>
      <c r="AY635" s="97"/>
      <c r="AZ635" s="7"/>
    </row>
    <row r="636" spans="1:52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7"/>
      <c r="AW636" s="96"/>
      <c r="AX636" s="96"/>
      <c r="AY636" s="97"/>
      <c r="AZ636" s="7"/>
    </row>
    <row r="637" spans="1:52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7"/>
      <c r="AW637" s="96"/>
      <c r="AX637" s="96"/>
      <c r="AY637" s="97"/>
      <c r="AZ637" s="7"/>
    </row>
    <row r="638" spans="1:52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7"/>
      <c r="AW638" s="96"/>
      <c r="AX638" s="96"/>
      <c r="AY638" s="97"/>
      <c r="AZ638" s="7"/>
    </row>
    <row r="639" spans="1:52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7"/>
      <c r="AW639" s="96"/>
      <c r="AX639" s="96"/>
      <c r="AY639" s="97"/>
      <c r="AZ639" s="7"/>
    </row>
    <row r="640" spans="1:52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7"/>
      <c r="AW640" s="96"/>
      <c r="AX640" s="96"/>
      <c r="AY640" s="97"/>
      <c r="AZ640" s="7"/>
    </row>
    <row r="641" spans="1:52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7"/>
      <c r="AW641" s="96"/>
      <c r="AX641" s="96"/>
      <c r="AY641" s="97"/>
      <c r="AZ641" s="7"/>
    </row>
    <row r="642" spans="1:52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7"/>
      <c r="AW642" s="96"/>
      <c r="AX642" s="96"/>
      <c r="AY642" s="97"/>
      <c r="AZ642" s="7"/>
    </row>
    <row r="643" spans="1:52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7"/>
      <c r="AW643" s="96"/>
      <c r="AX643" s="96"/>
      <c r="AY643" s="97"/>
      <c r="AZ643" s="7"/>
    </row>
    <row r="644" spans="1:52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7"/>
      <c r="AW644" s="96"/>
      <c r="AX644" s="96"/>
      <c r="AY644" s="97"/>
      <c r="AZ644" s="7"/>
    </row>
    <row r="645" spans="1:52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7"/>
      <c r="AW645" s="96"/>
      <c r="AX645" s="96"/>
      <c r="AY645" s="97"/>
      <c r="AZ645" s="7"/>
    </row>
    <row r="646" spans="1:52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7"/>
      <c r="AW646" s="96"/>
      <c r="AX646" s="96"/>
      <c r="AY646" s="97"/>
      <c r="AZ646" s="7"/>
    </row>
    <row r="647" spans="1:52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7"/>
      <c r="AW647" s="96"/>
      <c r="AX647" s="96"/>
      <c r="AY647" s="97"/>
      <c r="AZ647" s="7"/>
    </row>
    <row r="648" spans="1:52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7"/>
      <c r="AW648" s="96"/>
      <c r="AX648" s="96"/>
      <c r="AY648" s="97"/>
      <c r="AZ648" s="7"/>
    </row>
    <row r="649" spans="1:52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7"/>
      <c r="AW649" s="96"/>
      <c r="AX649" s="96"/>
      <c r="AY649" s="97"/>
      <c r="AZ649" s="7"/>
    </row>
    <row r="650" spans="1:52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7"/>
      <c r="AW650" s="96"/>
      <c r="AX650" s="96"/>
      <c r="AY650" s="97"/>
      <c r="AZ650" s="7"/>
    </row>
    <row r="651" spans="1:52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7"/>
      <c r="AW651" s="96"/>
      <c r="AX651" s="96"/>
      <c r="AY651" s="97"/>
      <c r="AZ651" s="7"/>
    </row>
    <row r="652" spans="1:52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7"/>
      <c r="AW652" s="96"/>
      <c r="AX652" s="96"/>
      <c r="AY652" s="97"/>
      <c r="AZ652" s="7"/>
    </row>
    <row r="653" spans="1:52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7"/>
      <c r="AW653" s="96"/>
      <c r="AX653" s="96"/>
      <c r="AY653" s="97"/>
      <c r="AZ653" s="7"/>
    </row>
    <row r="654" spans="1:52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7"/>
      <c r="AW654" s="96"/>
      <c r="AX654" s="96"/>
      <c r="AY654" s="97"/>
      <c r="AZ654" s="7"/>
    </row>
    <row r="655" spans="1:52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7"/>
      <c r="AW655" s="96"/>
      <c r="AX655" s="96"/>
      <c r="AY655" s="97"/>
      <c r="AZ655" s="7"/>
    </row>
    <row r="656" spans="1:52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7"/>
      <c r="AW656" s="96"/>
      <c r="AX656" s="96"/>
      <c r="AY656" s="97"/>
      <c r="AZ656" s="7"/>
    </row>
    <row r="657" spans="1:52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7"/>
      <c r="AW657" s="96"/>
      <c r="AX657" s="96"/>
      <c r="AY657" s="97"/>
      <c r="AZ657" s="7"/>
    </row>
    <row r="658" spans="1:52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7"/>
      <c r="AW658" s="96"/>
      <c r="AX658" s="96"/>
      <c r="AY658" s="97"/>
      <c r="AZ658" s="7"/>
    </row>
    <row r="659" spans="1:52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7"/>
      <c r="AW659" s="96"/>
      <c r="AX659" s="96"/>
      <c r="AY659" s="97"/>
      <c r="AZ659" s="7"/>
    </row>
    <row r="660" spans="1:52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7"/>
      <c r="AW660" s="96"/>
      <c r="AX660" s="96"/>
      <c r="AY660" s="97"/>
      <c r="AZ660" s="7"/>
    </row>
    <row r="661" spans="1:52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7"/>
      <c r="AW661" s="96"/>
      <c r="AX661" s="96"/>
      <c r="AY661" s="97"/>
      <c r="AZ661" s="7"/>
    </row>
    <row r="662" spans="1:52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7"/>
      <c r="AW662" s="96"/>
      <c r="AX662" s="96"/>
      <c r="AY662" s="97"/>
      <c r="AZ662" s="7"/>
    </row>
    <row r="663" spans="1:52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7"/>
      <c r="AW663" s="96"/>
      <c r="AX663" s="96"/>
      <c r="AY663" s="97"/>
      <c r="AZ663" s="7"/>
    </row>
    <row r="664" spans="1:52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7"/>
      <c r="AW664" s="96"/>
      <c r="AX664" s="96"/>
      <c r="AY664" s="97"/>
      <c r="AZ664" s="7"/>
    </row>
    <row r="665" spans="1:52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7"/>
      <c r="AW665" s="96"/>
      <c r="AX665" s="96"/>
      <c r="AY665" s="97"/>
      <c r="AZ665" s="7"/>
    </row>
    <row r="666" spans="1:52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7"/>
      <c r="AW666" s="96"/>
      <c r="AX666" s="96"/>
      <c r="AY666" s="97"/>
      <c r="AZ666" s="7"/>
    </row>
    <row r="667" spans="1:52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7"/>
      <c r="AW667" s="96"/>
      <c r="AX667" s="96"/>
      <c r="AY667" s="97"/>
      <c r="AZ667" s="7"/>
    </row>
    <row r="668" spans="1:52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7"/>
      <c r="AW668" s="96"/>
      <c r="AX668" s="96"/>
      <c r="AY668" s="97"/>
      <c r="AZ668" s="7"/>
    </row>
    <row r="669" spans="1:52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7"/>
      <c r="AW669" s="96"/>
      <c r="AX669" s="96"/>
      <c r="AY669" s="97"/>
      <c r="AZ669" s="7"/>
    </row>
    <row r="670" spans="1:52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7"/>
      <c r="AW670" s="96"/>
      <c r="AX670" s="96"/>
      <c r="AY670" s="97"/>
      <c r="AZ670" s="7"/>
    </row>
    <row r="671" spans="1:52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7"/>
      <c r="AW671" s="96"/>
      <c r="AX671" s="96"/>
      <c r="AY671" s="97"/>
      <c r="AZ671" s="7"/>
    </row>
    <row r="672" spans="1:52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7"/>
      <c r="AW672" s="96"/>
      <c r="AX672" s="96"/>
      <c r="AY672" s="97"/>
      <c r="AZ672" s="7"/>
    </row>
    <row r="673" spans="1:52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7"/>
      <c r="AW673" s="96"/>
      <c r="AX673" s="96"/>
      <c r="AY673" s="97"/>
      <c r="AZ673" s="7"/>
    </row>
    <row r="674" spans="1:52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7"/>
      <c r="AW674" s="96"/>
      <c r="AX674" s="96"/>
      <c r="AY674" s="97"/>
      <c r="AZ674" s="7"/>
    </row>
    <row r="675" spans="1:52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7"/>
      <c r="AW675" s="96"/>
      <c r="AX675" s="96"/>
      <c r="AY675" s="97"/>
      <c r="AZ675" s="7"/>
    </row>
    <row r="676" spans="1:52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7"/>
      <c r="AW676" s="96"/>
      <c r="AX676" s="96"/>
      <c r="AY676" s="97"/>
      <c r="AZ676" s="7"/>
    </row>
    <row r="677" spans="1:52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7"/>
      <c r="AW677" s="96"/>
      <c r="AX677" s="96"/>
      <c r="AY677" s="97"/>
      <c r="AZ677" s="7"/>
    </row>
    <row r="678" spans="1:52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7"/>
      <c r="AW678" s="96"/>
      <c r="AX678" s="96"/>
      <c r="AY678" s="97"/>
      <c r="AZ678" s="7"/>
    </row>
    <row r="679" spans="1:52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7"/>
      <c r="AW679" s="96"/>
      <c r="AX679" s="96"/>
      <c r="AY679" s="97"/>
      <c r="AZ679" s="7"/>
    </row>
    <row r="680" spans="1:52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7"/>
      <c r="AW680" s="96"/>
      <c r="AX680" s="96"/>
      <c r="AY680" s="97"/>
      <c r="AZ680" s="7"/>
    </row>
    <row r="681" spans="1:52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7"/>
      <c r="AW681" s="96"/>
      <c r="AX681" s="96"/>
      <c r="AY681" s="97"/>
      <c r="AZ681" s="7"/>
    </row>
    <row r="682" spans="1:52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7"/>
      <c r="AW682" s="96"/>
      <c r="AX682" s="96"/>
      <c r="AY682" s="97"/>
      <c r="AZ682" s="7"/>
    </row>
    <row r="683" spans="1:52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7"/>
      <c r="AW683" s="96"/>
      <c r="AX683" s="96"/>
      <c r="AY683" s="97"/>
      <c r="AZ683" s="7"/>
    </row>
    <row r="684" spans="1:52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7"/>
      <c r="AW684" s="96"/>
      <c r="AX684" s="96"/>
      <c r="AY684" s="97"/>
      <c r="AZ684" s="7"/>
    </row>
    <row r="685" spans="1:52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7"/>
      <c r="AW685" s="96"/>
      <c r="AX685" s="96"/>
      <c r="AY685" s="97"/>
      <c r="AZ685" s="7"/>
    </row>
    <row r="686" spans="1:52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7"/>
      <c r="AW686" s="96"/>
      <c r="AX686" s="96"/>
      <c r="AY686" s="97"/>
      <c r="AZ686" s="7"/>
    </row>
    <row r="687" spans="1:52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7"/>
      <c r="AW687" s="96"/>
      <c r="AX687" s="96"/>
      <c r="AY687" s="97"/>
      <c r="AZ687" s="7"/>
    </row>
    <row r="688" spans="1:52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7"/>
      <c r="AW688" s="96"/>
      <c r="AX688" s="96"/>
      <c r="AY688" s="97"/>
      <c r="AZ688" s="7"/>
    </row>
    <row r="689" spans="1:52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7"/>
      <c r="AW689" s="96"/>
      <c r="AX689" s="96"/>
      <c r="AY689" s="97"/>
      <c r="AZ689" s="7"/>
    </row>
    <row r="690" spans="1:52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7"/>
      <c r="AW690" s="96"/>
      <c r="AX690" s="96"/>
      <c r="AY690" s="97"/>
      <c r="AZ690" s="7"/>
    </row>
    <row r="691" spans="1:52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7"/>
      <c r="AW691" s="96"/>
      <c r="AX691" s="96"/>
      <c r="AY691" s="97"/>
      <c r="AZ691" s="7"/>
    </row>
    <row r="692" spans="1:52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7"/>
      <c r="AW692" s="96"/>
      <c r="AX692" s="96"/>
      <c r="AY692" s="97"/>
      <c r="AZ692" s="7"/>
    </row>
    <row r="693" spans="1:52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7"/>
      <c r="AW693" s="96"/>
      <c r="AX693" s="96"/>
      <c r="AY693" s="97"/>
      <c r="AZ693" s="7"/>
    </row>
    <row r="694" spans="1:52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7"/>
      <c r="AW694" s="96"/>
      <c r="AX694" s="96"/>
      <c r="AY694" s="97"/>
      <c r="AZ694" s="7"/>
    </row>
    <row r="695" spans="1:52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7"/>
      <c r="AW695" s="96"/>
      <c r="AX695" s="96"/>
      <c r="AY695" s="97"/>
      <c r="AZ695" s="7"/>
    </row>
    <row r="696" spans="1:52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7"/>
      <c r="AW696" s="96"/>
      <c r="AX696" s="96"/>
      <c r="AY696" s="97"/>
      <c r="AZ696" s="7"/>
    </row>
    <row r="697" spans="1:52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7"/>
      <c r="AW697" s="96"/>
      <c r="AX697" s="96"/>
      <c r="AY697" s="97"/>
      <c r="AZ697" s="7"/>
    </row>
    <row r="698" spans="1:52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7"/>
      <c r="AW698" s="96"/>
      <c r="AX698" s="96"/>
      <c r="AY698" s="97"/>
      <c r="AZ698" s="7"/>
    </row>
    <row r="699" spans="1:52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7"/>
      <c r="AW699" s="96"/>
      <c r="AX699" s="96"/>
      <c r="AY699" s="97"/>
      <c r="AZ699" s="7"/>
    </row>
    <row r="700" spans="1:52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7"/>
      <c r="AW700" s="96"/>
      <c r="AX700" s="96"/>
      <c r="AY700" s="97"/>
      <c r="AZ700" s="7"/>
    </row>
    <row r="701" spans="1:52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7"/>
      <c r="AW701" s="96"/>
      <c r="AX701" s="96"/>
      <c r="AY701" s="97"/>
      <c r="AZ701" s="7"/>
    </row>
    <row r="702" spans="1:52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7"/>
      <c r="AW702" s="96"/>
      <c r="AX702" s="96"/>
      <c r="AY702" s="97"/>
      <c r="AZ702" s="7"/>
    </row>
    <row r="703" spans="1:52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7"/>
      <c r="AW703" s="96"/>
      <c r="AX703" s="96"/>
      <c r="AY703" s="97"/>
      <c r="AZ703" s="7"/>
    </row>
    <row r="704" spans="1:52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7"/>
      <c r="AW704" s="96"/>
      <c r="AX704" s="96"/>
      <c r="AY704" s="97"/>
      <c r="AZ704" s="7"/>
    </row>
    <row r="705" spans="1:52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7"/>
      <c r="AW705" s="96"/>
      <c r="AX705" s="96"/>
      <c r="AY705" s="97"/>
      <c r="AZ705" s="7"/>
    </row>
    <row r="706" spans="1:52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7"/>
      <c r="AW706" s="96"/>
      <c r="AX706" s="96"/>
      <c r="AY706" s="97"/>
      <c r="AZ706" s="7"/>
    </row>
    <row r="707" spans="1:52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7"/>
      <c r="AW707" s="96"/>
      <c r="AX707" s="96"/>
      <c r="AY707" s="97"/>
      <c r="AZ707" s="7"/>
    </row>
    <row r="708" spans="1:52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7"/>
      <c r="AW708" s="96"/>
      <c r="AX708" s="96"/>
      <c r="AY708" s="97"/>
      <c r="AZ708" s="7"/>
    </row>
    <row r="709" spans="1:52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7"/>
      <c r="AW709" s="96"/>
      <c r="AX709" s="96"/>
      <c r="AY709" s="97"/>
      <c r="AZ709" s="7"/>
    </row>
    <row r="710" spans="1:52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7"/>
      <c r="AW710" s="96"/>
      <c r="AX710" s="96"/>
      <c r="AY710" s="97"/>
      <c r="AZ710" s="7"/>
    </row>
    <row r="711" spans="1:52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7"/>
      <c r="AW711" s="96"/>
      <c r="AX711" s="96"/>
      <c r="AY711" s="97"/>
      <c r="AZ711" s="7"/>
    </row>
    <row r="712" spans="1:52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7"/>
      <c r="AW712" s="96"/>
      <c r="AX712" s="96"/>
      <c r="AY712" s="97"/>
      <c r="AZ712" s="7"/>
    </row>
    <row r="713" spans="1:52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7"/>
      <c r="AW713" s="96"/>
      <c r="AX713" s="96"/>
      <c r="AY713" s="97"/>
      <c r="AZ713" s="7"/>
    </row>
    <row r="714" spans="1:52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7"/>
      <c r="AW714" s="96"/>
      <c r="AX714" s="96"/>
      <c r="AY714" s="97"/>
      <c r="AZ714" s="7"/>
    </row>
    <row r="715" spans="1:52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7"/>
      <c r="AW715" s="96"/>
      <c r="AX715" s="96"/>
      <c r="AY715" s="97"/>
      <c r="AZ715" s="7"/>
    </row>
    <row r="716" spans="1:52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7"/>
      <c r="AW716" s="96"/>
      <c r="AX716" s="96"/>
      <c r="AY716" s="97"/>
      <c r="AZ716" s="7"/>
    </row>
    <row r="717" spans="1:52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7"/>
      <c r="AW717" s="96"/>
      <c r="AX717" s="96"/>
      <c r="AY717" s="97"/>
      <c r="AZ717" s="7"/>
    </row>
    <row r="718" spans="1:52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7"/>
      <c r="AW718" s="96"/>
      <c r="AX718" s="96"/>
      <c r="AY718" s="97"/>
      <c r="AZ718" s="7"/>
    </row>
    <row r="719" spans="1:52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7"/>
      <c r="AW719" s="96"/>
      <c r="AX719" s="96"/>
      <c r="AY719" s="97"/>
      <c r="AZ719" s="7"/>
    </row>
    <row r="720" spans="1:52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7"/>
      <c r="AW720" s="96"/>
      <c r="AX720" s="96"/>
      <c r="AY720" s="97"/>
      <c r="AZ720" s="7"/>
    </row>
    <row r="721" spans="1:52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7"/>
      <c r="AW721" s="96"/>
      <c r="AX721" s="96"/>
      <c r="AY721" s="97"/>
      <c r="AZ721" s="7"/>
    </row>
    <row r="722" spans="1:52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7"/>
      <c r="AW722" s="96"/>
      <c r="AX722" s="96"/>
      <c r="AY722" s="97"/>
      <c r="AZ722" s="7"/>
    </row>
    <row r="723" spans="1:52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7"/>
      <c r="AW723" s="96"/>
      <c r="AX723" s="96"/>
      <c r="AY723" s="97"/>
      <c r="AZ723" s="7"/>
    </row>
    <row r="724" spans="1:52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7"/>
      <c r="AW724" s="96"/>
      <c r="AX724" s="96"/>
      <c r="AY724" s="97"/>
      <c r="AZ724" s="7"/>
    </row>
    <row r="725" spans="1:52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7"/>
      <c r="AW725" s="96"/>
      <c r="AX725" s="96"/>
      <c r="AY725" s="97"/>
      <c r="AZ725" s="7"/>
    </row>
    <row r="726" spans="1:52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7"/>
      <c r="AW726" s="96"/>
      <c r="AX726" s="96"/>
      <c r="AY726" s="97"/>
      <c r="AZ726" s="7"/>
    </row>
    <row r="727" spans="1:52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7"/>
      <c r="AW727" s="96"/>
      <c r="AX727" s="96"/>
      <c r="AY727" s="97"/>
      <c r="AZ727" s="7"/>
    </row>
    <row r="728" spans="1:52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7"/>
      <c r="AW728" s="96"/>
      <c r="AX728" s="96"/>
      <c r="AY728" s="97"/>
      <c r="AZ728" s="7"/>
    </row>
    <row r="729" spans="1:52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7"/>
      <c r="AW729" s="96"/>
      <c r="AX729" s="96"/>
      <c r="AY729" s="97"/>
      <c r="AZ729" s="7"/>
    </row>
    <row r="730" spans="1:52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7"/>
      <c r="AW730" s="96"/>
      <c r="AX730" s="96"/>
      <c r="AY730" s="97"/>
      <c r="AZ730" s="7"/>
    </row>
    <row r="731" spans="1:52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7"/>
      <c r="AW731" s="96"/>
      <c r="AX731" s="96"/>
      <c r="AY731" s="97"/>
      <c r="AZ731" s="7"/>
    </row>
    <row r="732" spans="1:52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7"/>
      <c r="AW732" s="96"/>
      <c r="AX732" s="96"/>
      <c r="AY732" s="97"/>
      <c r="AZ732" s="7"/>
    </row>
    <row r="733" spans="1:52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7"/>
      <c r="AW733" s="96"/>
      <c r="AX733" s="96"/>
      <c r="AY733" s="97"/>
      <c r="AZ733" s="7"/>
    </row>
    <row r="734" spans="1:52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7"/>
      <c r="AW734" s="96"/>
      <c r="AX734" s="96"/>
      <c r="AY734" s="97"/>
      <c r="AZ734" s="7"/>
    </row>
    <row r="735" spans="1:52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7"/>
      <c r="AW735" s="96"/>
      <c r="AX735" s="96"/>
      <c r="AY735" s="97"/>
      <c r="AZ735" s="7"/>
    </row>
    <row r="736" spans="1:52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7"/>
      <c r="AW736" s="96"/>
      <c r="AX736" s="96"/>
      <c r="AY736" s="97"/>
      <c r="AZ736" s="7"/>
    </row>
    <row r="737" spans="1:52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7"/>
      <c r="AW737" s="96"/>
      <c r="AX737" s="96"/>
      <c r="AY737" s="97"/>
      <c r="AZ737" s="7"/>
    </row>
    <row r="738" spans="1:52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7"/>
      <c r="AW738" s="96"/>
      <c r="AX738" s="96"/>
      <c r="AY738" s="97"/>
      <c r="AZ738" s="7"/>
    </row>
    <row r="739" spans="1:52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7"/>
      <c r="AW739" s="96"/>
      <c r="AX739" s="96"/>
      <c r="AY739" s="97"/>
      <c r="AZ739" s="7"/>
    </row>
    <row r="740" spans="1:52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7"/>
      <c r="AW740" s="96"/>
      <c r="AX740" s="96"/>
      <c r="AY740" s="97"/>
      <c r="AZ740" s="7"/>
    </row>
    <row r="741" spans="1:52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7"/>
      <c r="AW741" s="96"/>
      <c r="AX741" s="96"/>
      <c r="AY741" s="97"/>
      <c r="AZ741" s="7"/>
    </row>
    <row r="742" spans="1:52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7"/>
      <c r="AW742" s="96"/>
      <c r="AX742" s="96"/>
      <c r="AY742" s="97"/>
      <c r="AZ742" s="7"/>
    </row>
    <row r="743" spans="1:52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7"/>
      <c r="AW743" s="96"/>
      <c r="AX743" s="96"/>
      <c r="AY743" s="97"/>
      <c r="AZ743" s="7"/>
    </row>
    <row r="744" spans="1:52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7"/>
      <c r="AW744" s="96"/>
      <c r="AX744" s="96"/>
      <c r="AY744" s="97"/>
      <c r="AZ744" s="7"/>
    </row>
    <row r="745" spans="1:52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7"/>
      <c r="AW745" s="96"/>
      <c r="AX745" s="96"/>
      <c r="AY745" s="97"/>
      <c r="AZ745" s="7"/>
    </row>
    <row r="746" spans="1:52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7"/>
      <c r="AW746" s="96"/>
      <c r="AX746" s="96"/>
      <c r="AY746" s="97"/>
      <c r="AZ746" s="7"/>
    </row>
    <row r="747" spans="1:52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7"/>
      <c r="AW747" s="96"/>
      <c r="AX747" s="96"/>
      <c r="AY747" s="97"/>
      <c r="AZ747" s="7"/>
    </row>
    <row r="748" spans="1:52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7"/>
      <c r="AW748" s="96"/>
      <c r="AX748" s="96"/>
      <c r="AY748" s="97"/>
      <c r="AZ748" s="7"/>
    </row>
    <row r="749" spans="1:52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7"/>
      <c r="AW749" s="96"/>
      <c r="AX749" s="96"/>
      <c r="AY749" s="97"/>
      <c r="AZ749" s="7"/>
    </row>
    <row r="750" spans="1:52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7"/>
      <c r="AW750" s="96"/>
      <c r="AX750" s="96"/>
      <c r="AY750" s="97"/>
      <c r="AZ750" s="7"/>
    </row>
    <row r="751" spans="1:52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7"/>
      <c r="AW751" s="96"/>
      <c r="AX751" s="96"/>
      <c r="AY751" s="97"/>
      <c r="AZ751" s="7"/>
    </row>
    <row r="752" spans="1:52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7"/>
      <c r="AW752" s="96"/>
      <c r="AX752" s="96"/>
      <c r="AY752" s="97"/>
      <c r="AZ752" s="7"/>
    </row>
    <row r="753" spans="1:52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7"/>
      <c r="AW753" s="96"/>
      <c r="AX753" s="96"/>
      <c r="AY753" s="97"/>
      <c r="AZ753" s="7"/>
    </row>
    <row r="754" spans="1:52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7"/>
      <c r="AW754" s="96"/>
      <c r="AX754" s="96"/>
      <c r="AY754" s="97"/>
      <c r="AZ754" s="7"/>
    </row>
    <row r="755" spans="1:52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7"/>
      <c r="AW755" s="96"/>
      <c r="AX755" s="96"/>
      <c r="AY755" s="97"/>
      <c r="AZ755" s="7"/>
    </row>
    <row r="756" spans="1:52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7"/>
      <c r="AW756" s="96"/>
      <c r="AX756" s="96"/>
      <c r="AY756" s="97"/>
      <c r="AZ756" s="7"/>
    </row>
    <row r="757" spans="1:52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7"/>
      <c r="AW757" s="96"/>
      <c r="AX757" s="96"/>
      <c r="AY757" s="97"/>
      <c r="AZ757" s="7"/>
    </row>
    <row r="758" spans="1:52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7"/>
      <c r="AW758" s="96"/>
      <c r="AX758" s="96"/>
      <c r="AY758" s="97"/>
      <c r="AZ758" s="7"/>
    </row>
    <row r="759" spans="1:52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7"/>
      <c r="AW759" s="96"/>
      <c r="AX759" s="96"/>
      <c r="AY759" s="97"/>
      <c r="AZ759" s="7"/>
    </row>
    <row r="760" spans="1:52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7"/>
      <c r="AW760" s="96"/>
      <c r="AX760" s="96"/>
      <c r="AY760" s="97"/>
      <c r="AZ760" s="7"/>
    </row>
    <row r="761" spans="1:52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7"/>
      <c r="AW761" s="96"/>
      <c r="AX761" s="96"/>
      <c r="AY761" s="97"/>
      <c r="AZ761" s="7"/>
    </row>
    <row r="762" spans="1:52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7"/>
      <c r="AW762" s="96"/>
      <c r="AX762" s="96"/>
      <c r="AY762" s="97"/>
      <c r="AZ762" s="7"/>
    </row>
    <row r="763" spans="1:52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7"/>
      <c r="AW763" s="96"/>
      <c r="AX763" s="96"/>
      <c r="AY763" s="97"/>
      <c r="AZ763" s="7"/>
    </row>
    <row r="764" spans="1:52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7"/>
      <c r="AW764" s="96"/>
      <c r="AX764" s="96"/>
      <c r="AY764" s="97"/>
      <c r="AZ764" s="7"/>
    </row>
    <row r="765" spans="1:52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7"/>
      <c r="AW765" s="96"/>
      <c r="AX765" s="96"/>
      <c r="AY765" s="97"/>
      <c r="AZ765" s="7"/>
    </row>
    <row r="766" spans="1:52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7"/>
      <c r="AW766" s="96"/>
      <c r="AX766" s="96"/>
      <c r="AY766" s="97"/>
      <c r="AZ766" s="7"/>
    </row>
    <row r="767" spans="1:52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7"/>
      <c r="AW767" s="96"/>
      <c r="AX767" s="96"/>
      <c r="AY767" s="97"/>
      <c r="AZ767" s="7"/>
    </row>
    <row r="768" spans="1:52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7"/>
      <c r="AW768" s="96"/>
      <c r="AX768" s="96"/>
      <c r="AY768" s="97"/>
      <c r="AZ768" s="7"/>
    </row>
    <row r="769" spans="1:52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7"/>
      <c r="AW769" s="96"/>
      <c r="AX769" s="96"/>
      <c r="AY769" s="97"/>
      <c r="AZ769" s="7"/>
    </row>
    <row r="770" spans="1:52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7"/>
      <c r="AW770" s="96"/>
      <c r="AX770" s="96"/>
      <c r="AY770" s="97"/>
      <c r="AZ770" s="7"/>
    </row>
    <row r="771" spans="1:52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7"/>
      <c r="AW771" s="96"/>
      <c r="AX771" s="96"/>
      <c r="AY771" s="97"/>
      <c r="AZ771" s="7"/>
    </row>
    <row r="772" spans="1:52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7"/>
      <c r="AW772" s="96"/>
      <c r="AX772" s="96"/>
      <c r="AY772" s="97"/>
      <c r="AZ772" s="7"/>
    </row>
    <row r="773" spans="1:52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7"/>
      <c r="AW773" s="96"/>
      <c r="AX773" s="96"/>
      <c r="AY773" s="97"/>
      <c r="AZ773" s="7"/>
    </row>
    <row r="774" spans="1:52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7"/>
      <c r="AW774" s="96"/>
      <c r="AX774" s="96"/>
      <c r="AY774" s="97"/>
      <c r="AZ774" s="7"/>
    </row>
    <row r="775" spans="1:52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7"/>
      <c r="AW775" s="96"/>
      <c r="AX775" s="96"/>
      <c r="AY775" s="97"/>
      <c r="AZ775" s="7"/>
    </row>
    <row r="776" spans="1:52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7"/>
      <c r="AW776" s="96"/>
      <c r="AX776" s="96"/>
      <c r="AY776" s="97"/>
      <c r="AZ776" s="7"/>
    </row>
    <row r="777" spans="1:52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7"/>
      <c r="AW777" s="96"/>
      <c r="AX777" s="96"/>
      <c r="AY777" s="97"/>
      <c r="AZ777" s="7"/>
    </row>
    <row r="778" spans="1:52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7"/>
      <c r="AW778" s="96"/>
      <c r="AX778" s="96"/>
      <c r="AY778" s="97"/>
      <c r="AZ778" s="7"/>
    </row>
    <row r="779" spans="1:52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7"/>
      <c r="AW779" s="96"/>
      <c r="AX779" s="96"/>
      <c r="AY779" s="97"/>
      <c r="AZ779" s="7"/>
    </row>
    <row r="780" spans="1:52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7"/>
      <c r="AW780" s="96"/>
      <c r="AX780" s="96"/>
      <c r="AY780" s="97"/>
      <c r="AZ780" s="7"/>
    </row>
    <row r="781" spans="1:52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7"/>
      <c r="AW781" s="96"/>
      <c r="AX781" s="96"/>
      <c r="AY781" s="97"/>
      <c r="AZ781" s="7"/>
    </row>
    <row r="782" spans="1:52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7"/>
      <c r="AW782" s="96"/>
      <c r="AX782" s="96"/>
      <c r="AY782" s="97"/>
      <c r="AZ782" s="7"/>
    </row>
    <row r="783" spans="1:52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7"/>
      <c r="AW783" s="96"/>
      <c r="AX783" s="96"/>
      <c r="AY783" s="97"/>
      <c r="AZ783" s="7"/>
    </row>
    <row r="784" spans="1:52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7"/>
      <c r="AW784" s="96"/>
      <c r="AX784" s="96"/>
      <c r="AY784" s="97"/>
      <c r="AZ784" s="7"/>
    </row>
    <row r="785" spans="1:52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7"/>
      <c r="AW785" s="96"/>
      <c r="AX785" s="96"/>
      <c r="AY785" s="97"/>
      <c r="AZ785" s="7"/>
    </row>
    <row r="786" spans="1:52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7"/>
      <c r="AW786" s="96"/>
      <c r="AX786" s="96"/>
      <c r="AY786" s="97"/>
      <c r="AZ786" s="7"/>
    </row>
    <row r="787" spans="1:52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7"/>
      <c r="AW787" s="96"/>
      <c r="AX787" s="96"/>
      <c r="AY787" s="97"/>
      <c r="AZ787" s="7"/>
    </row>
    <row r="788" spans="1:52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7"/>
      <c r="AW788" s="96"/>
      <c r="AX788" s="96"/>
      <c r="AY788" s="97"/>
      <c r="AZ788" s="7"/>
    </row>
    <row r="789" spans="1:52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7"/>
      <c r="AW789" s="96"/>
      <c r="AX789" s="96"/>
      <c r="AY789" s="97"/>
      <c r="AZ789" s="7"/>
    </row>
    <row r="790" spans="1:52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7"/>
      <c r="AW790" s="96"/>
      <c r="AX790" s="96"/>
      <c r="AY790" s="97"/>
      <c r="AZ790" s="7"/>
    </row>
    <row r="791" spans="1:52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7"/>
      <c r="AW791" s="96"/>
      <c r="AX791" s="96"/>
      <c r="AY791" s="97"/>
      <c r="AZ791" s="7"/>
    </row>
    <row r="792" spans="1:52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7"/>
      <c r="AW792" s="96"/>
      <c r="AX792" s="96"/>
      <c r="AY792" s="97"/>
      <c r="AZ792" s="7"/>
    </row>
    <row r="793" spans="1:52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7"/>
      <c r="AW793" s="96"/>
      <c r="AX793" s="96"/>
      <c r="AY793" s="97"/>
      <c r="AZ793" s="7"/>
    </row>
    <row r="794" spans="1:52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7"/>
      <c r="AW794" s="96"/>
      <c r="AX794" s="96"/>
      <c r="AY794" s="97"/>
      <c r="AZ794" s="7"/>
    </row>
    <row r="795" spans="1:52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7"/>
      <c r="AW795" s="96"/>
      <c r="AX795" s="96"/>
      <c r="AY795" s="97"/>
      <c r="AZ795" s="7"/>
    </row>
    <row r="796" spans="1:52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7"/>
      <c r="AW796" s="96"/>
      <c r="AX796" s="96"/>
      <c r="AY796" s="97"/>
      <c r="AZ796" s="7"/>
    </row>
    <row r="797" spans="1:52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7"/>
      <c r="AW797" s="96"/>
      <c r="AX797" s="96"/>
      <c r="AY797" s="97"/>
      <c r="AZ797" s="7"/>
    </row>
    <row r="798" spans="1:52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7"/>
      <c r="AW798" s="96"/>
      <c r="AX798" s="96"/>
      <c r="AY798" s="97"/>
      <c r="AZ798" s="7"/>
    </row>
    <row r="799" spans="1:52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7"/>
      <c r="AW799" s="96"/>
      <c r="AX799" s="96"/>
      <c r="AY799" s="97"/>
      <c r="AZ799" s="7"/>
    </row>
    <row r="800" spans="1:52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7"/>
      <c r="AW800" s="96"/>
      <c r="AX800" s="96"/>
      <c r="AY800" s="97"/>
      <c r="AZ800" s="7"/>
    </row>
    <row r="801" spans="1:52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7"/>
      <c r="AW801" s="96"/>
      <c r="AX801" s="96"/>
      <c r="AY801" s="97"/>
      <c r="AZ801" s="7"/>
    </row>
    <row r="802" spans="1:52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7"/>
      <c r="AW802" s="96"/>
      <c r="AX802" s="96"/>
      <c r="AY802" s="97"/>
      <c r="AZ802" s="7"/>
    </row>
    <row r="803" spans="1:52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7"/>
      <c r="AW803" s="96"/>
      <c r="AX803" s="96"/>
      <c r="AY803" s="97"/>
      <c r="AZ803" s="7"/>
    </row>
    <row r="804" spans="1:52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7"/>
      <c r="AW804" s="96"/>
      <c r="AX804" s="96"/>
      <c r="AY804" s="97"/>
      <c r="AZ804" s="7"/>
    </row>
    <row r="805" spans="1:52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7"/>
      <c r="AW805" s="96"/>
      <c r="AX805" s="96"/>
      <c r="AY805" s="97"/>
      <c r="AZ805" s="7"/>
    </row>
    <row r="806" spans="1:52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7"/>
      <c r="AW806" s="96"/>
      <c r="AX806" s="96"/>
      <c r="AY806" s="97"/>
      <c r="AZ806" s="7"/>
    </row>
    <row r="807" spans="1:52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7"/>
      <c r="AW807" s="96"/>
      <c r="AX807" s="96"/>
      <c r="AY807" s="97"/>
      <c r="AZ807" s="7"/>
    </row>
    <row r="808" spans="1:52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7"/>
      <c r="AW808" s="96"/>
      <c r="AX808" s="96"/>
      <c r="AY808" s="97"/>
      <c r="AZ808" s="7"/>
    </row>
    <row r="809" spans="1:52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7"/>
      <c r="AW809" s="96"/>
      <c r="AX809" s="96"/>
      <c r="AY809" s="97"/>
      <c r="AZ809" s="7"/>
    </row>
    <row r="810" spans="1:52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7"/>
      <c r="AW810" s="96"/>
      <c r="AX810" s="96"/>
      <c r="AY810" s="97"/>
      <c r="AZ810" s="7"/>
    </row>
    <row r="811" spans="1:52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7"/>
      <c r="AW811" s="96"/>
      <c r="AX811" s="96"/>
      <c r="AY811" s="97"/>
      <c r="AZ811" s="7"/>
    </row>
    <row r="812" spans="1:52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7"/>
      <c r="AW812" s="96"/>
      <c r="AX812" s="96"/>
      <c r="AY812" s="97"/>
      <c r="AZ812" s="7"/>
    </row>
    <row r="813" spans="1:52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7"/>
      <c r="AW813" s="96"/>
      <c r="AX813" s="96"/>
      <c r="AY813" s="97"/>
      <c r="AZ813" s="7"/>
    </row>
    <row r="814" spans="1:52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7"/>
      <c r="AW814" s="96"/>
      <c r="AX814" s="96"/>
      <c r="AY814" s="97"/>
      <c r="AZ814" s="7"/>
    </row>
    <row r="815" spans="1:52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7"/>
      <c r="AW815" s="96"/>
      <c r="AX815" s="96"/>
      <c r="AY815" s="97"/>
      <c r="AZ815" s="7"/>
    </row>
    <row r="816" spans="1:52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7"/>
      <c r="AW816" s="96"/>
      <c r="AX816" s="96"/>
      <c r="AY816" s="97"/>
      <c r="AZ816" s="7"/>
    </row>
    <row r="817" spans="1:52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7"/>
      <c r="AW817" s="96"/>
      <c r="AX817" s="96"/>
      <c r="AY817" s="97"/>
      <c r="AZ817" s="7"/>
    </row>
    <row r="818" spans="1:52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7"/>
      <c r="AW818" s="96"/>
      <c r="AX818" s="96"/>
      <c r="AY818" s="97"/>
      <c r="AZ818" s="7"/>
    </row>
    <row r="819" spans="1:52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7"/>
      <c r="AW819" s="96"/>
      <c r="AX819" s="96"/>
      <c r="AY819" s="97"/>
      <c r="AZ819" s="7"/>
    </row>
    <row r="820" spans="1:52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7"/>
      <c r="AW820" s="96"/>
      <c r="AX820" s="96"/>
      <c r="AY820" s="97"/>
      <c r="AZ820" s="7"/>
    </row>
    <row r="821" spans="1:52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7"/>
      <c r="AW821" s="96"/>
      <c r="AX821" s="96"/>
      <c r="AY821" s="97"/>
      <c r="AZ821" s="7"/>
    </row>
    <row r="822" spans="1:52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7"/>
      <c r="AW822" s="96"/>
      <c r="AX822" s="96"/>
      <c r="AY822" s="97"/>
      <c r="AZ822" s="7"/>
    </row>
    <row r="823" spans="1:52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7"/>
      <c r="AW823" s="96"/>
      <c r="AX823" s="96"/>
      <c r="AY823" s="97"/>
      <c r="AZ823" s="7"/>
    </row>
    <row r="824" spans="1:52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7"/>
      <c r="AW824" s="96"/>
      <c r="AX824" s="96"/>
      <c r="AY824" s="97"/>
      <c r="AZ824" s="7"/>
    </row>
    <row r="825" spans="1:52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7"/>
      <c r="AW825" s="96"/>
      <c r="AX825" s="96"/>
      <c r="AY825" s="97"/>
      <c r="AZ825" s="7"/>
    </row>
    <row r="826" spans="1:52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7"/>
      <c r="AW826" s="96"/>
      <c r="AX826" s="96"/>
      <c r="AY826" s="97"/>
      <c r="AZ826" s="7"/>
    </row>
    <row r="827" spans="1:52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7"/>
      <c r="AW827" s="96"/>
      <c r="AX827" s="96"/>
      <c r="AY827" s="97"/>
      <c r="AZ827" s="7"/>
    </row>
    <row r="828" spans="1:52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7"/>
      <c r="AW828" s="96"/>
      <c r="AX828" s="96"/>
      <c r="AY828" s="97"/>
      <c r="AZ828" s="7"/>
    </row>
    <row r="829" spans="1:52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7"/>
      <c r="AW829" s="96"/>
      <c r="AX829" s="96"/>
      <c r="AY829" s="97"/>
      <c r="AZ829" s="7"/>
    </row>
    <row r="830" spans="1:52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7"/>
      <c r="AW830" s="96"/>
      <c r="AX830" s="96"/>
      <c r="AY830" s="97"/>
      <c r="AZ830" s="7"/>
    </row>
    <row r="831" spans="1:52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7"/>
      <c r="AW831" s="96"/>
      <c r="AX831" s="96"/>
      <c r="AY831" s="97"/>
      <c r="AZ831" s="7"/>
    </row>
    <row r="832" spans="1:52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7"/>
      <c r="AW832" s="96"/>
      <c r="AX832" s="96"/>
      <c r="AY832" s="97"/>
      <c r="AZ832" s="7"/>
    </row>
    <row r="833" spans="1:52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7"/>
      <c r="AW833" s="96"/>
      <c r="AX833" s="96"/>
      <c r="AY833" s="97"/>
      <c r="AZ833" s="7"/>
    </row>
    <row r="834" spans="1:52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7"/>
      <c r="AW834" s="96"/>
      <c r="AX834" s="96"/>
      <c r="AY834" s="97"/>
      <c r="AZ834" s="7"/>
    </row>
    <row r="835" spans="1:52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7"/>
      <c r="AW835" s="96"/>
      <c r="AX835" s="96"/>
      <c r="AY835" s="97"/>
      <c r="AZ835" s="7"/>
    </row>
    <row r="836" spans="1:52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7"/>
      <c r="AW836" s="96"/>
      <c r="AX836" s="96"/>
      <c r="AY836" s="97"/>
      <c r="AZ836" s="7"/>
    </row>
    <row r="837" spans="1:52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7"/>
      <c r="AW837" s="96"/>
      <c r="AX837" s="96"/>
      <c r="AY837" s="97"/>
      <c r="AZ837" s="7"/>
    </row>
    <row r="838" spans="1:52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7"/>
      <c r="AW838" s="96"/>
      <c r="AX838" s="96"/>
      <c r="AY838" s="97"/>
      <c r="AZ838" s="7"/>
    </row>
    <row r="839" spans="1:52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7"/>
      <c r="AW839" s="96"/>
      <c r="AX839" s="96"/>
      <c r="AY839" s="97"/>
      <c r="AZ839" s="7"/>
    </row>
    <row r="840" spans="1:52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7"/>
      <c r="AW840" s="96"/>
      <c r="AX840" s="96"/>
      <c r="AY840" s="97"/>
      <c r="AZ840" s="7"/>
    </row>
    <row r="841" spans="1:52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7"/>
      <c r="AW841" s="96"/>
      <c r="AX841" s="96"/>
      <c r="AY841" s="97"/>
      <c r="AZ841" s="7"/>
    </row>
    <row r="842" spans="1:52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7"/>
      <c r="AW842" s="96"/>
      <c r="AX842" s="96"/>
      <c r="AY842" s="97"/>
      <c r="AZ842" s="7"/>
    </row>
    <row r="843" spans="1:52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7"/>
      <c r="AW843" s="96"/>
      <c r="AX843" s="96"/>
      <c r="AY843" s="97"/>
      <c r="AZ843" s="7"/>
    </row>
    <row r="844" spans="1:52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7"/>
      <c r="AW844" s="96"/>
      <c r="AX844" s="96"/>
      <c r="AY844" s="97"/>
      <c r="AZ844" s="7"/>
    </row>
    <row r="845" spans="1:52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7"/>
      <c r="AW845" s="96"/>
      <c r="AX845" s="96"/>
      <c r="AY845" s="97"/>
      <c r="AZ845" s="7"/>
    </row>
    <row r="846" spans="1:52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7"/>
      <c r="AW846" s="96"/>
      <c r="AX846" s="96"/>
      <c r="AY846" s="97"/>
      <c r="AZ846" s="7"/>
    </row>
    <row r="847" spans="1:52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7"/>
      <c r="AW847" s="96"/>
      <c r="AX847" s="96"/>
      <c r="AY847" s="97"/>
      <c r="AZ847" s="7"/>
    </row>
    <row r="848" spans="1:52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7"/>
      <c r="AW848" s="96"/>
      <c r="AX848" s="96"/>
      <c r="AY848" s="97"/>
      <c r="AZ848" s="7"/>
    </row>
    <row r="849" spans="1:52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7"/>
      <c r="AW849" s="96"/>
      <c r="AX849" s="96"/>
      <c r="AY849" s="97"/>
      <c r="AZ849" s="7"/>
    </row>
    <row r="850" spans="1:52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7"/>
      <c r="AW850" s="96"/>
      <c r="AX850" s="96"/>
      <c r="AY850" s="97"/>
      <c r="AZ850" s="7"/>
    </row>
    <row r="851" spans="1:52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7"/>
      <c r="AW851" s="96"/>
      <c r="AX851" s="96"/>
      <c r="AY851" s="97"/>
      <c r="AZ851" s="7"/>
    </row>
    <row r="852" spans="1:52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7"/>
      <c r="AW852" s="96"/>
      <c r="AX852" s="96"/>
      <c r="AY852" s="97"/>
      <c r="AZ852" s="7"/>
    </row>
    <row r="853" spans="1:52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7"/>
      <c r="AW853" s="96"/>
      <c r="AX853" s="96"/>
      <c r="AY853" s="97"/>
      <c r="AZ853" s="7"/>
    </row>
    <row r="854" spans="1:52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7"/>
      <c r="AW854" s="96"/>
      <c r="AX854" s="96"/>
      <c r="AY854" s="97"/>
      <c r="AZ854" s="7"/>
    </row>
    <row r="855" spans="1:52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7"/>
      <c r="AW855" s="96"/>
      <c r="AX855" s="96"/>
      <c r="AY855" s="97"/>
      <c r="AZ855" s="7"/>
    </row>
    <row r="856" spans="1:52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7"/>
      <c r="AW856" s="96"/>
      <c r="AX856" s="96"/>
      <c r="AY856" s="97"/>
      <c r="AZ856" s="7"/>
    </row>
    <row r="857" spans="1:52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7"/>
      <c r="AW857" s="96"/>
      <c r="AX857" s="96"/>
      <c r="AY857" s="97"/>
      <c r="AZ857" s="7"/>
    </row>
    <row r="858" spans="1:52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7"/>
      <c r="AW858" s="96"/>
      <c r="AX858" s="96"/>
      <c r="AY858" s="97"/>
      <c r="AZ858" s="7"/>
    </row>
    <row r="859" spans="1:52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7"/>
      <c r="AW859" s="96"/>
      <c r="AX859" s="96"/>
      <c r="AY859" s="97"/>
      <c r="AZ859" s="7"/>
    </row>
    <row r="860" spans="1:52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7"/>
      <c r="AW860" s="96"/>
      <c r="AX860" s="96"/>
      <c r="AY860" s="97"/>
      <c r="AZ860" s="7"/>
    </row>
    <row r="861" spans="1:52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7"/>
      <c r="AW861" s="96"/>
      <c r="AX861" s="96"/>
      <c r="AY861" s="97"/>
      <c r="AZ861" s="7"/>
    </row>
    <row r="862" spans="1:52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7"/>
      <c r="AW862" s="96"/>
      <c r="AX862" s="96"/>
      <c r="AY862" s="97"/>
      <c r="AZ862" s="7"/>
    </row>
    <row r="863" spans="1:52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7"/>
      <c r="AW863" s="96"/>
      <c r="AX863" s="96"/>
      <c r="AY863" s="97"/>
      <c r="AZ863" s="7"/>
    </row>
    <row r="864" spans="1:52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7"/>
      <c r="AW864" s="96"/>
      <c r="AX864" s="96"/>
      <c r="AY864" s="97"/>
      <c r="AZ864" s="7"/>
    </row>
    <row r="865" spans="1:52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7"/>
      <c r="AW865" s="96"/>
      <c r="AX865" s="96"/>
      <c r="AY865" s="97"/>
      <c r="AZ865" s="7"/>
    </row>
    <row r="866" spans="1:52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7"/>
      <c r="AW866" s="96"/>
      <c r="AX866" s="96"/>
      <c r="AY866" s="97"/>
      <c r="AZ866" s="7"/>
    </row>
    <row r="867" spans="1:52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7"/>
      <c r="AW867" s="96"/>
      <c r="AX867" s="96"/>
      <c r="AY867" s="97"/>
      <c r="AZ867" s="7"/>
    </row>
    <row r="868" spans="1:52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7"/>
      <c r="AW868" s="96"/>
      <c r="AX868" s="96"/>
      <c r="AY868" s="97"/>
      <c r="AZ868" s="7"/>
    </row>
    <row r="869" spans="1:52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7"/>
      <c r="AW869" s="96"/>
      <c r="AX869" s="96"/>
      <c r="AY869" s="97"/>
      <c r="AZ869" s="7"/>
    </row>
    <row r="870" spans="1:52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7"/>
      <c r="AW870" s="96"/>
      <c r="AX870" s="96"/>
      <c r="AY870" s="97"/>
      <c r="AZ870" s="7"/>
    </row>
    <row r="871" spans="1:52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7"/>
      <c r="AW871" s="96"/>
      <c r="AX871" s="96"/>
      <c r="AY871" s="97"/>
      <c r="AZ871" s="7"/>
    </row>
    <row r="872" spans="1:52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7"/>
      <c r="AW872" s="96"/>
      <c r="AX872" s="96"/>
      <c r="AY872" s="97"/>
      <c r="AZ872" s="7"/>
    </row>
    <row r="873" spans="1:52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7"/>
      <c r="AW873" s="96"/>
      <c r="AX873" s="96"/>
      <c r="AY873" s="97"/>
      <c r="AZ873" s="7"/>
    </row>
    <row r="874" spans="1:52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7"/>
      <c r="AW874" s="96"/>
      <c r="AX874" s="96"/>
      <c r="AY874" s="97"/>
      <c r="AZ874" s="7"/>
    </row>
    <row r="875" spans="1:52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7"/>
      <c r="AW875" s="96"/>
      <c r="AX875" s="96"/>
      <c r="AY875" s="97"/>
      <c r="AZ875" s="7"/>
    </row>
    <row r="876" spans="1:52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7"/>
      <c r="AW876" s="96"/>
      <c r="AX876" s="96"/>
      <c r="AY876" s="97"/>
      <c r="AZ876" s="7"/>
    </row>
    <row r="877" spans="1:52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7"/>
      <c r="AW877" s="96"/>
      <c r="AX877" s="96"/>
      <c r="AY877" s="97"/>
      <c r="AZ877" s="7"/>
    </row>
    <row r="878" spans="1:52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7"/>
      <c r="AW878" s="96"/>
      <c r="AX878" s="96"/>
      <c r="AY878" s="97"/>
      <c r="AZ878" s="7"/>
    </row>
    <row r="879" spans="1:52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7"/>
      <c r="AW879" s="96"/>
      <c r="AX879" s="96"/>
      <c r="AY879" s="97"/>
      <c r="AZ879" s="7"/>
    </row>
    <row r="880" spans="1:52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7"/>
      <c r="AW880" s="96"/>
      <c r="AX880" s="96"/>
      <c r="AY880" s="97"/>
      <c r="AZ880" s="7"/>
    </row>
    <row r="881" spans="1:52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7"/>
      <c r="AW881" s="96"/>
      <c r="AX881" s="96"/>
      <c r="AY881" s="97"/>
      <c r="AZ881" s="7"/>
    </row>
    <row r="882" spans="1:52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7"/>
      <c r="AW882" s="96"/>
      <c r="AX882" s="96"/>
      <c r="AY882" s="97"/>
      <c r="AZ882" s="7"/>
    </row>
    <row r="883" spans="1:52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7"/>
      <c r="AW883" s="96"/>
      <c r="AX883" s="96"/>
      <c r="AY883" s="97"/>
      <c r="AZ883" s="7"/>
    </row>
    <row r="884" spans="1:52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7"/>
      <c r="AW884" s="96"/>
      <c r="AX884" s="96"/>
      <c r="AY884" s="97"/>
      <c r="AZ884" s="7"/>
    </row>
    <row r="885" spans="1:52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7"/>
      <c r="AW885" s="96"/>
      <c r="AX885" s="96"/>
      <c r="AY885" s="97"/>
      <c r="AZ885" s="7"/>
    </row>
    <row r="886" spans="1:52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7"/>
      <c r="AW886" s="96"/>
      <c r="AX886" s="96"/>
      <c r="AY886" s="97"/>
      <c r="AZ886" s="7"/>
    </row>
    <row r="887" spans="1:52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7"/>
      <c r="AW887" s="96"/>
      <c r="AX887" s="96"/>
      <c r="AY887" s="97"/>
      <c r="AZ887" s="7"/>
    </row>
    <row r="888" spans="1:52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7"/>
      <c r="AW888" s="96"/>
      <c r="AX888" s="96"/>
      <c r="AY888" s="97"/>
      <c r="AZ888" s="7"/>
    </row>
    <row r="889" spans="1:52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7"/>
      <c r="AW889" s="96"/>
      <c r="AX889" s="96"/>
      <c r="AY889" s="97"/>
      <c r="AZ889" s="7"/>
    </row>
    <row r="890" spans="1:52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7"/>
      <c r="AW890" s="96"/>
      <c r="AX890" s="96"/>
      <c r="AY890" s="97"/>
      <c r="AZ890" s="7"/>
    </row>
    <row r="891" spans="1:52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7"/>
      <c r="AW891" s="96"/>
      <c r="AX891" s="96"/>
      <c r="AY891" s="97"/>
      <c r="AZ891" s="7"/>
    </row>
    <row r="892" spans="1:52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7"/>
      <c r="AW892" s="96"/>
      <c r="AX892" s="96"/>
      <c r="AY892" s="97"/>
      <c r="AZ892" s="7"/>
    </row>
    <row r="893" spans="1:52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7"/>
      <c r="AW893" s="96"/>
      <c r="AX893" s="96"/>
      <c r="AY893" s="97"/>
      <c r="AZ893" s="7"/>
    </row>
    <row r="894" spans="1:52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7"/>
      <c r="AW894" s="96"/>
      <c r="AX894" s="96"/>
      <c r="AY894" s="97"/>
      <c r="AZ894" s="7"/>
    </row>
    <row r="895" spans="1:52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7"/>
      <c r="AW895" s="96"/>
      <c r="AX895" s="96"/>
      <c r="AY895" s="97"/>
      <c r="AZ895" s="7"/>
    </row>
    <row r="896" spans="1:52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7"/>
      <c r="AW896" s="96"/>
      <c r="AX896" s="96"/>
      <c r="AY896" s="97"/>
      <c r="AZ896" s="7"/>
    </row>
    <row r="897" spans="1:52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7"/>
      <c r="AW897" s="96"/>
      <c r="AX897" s="96"/>
      <c r="AY897" s="97"/>
      <c r="AZ897" s="7"/>
    </row>
    <row r="898" spans="1:52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7"/>
      <c r="AW898" s="96"/>
      <c r="AX898" s="96"/>
      <c r="AY898" s="97"/>
      <c r="AZ898" s="7"/>
    </row>
    <row r="899" spans="1:52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7"/>
      <c r="AW899" s="96"/>
      <c r="AX899" s="96"/>
      <c r="AY899" s="97"/>
      <c r="AZ899" s="7"/>
    </row>
    <row r="900" spans="1:52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7"/>
      <c r="AW900" s="96"/>
      <c r="AX900" s="96"/>
      <c r="AY900" s="97"/>
      <c r="AZ900" s="7"/>
    </row>
    <row r="901" spans="1:52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7"/>
      <c r="AW901" s="96"/>
      <c r="AX901" s="96"/>
      <c r="AY901" s="97"/>
      <c r="AZ901" s="7"/>
    </row>
    <row r="902" spans="1:52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7"/>
      <c r="AW902" s="96"/>
      <c r="AX902" s="96"/>
      <c r="AY902" s="97"/>
      <c r="AZ902" s="7"/>
    </row>
    <row r="903" spans="1:52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7"/>
      <c r="AW903" s="96"/>
      <c r="AX903" s="96"/>
      <c r="AY903" s="97"/>
      <c r="AZ903" s="7"/>
    </row>
    <row r="904" spans="1:52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7"/>
      <c r="AW904" s="96"/>
      <c r="AX904" s="96"/>
      <c r="AY904" s="97"/>
      <c r="AZ904" s="7"/>
    </row>
    <row r="905" spans="1:52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7"/>
      <c r="AW905" s="96"/>
      <c r="AX905" s="96"/>
      <c r="AY905" s="97"/>
      <c r="AZ905" s="7"/>
    </row>
    <row r="906" spans="1:52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7"/>
      <c r="AW906" s="96"/>
      <c r="AX906" s="96"/>
      <c r="AY906" s="97"/>
      <c r="AZ906" s="7"/>
    </row>
    <row r="907" spans="1:52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7"/>
      <c r="AW907" s="96"/>
      <c r="AX907" s="96"/>
      <c r="AY907" s="97"/>
      <c r="AZ907" s="7"/>
    </row>
    <row r="908" spans="1:52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7"/>
      <c r="AW908" s="96"/>
      <c r="AX908" s="96"/>
      <c r="AY908" s="97"/>
      <c r="AZ908" s="7"/>
    </row>
    <row r="909" spans="1:52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7"/>
      <c r="AW909" s="96"/>
      <c r="AX909" s="96"/>
      <c r="AY909" s="97"/>
      <c r="AZ909" s="7"/>
    </row>
    <row r="910" spans="1:52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7"/>
      <c r="AW910" s="96"/>
      <c r="AX910" s="96"/>
      <c r="AY910" s="97"/>
      <c r="AZ910" s="7"/>
    </row>
    <row r="911" spans="1:52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7"/>
      <c r="AW911" s="96"/>
      <c r="AX911" s="96"/>
      <c r="AY911" s="97"/>
      <c r="AZ911" s="7"/>
    </row>
    <row r="912" spans="1:52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7"/>
      <c r="AW912" s="96"/>
      <c r="AX912" s="96"/>
      <c r="AY912" s="97"/>
      <c r="AZ912" s="7"/>
    </row>
    <row r="913" spans="1:52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7"/>
      <c r="AW913" s="96"/>
      <c r="AX913" s="96"/>
      <c r="AY913" s="97"/>
      <c r="AZ913" s="7"/>
    </row>
    <row r="914" spans="1:52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7"/>
      <c r="AW914" s="96"/>
      <c r="AX914" s="96"/>
      <c r="AY914" s="97"/>
      <c r="AZ914" s="7"/>
    </row>
    <row r="915" spans="1:52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7"/>
      <c r="AW915" s="96"/>
      <c r="AX915" s="96"/>
      <c r="AY915" s="97"/>
      <c r="AZ915" s="7"/>
    </row>
    <row r="916" spans="1:52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7"/>
      <c r="AW916" s="96"/>
      <c r="AX916" s="96"/>
      <c r="AY916" s="97"/>
      <c r="AZ916" s="7"/>
    </row>
    <row r="917" spans="1:52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7"/>
      <c r="AW917" s="96"/>
      <c r="AX917" s="96"/>
      <c r="AY917" s="97"/>
      <c r="AZ917" s="7"/>
    </row>
    <row r="918" spans="1:52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7"/>
      <c r="AW918" s="96"/>
      <c r="AX918" s="96"/>
      <c r="AY918" s="97"/>
      <c r="AZ918" s="7"/>
    </row>
    <row r="919" spans="1:52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7"/>
      <c r="AW919" s="96"/>
      <c r="AX919" s="96"/>
      <c r="AY919" s="97"/>
      <c r="AZ919" s="7"/>
    </row>
    <row r="920" spans="1:52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7"/>
      <c r="AW920" s="96"/>
      <c r="AX920" s="96"/>
      <c r="AY920" s="97"/>
      <c r="AZ920" s="7"/>
    </row>
    <row r="921" spans="1:52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7"/>
      <c r="AW921" s="96"/>
      <c r="AX921" s="96"/>
      <c r="AY921" s="97"/>
      <c r="AZ921" s="7"/>
    </row>
    <row r="922" spans="1:52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7"/>
      <c r="AW922" s="96"/>
      <c r="AX922" s="96"/>
      <c r="AY922" s="97"/>
      <c r="AZ922" s="7"/>
    </row>
    <row r="923" spans="1:52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7"/>
      <c r="AW923" s="96"/>
      <c r="AX923" s="96"/>
      <c r="AY923" s="97"/>
      <c r="AZ923" s="7"/>
    </row>
    <row r="924" spans="1:52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7"/>
      <c r="AW924" s="96"/>
      <c r="AX924" s="96"/>
      <c r="AY924" s="97"/>
      <c r="AZ924" s="7"/>
    </row>
    <row r="925" spans="1:52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7"/>
      <c r="AW925" s="96"/>
      <c r="AX925" s="96"/>
      <c r="AY925" s="97"/>
      <c r="AZ925" s="7"/>
    </row>
    <row r="926" spans="1:52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7"/>
      <c r="AW926" s="96"/>
      <c r="AX926" s="96"/>
      <c r="AY926" s="97"/>
      <c r="AZ926" s="7"/>
    </row>
    <row r="927" spans="1:52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7"/>
      <c r="AW927" s="96"/>
      <c r="AX927" s="96"/>
      <c r="AY927" s="97"/>
      <c r="AZ927" s="7"/>
    </row>
    <row r="928" spans="1:52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7"/>
      <c r="AW928" s="96"/>
      <c r="AX928" s="96"/>
      <c r="AY928" s="97"/>
      <c r="AZ928" s="7"/>
    </row>
    <row r="929" spans="1:52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7"/>
      <c r="AW929" s="96"/>
      <c r="AX929" s="96"/>
      <c r="AY929" s="97"/>
      <c r="AZ929" s="7"/>
    </row>
    <row r="930" spans="1:52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7"/>
      <c r="AW930" s="96"/>
      <c r="AX930" s="96"/>
      <c r="AY930" s="97"/>
      <c r="AZ930" s="7"/>
    </row>
    <row r="931" spans="1:52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7"/>
      <c r="AW931" s="96"/>
      <c r="AX931" s="96"/>
      <c r="AY931" s="97"/>
      <c r="AZ931" s="7"/>
    </row>
    <row r="932" spans="1:52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7"/>
      <c r="AW932" s="96"/>
      <c r="AX932" s="96"/>
      <c r="AY932" s="97"/>
      <c r="AZ932" s="7"/>
    </row>
    <row r="933" spans="1:52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7"/>
      <c r="AW933" s="96"/>
      <c r="AX933" s="96"/>
      <c r="AY933" s="97"/>
      <c r="AZ933" s="7"/>
    </row>
    <row r="934" spans="1:52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7"/>
      <c r="AW934" s="96"/>
      <c r="AX934" s="96"/>
      <c r="AY934" s="97"/>
      <c r="AZ934" s="7"/>
    </row>
    <row r="935" spans="1:52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7"/>
      <c r="AW935" s="96"/>
      <c r="AX935" s="96"/>
      <c r="AY935" s="97"/>
      <c r="AZ935" s="7"/>
    </row>
    <row r="936" spans="1:52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7"/>
      <c r="AW936" s="96"/>
      <c r="AX936" s="96"/>
      <c r="AY936" s="97"/>
      <c r="AZ936" s="7"/>
    </row>
    <row r="937" spans="1:52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7"/>
      <c r="AW937" s="96"/>
      <c r="AX937" s="96"/>
      <c r="AY937" s="97"/>
      <c r="AZ937" s="7"/>
    </row>
    <row r="938" spans="1:52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7"/>
      <c r="AW938" s="96"/>
      <c r="AX938" s="96"/>
      <c r="AY938" s="97"/>
      <c r="AZ938" s="7"/>
    </row>
    <row r="939" spans="1:52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7"/>
      <c r="AW939" s="96"/>
      <c r="AX939" s="96"/>
      <c r="AY939" s="97"/>
      <c r="AZ939" s="7"/>
    </row>
    <row r="940" spans="1:52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7"/>
      <c r="AW940" s="96"/>
      <c r="AX940" s="96"/>
      <c r="AY940" s="97"/>
      <c r="AZ940" s="7"/>
    </row>
    <row r="941" spans="1:52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7"/>
      <c r="AW941" s="96"/>
      <c r="AX941" s="96"/>
      <c r="AY941" s="97"/>
      <c r="AZ941" s="7"/>
    </row>
    <row r="942" spans="1:52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7"/>
      <c r="AW942" s="96"/>
      <c r="AX942" s="96"/>
      <c r="AY942" s="97"/>
      <c r="AZ942" s="7"/>
    </row>
    <row r="943" spans="1:52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7"/>
      <c r="AW943" s="96"/>
      <c r="AX943" s="96"/>
      <c r="AY943" s="97"/>
      <c r="AZ943" s="7"/>
    </row>
    <row r="944" spans="1:52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7"/>
      <c r="AW944" s="96"/>
      <c r="AX944" s="96"/>
      <c r="AY944" s="97"/>
      <c r="AZ944" s="7"/>
    </row>
    <row r="945" spans="1:52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7"/>
      <c r="AW945" s="96"/>
      <c r="AX945" s="96"/>
      <c r="AY945" s="97"/>
      <c r="AZ945" s="7"/>
    </row>
    <row r="946" spans="1:52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7"/>
      <c r="AW946" s="96"/>
      <c r="AX946" s="96"/>
      <c r="AY946" s="97"/>
      <c r="AZ946" s="7"/>
    </row>
    <row r="947" spans="1:52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7"/>
      <c r="AW947" s="96"/>
      <c r="AX947" s="96"/>
      <c r="AY947" s="97"/>
      <c r="AZ947" s="7"/>
    </row>
    <row r="948" spans="1:52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7"/>
      <c r="AW948" s="96"/>
      <c r="AX948" s="96"/>
      <c r="AY948" s="97"/>
      <c r="AZ948" s="7"/>
    </row>
    <row r="949" spans="1:52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7"/>
      <c r="AW949" s="96"/>
      <c r="AX949" s="96"/>
      <c r="AY949" s="97"/>
      <c r="AZ949" s="7"/>
    </row>
    <row r="950" spans="1:52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7"/>
      <c r="AW950" s="96"/>
      <c r="AX950" s="96"/>
      <c r="AY950" s="97"/>
      <c r="AZ950" s="7"/>
    </row>
    <row r="951" spans="1:52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7"/>
      <c r="AW951" s="96"/>
      <c r="AX951" s="96"/>
      <c r="AY951" s="97"/>
      <c r="AZ951" s="7"/>
    </row>
    <row r="952" spans="1:52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7"/>
      <c r="AW952" s="96"/>
      <c r="AX952" s="96"/>
      <c r="AY952" s="97"/>
      <c r="AZ952" s="7"/>
    </row>
    <row r="953" spans="1:52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7"/>
      <c r="AW953" s="96"/>
      <c r="AX953" s="96"/>
      <c r="AY953" s="97"/>
      <c r="AZ953" s="7"/>
    </row>
    <row r="954" spans="1:52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7"/>
      <c r="AW954" s="96"/>
      <c r="AX954" s="96"/>
      <c r="AY954" s="97"/>
      <c r="AZ954" s="7"/>
    </row>
    <row r="955" spans="1:52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7"/>
      <c r="AW955" s="96"/>
      <c r="AX955" s="96"/>
      <c r="AY955" s="97"/>
      <c r="AZ955" s="7"/>
    </row>
    <row r="956" spans="1:52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7"/>
      <c r="AW956" s="96"/>
      <c r="AX956" s="96"/>
      <c r="AY956" s="97"/>
      <c r="AZ956" s="7"/>
    </row>
    <row r="957" spans="1:52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7"/>
      <c r="AW957" s="96"/>
      <c r="AX957" s="96"/>
      <c r="AY957" s="97"/>
      <c r="AZ957" s="7"/>
    </row>
    <row r="958" spans="1:52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7"/>
      <c r="AW958" s="96"/>
      <c r="AX958" s="96"/>
      <c r="AY958" s="97"/>
      <c r="AZ958" s="7"/>
    </row>
    <row r="959" spans="1:52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7"/>
      <c r="AW959" s="96"/>
      <c r="AX959" s="96"/>
      <c r="AY959" s="97"/>
      <c r="AZ959" s="7"/>
    </row>
    <row r="960" spans="1:52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7"/>
      <c r="AW960" s="96"/>
      <c r="AX960" s="96"/>
      <c r="AY960" s="97"/>
      <c r="AZ960" s="7"/>
    </row>
    <row r="961" spans="1:52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7"/>
      <c r="AW961" s="96"/>
      <c r="AX961" s="96"/>
      <c r="AY961" s="97"/>
      <c r="AZ961" s="7"/>
    </row>
    <row r="962" spans="1:52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7"/>
      <c r="AW962" s="96"/>
      <c r="AX962" s="96"/>
      <c r="AY962" s="97"/>
      <c r="AZ962" s="7"/>
    </row>
    <row r="963" spans="1:52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7"/>
      <c r="AW963" s="96"/>
      <c r="AX963" s="96"/>
      <c r="AY963" s="97"/>
      <c r="AZ963" s="7"/>
    </row>
    <row r="964" spans="1:52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7"/>
      <c r="AW964" s="96"/>
      <c r="AX964" s="96"/>
      <c r="AY964" s="97"/>
      <c r="AZ964" s="7"/>
    </row>
    <row r="965" spans="1:52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7"/>
      <c r="AW965" s="96"/>
      <c r="AX965" s="96"/>
      <c r="AY965" s="97"/>
      <c r="AZ965" s="7"/>
    </row>
    <row r="966" spans="1:52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7"/>
      <c r="AW966" s="96"/>
      <c r="AX966" s="96"/>
      <c r="AY966" s="97"/>
      <c r="AZ966" s="7"/>
    </row>
    <row r="967" spans="1:52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7"/>
      <c r="AW967" s="96"/>
      <c r="AX967" s="96"/>
      <c r="AY967" s="97"/>
      <c r="AZ967" s="7"/>
    </row>
    <row r="968" spans="1:52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7"/>
      <c r="AW968" s="96"/>
      <c r="AX968" s="96"/>
      <c r="AY968" s="97"/>
      <c r="AZ968" s="7"/>
    </row>
    <row r="969" spans="1:52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7"/>
      <c r="AW969" s="96"/>
      <c r="AX969" s="96"/>
      <c r="AY969" s="97"/>
      <c r="AZ969" s="7"/>
    </row>
    <row r="970" spans="1:52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7"/>
      <c r="AW970" s="96"/>
      <c r="AX970" s="96"/>
      <c r="AY970" s="97"/>
      <c r="AZ970" s="7"/>
    </row>
    <row r="971" spans="1:52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7"/>
      <c r="AW971" s="96"/>
      <c r="AX971" s="96"/>
      <c r="AY971" s="97"/>
      <c r="AZ971" s="7"/>
    </row>
    <row r="972" spans="1:52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7"/>
      <c r="AW972" s="96"/>
      <c r="AX972" s="96"/>
      <c r="AY972" s="97"/>
      <c r="AZ972" s="7"/>
    </row>
    <row r="973" spans="1:52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7"/>
      <c r="AW973" s="96"/>
      <c r="AX973" s="96"/>
      <c r="AY973" s="97"/>
      <c r="AZ973" s="7"/>
    </row>
    <row r="974" spans="1:52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7"/>
      <c r="AW974" s="96"/>
      <c r="AX974" s="96"/>
      <c r="AY974" s="97"/>
      <c r="AZ974" s="7"/>
    </row>
    <row r="975" spans="1:52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7"/>
      <c r="AW975" s="96"/>
      <c r="AX975" s="96"/>
      <c r="AY975" s="97"/>
      <c r="AZ975" s="7"/>
    </row>
    <row r="976" spans="1:52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7"/>
      <c r="AW976" s="96"/>
      <c r="AX976" s="96"/>
      <c r="AY976" s="97"/>
      <c r="AZ976" s="7"/>
    </row>
    <row r="977" spans="1:52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7"/>
      <c r="AW977" s="96"/>
      <c r="AX977" s="96"/>
      <c r="AY977" s="97"/>
      <c r="AZ977" s="7"/>
    </row>
    <row r="978" spans="1:52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7"/>
      <c r="AW978" s="96"/>
      <c r="AX978" s="96"/>
      <c r="AY978" s="97"/>
      <c r="AZ978" s="7"/>
    </row>
    <row r="979" spans="1:52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7"/>
      <c r="AW979" s="96"/>
      <c r="AX979" s="96"/>
      <c r="AY979" s="97"/>
      <c r="AZ979" s="7"/>
    </row>
    <row r="980" spans="1:52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7"/>
      <c r="AW980" s="96"/>
      <c r="AX980" s="96"/>
      <c r="AY980" s="97"/>
      <c r="AZ980" s="7"/>
    </row>
    <row r="981" spans="1:52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7"/>
      <c r="AW981" s="96"/>
      <c r="AX981" s="96"/>
      <c r="AY981" s="97"/>
      <c r="AZ981" s="7"/>
    </row>
    <row r="982" spans="1:52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7"/>
      <c r="AW982" s="96"/>
      <c r="AX982" s="96"/>
      <c r="AY982" s="97"/>
      <c r="AZ982" s="7"/>
    </row>
    <row r="983" spans="1:52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7"/>
      <c r="AW983" s="96"/>
      <c r="AX983" s="96"/>
      <c r="AY983" s="97"/>
      <c r="AZ983" s="7"/>
    </row>
    <row r="984" spans="1:52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7"/>
      <c r="AW984" s="96"/>
      <c r="AX984" s="96"/>
      <c r="AY984" s="97"/>
      <c r="AZ984" s="7"/>
    </row>
    <row r="985" spans="1:52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7"/>
      <c r="AW985" s="96"/>
      <c r="AX985" s="96"/>
      <c r="AY985" s="97"/>
      <c r="AZ985" s="7"/>
    </row>
    <row r="986" spans="1:52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7"/>
      <c r="AW986" s="96"/>
      <c r="AX986" s="96"/>
      <c r="AY986" s="97"/>
      <c r="AZ986" s="7"/>
    </row>
    <row r="987" spans="1:52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7"/>
      <c r="AW987" s="96"/>
      <c r="AX987" s="96"/>
      <c r="AY987" s="97"/>
      <c r="AZ987" s="7"/>
    </row>
    <row r="988" spans="1:52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7"/>
      <c r="AW988" s="96"/>
      <c r="AX988" s="96"/>
      <c r="AY988" s="97"/>
      <c r="AZ988" s="7"/>
    </row>
    <row r="989" spans="1:52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7"/>
      <c r="AW989" s="96"/>
      <c r="AX989" s="96"/>
      <c r="AY989" s="97"/>
      <c r="AZ989" s="7"/>
    </row>
    <row r="990" spans="1:52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7"/>
      <c r="AW990" s="96"/>
      <c r="AX990" s="96"/>
      <c r="AY990" s="97"/>
      <c r="AZ990" s="7"/>
    </row>
    <row r="991" spans="1:52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7"/>
      <c r="AW991" s="96"/>
      <c r="AX991" s="96"/>
      <c r="AY991" s="97"/>
      <c r="AZ991" s="7"/>
    </row>
    <row r="992" spans="1:52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7"/>
      <c r="AW992" s="96"/>
      <c r="AX992" s="96"/>
      <c r="AY992" s="97"/>
      <c r="AZ992" s="7"/>
    </row>
    <row r="993" spans="1:52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7"/>
      <c r="AW993" s="96"/>
      <c r="AX993" s="96"/>
      <c r="AY993" s="97"/>
      <c r="AZ993" s="7"/>
    </row>
    <row r="994" spans="1:52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7"/>
      <c r="AW994" s="96"/>
      <c r="AX994" s="96"/>
      <c r="AY994" s="97"/>
      <c r="AZ994" s="7"/>
    </row>
    <row r="995" spans="1:52" ht="14.4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7"/>
      <c r="AW995" s="96"/>
      <c r="AX995" s="96"/>
      <c r="AY995" s="97"/>
      <c r="AZ995" s="7"/>
    </row>
    <row r="996" spans="1:52" ht="13.2" x14ac:dyDescent="0.25">
      <c r="I996" s="98"/>
      <c r="J996" s="98"/>
      <c r="K996" s="99"/>
      <c r="L996" s="99"/>
      <c r="M996" s="98"/>
    </row>
    <row r="997" spans="1:52" ht="13.2" x14ac:dyDescent="0.25">
      <c r="I997" s="98"/>
      <c r="J997" s="98"/>
      <c r="K997" s="99"/>
      <c r="L997" s="99"/>
      <c r="M997" s="98"/>
    </row>
    <row r="998" spans="1:52" ht="13.2" x14ac:dyDescent="0.25">
      <c r="I998" s="98"/>
      <c r="J998" s="98"/>
      <c r="K998" s="99"/>
      <c r="L998" s="99"/>
      <c r="M998" s="98"/>
    </row>
    <row r="999" spans="1:52" ht="13.2" x14ac:dyDescent="0.25">
      <c r="I999" s="98"/>
      <c r="J999" s="98"/>
      <c r="K999" s="99"/>
      <c r="L999" s="99"/>
      <c r="M999" s="98"/>
    </row>
    <row r="1000" spans="1:52" ht="13.2" x14ac:dyDescent="0.25">
      <c r="I1000" s="98"/>
      <c r="J1000" s="98"/>
      <c r="K1000" s="99"/>
      <c r="L1000" s="99"/>
      <c r="M1000" s="98"/>
    </row>
    <row r="1001" spans="1:52" ht="13.2" x14ac:dyDescent="0.25">
      <c r="I1001" s="98"/>
      <c r="J1001" s="98"/>
      <c r="K1001" s="99"/>
      <c r="L1001" s="99"/>
      <c r="M1001" s="98"/>
    </row>
  </sheetData>
  <autoFilter ref="A2:AZ38"/>
  <mergeCells count="2">
    <mergeCell ref="X1:AF1"/>
    <mergeCell ref="AG1:A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C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 x14ac:dyDescent="0.25"/>
  <cols>
    <col min="8" max="8" width="5.21875" customWidth="1"/>
    <col min="26" max="26" width="8.109375" customWidth="1"/>
  </cols>
  <sheetData>
    <row r="1" spans="1:55" ht="15.75" customHeight="1" x14ac:dyDescent="0.3">
      <c r="A1" s="1"/>
      <c r="B1" s="11"/>
      <c r="C1" s="8"/>
      <c r="D1" s="8"/>
      <c r="E1" s="8"/>
      <c r="F1" s="8"/>
      <c r="G1" s="8"/>
      <c r="H1" s="8"/>
      <c r="I1" s="12"/>
      <c r="J1" s="12"/>
      <c r="K1" s="13"/>
      <c r="L1" s="13"/>
      <c r="M1" s="12"/>
      <c r="N1" s="13"/>
      <c r="O1" s="13"/>
      <c r="P1" s="13"/>
      <c r="Q1" s="13"/>
      <c r="R1" s="13"/>
      <c r="S1" s="13"/>
      <c r="T1" s="13"/>
      <c r="U1" s="13"/>
      <c r="V1" s="13"/>
      <c r="W1" s="54"/>
      <c r="X1" s="145"/>
      <c r="Y1" s="145"/>
      <c r="Z1" s="145"/>
      <c r="AA1" s="166" t="s">
        <v>116</v>
      </c>
      <c r="AB1" s="164"/>
      <c r="AC1" s="164"/>
      <c r="AD1" s="164"/>
      <c r="AE1" s="164"/>
      <c r="AF1" s="164"/>
      <c r="AG1" s="164"/>
      <c r="AH1" s="164"/>
      <c r="AI1" s="165"/>
      <c r="AJ1" s="167" t="s">
        <v>117</v>
      </c>
      <c r="AK1" s="164"/>
      <c r="AL1" s="164"/>
      <c r="AM1" s="164"/>
      <c r="AN1" s="164"/>
      <c r="AO1" s="164"/>
      <c r="AP1" s="165"/>
      <c r="AQ1" s="14"/>
      <c r="AR1" s="13"/>
      <c r="AS1" s="13"/>
      <c r="AT1" s="13"/>
      <c r="AU1" s="13"/>
      <c r="AV1" s="13"/>
      <c r="AW1" s="13"/>
      <c r="AX1" s="13"/>
      <c r="AY1" s="12"/>
      <c r="AZ1" s="64"/>
      <c r="BA1" s="64"/>
      <c r="BB1" s="13"/>
      <c r="BC1" s="7"/>
    </row>
    <row r="2" spans="1:55" ht="15.75" customHeight="1" x14ac:dyDescent="0.3">
      <c r="A2" s="15" t="s">
        <v>0</v>
      </c>
      <c r="B2" s="15" t="s">
        <v>118</v>
      </c>
      <c r="C2" s="16" t="s">
        <v>1</v>
      </c>
      <c r="D2" s="16" t="s">
        <v>119</v>
      </c>
      <c r="E2" s="16" t="s">
        <v>120</v>
      </c>
      <c r="F2" s="16" t="s">
        <v>169</v>
      </c>
      <c r="G2" s="16" t="s">
        <v>122</v>
      </c>
      <c r="H2" s="16" t="s">
        <v>123</v>
      </c>
      <c r="I2" s="17" t="s">
        <v>124</v>
      </c>
      <c r="J2" s="17" t="s">
        <v>125</v>
      </c>
      <c r="K2" s="18" t="s">
        <v>126</v>
      </c>
      <c r="L2" s="18" t="s">
        <v>127</v>
      </c>
      <c r="M2" s="17" t="s">
        <v>128</v>
      </c>
      <c r="N2" s="18" t="s">
        <v>129</v>
      </c>
      <c r="O2" s="18" t="s">
        <v>130</v>
      </c>
      <c r="P2" s="18" t="s">
        <v>131</v>
      </c>
      <c r="Q2" s="18" t="s">
        <v>132</v>
      </c>
      <c r="R2" s="18" t="s">
        <v>133</v>
      </c>
      <c r="S2" s="18" t="s">
        <v>134</v>
      </c>
      <c r="T2" s="18" t="s">
        <v>135</v>
      </c>
      <c r="U2" s="18" t="s">
        <v>136</v>
      </c>
      <c r="V2" s="18" t="s">
        <v>137</v>
      </c>
      <c r="W2" s="18" t="s">
        <v>138</v>
      </c>
      <c r="X2" s="146" t="s">
        <v>176</v>
      </c>
      <c r="Y2" s="146" t="s">
        <v>177</v>
      </c>
      <c r="Z2" s="146" t="s">
        <v>178</v>
      </c>
      <c r="AA2" s="19" t="s">
        <v>139</v>
      </c>
      <c r="AB2" s="19" t="s">
        <v>140</v>
      </c>
      <c r="AC2" s="19" t="s">
        <v>141</v>
      </c>
      <c r="AD2" s="19" t="s">
        <v>142</v>
      </c>
      <c r="AE2" s="17" t="s">
        <v>136</v>
      </c>
      <c r="AF2" s="17" t="s">
        <v>170</v>
      </c>
      <c r="AG2" s="17" t="s">
        <v>143</v>
      </c>
      <c r="AH2" s="17" t="s">
        <v>144</v>
      </c>
      <c r="AI2" s="17" t="s">
        <v>145</v>
      </c>
      <c r="AJ2" s="18" t="s">
        <v>146</v>
      </c>
      <c r="AK2" s="18" t="s">
        <v>147</v>
      </c>
      <c r="AL2" s="18" t="s">
        <v>148</v>
      </c>
      <c r="AM2" s="18" t="s">
        <v>149</v>
      </c>
      <c r="AN2" s="18" t="s">
        <v>150</v>
      </c>
      <c r="AO2" s="18" t="s">
        <v>151</v>
      </c>
      <c r="AP2" s="18" t="s">
        <v>152</v>
      </c>
      <c r="AQ2" s="20" t="s">
        <v>153</v>
      </c>
      <c r="AR2" s="18" t="s">
        <v>154</v>
      </c>
      <c r="AS2" s="18" t="s">
        <v>155</v>
      </c>
      <c r="AT2" s="18" t="s">
        <v>156</v>
      </c>
      <c r="AU2" s="18" t="s">
        <v>115</v>
      </c>
      <c r="AV2" s="65" t="s">
        <v>157</v>
      </c>
      <c r="AW2" s="18" t="s">
        <v>158</v>
      </c>
      <c r="AX2" s="18" t="s">
        <v>159</v>
      </c>
      <c r="AY2" s="17" t="s">
        <v>160</v>
      </c>
      <c r="AZ2" s="65" t="s">
        <v>161</v>
      </c>
      <c r="BA2" s="66" t="s">
        <v>162</v>
      </c>
      <c r="BB2" s="18" t="s">
        <v>163</v>
      </c>
      <c r="BC2" s="67" t="s">
        <v>164</v>
      </c>
    </row>
    <row r="3" spans="1:55" ht="15.75" customHeight="1" x14ac:dyDescent="0.3">
      <c r="A3" s="68">
        <v>1</v>
      </c>
      <c r="B3" s="69" t="e">
        <f>VLOOKUP(A3,#REF!,2,FALSE)</f>
        <v>#REF!</v>
      </c>
      <c r="C3" s="2" t="e">
        <f>VLOOKUP(A3,#REF!,19,FALSE)</f>
        <v>#REF!</v>
      </c>
      <c r="D3" s="2" t="e">
        <f>VLOOKUP(A3,#REF!,8,FALSE)</f>
        <v>#REF!</v>
      </c>
      <c r="E3" s="2" t="e">
        <f>VLOOKUP(A3,#REF!,10,FALSE)</f>
        <v>#REF!</v>
      </c>
      <c r="F3" s="2" t="e">
        <f>VLOOKUP(A3,#REF!,11,FALSE)</f>
        <v>#REF!</v>
      </c>
      <c r="G3" s="2" t="e">
        <f>VLOOKUP(A3,#REF!,12,FALSE)</f>
        <v>#REF!</v>
      </c>
      <c r="H3" s="8"/>
      <c r="I3" s="100">
        <v>30</v>
      </c>
      <c r="J3" s="100">
        <v>30</v>
      </c>
      <c r="K3" s="115">
        <v>0</v>
      </c>
      <c r="L3" s="101">
        <v>0</v>
      </c>
      <c r="M3" s="73">
        <v>0</v>
      </c>
      <c r="N3" s="71">
        <f t="shared" ref="N3:N33" si="0">IF(K3+L3-M3 &gt;= 0,0,M3-(K3+L3))</f>
        <v>0</v>
      </c>
      <c r="O3" s="71">
        <f t="shared" ref="O3:O33" si="1">IF(K3+L3-M3&gt;0,K3+L3-M3,0)</f>
        <v>0</v>
      </c>
      <c r="P3" s="71">
        <f t="shared" ref="P3:P33" si="2">J3-N3</f>
        <v>30</v>
      </c>
      <c r="Q3" s="107">
        <v>35000</v>
      </c>
      <c r="R3" s="74">
        <v>12500</v>
      </c>
      <c r="S3" s="74">
        <v>5000</v>
      </c>
      <c r="T3" s="74">
        <v>7500</v>
      </c>
      <c r="U3" s="74">
        <v>0</v>
      </c>
      <c r="V3" s="74">
        <v>40000</v>
      </c>
      <c r="W3" s="75">
        <f t="shared" ref="W3:W20" si="3">SUM(Q3:V3)</f>
        <v>100000</v>
      </c>
      <c r="X3" s="76">
        <v>95000</v>
      </c>
      <c r="Y3" s="76">
        <f t="shared" ref="Y3:Y33" si="4">W3-X3</f>
        <v>5000</v>
      </c>
      <c r="Z3" s="147">
        <f t="shared" ref="Z3:Z33" si="5">Y3/W3</f>
        <v>0.05</v>
      </c>
      <c r="AA3" s="76">
        <f t="shared" ref="AA3:AA33" si="6">(Q3/I3*(J3)) * (1-N3/J3)</f>
        <v>35000</v>
      </c>
      <c r="AB3" s="76">
        <f t="shared" ref="AB3:AB33" si="7">(R3/I3*(J3)) * (1-N3/J3)</f>
        <v>12500</v>
      </c>
      <c r="AC3" s="76">
        <f t="shared" ref="AC3:AC33" si="8">(S3/I3*(J3)) * (1-N3/J3)</f>
        <v>5000</v>
      </c>
      <c r="AD3" s="76">
        <f t="shared" ref="AD3:AD33" si="9">(T3/I3*(J3)) * (1-N3/J3)</f>
        <v>7500</v>
      </c>
      <c r="AE3" s="12"/>
      <c r="AF3" s="73">
        <f t="shared" ref="AF3:AF4" si="10">V3*0.7</f>
        <v>28000</v>
      </c>
      <c r="AG3" s="12"/>
      <c r="AH3" s="10"/>
      <c r="AI3" s="77">
        <v>0</v>
      </c>
      <c r="AJ3" s="75">
        <f t="shared" ref="AJ3:AJ31" si="11">IF(AA3&gt;15000,(15000 * 12%),AA3*0.12)</f>
        <v>1800</v>
      </c>
      <c r="AK3" s="75">
        <f t="shared" ref="AK3:AK4" si="12">IF(SUM(AA3:AF3)&gt;=25000, 200, 0)</f>
        <v>200</v>
      </c>
      <c r="AL3" s="75">
        <f t="shared" ref="AL3:AL4" si="13">IF(SUM(Q3:T3) &lt; 21000, SUM(AA3:AD3)*0.0075, 0)</f>
        <v>0</v>
      </c>
      <c r="AM3" s="13"/>
      <c r="AN3" s="75">
        <f t="shared" ref="AN3:AN4" si="14">SUM(AA3:AI3)</f>
        <v>88000</v>
      </c>
      <c r="AO3" s="75">
        <f t="shared" ref="AO3:AO33" si="15">SUM(AJ3:AM3)+AX3</f>
        <v>2000</v>
      </c>
      <c r="AP3" s="75">
        <f t="shared" ref="AP3:AP4" si="16">SUM(AA3:AI3)-SUM(AJ3:AM3)</f>
        <v>86000</v>
      </c>
      <c r="AQ3" s="78">
        <f t="shared" ref="AQ3:AQ4" si="17">ROUND(AP3-AI3,0)+AY3-AX3</f>
        <v>86000</v>
      </c>
      <c r="AR3" s="75">
        <f t="shared" ref="AR3:AR14" si="18">AL3/0.0075*0.0325</f>
        <v>0</v>
      </c>
      <c r="AS3" s="75">
        <f t="shared" ref="AS3:AS4" si="19">AJ3</f>
        <v>1800</v>
      </c>
      <c r="AT3" s="13"/>
      <c r="AU3" s="75">
        <f t="shared" ref="AU3:AU33" si="20">AN3+AR3+AS3</f>
        <v>89800</v>
      </c>
      <c r="AV3" s="29">
        <f>'May 2025'!AT3</f>
        <v>0</v>
      </c>
      <c r="AW3" s="75">
        <f t="shared" ref="AW3:AW4" si="21">AV3+AG3-AM3</f>
        <v>0</v>
      </c>
      <c r="AX3" s="34"/>
      <c r="AY3" s="77">
        <f t="shared" ref="AY3:AY4" si="22">AI3*12</f>
        <v>0</v>
      </c>
      <c r="AZ3" s="79">
        <f t="shared" ref="AZ3:AZ17" si="23">AX3</f>
        <v>0</v>
      </c>
      <c r="BA3" s="79"/>
      <c r="BB3" s="75">
        <v>0</v>
      </c>
      <c r="BC3" s="80" t="s">
        <v>165</v>
      </c>
    </row>
    <row r="4" spans="1:55" ht="15.75" customHeight="1" x14ac:dyDescent="0.3">
      <c r="A4" s="68">
        <v>2</v>
      </c>
      <c r="B4" s="69" t="e">
        <f>VLOOKUP(A4,#REF!,2,FALSE)</f>
        <v>#REF!</v>
      </c>
      <c r="C4" s="2" t="e">
        <f>VLOOKUP(A4,#REF!,19,FALSE)</f>
        <v>#REF!</v>
      </c>
      <c r="D4" s="2" t="e">
        <f>VLOOKUP(A4,#REF!,8,FALSE)</f>
        <v>#REF!</v>
      </c>
      <c r="E4" s="2" t="e">
        <f>VLOOKUP(A4,#REF!,10,FALSE)</f>
        <v>#REF!</v>
      </c>
      <c r="F4" s="2" t="e">
        <f>VLOOKUP(A4,#REF!,11,FALSE)</f>
        <v>#REF!</v>
      </c>
      <c r="G4" s="2" t="e">
        <f>VLOOKUP(A4,#REF!,12,FALSE)</f>
        <v>#REF!</v>
      </c>
      <c r="H4" s="8"/>
      <c r="I4" s="100">
        <v>30</v>
      </c>
      <c r="J4" s="100">
        <v>30</v>
      </c>
      <c r="K4" s="115">
        <v>0</v>
      </c>
      <c r="L4" s="101">
        <v>0</v>
      </c>
      <c r="M4" s="73">
        <v>0</v>
      </c>
      <c r="N4" s="71">
        <f t="shared" si="0"/>
        <v>0</v>
      </c>
      <c r="O4" s="71">
        <f t="shared" si="1"/>
        <v>0</v>
      </c>
      <c r="P4" s="71">
        <f t="shared" si="2"/>
        <v>30</v>
      </c>
      <c r="Q4" s="107">
        <v>35000</v>
      </c>
      <c r="R4" s="74">
        <v>12500</v>
      </c>
      <c r="S4" s="74">
        <v>5000</v>
      </c>
      <c r="T4" s="74">
        <v>7500</v>
      </c>
      <c r="U4" s="74">
        <v>0</v>
      </c>
      <c r="V4" s="74">
        <v>40000</v>
      </c>
      <c r="W4" s="75">
        <f t="shared" si="3"/>
        <v>100000</v>
      </c>
      <c r="X4" s="76">
        <v>95000</v>
      </c>
      <c r="Y4" s="76">
        <f t="shared" si="4"/>
        <v>5000</v>
      </c>
      <c r="Z4" s="147">
        <f t="shared" si="5"/>
        <v>0.05</v>
      </c>
      <c r="AA4" s="76">
        <f t="shared" si="6"/>
        <v>35000</v>
      </c>
      <c r="AB4" s="76">
        <f t="shared" si="7"/>
        <v>12500</v>
      </c>
      <c r="AC4" s="76">
        <f t="shared" si="8"/>
        <v>5000</v>
      </c>
      <c r="AD4" s="76">
        <f t="shared" si="9"/>
        <v>7500</v>
      </c>
      <c r="AE4" s="12"/>
      <c r="AF4" s="73">
        <f t="shared" si="10"/>
        <v>28000</v>
      </c>
      <c r="AG4" s="12"/>
      <c r="AH4" s="10"/>
      <c r="AI4" s="77">
        <v>0</v>
      </c>
      <c r="AJ4" s="75">
        <f t="shared" si="11"/>
        <v>1800</v>
      </c>
      <c r="AK4" s="75">
        <f t="shared" si="12"/>
        <v>200</v>
      </c>
      <c r="AL4" s="75">
        <f t="shared" si="13"/>
        <v>0</v>
      </c>
      <c r="AM4" s="13"/>
      <c r="AN4" s="75">
        <f t="shared" si="14"/>
        <v>88000</v>
      </c>
      <c r="AO4" s="75">
        <f t="shared" si="15"/>
        <v>2000</v>
      </c>
      <c r="AP4" s="75">
        <f t="shared" si="16"/>
        <v>86000</v>
      </c>
      <c r="AQ4" s="78">
        <f t="shared" si="17"/>
        <v>86000</v>
      </c>
      <c r="AR4" s="75">
        <f t="shared" si="18"/>
        <v>0</v>
      </c>
      <c r="AS4" s="75">
        <f t="shared" si="19"/>
        <v>1800</v>
      </c>
      <c r="AT4" s="13"/>
      <c r="AU4" s="75">
        <f t="shared" si="20"/>
        <v>89800</v>
      </c>
      <c r="AV4" s="29">
        <f>'May 2025'!AT4</f>
        <v>0</v>
      </c>
      <c r="AW4" s="75">
        <f t="shared" si="21"/>
        <v>0</v>
      </c>
      <c r="AX4" s="34"/>
      <c r="AY4" s="77">
        <f t="shared" si="22"/>
        <v>0</v>
      </c>
      <c r="AZ4" s="79">
        <f t="shared" si="23"/>
        <v>0</v>
      </c>
      <c r="BA4" s="79"/>
      <c r="BB4" s="75">
        <v>0</v>
      </c>
      <c r="BC4" s="80" t="s">
        <v>165</v>
      </c>
    </row>
    <row r="5" spans="1:55" ht="15.75" customHeight="1" x14ac:dyDescent="0.3">
      <c r="A5" s="81">
        <v>1001</v>
      </c>
      <c r="B5" s="22" t="e">
        <f>VLOOKUP(A5,#REF!,2,FALSE)</f>
        <v>#REF!</v>
      </c>
      <c r="C5" s="8" t="e">
        <f>VLOOKUP(A5,#REF!,19,FALSE)</f>
        <v>#REF!</v>
      </c>
      <c r="D5" s="8" t="e">
        <f>VLOOKUP(A5,#REF!,8,FALSE)</f>
        <v>#REF!</v>
      </c>
      <c r="E5" s="8" t="e">
        <f>VLOOKUP(A5,#REF!,10,FALSE)</f>
        <v>#REF!</v>
      </c>
      <c r="F5" s="8" t="e">
        <f>VLOOKUP(A5,#REF!,11,FALSE)</f>
        <v>#REF!</v>
      </c>
      <c r="G5" s="8" t="e">
        <f>VLOOKUP(A5,#REF!,12,FALSE)</f>
        <v>#REF!</v>
      </c>
      <c r="H5" s="8"/>
      <c r="I5" s="100">
        <v>30</v>
      </c>
      <c r="J5" s="100">
        <v>30</v>
      </c>
      <c r="K5" s="115">
        <v>0</v>
      </c>
      <c r="L5" s="101">
        <v>0</v>
      </c>
      <c r="M5" s="73">
        <v>0</v>
      </c>
      <c r="N5" s="24">
        <f t="shared" si="0"/>
        <v>0</v>
      </c>
      <c r="O5" s="24">
        <f t="shared" si="1"/>
        <v>0</v>
      </c>
      <c r="P5" s="24">
        <f t="shared" si="2"/>
        <v>30</v>
      </c>
      <c r="Q5" s="29">
        <v>15000</v>
      </c>
      <c r="R5" s="32">
        <v>3540</v>
      </c>
      <c r="S5" s="32">
        <v>1180</v>
      </c>
      <c r="T5" s="29">
        <v>1180</v>
      </c>
      <c r="U5" s="32">
        <v>3323</v>
      </c>
      <c r="V5" s="32">
        <v>3323</v>
      </c>
      <c r="W5" s="29">
        <f t="shared" si="3"/>
        <v>27546</v>
      </c>
      <c r="X5" s="30">
        <v>25146</v>
      </c>
      <c r="Y5" s="76">
        <f t="shared" si="4"/>
        <v>2400</v>
      </c>
      <c r="Z5" s="147">
        <f t="shared" si="5"/>
        <v>8.7126987584404264E-2</v>
      </c>
      <c r="AA5" s="30">
        <f t="shared" si="6"/>
        <v>15000</v>
      </c>
      <c r="AB5" s="30">
        <f t="shared" si="7"/>
        <v>3540</v>
      </c>
      <c r="AC5" s="30">
        <f t="shared" si="8"/>
        <v>1180</v>
      </c>
      <c r="AD5" s="30">
        <f t="shared" si="9"/>
        <v>1180</v>
      </c>
      <c r="AE5" s="91">
        <f>U5*0.9*3</f>
        <v>8972.1</v>
      </c>
      <c r="AF5" s="106">
        <f t="shared" ref="AF5:AF7" si="24">ROUND(V5*0.7*3, 0)</f>
        <v>6978</v>
      </c>
      <c r="AG5" s="9">
        <v>0</v>
      </c>
      <c r="AH5" s="10">
        <f>(3*400)+(3*600)</f>
        <v>3000</v>
      </c>
      <c r="AI5" s="42">
        <v>2277</v>
      </c>
      <c r="AJ5" s="29">
        <f t="shared" si="11"/>
        <v>1800</v>
      </c>
      <c r="AK5" s="29">
        <f t="shared" ref="AK5:AK9" si="25">IF(SUM(AA5:AD5)&gt;=25000, 200, 0)</f>
        <v>0</v>
      </c>
      <c r="AL5" s="29">
        <f t="shared" ref="AL5:AL6" si="26">IF(SUM(Q5:T5) &lt; 21000, SUM(AA5:AD5)*0.75%, 0)</f>
        <v>156.75</v>
      </c>
      <c r="AM5" s="29">
        <v>3000</v>
      </c>
      <c r="AN5" s="29">
        <f t="shared" ref="AN5:AN6" si="27">SUM(AA5:AI5)-AG5</f>
        <v>42127.1</v>
      </c>
      <c r="AO5" s="29">
        <f t="shared" si="15"/>
        <v>4956.75</v>
      </c>
      <c r="AP5" s="29">
        <f t="shared" ref="AP5:AP6" si="28">SUM(AA5:AI5)-SUM(AJ5:AM5)-AG5</f>
        <v>37170.35</v>
      </c>
      <c r="AQ5" s="78">
        <f t="shared" ref="AQ5:AQ7" si="29">ROUND(AP5-AI5,0)-AX5</f>
        <v>34893</v>
      </c>
      <c r="AR5" s="29">
        <f t="shared" si="18"/>
        <v>679.25</v>
      </c>
      <c r="AS5" s="29">
        <f t="shared" ref="AS5:AS6" si="30">AJ5/0.12*0.13</f>
        <v>1950</v>
      </c>
      <c r="AT5" s="34"/>
      <c r="AU5" s="29">
        <f t="shared" si="20"/>
        <v>44756.35</v>
      </c>
      <c r="AV5" s="29">
        <f>'May 2025'!AT5</f>
        <v>157000</v>
      </c>
      <c r="AW5" s="29">
        <f t="shared" ref="AW5:AW28" si="31">AV5+AG5-AM5-BB5</f>
        <v>154000</v>
      </c>
      <c r="AX5" s="34"/>
      <c r="AY5" s="102">
        <v>2277</v>
      </c>
      <c r="AZ5" s="79">
        <f t="shared" si="23"/>
        <v>0</v>
      </c>
      <c r="BA5" s="79"/>
      <c r="BB5" s="75">
        <v>0</v>
      </c>
      <c r="BC5" s="80" t="s">
        <v>165</v>
      </c>
    </row>
    <row r="6" spans="1:55" ht="15.75" customHeight="1" x14ac:dyDescent="0.3">
      <c r="A6" s="81">
        <v>1006</v>
      </c>
      <c r="B6" s="22" t="e">
        <f>VLOOKUP(A6,#REF!,2,FALSE)</f>
        <v>#REF!</v>
      </c>
      <c r="C6" s="8" t="e">
        <f>VLOOKUP(A6,#REF!,19,FALSE)</f>
        <v>#REF!</v>
      </c>
      <c r="D6" s="8" t="e">
        <f>VLOOKUP(A6,#REF!,8,FALSE)</f>
        <v>#REF!</v>
      </c>
      <c r="E6" s="8" t="e">
        <f>VLOOKUP(A6,#REF!,10,FALSE)</f>
        <v>#REF!</v>
      </c>
      <c r="F6" s="8" t="e">
        <f>VLOOKUP(A6,#REF!,11,FALSE)</f>
        <v>#REF!</v>
      </c>
      <c r="G6" s="8" t="e">
        <f>VLOOKUP(A6,#REF!,12,FALSE)</f>
        <v>#REF!</v>
      </c>
      <c r="H6" s="8"/>
      <c r="I6" s="100">
        <v>30</v>
      </c>
      <c r="J6" s="100">
        <v>30</v>
      </c>
      <c r="K6" s="115">
        <v>0</v>
      </c>
      <c r="L6" s="101">
        <v>0</v>
      </c>
      <c r="M6" s="73">
        <v>0</v>
      </c>
      <c r="N6" s="24">
        <f t="shared" si="0"/>
        <v>0</v>
      </c>
      <c r="O6" s="24">
        <f t="shared" si="1"/>
        <v>0</v>
      </c>
      <c r="P6" s="24">
        <f t="shared" si="2"/>
        <v>30</v>
      </c>
      <c r="Q6" s="29">
        <v>15000</v>
      </c>
      <c r="R6" s="32">
        <v>3540</v>
      </c>
      <c r="S6" s="32">
        <v>1180</v>
      </c>
      <c r="T6" s="29">
        <v>1180</v>
      </c>
      <c r="U6" s="32">
        <v>4368</v>
      </c>
      <c r="V6" s="32">
        <v>4368</v>
      </c>
      <c r="W6" s="29">
        <f t="shared" si="3"/>
        <v>29636</v>
      </c>
      <c r="X6" s="30">
        <v>26236</v>
      </c>
      <c r="Y6" s="76">
        <f t="shared" si="4"/>
        <v>3400</v>
      </c>
      <c r="Z6" s="147">
        <f t="shared" si="5"/>
        <v>0.11472533405317857</v>
      </c>
      <c r="AA6" s="30">
        <f t="shared" si="6"/>
        <v>15000</v>
      </c>
      <c r="AB6" s="30">
        <f t="shared" si="7"/>
        <v>3540</v>
      </c>
      <c r="AC6" s="30">
        <f t="shared" si="8"/>
        <v>1180</v>
      </c>
      <c r="AD6" s="30">
        <f t="shared" si="9"/>
        <v>1180</v>
      </c>
      <c r="AE6" s="91">
        <f>U6*1*3</f>
        <v>13104</v>
      </c>
      <c r="AF6" s="106">
        <f t="shared" si="24"/>
        <v>9173</v>
      </c>
      <c r="AG6" s="9">
        <v>0</v>
      </c>
      <c r="AH6" s="10">
        <f>(5*400)+(5*600)</f>
        <v>5000</v>
      </c>
      <c r="AI6" s="42">
        <v>2390</v>
      </c>
      <c r="AJ6" s="29">
        <f t="shared" si="11"/>
        <v>1800</v>
      </c>
      <c r="AK6" s="29">
        <f t="shared" si="25"/>
        <v>0</v>
      </c>
      <c r="AL6" s="29">
        <f t="shared" si="26"/>
        <v>156.75</v>
      </c>
      <c r="AM6" s="32">
        <v>0</v>
      </c>
      <c r="AN6" s="29">
        <f t="shared" si="27"/>
        <v>50567</v>
      </c>
      <c r="AO6" s="29">
        <f t="shared" si="15"/>
        <v>1956.75</v>
      </c>
      <c r="AP6" s="29">
        <f t="shared" si="28"/>
        <v>48610.25</v>
      </c>
      <c r="AQ6" s="78">
        <f t="shared" si="29"/>
        <v>46220</v>
      </c>
      <c r="AR6" s="29">
        <f t="shared" si="18"/>
        <v>679.25</v>
      </c>
      <c r="AS6" s="29">
        <f t="shared" si="30"/>
        <v>1950</v>
      </c>
      <c r="AT6" s="34"/>
      <c r="AU6" s="29">
        <f t="shared" si="20"/>
        <v>53196.25</v>
      </c>
      <c r="AV6" s="29">
        <f>'May 2025'!AT6</f>
        <v>0</v>
      </c>
      <c r="AW6" s="29">
        <f t="shared" si="31"/>
        <v>0</v>
      </c>
      <c r="AX6" s="34"/>
      <c r="AY6" s="102">
        <v>2390</v>
      </c>
      <c r="AZ6" s="79">
        <f t="shared" si="23"/>
        <v>0</v>
      </c>
      <c r="BA6" s="79"/>
      <c r="BB6" s="103">
        <v>0</v>
      </c>
      <c r="BC6" s="80" t="s">
        <v>165</v>
      </c>
    </row>
    <row r="7" spans="1:55" ht="15.75" customHeight="1" x14ac:dyDescent="0.3">
      <c r="A7" s="81">
        <v>1024</v>
      </c>
      <c r="B7" s="22" t="e">
        <f>VLOOKUP(A7,#REF!,2,FALSE)</f>
        <v>#REF!</v>
      </c>
      <c r="C7" s="8" t="e">
        <f>VLOOKUP(A7,#REF!,19,FALSE)</f>
        <v>#REF!</v>
      </c>
      <c r="D7" s="8" t="e">
        <f>VLOOKUP(A7,#REF!,8,FALSE)</f>
        <v>#REF!</v>
      </c>
      <c r="E7" s="8" t="e">
        <f>VLOOKUP(A7,#REF!,10,FALSE)</f>
        <v>#REF!</v>
      </c>
      <c r="F7" s="8" t="e">
        <f>VLOOKUP(A7,#REF!,11,FALSE)</f>
        <v>#REF!</v>
      </c>
      <c r="G7" s="8" t="e">
        <f>VLOOKUP(A7,#REF!,12,FALSE)</f>
        <v>#REF!</v>
      </c>
      <c r="H7" s="8"/>
      <c r="I7" s="100">
        <v>30</v>
      </c>
      <c r="J7" s="100">
        <v>30</v>
      </c>
      <c r="K7" s="115">
        <v>0</v>
      </c>
      <c r="L7" s="101">
        <v>0</v>
      </c>
      <c r="M7" s="73">
        <v>0</v>
      </c>
      <c r="N7" s="24">
        <f t="shared" si="0"/>
        <v>0</v>
      </c>
      <c r="O7" s="24">
        <f t="shared" si="1"/>
        <v>0</v>
      </c>
      <c r="P7" s="24">
        <f t="shared" si="2"/>
        <v>30</v>
      </c>
      <c r="Q7" s="29">
        <v>15000</v>
      </c>
      <c r="R7" s="32">
        <v>3388</v>
      </c>
      <c r="S7" s="32">
        <v>1796</v>
      </c>
      <c r="T7" s="29">
        <v>796</v>
      </c>
      <c r="U7" s="32">
        <v>900</v>
      </c>
      <c r="V7" s="32">
        <v>900</v>
      </c>
      <c r="W7" s="29">
        <f t="shared" si="3"/>
        <v>22780</v>
      </c>
      <c r="X7" s="30">
        <v>19980</v>
      </c>
      <c r="Y7" s="76">
        <f t="shared" si="4"/>
        <v>2800</v>
      </c>
      <c r="Z7" s="147">
        <f t="shared" si="5"/>
        <v>0.12291483757682177</v>
      </c>
      <c r="AA7" s="30">
        <f t="shared" si="6"/>
        <v>15000</v>
      </c>
      <c r="AB7" s="30">
        <f t="shared" si="7"/>
        <v>3388</v>
      </c>
      <c r="AC7" s="30">
        <f t="shared" si="8"/>
        <v>1796</v>
      </c>
      <c r="AD7" s="30">
        <f t="shared" si="9"/>
        <v>796</v>
      </c>
      <c r="AE7" s="91">
        <f>U7*0.9*3</f>
        <v>2430</v>
      </c>
      <c r="AF7" s="106">
        <f t="shared" si="24"/>
        <v>1890</v>
      </c>
      <c r="AG7" s="10"/>
      <c r="AH7" s="10">
        <f>(3*400)+(3*600)</f>
        <v>3000</v>
      </c>
      <c r="AI7" s="42">
        <v>1823</v>
      </c>
      <c r="AJ7" s="29">
        <f t="shared" si="11"/>
        <v>1800</v>
      </c>
      <c r="AK7" s="29">
        <f t="shared" si="25"/>
        <v>0</v>
      </c>
      <c r="AL7" s="29">
        <f t="shared" ref="AL7:AL9" si="32">IF(SUM(Q7:T7) &lt; 21000, SUM(AA7:AD7)*0.0075, 0)</f>
        <v>157.35</v>
      </c>
      <c r="AM7" s="32">
        <v>0</v>
      </c>
      <c r="AN7" s="29">
        <f t="shared" ref="AN7:AN33" si="33">SUM(AA7:AI7)</f>
        <v>30123</v>
      </c>
      <c r="AO7" s="29">
        <f t="shared" si="15"/>
        <v>1957.35</v>
      </c>
      <c r="AP7" s="29">
        <f t="shared" ref="AP7:AP33" si="34">SUM(AA7:AI7)-SUM(AJ7:AM7)</f>
        <v>28165.65</v>
      </c>
      <c r="AQ7" s="78">
        <f t="shared" si="29"/>
        <v>26343</v>
      </c>
      <c r="AR7" s="29">
        <f t="shared" si="18"/>
        <v>681.85</v>
      </c>
      <c r="AS7" s="29">
        <f t="shared" ref="AS7:AS32" si="35">AJ7</f>
        <v>1800</v>
      </c>
      <c r="AT7" s="34"/>
      <c r="AU7" s="29">
        <f t="shared" si="20"/>
        <v>32604.85</v>
      </c>
      <c r="AV7" s="29">
        <f>'May 2025'!AT7</f>
        <v>0</v>
      </c>
      <c r="AW7" s="29">
        <f t="shared" si="31"/>
        <v>0</v>
      </c>
      <c r="AX7" s="34"/>
      <c r="AY7" s="102">
        <v>1823</v>
      </c>
      <c r="AZ7" s="79">
        <f t="shared" si="23"/>
        <v>0</v>
      </c>
      <c r="BA7" s="79"/>
      <c r="BB7" s="103">
        <v>0</v>
      </c>
      <c r="BC7" s="80" t="s">
        <v>165</v>
      </c>
    </row>
    <row r="8" spans="1:55" ht="15.75" customHeight="1" x14ac:dyDescent="0.3">
      <c r="A8" s="21">
        <v>1028</v>
      </c>
      <c r="B8" s="22" t="e">
        <f>VLOOKUP(A8,#REF!,2,FALSE)</f>
        <v>#REF!</v>
      </c>
      <c r="C8" s="8" t="e">
        <f>VLOOKUP(A8,#REF!,19,FALSE)</f>
        <v>#REF!</v>
      </c>
      <c r="D8" s="8" t="e">
        <f>VLOOKUP(A8,#REF!,8,FALSE)</f>
        <v>#REF!</v>
      </c>
      <c r="E8" s="8" t="e">
        <f>VLOOKUP(A8,#REF!,10,FALSE)</f>
        <v>#REF!</v>
      </c>
      <c r="F8" s="8" t="e">
        <f>VLOOKUP(A8,#REF!,11,FALSE)</f>
        <v>#REF!</v>
      </c>
      <c r="G8" s="8" t="e">
        <f>VLOOKUP(A8,#REF!,12,FALSE)</f>
        <v>#REF!</v>
      </c>
      <c r="H8" s="8"/>
      <c r="I8" s="100">
        <v>30</v>
      </c>
      <c r="J8" s="100">
        <v>30</v>
      </c>
      <c r="K8" s="115">
        <v>0</v>
      </c>
      <c r="L8" s="101">
        <v>0</v>
      </c>
      <c r="M8" s="73">
        <v>0</v>
      </c>
      <c r="N8" s="24">
        <f t="shared" si="0"/>
        <v>0</v>
      </c>
      <c r="O8" s="24">
        <f t="shared" si="1"/>
        <v>0</v>
      </c>
      <c r="P8" s="24">
        <f t="shared" si="2"/>
        <v>30</v>
      </c>
      <c r="Q8" s="83">
        <v>15000</v>
      </c>
      <c r="R8" s="83">
        <v>7000</v>
      </c>
      <c r="S8" s="83">
        <v>6000</v>
      </c>
      <c r="T8" s="83">
        <v>5000</v>
      </c>
      <c r="U8" s="83">
        <v>5000</v>
      </c>
      <c r="V8" s="83">
        <v>5000</v>
      </c>
      <c r="W8" s="83">
        <f t="shared" si="3"/>
        <v>43000</v>
      </c>
      <c r="X8" s="30">
        <v>43000</v>
      </c>
      <c r="Y8" s="76">
        <f t="shared" si="4"/>
        <v>0</v>
      </c>
      <c r="Z8" s="147">
        <f t="shared" si="5"/>
        <v>0</v>
      </c>
      <c r="AA8" s="30">
        <f t="shared" si="6"/>
        <v>15000</v>
      </c>
      <c r="AB8" s="30">
        <f t="shared" si="7"/>
        <v>7000</v>
      </c>
      <c r="AC8" s="30">
        <f t="shared" si="8"/>
        <v>6000</v>
      </c>
      <c r="AD8" s="30">
        <f t="shared" si="9"/>
        <v>5000</v>
      </c>
      <c r="AE8" s="77">
        <f>U8*1</f>
        <v>5000</v>
      </c>
      <c r="AF8" s="77">
        <f>V8*0.7</f>
        <v>3500</v>
      </c>
      <c r="AG8" s="10"/>
      <c r="AH8" s="10"/>
      <c r="AI8" s="31">
        <v>0</v>
      </c>
      <c r="AJ8" s="29">
        <f t="shared" si="11"/>
        <v>1800</v>
      </c>
      <c r="AK8" s="29">
        <f t="shared" si="25"/>
        <v>200</v>
      </c>
      <c r="AL8" s="29">
        <f t="shared" si="32"/>
        <v>0</v>
      </c>
      <c r="AM8" s="34"/>
      <c r="AN8" s="29">
        <f t="shared" si="33"/>
        <v>41500</v>
      </c>
      <c r="AO8" s="29">
        <f t="shared" si="15"/>
        <v>2000</v>
      </c>
      <c r="AP8" s="29">
        <f t="shared" si="34"/>
        <v>39500</v>
      </c>
      <c r="AQ8" s="78">
        <f t="shared" ref="AQ8:AQ33" si="36">ROUND(AP8-AI8,0)+AY8-AX8</f>
        <v>39500</v>
      </c>
      <c r="AR8" s="29">
        <f t="shared" si="18"/>
        <v>0</v>
      </c>
      <c r="AS8" s="29">
        <f t="shared" si="35"/>
        <v>1800</v>
      </c>
      <c r="AT8" s="34"/>
      <c r="AU8" s="29">
        <f t="shared" si="20"/>
        <v>43300</v>
      </c>
      <c r="AV8" s="29">
        <f>'May 2025'!AT8</f>
        <v>0</v>
      </c>
      <c r="AW8" s="29">
        <f t="shared" si="31"/>
        <v>0</v>
      </c>
      <c r="AX8" s="34"/>
      <c r="AY8" s="31">
        <f t="shared" ref="AY8:AY32" si="37">AI8*12</f>
        <v>0</v>
      </c>
      <c r="AZ8" s="79">
        <f t="shared" si="23"/>
        <v>0</v>
      </c>
      <c r="BA8" s="79"/>
      <c r="BB8" s="75">
        <v>0</v>
      </c>
      <c r="BC8" s="80" t="s">
        <v>165</v>
      </c>
    </row>
    <row r="9" spans="1:55" ht="15.75" customHeight="1" x14ac:dyDescent="0.3">
      <c r="A9" s="21">
        <v>1030</v>
      </c>
      <c r="B9" s="22" t="e">
        <f>VLOOKUP(A9,#REF!,2,FALSE)</f>
        <v>#REF!</v>
      </c>
      <c r="C9" s="8" t="e">
        <f>VLOOKUP(A9,#REF!,19,FALSE)</f>
        <v>#REF!</v>
      </c>
      <c r="D9" s="8" t="e">
        <f>VLOOKUP(A9,#REF!,8,FALSE)</f>
        <v>#REF!</v>
      </c>
      <c r="E9" s="8" t="e">
        <f>VLOOKUP(A9,#REF!,10,FALSE)</f>
        <v>#REF!</v>
      </c>
      <c r="F9" s="8" t="e">
        <f>VLOOKUP(A9,#REF!,11,FALSE)</f>
        <v>#REF!</v>
      </c>
      <c r="G9" s="8" t="e">
        <f>VLOOKUP(A9,#REF!,12,FALSE)</f>
        <v>#REF!</v>
      </c>
      <c r="H9" s="8"/>
      <c r="I9" s="100">
        <v>30</v>
      </c>
      <c r="J9" s="100">
        <v>30</v>
      </c>
      <c r="K9" s="115">
        <v>0</v>
      </c>
      <c r="L9" s="101">
        <v>0</v>
      </c>
      <c r="M9" s="73">
        <v>0</v>
      </c>
      <c r="N9" s="24">
        <f t="shared" si="0"/>
        <v>0</v>
      </c>
      <c r="O9" s="24">
        <f t="shared" si="1"/>
        <v>0</v>
      </c>
      <c r="P9" s="24">
        <f t="shared" si="2"/>
        <v>30</v>
      </c>
      <c r="Q9" s="36">
        <v>15000</v>
      </c>
      <c r="R9" s="29">
        <f>3540</f>
        <v>3540</v>
      </c>
      <c r="S9" s="29">
        <f>1180</f>
        <v>1180</v>
      </c>
      <c r="T9" s="32">
        <v>1180</v>
      </c>
      <c r="U9" s="36">
        <f t="shared" ref="U9:V9" si="38">2150*2.46</f>
        <v>5289</v>
      </c>
      <c r="V9" s="36">
        <f t="shared" si="38"/>
        <v>5289</v>
      </c>
      <c r="W9" s="29">
        <f t="shared" si="3"/>
        <v>31478</v>
      </c>
      <c r="X9" s="30">
        <v>25200</v>
      </c>
      <c r="Y9" s="76">
        <f t="shared" si="4"/>
        <v>6278</v>
      </c>
      <c r="Z9" s="147">
        <f t="shared" si="5"/>
        <v>0.19944087934430396</v>
      </c>
      <c r="AA9" s="30">
        <f t="shared" si="6"/>
        <v>15000</v>
      </c>
      <c r="AB9" s="30">
        <f t="shared" si="7"/>
        <v>3540</v>
      </c>
      <c r="AC9" s="30">
        <f t="shared" si="8"/>
        <v>1180</v>
      </c>
      <c r="AD9" s="30">
        <f t="shared" si="9"/>
        <v>1180</v>
      </c>
      <c r="AE9" s="91">
        <f>U9*0.8*3</f>
        <v>12693.599999999999</v>
      </c>
      <c r="AF9" s="91">
        <f>V9*0.7*3</f>
        <v>11106.9</v>
      </c>
      <c r="AG9" s="10"/>
      <c r="AH9" s="10"/>
      <c r="AI9" s="31">
        <v>0</v>
      </c>
      <c r="AJ9" s="29">
        <f t="shared" si="11"/>
        <v>1800</v>
      </c>
      <c r="AK9" s="29">
        <f t="shared" si="25"/>
        <v>0</v>
      </c>
      <c r="AL9" s="29">
        <f t="shared" si="32"/>
        <v>156.75</v>
      </c>
      <c r="AM9" s="34"/>
      <c r="AN9" s="29">
        <f t="shared" si="33"/>
        <v>44700.5</v>
      </c>
      <c r="AO9" s="29">
        <f t="shared" si="15"/>
        <v>1956.75</v>
      </c>
      <c r="AP9" s="29">
        <f t="shared" si="34"/>
        <v>42743.75</v>
      </c>
      <c r="AQ9" s="33">
        <f t="shared" si="36"/>
        <v>42744</v>
      </c>
      <c r="AR9" s="29">
        <f t="shared" si="18"/>
        <v>679.25</v>
      </c>
      <c r="AS9" s="29">
        <f t="shared" si="35"/>
        <v>1800</v>
      </c>
      <c r="AT9" s="34"/>
      <c r="AU9" s="29">
        <f t="shared" si="20"/>
        <v>47179.75</v>
      </c>
      <c r="AV9" s="29">
        <f>'May 2025'!AT9</f>
        <v>0</v>
      </c>
      <c r="AW9" s="29">
        <f t="shared" si="31"/>
        <v>0</v>
      </c>
      <c r="AX9" s="34"/>
      <c r="AY9" s="31">
        <f t="shared" si="37"/>
        <v>0</v>
      </c>
      <c r="AZ9" s="79">
        <f t="shared" si="23"/>
        <v>0</v>
      </c>
      <c r="BA9" s="79"/>
      <c r="BB9" s="75">
        <v>0</v>
      </c>
      <c r="BC9" s="80" t="s">
        <v>165</v>
      </c>
    </row>
    <row r="10" spans="1:55" ht="15.75" customHeight="1" x14ac:dyDescent="0.3">
      <c r="A10" s="68">
        <v>1031</v>
      </c>
      <c r="B10" s="69" t="e">
        <f>VLOOKUP(A10,#REF!,2,FALSE)</f>
        <v>#REF!</v>
      </c>
      <c r="C10" s="2" t="e">
        <f>VLOOKUP(A10,#REF!,19,FALSE)</f>
        <v>#REF!</v>
      </c>
      <c r="D10" s="2" t="e">
        <f>VLOOKUP(A10,#REF!,8,FALSE)</f>
        <v>#REF!</v>
      </c>
      <c r="E10" s="2" t="e">
        <f>VLOOKUP(A10,#REF!,10,FALSE)</f>
        <v>#REF!</v>
      </c>
      <c r="F10" s="2" t="e">
        <f>VLOOKUP(A10,#REF!,11,FALSE)</f>
        <v>#REF!</v>
      </c>
      <c r="G10" s="2" t="e">
        <f>VLOOKUP(A10,#REF!,12,FALSE)</f>
        <v>#REF!</v>
      </c>
      <c r="H10" s="8"/>
      <c r="I10" s="100">
        <v>30</v>
      </c>
      <c r="J10" s="100">
        <v>30</v>
      </c>
      <c r="K10" s="115">
        <v>0</v>
      </c>
      <c r="L10" s="101">
        <v>0</v>
      </c>
      <c r="M10" s="73">
        <v>0</v>
      </c>
      <c r="N10" s="24">
        <f t="shared" si="0"/>
        <v>0</v>
      </c>
      <c r="O10" s="71">
        <f t="shared" si="1"/>
        <v>0</v>
      </c>
      <c r="P10" s="71">
        <f t="shared" si="2"/>
        <v>30</v>
      </c>
      <c r="Q10" s="83">
        <v>15000</v>
      </c>
      <c r="R10" s="83">
        <v>9000</v>
      </c>
      <c r="S10" s="83">
        <v>8000</v>
      </c>
      <c r="T10" s="83">
        <v>3000</v>
      </c>
      <c r="U10" s="83">
        <v>6000</v>
      </c>
      <c r="V10" s="83">
        <v>6000</v>
      </c>
      <c r="W10" s="83">
        <f t="shared" si="3"/>
        <v>47000</v>
      </c>
      <c r="X10" s="76">
        <v>47000</v>
      </c>
      <c r="Y10" s="76">
        <f t="shared" si="4"/>
        <v>0</v>
      </c>
      <c r="Z10" s="147">
        <f t="shared" si="5"/>
        <v>0</v>
      </c>
      <c r="AA10" s="76">
        <f t="shared" si="6"/>
        <v>15000</v>
      </c>
      <c r="AB10" s="76">
        <f t="shared" si="7"/>
        <v>9000</v>
      </c>
      <c r="AC10" s="76">
        <f t="shared" si="8"/>
        <v>8000.0000000000009</v>
      </c>
      <c r="AD10" s="76">
        <f t="shared" si="9"/>
        <v>3000</v>
      </c>
      <c r="AE10" s="77">
        <f>U10*1.2</f>
        <v>7200</v>
      </c>
      <c r="AF10" s="77">
        <f t="shared" ref="AF10:AF11" si="39">V10*0.7</f>
        <v>4200</v>
      </c>
      <c r="AG10" s="10"/>
      <c r="AH10" s="10"/>
      <c r="AI10" s="77">
        <v>0</v>
      </c>
      <c r="AJ10" s="75">
        <f t="shared" si="11"/>
        <v>1800</v>
      </c>
      <c r="AK10" s="75">
        <f>IF(SUM(AA10:AF10)&gt;=25000, 200, 0)</f>
        <v>200</v>
      </c>
      <c r="AL10" s="84">
        <v>0</v>
      </c>
      <c r="AM10" s="34"/>
      <c r="AN10" s="75">
        <f t="shared" si="33"/>
        <v>46400</v>
      </c>
      <c r="AO10" s="75">
        <f t="shared" si="15"/>
        <v>2000</v>
      </c>
      <c r="AP10" s="75">
        <f t="shared" si="34"/>
        <v>44400</v>
      </c>
      <c r="AQ10" s="78">
        <f t="shared" si="36"/>
        <v>44400</v>
      </c>
      <c r="AR10" s="75">
        <f t="shared" si="18"/>
        <v>0</v>
      </c>
      <c r="AS10" s="75">
        <f t="shared" si="35"/>
        <v>1800</v>
      </c>
      <c r="AT10" s="34"/>
      <c r="AU10" s="75">
        <f t="shared" si="20"/>
        <v>48200</v>
      </c>
      <c r="AV10" s="29">
        <f>'May 2025'!AT10</f>
        <v>0</v>
      </c>
      <c r="AW10" s="29">
        <f t="shared" si="31"/>
        <v>0</v>
      </c>
      <c r="AX10" s="34"/>
      <c r="AY10" s="77">
        <f t="shared" si="37"/>
        <v>0</v>
      </c>
      <c r="AZ10" s="79">
        <f t="shared" si="23"/>
        <v>0</v>
      </c>
      <c r="BA10" s="79"/>
      <c r="BB10" s="75">
        <v>0</v>
      </c>
      <c r="BC10" s="80" t="s">
        <v>165</v>
      </c>
    </row>
    <row r="11" spans="1:55" ht="15.75" customHeight="1" x14ac:dyDescent="0.3">
      <c r="A11" s="148">
        <v>1033</v>
      </c>
      <c r="B11" s="149" t="e">
        <f>VLOOKUP(A11,#REF!,2,FALSE)</f>
        <v>#REF!</v>
      </c>
      <c r="C11" s="150" t="e">
        <f>VLOOKUP(A11,#REF!,19,FALSE)</f>
        <v>#REF!</v>
      </c>
      <c r="D11" s="150" t="e">
        <f>VLOOKUP(A11,#REF!,8,FALSE)</f>
        <v>#REF!</v>
      </c>
      <c r="E11" s="150" t="e">
        <f>VLOOKUP(A11,#REF!,10,FALSE)</f>
        <v>#REF!</v>
      </c>
      <c r="F11" s="150" t="e">
        <f>VLOOKUP(A11,#REF!,11,FALSE)</f>
        <v>#REF!</v>
      </c>
      <c r="G11" s="150" t="e">
        <f>VLOOKUP(A11,#REF!,12,FALSE)</f>
        <v>#REF!</v>
      </c>
      <c r="H11" s="150"/>
      <c r="I11" s="151">
        <v>30</v>
      </c>
      <c r="J11" s="151">
        <v>30</v>
      </c>
      <c r="K11" s="152">
        <v>0</v>
      </c>
      <c r="L11" s="153">
        <v>0</v>
      </c>
      <c r="M11" s="154">
        <v>0</v>
      </c>
      <c r="N11" s="155">
        <f t="shared" si="0"/>
        <v>0</v>
      </c>
      <c r="O11" s="155">
        <f t="shared" si="1"/>
        <v>0</v>
      </c>
      <c r="P11" s="155">
        <f t="shared" si="2"/>
        <v>30</v>
      </c>
      <c r="Q11" s="148">
        <v>15000</v>
      </c>
      <c r="R11" s="156">
        <v>3540</v>
      </c>
      <c r="S11" s="156">
        <v>1180</v>
      </c>
      <c r="T11" s="156">
        <v>1180</v>
      </c>
      <c r="U11" s="148">
        <v>550</v>
      </c>
      <c r="V11" s="148">
        <v>550</v>
      </c>
      <c r="W11" s="156">
        <f t="shared" si="3"/>
        <v>22000</v>
      </c>
      <c r="X11" s="156">
        <v>22000</v>
      </c>
      <c r="Y11" s="157">
        <f t="shared" si="4"/>
        <v>0</v>
      </c>
      <c r="Z11" s="158">
        <f t="shared" si="5"/>
        <v>0</v>
      </c>
      <c r="AA11" s="156">
        <f t="shared" si="6"/>
        <v>15000</v>
      </c>
      <c r="AB11" s="156">
        <f t="shared" si="7"/>
        <v>3540</v>
      </c>
      <c r="AC11" s="156">
        <f t="shared" si="8"/>
        <v>1180</v>
      </c>
      <c r="AD11" s="156">
        <f t="shared" si="9"/>
        <v>1180</v>
      </c>
      <c r="AE11" s="156">
        <f>U11*0.9</f>
        <v>495</v>
      </c>
      <c r="AF11" s="156">
        <f t="shared" si="39"/>
        <v>385</v>
      </c>
      <c r="AG11" s="159"/>
      <c r="AH11" s="159"/>
      <c r="AI11" s="156">
        <v>0</v>
      </c>
      <c r="AJ11" s="156">
        <f t="shared" si="11"/>
        <v>1800</v>
      </c>
      <c r="AK11" s="156">
        <f t="shared" ref="AK11:AK13" si="40">IF(SUM(AA11:AD11)&gt;=25000, 200, 0)</f>
        <v>0</v>
      </c>
      <c r="AL11" s="156">
        <f t="shared" ref="AL11:AL14" si="41">IF(SUM(Q11:T11) &lt; 21000, SUM(AA11:AD11)*0.0075, 0)</f>
        <v>156.75</v>
      </c>
      <c r="AM11" s="159"/>
      <c r="AN11" s="156">
        <f t="shared" si="33"/>
        <v>21780</v>
      </c>
      <c r="AO11" s="156">
        <f t="shared" si="15"/>
        <v>1956.75</v>
      </c>
      <c r="AP11" s="156">
        <f t="shared" si="34"/>
        <v>19823.25</v>
      </c>
      <c r="AQ11" s="156">
        <f t="shared" si="36"/>
        <v>19823</v>
      </c>
      <c r="AR11" s="156">
        <f t="shared" si="18"/>
        <v>679.25</v>
      </c>
      <c r="AS11" s="156">
        <f t="shared" si="35"/>
        <v>1800</v>
      </c>
      <c r="AT11" s="159"/>
      <c r="AU11" s="156">
        <f t="shared" si="20"/>
        <v>24259.25</v>
      </c>
      <c r="AV11" s="156">
        <f>'May 2025'!AT11</f>
        <v>0</v>
      </c>
      <c r="AW11" s="156">
        <f t="shared" si="31"/>
        <v>0</v>
      </c>
      <c r="AX11" s="159"/>
      <c r="AY11" s="156">
        <f t="shared" si="37"/>
        <v>0</v>
      </c>
      <c r="AZ11" s="159">
        <f t="shared" si="23"/>
        <v>0</v>
      </c>
      <c r="BA11" s="159"/>
      <c r="BB11" s="156">
        <v>0</v>
      </c>
      <c r="BC11" s="160" t="s">
        <v>165</v>
      </c>
    </row>
    <row r="12" spans="1:55" ht="15.75" customHeight="1" x14ac:dyDescent="0.3">
      <c r="A12" s="21">
        <v>1034</v>
      </c>
      <c r="B12" s="22" t="e">
        <f>VLOOKUP(A12,#REF!,2,FALSE)</f>
        <v>#REF!</v>
      </c>
      <c r="C12" s="8" t="e">
        <f>VLOOKUP(A12,#REF!,19,FALSE)</f>
        <v>#REF!</v>
      </c>
      <c r="D12" s="8" t="e">
        <f>VLOOKUP(A12,#REF!,8,FALSE)</f>
        <v>#REF!</v>
      </c>
      <c r="E12" s="8" t="e">
        <f>VLOOKUP(A12,#REF!,10,FALSE)</f>
        <v>#REF!</v>
      </c>
      <c r="F12" s="8" t="e">
        <f>VLOOKUP(A12,#REF!,11,FALSE)</f>
        <v>#REF!</v>
      </c>
      <c r="G12" s="8" t="e">
        <f>VLOOKUP(A12,#REF!,12,FALSE)</f>
        <v>#REF!</v>
      </c>
      <c r="H12" s="8"/>
      <c r="I12" s="100">
        <v>30</v>
      </c>
      <c r="J12" s="100">
        <v>30</v>
      </c>
      <c r="K12" s="115">
        <v>0</v>
      </c>
      <c r="L12" s="101">
        <v>0</v>
      </c>
      <c r="M12" s="73">
        <v>0</v>
      </c>
      <c r="N12" s="24">
        <f t="shared" si="0"/>
        <v>0</v>
      </c>
      <c r="O12" s="24">
        <f t="shared" si="1"/>
        <v>0</v>
      </c>
      <c r="P12" s="24">
        <f t="shared" si="2"/>
        <v>30</v>
      </c>
      <c r="Q12" s="36">
        <v>15000</v>
      </c>
      <c r="R12" s="29">
        <f t="shared" ref="R12:R13" si="42">3540*1.4</f>
        <v>4956</v>
      </c>
      <c r="S12" s="29">
        <f t="shared" ref="S12:S13" si="43">1180*1.4</f>
        <v>1652</v>
      </c>
      <c r="T12" s="29">
        <f>1180*1.5</f>
        <v>1770</v>
      </c>
      <c r="U12" s="36">
        <f t="shared" ref="U12:V12" si="44">2050*1.8</f>
        <v>3690</v>
      </c>
      <c r="V12" s="36">
        <f t="shared" si="44"/>
        <v>3690</v>
      </c>
      <c r="W12" s="29">
        <f t="shared" si="3"/>
        <v>30758</v>
      </c>
      <c r="X12" s="30">
        <v>25000</v>
      </c>
      <c r="Y12" s="76">
        <f t="shared" si="4"/>
        <v>5758</v>
      </c>
      <c r="Z12" s="147">
        <f t="shared" si="5"/>
        <v>0.18720332921516353</v>
      </c>
      <c r="AA12" s="30">
        <f t="shared" si="6"/>
        <v>15000</v>
      </c>
      <c r="AB12" s="30">
        <f t="shared" si="7"/>
        <v>4956</v>
      </c>
      <c r="AC12" s="30">
        <f t="shared" si="8"/>
        <v>1652</v>
      </c>
      <c r="AD12" s="30">
        <f t="shared" si="9"/>
        <v>1770</v>
      </c>
      <c r="AE12" s="91">
        <f t="shared" ref="AE12:AE13" si="45">U12*0.9*3</f>
        <v>9963</v>
      </c>
      <c r="AF12" s="91">
        <f t="shared" ref="AF12:AF13" si="46">V12*0.7*3</f>
        <v>7749</v>
      </c>
      <c r="AG12" s="10"/>
      <c r="AH12" s="10"/>
      <c r="AI12" s="31">
        <v>0</v>
      </c>
      <c r="AJ12" s="29">
        <f t="shared" si="11"/>
        <v>1800</v>
      </c>
      <c r="AK12" s="29">
        <f t="shared" si="40"/>
        <v>0</v>
      </c>
      <c r="AL12" s="29">
        <f t="shared" si="41"/>
        <v>0</v>
      </c>
      <c r="AM12" s="34"/>
      <c r="AN12" s="29">
        <f t="shared" si="33"/>
        <v>41090</v>
      </c>
      <c r="AO12" s="29">
        <f t="shared" si="15"/>
        <v>1800</v>
      </c>
      <c r="AP12" s="29">
        <f t="shared" si="34"/>
        <v>39290</v>
      </c>
      <c r="AQ12" s="33">
        <f t="shared" si="36"/>
        <v>39290</v>
      </c>
      <c r="AR12" s="29">
        <f t="shared" si="18"/>
        <v>0</v>
      </c>
      <c r="AS12" s="29">
        <f t="shared" si="35"/>
        <v>1800</v>
      </c>
      <c r="AT12" s="34"/>
      <c r="AU12" s="29">
        <f t="shared" si="20"/>
        <v>42890</v>
      </c>
      <c r="AV12" s="29">
        <f>'May 2025'!AT12</f>
        <v>0</v>
      </c>
      <c r="AW12" s="29">
        <f t="shared" si="31"/>
        <v>0</v>
      </c>
      <c r="AX12" s="34"/>
      <c r="AY12" s="31">
        <f t="shared" si="37"/>
        <v>0</v>
      </c>
      <c r="AZ12" s="79">
        <f t="shared" si="23"/>
        <v>0</v>
      </c>
      <c r="BA12" s="79"/>
      <c r="BB12" s="75">
        <v>0</v>
      </c>
      <c r="BC12" s="80" t="s">
        <v>165</v>
      </c>
    </row>
    <row r="13" spans="1:55" ht="15.75" customHeight="1" x14ac:dyDescent="0.3">
      <c r="A13" s="21">
        <v>1036</v>
      </c>
      <c r="B13" s="22" t="e">
        <f>VLOOKUP(A13,#REF!,2,FALSE)</f>
        <v>#REF!</v>
      </c>
      <c r="C13" s="8" t="e">
        <f>VLOOKUP(A13,#REF!,19,FALSE)</f>
        <v>#REF!</v>
      </c>
      <c r="D13" s="8" t="e">
        <f>VLOOKUP(A13,#REF!,8,FALSE)</f>
        <v>#REF!</v>
      </c>
      <c r="E13" s="8" t="e">
        <f>VLOOKUP(A13,#REF!,10,FALSE)</f>
        <v>#REF!</v>
      </c>
      <c r="F13" s="8" t="e">
        <f>VLOOKUP(A13,#REF!,11,FALSE)</f>
        <v>#REF!</v>
      </c>
      <c r="G13" s="8" t="e">
        <f>VLOOKUP(A13,#REF!,12,FALSE)</f>
        <v>#REF!</v>
      </c>
      <c r="H13" s="8"/>
      <c r="I13" s="100">
        <v>30</v>
      </c>
      <c r="J13" s="100">
        <v>30</v>
      </c>
      <c r="K13" s="115">
        <v>0</v>
      </c>
      <c r="L13" s="101">
        <v>0</v>
      </c>
      <c r="M13" s="73">
        <v>0</v>
      </c>
      <c r="N13" s="24">
        <f t="shared" si="0"/>
        <v>0</v>
      </c>
      <c r="O13" s="24">
        <f t="shared" si="1"/>
        <v>0</v>
      </c>
      <c r="P13" s="24">
        <f t="shared" si="2"/>
        <v>30</v>
      </c>
      <c r="Q13" s="36">
        <v>15000</v>
      </c>
      <c r="R13" s="29">
        <f t="shared" si="42"/>
        <v>4956</v>
      </c>
      <c r="S13" s="29">
        <f t="shared" si="43"/>
        <v>1652</v>
      </c>
      <c r="T13" s="29">
        <v>1180</v>
      </c>
      <c r="U13" s="36">
        <f t="shared" ref="U13:V13" si="47">2200*1.6</f>
        <v>3520</v>
      </c>
      <c r="V13" s="36">
        <f t="shared" si="47"/>
        <v>3520</v>
      </c>
      <c r="W13" s="29">
        <f t="shared" si="3"/>
        <v>29828</v>
      </c>
      <c r="X13" s="30">
        <v>25300</v>
      </c>
      <c r="Y13" s="76">
        <f t="shared" si="4"/>
        <v>4528</v>
      </c>
      <c r="Z13" s="147">
        <f t="shared" si="5"/>
        <v>0.15180367439989273</v>
      </c>
      <c r="AA13" s="30">
        <f t="shared" si="6"/>
        <v>15000</v>
      </c>
      <c r="AB13" s="30">
        <f t="shared" si="7"/>
        <v>4956</v>
      </c>
      <c r="AC13" s="30">
        <f t="shared" si="8"/>
        <v>1652</v>
      </c>
      <c r="AD13" s="30">
        <f t="shared" si="9"/>
        <v>1180</v>
      </c>
      <c r="AE13" s="91">
        <f t="shared" si="45"/>
        <v>9504</v>
      </c>
      <c r="AF13" s="91">
        <f t="shared" si="46"/>
        <v>7392</v>
      </c>
      <c r="AG13" s="12"/>
      <c r="AH13" s="10"/>
      <c r="AI13" s="31">
        <v>0</v>
      </c>
      <c r="AJ13" s="29">
        <f t="shared" si="11"/>
        <v>1800</v>
      </c>
      <c r="AK13" s="29">
        <f t="shared" si="40"/>
        <v>0</v>
      </c>
      <c r="AL13" s="29">
        <f t="shared" si="41"/>
        <v>0</v>
      </c>
      <c r="AM13" s="13"/>
      <c r="AN13" s="29">
        <f t="shared" si="33"/>
        <v>39684</v>
      </c>
      <c r="AO13" s="29">
        <f t="shared" si="15"/>
        <v>1800</v>
      </c>
      <c r="AP13" s="29">
        <f t="shared" si="34"/>
        <v>37884</v>
      </c>
      <c r="AQ13" s="33">
        <f t="shared" si="36"/>
        <v>37884</v>
      </c>
      <c r="AR13" s="29">
        <f t="shared" si="18"/>
        <v>0</v>
      </c>
      <c r="AS13" s="29">
        <f t="shared" si="35"/>
        <v>1800</v>
      </c>
      <c r="AT13" s="13"/>
      <c r="AU13" s="29">
        <f t="shared" si="20"/>
        <v>41484</v>
      </c>
      <c r="AV13" s="29">
        <f>'May 2025'!AT13</f>
        <v>0</v>
      </c>
      <c r="AW13" s="29">
        <f t="shared" si="31"/>
        <v>0</v>
      </c>
      <c r="AX13" s="34"/>
      <c r="AY13" s="31">
        <f t="shared" si="37"/>
        <v>0</v>
      </c>
      <c r="AZ13" s="79">
        <f t="shared" si="23"/>
        <v>0</v>
      </c>
      <c r="BA13" s="79"/>
      <c r="BB13" s="75">
        <v>0</v>
      </c>
      <c r="BC13" s="80" t="s">
        <v>165</v>
      </c>
    </row>
    <row r="14" spans="1:55" ht="15.75" customHeight="1" x14ac:dyDescent="0.3">
      <c r="A14" s="68">
        <v>1037</v>
      </c>
      <c r="B14" s="69" t="e">
        <f>VLOOKUP(A14,#REF!,2,FALSE)</f>
        <v>#REF!</v>
      </c>
      <c r="C14" s="2" t="e">
        <f>VLOOKUP(A14,#REF!,19,FALSE)</f>
        <v>#REF!</v>
      </c>
      <c r="D14" s="2" t="e">
        <f>VLOOKUP(A14,#REF!,8,FALSE)</f>
        <v>#REF!</v>
      </c>
      <c r="E14" s="2" t="e">
        <f>VLOOKUP(A14,#REF!,10,FALSE)</f>
        <v>#REF!</v>
      </c>
      <c r="F14" s="2" t="e">
        <f>VLOOKUP(A14,#REF!,11,FALSE)</f>
        <v>#REF!</v>
      </c>
      <c r="G14" s="2" t="e">
        <f>VLOOKUP(A14,#REF!,12,FALSE)</f>
        <v>#REF!</v>
      </c>
      <c r="H14" s="8"/>
      <c r="I14" s="100">
        <v>30</v>
      </c>
      <c r="J14" s="100">
        <v>30</v>
      </c>
      <c r="K14" s="115">
        <v>0</v>
      </c>
      <c r="L14" s="101">
        <v>0</v>
      </c>
      <c r="M14" s="73">
        <v>0</v>
      </c>
      <c r="N14" s="71">
        <f t="shared" si="0"/>
        <v>0</v>
      </c>
      <c r="O14" s="71">
        <f t="shared" si="1"/>
        <v>0</v>
      </c>
      <c r="P14" s="71">
        <f t="shared" si="2"/>
        <v>30</v>
      </c>
      <c r="Q14" s="74">
        <v>26000</v>
      </c>
      <c r="R14" s="74">
        <v>14808</v>
      </c>
      <c r="S14" s="74">
        <v>11106</v>
      </c>
      <c r="T14" s="74">
        <v>11106</v>
      </c>
      <c r="U14" s="74">
        <v>5395</v>
      </c>
      <c r="V14" s="74">
        <v>5395</v>
      </c>
      <c r="W14" s="75">
        <f t="shared" si="3"/>
        <v>73810</v>
      </c>
      <c r="X14" s="76">
        <v>73810</v>
      </c>
      <c r="Y14" s="76">
        <f t="shared" si="4"/>
        <v>0</v>
      </c>
      <c r="Z14" s="147">
        <f t="shared" si="5"/>
        <v>0</v>
      </c>
      <c r="AA14" s="76">
        <f t="shared" si="6"/>
        <v>26000</v>
      </c>
      <c r="AB14" s="76">
        <f t="shared" si="7"/>
        <v>14808</v>
      </c>
      <c r="AC14" s="76">
        <f t="shared" si="8"/>
        <v>11106</v>
      </c>
      <c r="AD14" s="76">
        <f t="shared" si="9"/>
        <v>11106</v>
      </c>
      <c r="AE14" s="77">
        <f t="shared" ref="AE14:AF14" si="48">U14*0.7</f>
        <v>3776.4999999999995</v>
      </c>
      <c r="AF14" s="77">
        <f t="shared" si="48"/>
        <v>3776.4999999999995</v>
      </c>
      <c r="AG14" s="12"/>
      <c r="AH14" s="10"/>
      <c r="AI14" s="77">
        <v>0</v>
      </c>
      <c r="AJ14" s="75">
        <f t="shared" si="11"/>
        <v>1800</v>
      </c>
      <c r="AK14" s="75">
        <f t="shared" ref="AK14:AK17" si="49">IF(SUM(AA14:AF14)&gt;=25000, 200, 0)</f>
        <v>200</v>
      </c>
      <c r="AL14" s="75">
        <f t="shared" si="41"/>
        <v>0</v>
      </c>
      <c r="AM14" s="13"/>
      <c r="AN14" s="75">
        <f t="shared" si="33"/>
        <v>70573</v>
      </c>
      <c r="AO14" s="75">
        <f t="shared" si="15"/>
        <v>2000</v>
      </c>
      <c r="AP14" s="75">
        <f t="shared" si="34"/>
        <v>68573</v>
      </c>
      <c r="AQ14" s="78">
        <f t="shared" si="36"/>
        <v>68573</v>
      </c>
      <c r="AR14" s="75">
        <f t="shared" si="18"/>
        <v>0</v>
      </c>
      <c r="AS14" s="75">
        <f t="shared" si="35"/>
        <v>1800</v>
      </c>
      <c r="AT14" s="13"/>
      <c r="AU14" s="75">
        <f t="shared" si="20"/>
        <v>72373</v>
      </c>
      <c r="AV14" s="29">
        <f>'May 2025'!AT14</f>
        <v>0</v>
      </c>
      <c r="AW14" s="29">
        <f t="shared" si="31"/>
        <v>0</v>
      </c>
      <c r="AX14" s="34"/>
      <c r="AY14" s="77">
        <f t="shared" si="37"/>
        <v>0</v>
      </c>
      <c r="AZ14" s="79">
        <f t="shared" si="23"/>
        <v>0</v>
      </c>
      <c r="BA14" s="79"/>
      <c r="BB14" s="75">
        <v>0</v>
      </c>
      <c r="BC14" s="80" t="s">
        <v>165</v>
      </c>
    </row>
    <row r="15" spans="1:55" ht="15.75" customHeight="1" x14ac:dyDescent="0.3">
      <c r="A15" s="68">
        <v>1042</v>
      </c>
      <c r="B15" s="69" t="e">
        <f>VLOOKUP(A15,#REF!,2,FALSE)</f>
        <v>#REF!</v>
      </c>
      <c r="C15" s="2" t="e">
        <f>VLOOKUP(A15,#REF!,19,FALSE)</f>
        <v>#REF!</v>
      </c>
      <c r="D15" s="2" t="e">
        <f>VLOOKUP(A15,#REF!,8,FALSE)</f>
        <v>#REF!</v>
      </c>
      <c r="E15" s="2" t="e">
        <f>VLOOKUP(A15,#REF!,10,FALSE)</f>
        <v>#REF!</v>
      </c>
      <c r="F15" s="2" t="e">
        <f>VLOOKUP(A15,#REF!,11,FALSE)</f>
        <v>#REF!</v>
      </c>
      <c r="G15" s="2" t="e">
        <f>VLOOKUP(A15,#REF!,12,FALSE)</f>
        <v>#REF!</v>
      </c>
      <c r="H15" s="8"/>
      <c r="I15" s="100">
        <v>30</v>
      </c>
      <c r="J15" s="100">
        <v>30</v>
      </c>
      <c r="K15" s="115">
        <v>0</v>
      </c>
      <c r="L15" s="101">
        <v>0</v>
      </c>
      <c r="M15" s="73">
        <v>0</v>
      </c>
      <c r="N15" s="71">
        <f t="shared" si="0"/>
        <v>0</v>
      </c>
      <c r="O15" s="71">
        <f t="shared" si="1"/>
        <v>0</v>
      </c>
      <c r="P15" s="71">
        <f t="shared" si="2"/>
        <v>30</v>
      </c>
      <c r="Q15" s="85">
        <v>30000</v>
      </c>
      <c r="R15" s="85">
        <f>17040*1.25</f>
        <v>21300</v>
      </c>
      <c r="S15" s="85">
        <f>12780*1.25</f>
        <v>15975</v>
      </c>
      <c r="T15" s="85">
        <v>12780</v>
      </c>
      <c r="U15" s="85">
        <f t="shared" ref="U15:V15" si="50">6600*1.2</f>
        <v>7920</v>
      </c>
      <c r="V15" s="85">
        <f t="shared" si="50"/>
        <v>7920</v>
      </c>
      <c r="W15" s="75">
        <f t="shared" si="3"/>
        <v>95895</v>
      </c>
      <c r="X15" s="76">
        <v>85800</v>
      </c>
      <c r="Y15" s="76">
        <f t="shared" si="4"/>
        <v>10095</v>
      </c>
      <c r="Z15" s="147">
        <f t="shared" si="5"/>
        <v>0.10527139058345066</v>
      </c>
      <c r="AA15" s="76">
        <f t="shared" si="6"/>
        <v>30000</v>
      </c>
      <c r="AB15" s="76">
        <f t="shared" si="7"/>
        <v>21300</v>
      </c>
      <c r="AC15" s="76">
        <f t="shared" si="8"/>
        <v>15975</v>
      </c>
      <c r="AD15" s="76">
        <f t="shared" si="9"/>
        <v>12780</v>
      </c>
      <c r="AE15" s="77">
        <f t="shared" ref="AE15:AE17" si="51">U15*1</f>
        <v>7920</v>
      </c>
      <c r="AF15" s="77">
        <f t="shared" ref="AF15:AF17" si="52">V15*0.7</f>
        <v>5544</v>
      </c>
      <c r="AG15" s="10"/>
      <c r="AH15" s="10"/>
      <c r="AI15" s="77">
        <v>0</v>
      </c>
      <c r="AJ15" s="75">
        <f t="shared" si="11"/>
        <v>1800</v>
      </c>
      <c r="AK15" s="75">
        <f t="shared" si="49"/>
        <v>200</v>
      </c>
      <c r="AL15" s="85">
        <v>0</v>
      </c>
      <c r="AM15" s="34"/>
      <c r="AN15" s="75">
        <f t="shared" si="33"/>
        <v>93519</v>
      </c>
      <c r="AO15" s="75">
        <f t="shared" si="15"/>
        <v>2000</v>
      </c>
      <c r="AP15" s="75">
        <f t="shared" si="34"/>
        <v>91519</v>
      </c>
      <c r="AQ15" s="78">
        <f t="shared" si="36"/>
        <v>91519</v>
      </c>
      <c r="AR15" s="75">
        <v>0</v>
      </c>
      <c r="AS15" s="75">
        <f t="shared" si="35"/>
        <v>1800</v>
      </c>
      <c r="AT15" s="34"/>
      <c r="AU15" s="75">
        <f t="shared" si="20"/>
        <v>95319</v>
      </c>
      <c r="AV15" s="29">
        <f>'May 2025'!AT15</f>
        <v>0</v>
      </c>
      <c r="AW15" s="29">
        <f t="shared" si="31"/>
        <v>0</v>
      </c>
      <c r="AX15" s="34"/>
      <c r="AY15" s="77">
        <f t="shared" si="37"/>
        <v>0</v>
      </c>
      <c r="AZ15" s="79">
        <f t="shared" si="23"/>
        <v>0</v>
      </c>
      <c r="BA15" s="79"/>
      <c r="BB15" s="75">
        <v>0</v>
      </c>
      <c r="BC15" s="80" t="s">
        <v>165</v>
      </c>
    </row>
    <row r="16" spans="1:55" ht="15.75" customHeight="1" x14ac:dyDescent="0.3">
      <c r="A16" s="68">
        <v>1044</v>
      </c>
      <c r="B16" s="69" t="e">
        <f>VLOOKUP(A16,#REF!,2,FALSE)</f>
        <v>#REF!</v>
      </c>
      <c r="C16" s="2" t="e">
        <f>VLOOKUP(A16,#REF!,19,FALSE)</f>
        <v>#REF!</v>
      </c>
      <c r="D16" s="2" t="e">
        <f>VLOOKUP(A16,#REF!,8,FALSE)</f>
        <v>#REF!</v>
      </c>
      <c r="E16" s="2" t="e">
        <f>VLOOKUP(A16,#REF!,10,FALSE)</f>
        <v>#REF!</v>
      </c>
      <c r="F16" s="2" t="e">
        <f>VLOOKUP(A16,#REF!,11,FALSE)</f>
        <v>#REF!</v>
      </c>
      <c r="G16" s="2" t="e">
        <f>VLOOKUP(A16,#REF!,12,FALSE)</f>
        <v>#REF!</v>
      </c>
      <c r="H16" s="8"/>
      <c r="I16" s="100">
        <v>30</v>
      </c>
      <c r="J16" s="100">
        <v>30</v>
      </c>
      <c r="K16" s="115">
        <v>0</v>
      </c>
      <c r="L16" s="101">
        <v>0</v>
      </c>
      <c r="M16" s="73">
        <v>0</v>
      </c>
      <c r="N16" s="71">
        <f t="shared" si="0"/>
        <v>0</v>
      </c>
      <c r="O16" s="71">
        <f t="shared" si="1"/>
        <v>0</v>
      </c>
      <c r="P16" s="71">
        <f t="shared" si="2"/>
        <v>30</v>
      </c>
      <c r="Q16" s="74">
        <v>26000</v>
      </c>
      <c r="R16" s="74">
        <v>11600</v>
      </c>
      <c r="S16" s="74">
        <f>8700*1.2</f>
        <v>10440</v>
      </c>
      <c r="T16" s="74">
        <v>8700</v>
      </c>
      <c r="U16" s="74">
        <v>0</v>
      </c>
      <c r="V16" s="74">
        <f>27500*1.05</f>
        <v>28875</v>
      </c>
      <c r="W16" s="75">
        <f t="shared" si="3"/>
        <v>85615</v>
      </c>
      <c r="X16" s="76">
        <v>82500</v>
      </c>
      <c r="Y16" s="76">
        <f t="shared" si="4"/>
        <v>3115</v>
      </c>
      <c r="Z16" s="147">
        <f t="shared" si="5"/>
        <v>3.6383811248028967E-2</v>
      </c>
      <c r="AA16" s="76">
        <f t="shared" si="6"/>
        <v>26000</v>
      </c>
      <c r="AB16" s="76">
        <f t="shared" si="7"/>
        <v>11600</v>
      </c>
      <c r="AC16" s="76">
        <f t="shared" si="8"/>
        <v>10440</v>
      </c>
      <c r="AD16" s="76">
        <f t="shared" si="9"/>
        <v>8700</v>
      </c>
      <c r="AE16" s="77">
        <f t="shared" si="51"/>
        <v>0</v>
      </c>
      <c r="AF16" s="77">
        <f t="shared" si="52"/>
        <v>20212.5</v>
      </c>
      <c r="AG16" s="12"/>
      <c r="AH16" s="10"/>
      <c r="AI16" s="77">
        <v>0</v>
      </c>
      <c r="AJ16" s="75">
        <f t="shared" si="11"/>
        <v>1800</v>
      </c>
      <c r="AK16" s="75">
        <f t="shared" si="49"/>
        <v>200</v>
      </c>
      <c r="AL16" s="75">
        <f t="shared" ref="AL16:AL33" si="53">IF(SUM(Q16:T16) &lt; 21000, SUM(AA16:AD16)*0.0075, 0)</f>
        <v>0</v>
      </c>
      <c r="AM16" s="13"/>
      <c r="AN16" s="75">
        <f t="shared" si="33"/>
        <v>76952.5</v>
      </c>
      <c r="AO16" s="75">
        <f t="shared" si="15"/>
        <v>2000</v>
      </c>
      <c r="AP16" s="75">
        <f t="shared" si="34"/>
        <v>74952.5</v>
      </c>
      <c r="AQ16" s="78">
        <f t="shared" si="36"/>
        <v>74953</v>
      </c>
      <c r="AR16" s="75">
        <f t="shared" ref="AR16:AR32" si="54">AL16/0.0075*0.0325</f>
        <v>0</v>
      </c>
      <c r="AS16" s="75">
        <f t="shared" si="35"/>
        <v>1800</v>
      </c>
      <c r="AT16" s="13"/>
      <c r="AU16" s="75">
        <f t="shared" si="20"/>
        <v>78752.5</v>
      </c>
      <c r="AV16" s="29">
        <f>'May 2025'!AT16</f>
        <v>0</v>
      </c>
      <c r="AW16" s="29">
        <f t="shared" si="31"/>
        <v>0</v>
      </c>
      <c r="AX16" s="34"/>
      <c r="AY16" s="77">
        <f t="shared" si="37"/>
        <v>0</v>
      </c>
      <c r="AZ16" s="79">
        <f t="shared" si="23"/>
        <v>0</v>
      </c>
      <c r="BA16" s="79"/>
      <c r="BB16" s="75">
        <v>0</v>
      </c>
      <c r="BC16" s="80" t="s">
        <v>165</v>
      </c>
    </row>
    <row r="17" spans="1:55" ht="15.75" customHeight="1" x14ac:dyDescent="0.3">
      <c r="A17" s="68">
        <v>1047</v>
      </c>
      <c r="B17" s="69" t="e">
        <f>VLOOKUP(A17,#REF!,2,FALSE)</f>
        <v>#REF!</v>
      </c>
      <c r="C17" s="2" t="e">
        <f>VLOOKUP(A17,#REF!,19,FALSE)</f>
        <v>#REF!</v>
      </c>
      <c r="D17" s="2" t="e">
        <f>VLOOKUP(A17,#REF!,8,FALSE)</f>
        <v>#REF!</v>
      </c>
      <c r="E17" s="2" t="e">
        <f>VLOOKUP(A17,#REF!,10,FALSE)</f>
        <v>#REF!</v>
      </c>
      <c r="F17" s="2" t="e">
        <f>VLOOKUP(A17,#REF!,11,FALSE)</f>
        <v>#REF!</v>
      </c>
      <c r="G17" s="2" t="e">
        <f>VLOOKUP(A17,#REF!,12,FALSE)</f>
        <v>#REF!</v>
      </c>
      <c r="H17" s="8"/>
      <c r="I17" s="100">
        <v>30</v>
      </c>
      <c r="J17" s="100">
        <v>30</v>
      </c>
      <c r="K17" s="115">
        <v>0</v>
      </c>
      <c r="L17" s="101">
        <v>0</v>
      </c>
      <c r="M17" s="73">
        <v>0</v>
      </c>
      <c r="N17" s="71">
        <f t="shared" si="0"/>
        <v>0</v>
      </c>
      <c r="O17" s="71">
        <f t="shared" si="1"/>
        <v>0</v>
      </c>
      <c r="P17" s="71">
        <f t="shared" si="2"/>
        <v>30</v>
      </c>
      <c r="Q17" s="74">
        <v>26000</v>
      </c>
      <c r="R17" s="85">
        <v>18750</v>
      </c>
      <c r="S17" s="85">
        <v>1250</v>
      </c>
      <c r="T17" s="85">
        <v>10833.333333333334</v>
      </c>
      <c r="U17" s="109">
        <v>13125</v>
      </c>
      <c r="V17" s="109">
        <v>13125</v>
      </c>
      <c r="W17" s="75">
        <f t="shared" si="3"/>
        <v>83083.333333333343</v>
      </c>
      <c r="X17" s="76">
        <v>73083.333333333343</v>
      </c>
      <c r="Y17" s="76">
        <f t="shared" si="4"/>
        <v>10000</v>
      </c>
      <c r="Z17" s="147">
        <f t="shared" si="5"/>
        <v>0.12036108324974923</v>
      </c>
      <c r="AA17" s="76">
        <f t="shared" si="6"/>
        <v>26000</v>
      </c>
      <c r="AB17" s="76">
        <f t="shared" si="7"/>
        <v>18750</v>
      </c>
      <c r="AC17" s="76">
        <f t="shared" si="8"/>
        <v>1250</v>
      </c>
      <c r="AD17" s="76">
        <f t="shared" si="9"/>
        <v>10833.333333333334</v>
      </c>
      <c r="AE17" s="77">
        <f t="shared" si="51"/>
        <v>13125</v>
      </c>
      <c r="AF17" s="77">
        <f t="shared" si="52"/>
        <v>9187.5</v>
      </c>
      <c r="AG17" s="12"/>
      <c r="AH17" s="10"/>
      <c r="AI17" s="77">
        <v>0</v>
      </c>
      <c r="AJ17" s="75">
        <f t="shared" si="11"/>
        <v>1800</v>
      </c>
      <c r="AK17" s="75">
        <f t="shared" si="49"/>
        <v>200</v>
      </c>
      <c r="AL17" s="75">
        <f t="shared" si="53"/>
        <v>0</v>
      </c>
      <c r="AM17" s="13"/>
      <c r="AN17" s="75">
        <f t="shared" si="33"/>
        <v>79145.833333333343</v>
      </c>
      <c r="AO17" s="75">
        <f t="shared" si="15"/>
        <v>2000</v>
      </c>
      <c r="AP17" s="75">
        <f t="shared" si="34"/>
        <v>77145.833333333343</v>
      </c>
      <c r="AQ17" s="78">
        <f t="shared" si="36"/>
        <v>77146</v>
      </c>
      <c r="AR17" s="75">
        <f t="shared" si="54"/>
        <v>0</v>
      </c>
      <c r="AS17" s="75">
        <f t="shared" si="35"/>
        <v>1800</v>
      </c>
      <c r="AT17" s="13"/>
      <c r="AU17" s="75">
        <f t="shared" si="20"/>
        <v>80945.833333333343</v>
      </c>
      <c r="AV17" s="29">
        <f>'May 2025'!AT17</f>
        <v>0</v>
      </c>
      <c r="AW17" s="29">
        <f t="shared" si="31"/>
        <v>0</v>
      </c>
      <c r="AX17" s="34"/>
      <c r="AY17" s="77">
        <f t="shared" si="37"/>
        <v>0</v>
      </c>
      <c r="AZ17" s="79">
        <f t="shared" si="23"/>
        <v>0</v>
      </c>
      <c r="BA17" s="79"/>
      <c r="BB17" s="75">
        <v>0</v>
      </c>
      <c r="BC17" s="80" t="s">
        <v>165</v>
      </c>
    </row>
    <row r="18" spans="1:55" ht="15.75" customHeight="1" x14ac:dyDescent="0.3">
      <c r="A18" s="21">
        <v>1039</v>
      </c>
      <c r="B18" s="22" t="e">
        <f>VLOOKUP(A18,#REF!,2,FALSE)</f>
        <v>#REF!</v>
      </c>
      <c r="C18" s="8" t="e">
        <f>VLOOKUP(A18,#REF!,19,FALSE)</f>
        <v>#REF!</v>
      </c>
      <c r="D18" s="8" t="e">
        <f>VLOOKUP(A18,#REF!,8,FALSE)</f>
        <v>#REF!</v>
      </c>
      <c r="E18" s="8" t="e">
        <f>VLOOKUP(A18,#REF!,10,FALSE)</f>
        <v>#REF!</v>
      </c>
      <c r="F18" s="8" t="e">
        <f>VLOOKUP(A18,#REF!,11,FALSE)</f>
        <v>#REF!</v>
      </c>
      <c r="G18" s="8" t="e">
        <f>VLOOKUP(A18,#REF!,12,FALSE)</f>
        <v>#REF!</v>
      </c>
      <c r="H18" s="8"/>
      <c r="I18" s="100">
        <v>30</v>
      </c>
      <c r="J18" s="100">
        <v>30</v>
      </c>
      <c r="K18" s="115">
        <v>0</v>
      </c>
      <c r="L18" s="101">
        <v>0</v>
      </c>
      <c r="M18" s="73">
        <v>0</v>
      </c>
      <c r="N18" s="24">
        <f t="shared" si="0"/>
        <v>0</v>
      </c>
      <c r="O18" s="24">
        <f t="shared" si="1"/>
        <v>0</v>
      </c>
      <c r="P18" s="24">
        <f t="shared" si="2"/>
        <v>30</v>
      </c>
      <c r="Q18" s="36">
        <v>15000</v>
      </c>
      <c r="R18" s="36">
        <f t="shared" ref="R18:R19" si="55">2850*2</f>
        <v>5700</v>
      </c>
      <c r="S18" s="36">
        <f t="shared" ref="S18:T18" si="56">950*2</f>
        <v>1900</v>
      </c>
      <c r="T18" s="36">
        <f t="shared" si="56"/>
        <v>1900</v>
      </c>
      <c r="U18" s="36">
        <f t="shared" ref="U18:V18" si="57">1015*2</f>
        <v>2030</v>
      </c>
      <c r="V18" s="36">
        <f t="shared" si="57"/>
        <v>2030</v>
      </c>
      <c r="W18" s="29">
        <f t="shared" si="3"/>
        <v>28560</v>
      </c>
      <c r="X18" s="30">
        <v>21780</v>
      </c>
      <c r="Y18" s="76">
        <f t="shared" si="4"/>
        <v>6780</v>
      </c>
      <c r="Z18" s="147">
        <f t="shared" si="5"/>
        <v>0.23739495798319327</v>
      </c>
      <c r="AA18" s="30">
        <f t="shared" si="6"/>
        <v>15000</v>
      </c>
      <c r="AB18" s="30">
        <f t="shared" si="7"/>
        <v>5700</v>
      </c>
      <c r="AC18" s="30">
        <f t="shared" si="8"/>
        <v>1900</v>
      </c>
      <c r="AD18" s="30">
        <f t="shared" si="9"/>
        <v>1900</v>
      </c>
      <c r="AE18" s="91">
        <f t="shared" ref="AE18:AE23" si="58">U18*0.9*3</f>
        <v>5481</v>
      </c>
      <c r="AF18" s="91">
        <f t="shared" ref="AF18:AF23" si="59">V18*0.7*3</f>
        <v>4263</v>
      </c>
      <c r="AG18" s="12"/>
      <c r="AH18" s="10"/>
      <c r="AI18" s="31">
        <v>0</v>
      </c>
      <c r="AJ18" s="29">
        <f t="shared" si="11"/>
        <v>1800</v>
      </c>
      <c r="AK18" s="29">
        <f t="shared" ref="AK18:AK31" si="60">IF(SUM(AA18:AD18)&gt;=25000, 200, 0)</f>
        <v>0</v>
      </c>
      <c r="AL18" s="29">
        <f t="shared" si="53"/>
        <v>0</v>
      </c>
      <c r="AM18" s="13"/>
      <c r="AN18" s="29">
        <f t="shared" si="33"/>
        <v>34244</v>
      </c>
      <c r="AO18" s="29">
        <f t="shared" si="15"/>
        <v>1800</v>
      </c>
      <c r="AP18" s="29">
        <f t="shared" si="34"/>
        <v>32444</v>
      </c>
      <c r="AQ18" s="33">
        <f t="shared" si="36"/>
        <v>32444</v>
      </c>
      <c r="AR18" s="29">
        <f t="shared" si="54"/>
        <v>0</v>
      </c>
      <c r="AS18" s="29">
        <f t="shared" si="35"/>
        <v>1800</v>
      </c>
      <c r="AT18" s="13"/>
      <c r="AU18" s="29">
        <f t="shared" si="20"/>
        <v>36044</v>
      </c>
      <c r="AV18" s="29">
        <f>'May 2025'!AT18</f>
        <v>0</v>
      </c>
      <c r="AW18" s="29">
        <f t="shared" si="31"/>
        <v>0</v>
      </c>
      <c r="AX18" s="34"/>
      <c r="AY18" s="31">
        <f t="shared" si="37"/>
        <v>0</v>
      </c>
      <c r="AZ18" s="79"/>
      <c r="BA18" s="79"/>
      <c r="BB18" s="75">
        <v>0</v>
      </c>
      <c r="BC18" s="80" t="s">
        <v>165</v>
      </c>
    </row>
    <row r="19" spans="1:55" ht="15.75" customHeight="1" x14ac:dyDescent="0.3">
      <c r="A19" s="21">
        <v>1040</v>
      </c>
      <c r="B19" s="22" t="e">
        <f>VLOOKUP(A19,#REF!,2,FALSE)</f>
        <v>#REF!</v>
      </c>
      <c r="C19" s="8" t="e">
        <f>VLOOKUP(A19,#REF!,19,FALSE)</f>
        <v>#REF!</v>
      </c>
      <c r="D19" s="8" t="e">
        <f>VLOOKUP(A19,#REF!,8,FALSE)</f>
        <v>#REF!</v>
      </c>
      <c r="E19" s="8" t="e">
        <f>VLOOKUP(A19,#REF!,10,FALSE)</f>
        <v>#REF!</v>
      </c>
      <c r="F19" s="8" t="e">
        <f>VLOOKUP(A19,#REF!,11,FALSE)</f>
        <v>#REF!</v>
      </c>
      <c r="G19" s="8" t="e">
        <f>VLOOKUP(A19,#REF!,12,FALSE)</f>
        <v>#REF!</v>
      </c>
      <c r="H19" s="8"/>
      <c r="I19" s="100">
        <v>30</v>
      </c>
      <c r="J19" s="100">
        <v>30</v>
      </c>
      <c r="K19" s="115">
        <v>0</v>
      </c>
      <c r="L19" s="101">
        <v>0</v>
      </c>
      <c r="M19" s="73">
        <v>0</v>
      </c>
      <c r="N19" s="24">
        <f t="shared" si="0"/>
        <v>0</v>
      </c>
      <c r="O19" s="24">
        <f t="shared" si="1"/>
        <v>0</v>
      </c>
      <c r="P19" s="24">
        <f t="shared" si="2"/>
        <v>30</v>
      </c>
      <c r="Q19" s="36">
        <v>15000</v>
      </c>
      <c r="R19" s="36">
        <f t="shared" si="55"/>
        <v>5700</v>
      </c>
      <c r="S19" s="36">
        <f t="shared" ref="S19:T19" si="61">950*2</f>
        <v>1900</v>
      </c>
      <c r="T19" s="36">
        <f t="shared" si="61"/>
        <v>1900</v>
      </c>
      <c r="U19" s="36">
        <f t="shared" ref="U19:V19" si="62">1195*2</f>
        <v>2390</v>
      </c>
      <c r="V19" s="36">
        <f t="shared" si="62"/>
        <v>2390</v>
      </c>
      <c r="W19" s="29">
        <f t="shared" si="3"/>
        <v>29280</v>
      </c>
      <c r="X19" s="30">
        <v>22140</v>
      </c>
      <c r="Y19" s="76">
        <f t="shared" si="4"/>
        <v>7140</v>
      </c>
      <c r="Z19" s="147">
        <f t="shared" si="5"/>
        <v>0.24385245901639344</v>
      </c>
      <c r="AA19" s="30">
        <f t="shared" si="6"/>
        <v>15000</v>
      </c>
      <c r="AB19" s="30">
        <f t="shared" si="7"/>
        <v>5700</v>
      </c>
      <c r="AC19" s="30">
        <f t="shared" si="8"/>
        <v>1900</v>
      </c>
      <c r="AD19" s="30">
        <f t="shared" si="9"/>
        <v>1900</v>
      </c>
      <c r="AE19" s="91">
        <f t="shared" si="58"/>
        <v>6453</v>
      </c>
      <c r="AF19" s="91">
        <f t="shared" si="59"/>
        <v>5019</v>
      </c>
      <c r="AG19" s="12"/>
      <c r="AH19" s="10"/>
      <c r="AI19" s="31">
        <v>0</v>
      </c>
      <c r="AJ19" s="29">
        <f t="shared" si="11"/>
        <v>1800</v>
      </c>
      <c r="AK19" s="29">
        <f t="shared" si="60"/>
        <v>0</v>
      </c>
      <c r="AL19" s="29">
        <f t="shared" si="53"/>
        <v>0</v>
      </c>
      <c r="AM19" s="13"/>
      <c r="AN19" s="29">
        <f t="shared" si="33"/>
        <v>35972</v>
      </c>
      <c r="AO19" s="29">
        <f t="shared" si="15"/>
        <v>1800</v>
      </c>
      <c r="AP19" s="29">
        <f t="shared" si="34"/>
        <v>34172</v>
      </c>
      <c r="AQ19" s="33">
        <f t="shared" si="36"/>
        <v>34172</v>
      </c>
      <c r="AR19" s="29">
        <f t="shared" si="54"/>
        <v>0</v>
      </c>
      <c r="AS19" s="29">
        <f t="shared" si="35"/>
        <v>1800</v>
      </c>
      <c r="AT19" s="13"/>
      <c r="AU19" s="29">
        <f t="shared" si="20"/>
        <v>37772</v>
      </c>
      <c r="AV19" s="29">
        <f>'May 2025'!AT19</f>
        <v>0</v>
      </c>
      <c r="AW19" s="29">
        <f t="shared" si="31"/>
        <v>0</v>
      </c>
      <c r="AX19" s="34"/>
      <c r="AY19" s="31">
        <f t="shared" si="37"/>
        <v>0</v>
      </c>
      <c r="AZ19" s="79"/>
      <c r="BA19" s="79"/>
      <c r="BB19" s="75">
        <v>0</v>
      </c>
      <c r="BC19" s="80" t="s">
        <v>165</v>
      </c>
    </row>
    <row r="20" spans="1:55" ht="15.75" customHeight="1" x14ac:dyDescent="0.3">
      <c r="A20" s="21">
        <v>1043</v>
      </c>
      <c r="B20" s="22" t="e">
        <f>VLOOKUP(A20,#REF!,2,FALSE)</f>
        <v>#REF!</v>
      </c>
      <c r="C20" s="8" t="e">
        <f>VLOOKUP(A20,#REF!,19,FALSE)</f>
        <v>#REF!</v>
      </c>
      <c r="D20" s="8" t="e">
        <f>VLOOKUP(A20,#REF!,8,FALSE)</f>
        <v>#REF!</v>
      </c>
      <c r="E20" s="8" t="e">
        <f>VLOOKUP(A20,#REF!,10,FALSE)</f>
        <v>#REF!</v>
      </c>
      <c r="F20" s="8" t="e">
        <f>VLOOKUP(A20,#REF!,11,FALSE)</f>
        <v>#REF!</v>
      </c>
      <c r="G20" s="8" t="e">
        <f>VLOOKUP(A20,#REF!,12,FALSE)</f>
        <v>#REF!</v>
      </c>
      <c r="H20" s="8"/>
      <c r="I20" s="100">
        <v>30</v>
      </c>
      <c r="J20" s="100">
        <v>30</v>
      </c>
      <c r="K20" s="115">
        <v>0</v>
      </c>
      <c r="L20" s="101">
        <v>0</v>
      </c>
      <c r="M20" s="73">
        <v>0</v>
      </c>
      <c r="N20" s="24">
        <f t="shared" si="0"/>
        <v>0</v>
      </c>
      <c r="O20" s="24">
        <f t="shared" si="1"/>
        <v>0</v>
      </c>
      <c r="P20" s="24">
        <f t="shared" si="2"/>
        <v>30</v>
      </c>
      <c r="Q20" s="36">
        <v>15000</v>
      </c>
      <c r="R20" s="36">
        <f>2850*1.8</f>
        <v>5130</v>
      </c>
      <c r="S20" s="36">
        <f t="shared" ref="S20:T20" si="63">950*1.8</f>
        <v>1710</v>
      </c>
      <c r="T20" s="36">
        <f t="shared" si="63"/>
        <v>1710</v>
      </c>
      <c r="U20" s="36">
        <f t="shared" ref="U20:V20" si="64">1015*1.8</f>
        <v>1827</v>
      </c>
      <c r="V20" s="36">
        <f t="shared" si="64"/>
        <v>1827</v>
      </c>
      <c r="W20" s="29">
        <f t="shared" si="3"/>
        <v>27204</v>
      </c>
      <c r="X20" s="30">
        <v>21780</v>
      </c>
      <c r="Y20" s="76">
        <f t="shared" si="4"/>
        <v>5424</v>
      </c>
      <c r="Z20" s="147">
        <f t="shared" si="5"/>
        <v>0.19938244375827086</v>
      </c>
      <c r="AA20" s="30">
        <f t="shared" si="6"/>
        <v>15000</v>
      </c>
      <c r="AB20" s="30">
        <f t="shared" si="7"/>
        <v>5130</v>
      </c>
      <c r="AC20" s="30">
        <f t="shared" si="8"/>
        <v>1710</v>
      </c>
      <c r="AD20" s="30">
        <f t="shared" si="9"/>
        <v>1710</v>
      </c>
      <c r="AE20" s="91">
        <f t="shared" si="58"/>
        <v>4932.8999999999996</v>
      </c>
      <c r="AF20" s="91">
        <f t="shared" si="59"/>
        <v>3836.7</v>
      </c>
      <c r="AG20" s="12"/>
      <c r="AH20" s="10"/>
      <c r="AI20" s="31">
        <v>0</v>
      </c>
      <c r="AJ20" s="29">
        <f t="shared" si="11"/>
        <v>1800</v>
      </c>
      <c r="AK20" s="29">
        <f t="shared" si="60"/>
        <v>0</v>
      </c>
      <c r="AL20" s="29">
        <f t="shared" si="53"/>
        <v>0</v>
      </c>
      <c r="AM20" s="13"/>
      <c r="AN20" s="29">
        <f t="shared" si="33"/>
        <v>32319.600000000002</v>
      </c>
      <c r="AO20" s="29">
        <f t="shared" si="15"/>
        <v>1800</v>
      </c>
      <c r="AP20" s="29">
        <f t="shared" si="34"/>
        <v>30519.600000000002</v>
      </c>
      <c r="AQ20" s="33">
        <f t="shared" si="36"/>
        <v>30520</v>
      </c>
      <c r="AR20" s="29">
        <f t="shared" si="54"/>
        <v>0</v>
      </c>
      <c r="AS20" s="29">
        <f t="shared" si="35"/>
        <v>1800</v>
      </c>
      <c r="AT20" s="13"/>
      <c r="AU20" s="29">
        <f t="shared" si="20"/>
        <v>34119.600000000006</v>
      </c>
      <c r="AV20" s="29">
        <f>'May 2025'!AT20</f>
        <v>0</v>
      </c>
      <c r="AW20" s="29">
        <f t="shared" si="31"/>
        <v>0</v>
      </c>
      <c r="AX20" s="34"/>
      <c r="AY20" s="31">
        <f t="shared" si="37"/>
        <v>0</v>
      </c>
      <c r="AZ20" s="79"/>
      <c r="BA20" s="79"/>
      <c r="BB20" s="75">
        <v>0</v>
      </c>
      <c r="BC20" s="80" t="s">
        <v>165</v>
      </c>
    </row>
    <row r="21" spans="1:55" ht="15.75" customHeight="1" x14ac:dyDescent="0.3">
      <c r="A21" s="116">
        <v>1045</v>
      </c>
      <c r="B21" s="117" t="e">
        <f>VLOOKUP(A21,#REF!,2,FALSE)</f>
        <v>#REF!</v>
      </c>
      <c r="C21" s="118" t="e">
        <f>VLOOKUP(A21,#REF!,19,FALSE)</f>
        <v>#REF!</v>
      </c>
      <c r="D21" s="118" t="e">
        <f>VLOOKUP(A21,#REF!,8,FALSE)</f>
        <v>#REF!</v>
      </c>
      <c r="E21" s="118" t="e">
        <f>VLOOKUP(A21,#REF!,10,FALSE)</f>
        <v>#REF!</v>
      </c>
      <c r="F21" s="118" t="e">
        <f>VLOOKUP(A21,#REF!,11,FALSE)</f>
        <v>#REF!</v>
      </c>
      <c r="G21" s="118" t="e">
        <f>VLOOKUP(A21,#REF!,12,FALSE)</f>
        <v>#REF!</v>
      </c>
      <c r="H21" s="118"/>
      <c r="I21" s="124">
        <v>30</v>
      </c>
      <c r="J21" s="124">
        <v>30</v>
      </c>
      <c r="K21" s="125">
        <v>0</v>
      </c>
      <c r="L21" s="126">
        <v>0</v>
      </c>
      <c r="M21" s="143">
        <v>0</v>
      </c>
      <c r="N21" s="129">
        <f t="shared" si="0"/>
        <v>0</v>
      </c>
      <c r="O21" s="129">
        <f t="shared" si="1"/>
        <v>0</v>
      </c>
      <c r="P21" s="129">
        <f t="shared" si="2"/>
        <v>30</v>
      </c>
      <c r="Q21" s="116">
        <v>15000</v>
      </c>
      <c r="R21" s="116">
        <v>2850</v>
      </c>
      <c r="S21" s="116">
        <v>950</v>
      </c>
      <c r="T21" s="116">
        <v>950</v>
      </c>
      <c r="U21" s="116">
        <v>1195</v>
      </c>
      <c r="V21" s="116">
        <v>1195</v>
      </c>
      <c r="W21" s="133"/>
      <c r="X21" s="133"/>
      <c r="Y21" s="134">
        <f t="shared" si="4"/>
        <v>0</v>
      </c>
      <c r="Z21" s="161" t="e">
        <f t="shared" si="5"/>
        <v>#DIV/0!</v>
      </c>
      <c r="AA21" s="133">
        <f t="shared" si="6"/>
        <v>15000</v>
      </c>
      <c r="AB21" s="133">
        <f t="shared" si="7"/>
        <v>2850</v>
      </c>
      <c r="AC21" s="133">
        <f t="shared" si="8"/>
        <v>950</v>
      </c>
      <c r="AD21" s="133">
        <f t="shared" si="9"/>
        <v>950</v>
      </c>
      <c r="AE21" s="133">
        <f t="shared" si="58"/>
        <v>3226.5</v>
      </c>
      <c r="AF21" s="133">
        <f t="shared" si="59"/>
        <v>2509.5</v>
      </c>
      <c r="AG21" s="144"/>
      <c r="AH21" s="132">
        <v>2613</v>
      </c>
      <c r="AI21" s="133">
        <v>0</v>
      </c>
      <c r="AJ21" s="133">
        <f t="shared" si="11"/>
        <v>1800</v>
      </c>
      <c r="AK21" s="133">
        <f t="shared" si="60"/>
        <v>0</v>
      </c>
      <c r="AL21" s="133">
        <f t="shared" si="53"/>
        <v>148.125</v>
      </c>
      <c r="AM21" s="144"/>
      <c r="AN21" s="133">
        <f t="shared" si="33"/>
        <v>28099</v>
      </c>
      <c r="AO21" s="133">
        <f t="shared" si="15"/>
        <v>1948.125</v>
      </c>
      <c r="AP21" s="133">
        <f t="shared" si="34"/>
        <v>26150.875</v>
      </c>
      <c r="AQ21" s="133">
        <f t="shared" si="36"/>
        <v>26151</v>
      </c>
      <c r="AR21" s="133">
        <f t="shared" si="54"/>
        <v>641.875</v>
      </c>
      <c r="AS21" s="133">
        <f t="shared" si="35"/>
        <v>1800</v>
      </c>
      <c r="AT21" s="144"/>
      <c r="AU21" s="133">
        <f t="shared" si="20"/>
        <v>30540.875</v>
      </c>
      <c r="AV21" s="133">
        <f>'May 2025'!AT21</f>
        <v>0</v>
      </c>
      <c r="AW21" s="133">
        <f t="shared" si="31"/>
        <v>0</v>
      </c>
      <c r="AX21" s="135"/>
      <c r="AY21" s="133">
        <f t="shared" si="37"/>
        <v>0</v>
      </c>
      <c r="AZ21" s="135"/>
      <c r="BA21" s="135" t="s">
        <v>171</v>
      </c>
      <c r="BB21" s="134">
        <v>0</v>
      </c>
      <c r="BC21" s="162" t="s">
        <v>165</v>
      </c>
    </row>
    <row r="22" spans="1:55" ht="15.75" customHeight="1" x14ac:dyDescent="0.3">
      <c r="A22" s="21">
        <v>1046</v>
      </c>
      <c r="B22" s="22" t="e">
        <f>VLOOKUP(A22,#REF!,2,FALSE)</f>
        <v>#REF!</v>
      </c>
      <c r="C22" s="8" t="e">
        <f>VLOOKUP(A22,#REF!,19,FALSE)</f>
        <v>#REF!</v>
      </c>
      <c r="D22" s="8" t="e">
        <f>VLOOKUP(A22,#REF!,8,FALSE)</f>
        <v>#REF!</v>
      </c>
      <c r="E22" s="8" t="e">
        <f>VLOOKUP(A22,#REF!,10,FALSE)</f>
        <v>#REF!</v>
      </c>
      <c r="F22" s="8" t="e">
        <f>VLOOKUP(A22,#REF!,11,FALSE)</f>
        <v>#REF!</v>
      </c>
      <c r="G22" s="8" t="e">
        <f>VLOOKUP(A22,#REF!,12,FALSE)</f>
        <v>#REF!</v>
      </c>
      <c r="H22" s="8"/>
      <c r="I22" s="100">
        <v>30</v>
      </c>
      <c r="J22" s="100">
        <v>30</v>
      </c>
      <c r="K22" s="115">
        <v>0</v>
      </c>
      <c r="L22" s="101">
        <v>0</v>
      </c>
      <c r="M22" s="73">
        <v>0</v>
      </c>
      <c r="N22" s="24">
        <f t="shared" si="0"/>
        <v>0</v>
      </c>
      <c r="O22" s="24">
        <f t="shared" si="1"/>
        <v>0</v>
      </c>
      <c r="P22" s="24">
        <f t="shared" si="2"/>
        <v>30</v>
      </c>
      <c r="Q22" s="36">
        <v>15000</v>
      </c>
      <c r="R22" s="36">
        <f>2850*2</f>
        <v>5700</v>
      </c>
      <c r="S22" s="36">
        <f t="shared" ref="S22:T22" si="65">950*2</f>
        <v>1900</v>
      </c>
      <c r="T22" s="36">
        <f t="shared" si="65"/>
        <v>1900</v>
      </c>
      <c r="U22" s="37">
        <v>2152</v>
      </c>
      <c r="V22" s="37">
        <v>2152</v>
      </c>
      <c r="W22" s="29">
        <f t="shared" ref="W22:W33" si="66">SUM(Q22:V22)</f>
        <v>28804</v>
      </c>
      <c r="X22" s="30">
        <v>22016</v>
      </c>
      <c r="Y22" s="76">
        <f t="shared" si="4"/>
        <v>6788</v>
      </c>
      <c r="Z22" s="147">
        <f t="shared" si="5"/>
        <v>0.23566171365088182</v>
      </c>
      <c r="AA22" s="30">
        <f t="shared" si="6"/>
        <v>15000</v>
      </c>
      <c r="AB22" s="30">
        <f t="shared" si="7"/>
        <v>5700</v>
      </c>
      <c r="AC22" s="30">
        <f t="shared" si="8"/>
        <v>1900</v>
      </c>
      <c r="AD22" s="30">
        <f t="shared" si="9"/>
        <v>1900</v>
      </c>
      <c r="AE22" s="91">
        <f t="shared" si="58"/>
        <v>5810.4</v>
      </c>
      <c r="AF22" s="91">
        <f t="shared" si="59"/>
        <v>4519.2</v>
      </c>
      <c r="AG22" s="12"/>
      <c r="AH22" s="10"/>
      <c r="AI22" s="31">
        <v>0</v>
      </c>
      <c r="AJ22" s="29">
        <f t="shared" si="11"/>
        <v>1800</v>
      </c>
      <c r="AK22" s="29">
        <f t="shared" si="60"/>
        <v>0</v>
      </c>
      <c r="AL22" s="29">
        <f t="shared" si="53"/>
        <v>0</v>
      </c>
      <c r="AM22" s="13"/>
      <c r="AN22" s="29">
        <f t="shared" si="33"/>
        <v>34829.599999999999</v>
      </c>
      <c r="AO22" s="29">
        <f t="shared" si="15"/>
        <v>1800</v>
      </c>
      <c r="AP22" s="29">
        <f t="shared" si="34"/>
        <v>33029.599999999999</v>
      </c>
      <c r="AQ22" s="33">
        <f t="shared" si="36"/>
        <v>33030</v>
      </c>
      <c r="AR22" s="29">
        <f t="shared" si="54"/>
        <v>0</v>
      </c>
      <c r="AS22" s="29">
        <f t="shared" si="35"/>
        <v>1800</v>
      </c>
      <c r="AT22" s="13"/>
      <c r="AU22" s="29">
        <f t="shared" si="20"/>
        <v>36629.599999999999</v>
      </c>
      <c r="AV22" s="29">
        <f>'May 2025'!AT22</f>
        <v>0</v>
      </c>
      <c r="AW22" s="29">
        <f t="shared" si="31"/>
        <v>0</v>
      </c>
      <c r="AX22" s="34"/>
      <c r="AY22" s="31">
        <f t="shared" si="37"/>
        <v>0</v>
      </c>
      <c r="AZ22" s="79"/>
      <c r="BA22" s="79"/>
      <c r="BB22" s="75">
        <v>0</v>
      </c>
      <c r="BC22" s="80" t="s">
        <v>165</v>
      </c>
    </row>
    <row r="23" spans="1:55" ht="15.75" customHeight="1" x14ac:dyDescent="0.3">
      <c r="A23" s="50">
        <v>1048</v>
      </c>
      <c r="B23" s="22" t="e">
        <f>VLOOKUP(A23,#REF!,2,FALSE)</f>
        <v>#REF!</v>
      </c>
      <c r="C23" s="8" t="e">
        <f>VLOOKUP(A23,#REF!,19,FALSE)</f>
        <v>#REF!</v>
      </c>
      <c r="D23" s="8" t="e">
        <f>VLOOKUP(A23,#REF!,8,FALSE)</f>
        <v>#REF!</v>
      </c>
      <c r="E23" s="8" t="e">
        <f>VLOOKUP(A23,#REF!,10,FALSE)</f>
        <v>#REF!</v>
      </c>
      <c r="F23" s="8" t="e">
        <f>VLOOKUP(A23,#REF!,11,FALSE)</f>
        <v>#REF!</v>
      </c>
      <c r="G23" s="8" t="e">
        <f>VLOOKUP(A23,#REF!,12,FALSE)</f>
        <v>#REF!</v>
      </c>
      <c r="H23" s="8"/>
      <c r="I23" s="100">
        <v>30</v>
      </c>
      <c r="J23" s="100">
        <v>30</v>
      </c>
      <c r="K23" s="115">
        <v>0</v>
      </c>
      <c r="L23" s="101">
        <v>0</v>
      </c>
      <c r="M23" s="73">
        <v>0</v>
      </c>
      <c r="N23" s="24">
        <f t="shared" si="0"/>
        <v>0</v>
      </c>
      <c r="O23" s="24">
        <f t="shared" si="1"/>
        <v>0</v>
      </c>
      <c r="P23" s="24">
        <f t="shared" si="2"/>
        <v>30</v>
      </c>
      <c r="Q23" s="36">
        <v>15000</v>
      </c>
      <c r="R23" s="36">
        <f>2610*1.9</f>
        <v>4959</v>
      </c>
      <c r="S23" s="36">
        <f t="shared" ref="S23:T23" si="67">870*1.9</f>
        <v>1653</v>
      </c>
      <c r="T23" s="36">
        <f t="shared" si="67"/>
        <v>1653</v>
      </c>
      <c r="U23" s="37">
        <v>1283</v>
      </c>
      <c r="V23" s="37">
        <v>1283</v>
      </c>
      <c r="W23" s="29">
        <f t="shared" si="66"/>
        <v>25831</v>
      </c>
      <c r="X23" s="30">
        <v>20700</v>
      </c>
      <c r="Y23" s="76">
        <f t="shared" si="4"/>
        <v>5131</v>
      </c>
      <c r="Z23" s="147">
        <f t="shared" si="5"/>
        <v>0.19863729627192134</v>
      </c>
      <c r="AA23" s="30">
        <f t="shared" si="6"/>
        <v>15000</v>
      </c>
      <c r="AB23" s="30">
        <f t="shared" si="7"/>
        <v>4959</v>
      </c>
      <c r="AC23" s="30">
        <f t="shared" si="8"/>
        <v>1653</v>
      </c>
      <c r="AD23" s="30">
        <f t="shared" si="9"/>
        <v>1653</v>
      </c>
      <c r="AE23" s="91">
        <f t="shared" si="58"/>
        <v>3464.1000000000004</v>
      </c>
      <c r="AF23" s="91">
        <f t="shared" si="59"/>
        <v>2694.2999999999997</v>
      </c>
      <c r="AG23" s="12"/>
      <c r="AH23" s="10"/>
      <c r="AI23" s="31">
        <v>0</v>
      </c>
      <c r="AJ23" s="29">
        <f t="shared" si="11"/>
        <v>1800</v>
      </c>
      <c r="AK23" s="29">
        <f t="shared" si="60"/>
        <v>0</v>
      </c>
      <c r="AL23" s="29">
        <f t="shared" si="53"/>
        <v>0</v>
      </c>
      <c r="AM23" s="13"/>
      <c r="AN23" s="29">
        <f t="shared" si="33"/>
        <v>29423.399999999998</v>
      </c>
      <c r="AO23" s="29">
        <f t="shared" si="15"/>
        <v>1800</v>
      </c>
      <c r="AP23" s="29">
        <f t="shared" si="34"/>
        <v>27623.399999999998</v>
      </c>
      <c r="AQ23" s="33">
        <f t="shared" si="36"/>
        <v>27623</v>
      </c>
      <c r="AR23" s="29">
        <f t="shared" si="54"/>
        <v>0</v>
      </c>
      <c r="AS23" s="29">
        <f t="shared" si="35"/>
        <v>1800</v>
      </c>
      <c r="AT23" s="13"/>
      <c r="AU23" s="29">
        <f t="shared" si="20"/>
        <v>31223.399999999998</v>
      </c>
      <c r="AV23" s="29">
        <f>'May 2025'!AT23</f>
        <v>0</v>
      </c>
      <c r="AW23" s="29">
        <f t="shared" si="31"/>
        <v>0</v>
      </c>
      <c r="AX23" s="34"/>
      <c r="AY23" s="31">
        <f t="shared" si="37"/>
        <v>0</v>
      </c>
      <c r="AZ23" s="79"/>
      <c r="BA23" s="79"/>
      <c r="BB23" s="75">
        <v>0</v>
      </c>
      <c r="BC23" s="80" t="s">
        <v>165</v>
      </c>
    </row>
    <row r="24" spans="1:55" ht="15.75" customHeight="1" x14ac:dyDescent="0.3">
      <c r="A24" s="21">
        <v>1049</v>
      </c>
      <c r="B24" s="22" t="e">
        <f>VLOOKUP(A24,#REF!,2,FALSE)</f>
        <v>#REF!</v>
      </c>
      <c r="C24" s="8" t="e">
        <f>VLOOKUP(A24,#REF!,19,FALSE)</f>
        <v>#REF!</v>
      </c>
      <c r="D24" s="8" t="e">
        <f>VLOOKUP(A24,#REF!,8,FALSE)</f>
        <v>#REF!</v>
      </c>
      <c r="E24" s="8" t="e">
        <f>VLOOKUP(A24,#REF!,10,FALSE)</f>
        <v>#REF!</v>
      </c>
      <c r="F24" s="8" t="e">
        <f>VLOOKUP(A24,#REF!,11,FALSE)</f>
        <v>#REF!</v>
      </c>
      <c r="G24" s="8" t="e">
        <f>VLOOKUP(A24,#REF!,12,FALSE)</f>
        <v>#REF!</v>
      </c>
      <c r="H24" s="8"/>
      <c r="I24" s="100">
        <v>30</v>
      </c>
      <c r="J24" s="100">
        <v>30</v>
      </c>
      <c r="K24" s="115">
        <v>0</v>
      </c>
      <c r="L24" s="101">
        <v>0</v>
      </c>
      <c r="M24" s="73">
        <v>0</v>
      </c>
      <c r="N24" s="24">
        <f t="shared" si="0"/>
        <v>0</v>
      </c>
      <c r="O24" s="24">
        <f t="shared" si="1"/>
        <v>0</v>
      </c>
      <c r="P24" s="24">
        <f t="shared" si="2"/>
        <v>30</v>
      </c>
      <c r="Q24" s="86">
        <v>15000</v>
      </c>
      <c r="R24" s="111">
        <v>6000</v>
      </c>
      <c r="S24" s="111">
        <v>5000</v>
      </c>
      <c r="T24" s="111">
        <v>6000</v>
      </c>
      <c r="U24" s="111">
        <v>4000</v>
      </c>
      <c r="V24" s="111">
        <v>4000</v>
      </c>
      <c r="W24" s="83">
        <f t="shared" si="66"/>
        <v>40000</v>
      </c>
      <c r="X24" s="30">
        <v>35000</v>
      </c>
      <c r="Y24" s="76">
        <f t="shared" si="4"/>
        <v>5000</v>
      </c>
      <c r="Z24" s="147">
        <f t="shared" si="5"/>
        <v>0.125</v>
      </c>
      <c r="AA24" s="30">
        <f t="shared" si="6"/>
        <v>15000</v>
      </c>
      <c r="AB24" s="30">
        <f t="shared" si="7"/>
        <v>6000</v>
      </c>
      <c r="AC24" s="30">
        <f t="shared" si="8"/>
        <v>5000</v>
      </c>
      <c r="AD24" s="30">
        <f t="shared" si="9"/>
        <v>6000</v>
      </c>
      <c r="AE24" s="77">
        <f>U24*1</f>
        <v>4000</v>
      </c>
      <c r="AF24" s="77">
        <f>V24*0.7</f>
        <v>2800</v>
      </c>
      <c r="AG24" s="12"/>
      <c r="AH24" s="10"/>
      <c r="AI24" s="31">
        <v>0</v>
      </c>
      <c r="AJ24" s="29">
        <f t="shared" si="11"/>
        <v>1800</v>
      </c>
      <c r="AK24" s="29">
        <f t="shared" si="60"/>
        <v>200</v>
      </c>
      <c r="AL24" s="29">
        <f t="shared" si="53"/>
        <v>0</v>
      </c>
      <c r="AM24" s="13"/>
      <c r="AN24" s="29">
        <f t="shared" si="33"/>
        <v>38800</v>
      </c>
      <c r="AO24" s="29">
        <f t="shared" si="15"/>
        <v>2000</v>
      </c>
      <c r="AP24" s="29">
        <f t="shared" si="34"/>
        <v>36800</v>
      </c>
      <c r="AQ24" s="33">
        <f t="shared" si="36"/>
        <v>36800</v>
      </c>
      <c r="AR24" s="29">
        <f t="shared" si="54"/>
        <v>0</v>
      </c>
      <c r="AS24" s="29">
        <f t="shared" si="35"/>
        <v>1800</v>
      </c>
      <c r="AT24" s="13"/>
      <c r="AU24" s="29">
        <f t="shared" si="20"/>
        <v>40600</v>
      </c>
      <c r="AV24" s="29">
        <f>'May 2025'!AT24</f>
        <v>0</v>
      </c>
      <c r="AW24" s="29">
        <f t="shared" si="31"/>
        <v>0</v>
      </c>
      <c r="AX24" s="34"/>
      <c r="AY24" s="31">
        <f t="shared" si="37"/>
        <v>0</v>
      </c>
      <c r="AZ24" s="79"/>
      <c r="BA24" s="79"/>
      <c r="BB24" s="75">
        <v>0</v>
      </c>
      <c r="BC24" s="80" t="s">
        <v>165</v>
      </c>
    </row>
    <row r="25" spans="1:55" ht="15.75" customHeight="1" x14ac:dyDescent="0.3">
      <c r="A25" s="21">
        <v>1050</v>
      </c>
      <c r="B25" s="22" t="e">
        <f>VLOOKUP(A25,#REF!,2,FALSE)</f>
        <v>#REF!</v>
      </c>
      <c r="C25" s="8" t="e">
        <f>VLOOKUP(A25,#REF!,19,FALSE)</f>
        <v>#REF!</v>
      </c>
      <c r="D25" s="8" t="e">
        <f>VLOOKUP(A25,#REF!,8,FALSE)</f>
        <v>#REF!</v>
      </c>
      <c r="E25" s="8" t="e">
        <f>VLOOKUP(A25,#REF!,10,FALSE)</f>
        <v>#REF!</v>
      </c>
      <c r="F25" s="8" t="e">
        <f>VLOOKUP(A25,#REF!,11,FALSE)</f>
        <v>#REF!</v>
      </c>
      <c r="G25" s="8" t="e">
        <f>VLOOKUP(A25,#REF!,12,FALSE)</f>
        <v>#REF!</v>
      </c>
      <c r="H25" s="8"/>
      <c r="I25" s="100">
        <v>30</v>
      </c>
      <c r="J25" s="100">
        <v>30</v>
      </c>
      <c r="K25" s="115">
        <v>0</v>
      </c>
      <c r="L25" s="101">
        <v>0</v>
      </c>
      <c r="M25" s="73">
        <v>0</v>
      </c>
      <c r="N25" s="24">
        <f t="shared" si="0"/>
        <v>0</v>
      </c>
      <c r="O25" s="24">
        <f t="shared" si="1"/>
        <v>0</v>
      </c>
      <c r="P25" s="24">
        <f t="shared" si="2"/>
        <v>30</v>
      </c>
      <c r="Q25" s="36">
        <v>15000</v>
      </c>
      <c r="R25" s="37">
        <f>2850*2</f>
        <v>5700</v>
      </c>
      <c r="S25" s="36">
        <f t="shared" ref="S25:T25" si="68">950*2</f>
        <v>1900</v>
      </c>
      <c r="T25" s="36">
        <f t="shared" si="68"/>
        <v>1900</v>
      </c>
      <c r="U25" s="37">
        <v>2833</v>
      </c>
      <c r="V25" s="37">
        <v>2833</v>
      </c>
      <c r="W25" s="29">
        <f t="shared" si="66"/>
        <v>30166</v>
      </c>
      <c r="X25" s="30">
        <v>22016</v>
      </c>
      <c r="Y25" s="76">
        <f t="shared" si="4"/>
        <v>8150</v>
      </c>
      <c r="Z25" s="147">
        <f t="shared" si="5"/>
        <v>0.27017171650202215</v>
      </c>
      <c r="AA25" s="30">
        <f t="shared" si="6"/>
        <v>15000</v>
      </c>
      <c r="AB25" s="30">
        <f t="shared" si="7"/>
        <v>5700</v>
      </c>
      <c r="AC25" s="30">
        <f t="shared" si="8"/>
        <v>1900</v>
      </c>
      <c r="AD25" s="30">
        <f t="shared" si="9"/>
        <v>1900</v>
      </c>
      <c r="AE25" s="91">
        <f>U25*1*3</f>
        <v>8499</v>
      </c>
      <c r="AF25" s="91">
        <f t="shared" ref="AF25:AF27" si="69">V25*0.7*3</f>
        <v>5949.2999999999993</v>
      </c>
      <c r="AG25" s="12"/>
      <c r="AH25" s="10"/>
      <c r="AI25" s="31">
        <v>0</v>
      </c>
      <c r="AJ25" s="29">
        <f t="shared" si="11"/>
        <v>1800</v>
      </c>
      <c r="AK25" s="29">
        <f t="shared" si="60"/>
        <v>0</v>
      </c>
      <c r="AL25" s="29">
        <f t="shared" si="53"/>
        <v>0</v>
      </c>
      <c r="AM25" s="13"/>
      <c r="AN25" s="29">
        <f t="shared" si="33"/>
        <v>38948.300000000003</v>
      </c>
      <c r="AO25" s="29">
        <f t="shared" si="15"/>
        <v>1800</v>
      </c>
      <c r="AP25" s="29">
        <f t="shared" si="34"/>
        <v>37148.300000000003</v>
      </c>
      <c r="AQ25" s="33">
        <f t="shared" si="36"/>
        <v>37148</v>
      </c>
      <c r="AR25" s="29">
        <f t="shared" si="54"/>
        <v>0</v>
      </c>
      <c r="AS25" s="29">
        <f t="shared" si="35"/>
        <v>1800</v>
      </c>
      <c r="AT25" s="13"/>
      <c r="AU25" s="29">
        <f t="shared" si="20"/>
        <v>40748.300000000003</v>
      </c>
      <c r="AV25" s="29">
        <f>'May 2025'!AT25</f>
        <v>0</v>
      </c>
      <c r="AW25" s="29">
        <f t="shared" si="31"/>
        <v>0</v>
      </c>
      <c r="AX25" s="34"/>
      <c r="AY25" s="31">
        <f t="shared" si="37"/>
        <v>0</v>
      </c>
      <c r="AZ25" s="79"/>
      <c r="BA25" s="79"/>
      <c r="BB25" s="75">
        <v>0</v>
      </c>
      <c r="BC25" s="80" t="s">
        <v>165</v>
      </c>
    </row>
    <row r="26" spans="1:55" ht="15.75" customHeight="1" x14ac:dyDescent="0.3">
      <c r="A26" s="21">
        <v>1051</v>
      </c>
      <c r="B26" s="22" t="e">
        <f>VLOOKUP(A26,#REF!,2,FALSE)</f>
        <v>#REF!</v>
      </c>
      <c r="C26" s="8" t="e">
        <f>VLOOKUP(A26,#REF!,19,FALSE)</f>
        <v>#REF!</v>
      </c>
      <c r="D26" s="8" t="e">
        <f>VLOOKUP(A26,#REF!,8,FALSE)</f>
        <v>#REF!</v>
      </c>
      <c r="E26" s="8" t="e">
        <f>VLOOKUP(A26,#REF!,10,FALSE)</f>
        <v>#REF!</v>
      </c>
      <c r="F26" s="8" t="e">
        <f>VLOOKUP(A26,#REF!,11,FALSE)</f>
        <v>#REF!</v>
      </c>
      <c r="G26" s="8" t="e">
        <f>VLOOKUP(A26,#REF!,12,FALSE)</f>
        <v>#REF!</v>
      </c>
      <c r="H26" s="8"/>
      <c r="I26" s="100">
        <v>30</v>
      </c>
      <c r="J26" s="100">
        <v>30</v>
      </c>
      <c r="K26" s="115">
        <v>0</v>
      </c>
      <c r="L26" s="101">
        <v>0</v>
      </c>
      <c r="M26" s="73">
        <v>0</v>
      </c>
      <c r="N26" s="24">
        <f t="shared" si="0"/>
        <v>0</v>
      </c>
      <c r="O26" s="24">
        <f t="shared" si="1"/>
        <v>0</v>
      </c>
      <c r="P26" s="24">
        <f t="shared" si="2"/>
        <v>30</v>
      </c>
      <c r="Q26" s="36">
        <v>15000</v>
      </c>
      <c r="R26" s="36">
        <f>2550*1.5</f>
        <v>3825</v>
      </c>
      <c r="S26" s="36">
        <f t="shared" ref="S26:T26" si="70">850*1.2</f>
        <v>1020</v>
      </c>
      <c r="T26" s="36">
        <f t="shared" si="70"/>
        <v>1020</v>
      </c>
      <c r="U26" s="37">
        <v>2500</v>
      </c>
      <c r="V26" s="37">
        <v>2500</v>
      </c>
      <c r="W26" s="29">
        <f t="shared" si="66"/>
        <v>25865</v>
      </c>
      <c r="X26" s="30">
        <v>20700</v>
      </c>
      <c r="Y26" s="76">
        <f t="shared" si="4"/>
        <v>5165</v>
      </c>
      <c r="Z26" s="147">
        <f t="shared" si="5"/>
        <v>0.19969070172047168</v>
      </c>
      <c r="AA26" s="30">
        <f t="shared" si="6"/>
        <v>15000</v>
      </c>
      <c r="AB26" s="30">
        <f t="shared" si="7"/>
        <v>3825</v>
      </c>
      <c r="AC26" s="30">
        <f t="shared" si="8"/>
        <v>1020</v>
      </c>
      <c r="AD26" s="30">
        <f t="shared" si="9"/>
        <v>1020</v>
      </c>
      <c r="AE26" s="91">
        <f t="shared" ref="AE26:AE27" si="71">U26*0.9*3</f>
        <v>6750</v>
      </c>
      <c r="AF26" s="91">
        <f t="shared" si="69"/>
        <v>5250</v>
      </c>
      <c r="AG26" s="12"/>
      <c r="AH26" s="10"/>
      <c r="AI26" s="31">
        <v>0</v>
      </c>
      <c r="AJ26" s="29">
        <f t="shared" si="11"/>
        <v>1800</v>
      </c>
      <c r="AK26" s="29">
        <f t="shared" si="60"/>
        <v>0</v>
      </c>
      <c r="AL26" s="29">
        <f t="shared" si="53"/>
        <v>156.48749999999998</v>
      </c>
      <c r="AM26" s="13"/>
      <c r="AN26" s="29">
        <f t="shared" si="33"/>
        <v>32865</v>
      </c>
      <c r="AO26" s="29">
        <f t="shared" si="15"/>
        <v>1956.4875</v>
      </c>
      <c r="AP26" s="29">
        <f t="shared" si="34"/>
        <v>30908.512500000001</v>
      </c>
      <c r="AQ26" s="33">
        <f t="shared" si="36"/>
        <v>30909</v>
      </c>
      <c r="AR26" s="29">
        <f t="shared" si="54"/>
        <v>678.11250000000007</v>
      </c>
      <c r="AS26" s="29">
        <f t="shared" si="35"/>
        <v>1800</v>
      </c>
      <c r="AT26" s="13"/>
      <c r="AU26" s="29">
        <f t="shared" si="20"/>
        <v>35343.112500000003</v>
      </c>
      <c r="AV26" s="29">
        <f>'May 2025'!AT26</f>
        <v>0</v>
      </c>
      <c r="AW26" s="29">
        <f t="shared" si="31"/>
        <v>0</v>
      </c>
      <c r="AX26" s="34"/>
      <c r="AY26" s="31">
        <f t="shared" si="37"/>
        <v>0</v>
      </c>
      <c r="AZ26" s="79"/>
      <c r="BA26" s="79"/>
      <c r="BB26" s="75">
        <v>0</v>
      </c>
      <c r="BC26" s="80" t="s">
        <v>165</v>
      </c>
    </row>
    <row r="27" spans="1:55" ht="15.75" customHeight="1" x14ac:dyDescent="0.3">
      <c r="A27" s="87">
        <v>1053</v>
      </c>
      <c r="B27" s="22" t="e">
        <f>VLOOKUP(A27,#REF!,2,FALSE)</f>
        <v>#REF!</v>
      </c>
      <c r="C27" s="8" t="e">
        <f>VLOOKUP(A27,#REF!,19,FALSE)</f>
        <v>#REF!</v>
      </c>
      <c r="D27" s="8" t="e">
        <f>VLOOKUP(A27,#REF!,8,FALSE)</f>
        <v>#REF!</v>
      </c>
      <c r="E27" s="8" t="e">
        <f>VLOOKUP(A27,#REF!,10,FALSE)</f>
        <v>#REF!</v>
      </c>
      <c r="F27" s="8" t="e">
        <f>VLOOKUP(A27,#REF!,11,FALSE)</f>
        <v>#REF!</v>
      </c>
      <c r="G27" s="8" t="e">
        <f>VLOOKUP(A27,#REF!,12,FALSE)</f>
        <v>#REF!</v>
      </c>
      <c r="H27" s="8"/>
      <c r="I27" s="100">
        <v>30</v>
      </c>
      <c r="J27" s="100">
        <v>30</v>
      </c>
      <c r="K27" s="115">
        <v>0</v>
      </c>
      <c r="L27" s="101">
        <v>0</v>
      </c>
      <c r="M27" s="73">
        <v>0</v>
      </c>
      <c r="N27" s="24">
        <f t="shared" si="0"/>
        <v>0</v>
      </c>
      <c r="O27" s="24">
        <f t="shared" si="1"/>
        <v>0</v>
      </c>
      <c r="P27" s="24">
        <f t="shared" si="2"/>
        <v>30</v>
      </c>
      <c r="Q27" s="36">
        <v>15000</v>
      </c>
      <c r="R27" s="36">
        <f>2550*1.9</f>
        <v>4845</v>
      </c>
      <c r="S27" s="36">
        <f t="shared" ref="S27:T27" si="72">850*1.9</f>
        <v>1615</v>
      </c>
      <c r="T27" s="36">
        <f t="shared" si="72"/>
        <v>1615</v>
      </c>
      <c r="U27" s="37">
        <v>1378</v>
      </c>
      <c r="V27" s="37">
        <v>1378</v>
      </c>
      <c r="W27" s="29">
        <f t="shared" si="66"/>
        <v>25831</v>
      </c>
      <c r="X27" s="30">
        <v>20700</v>
      </c>
      <c r="Y27" s="76">
        <f t="shared" si="4"/>
        <v>5131</v>
      </c>
      <c r="Z27" s="147">
        <f t="shared" si="5"/>
        <v>0.19863729627192134</v>
      </c>
      <c r="AA27" s="30">
        <f t="shared" si="6"/>
        <v>15000</v>
      </c>
      <c r="AB27" s="30">
        <f t="shared" si="7"/>
        <v>4845</v>
      </c>
      <c r="AC27" s="30">
        <f t="shared" si="8"/>
        <v>1615</v>
      </c>
      <c r="AD27" s="30">
        <f t="shared" si="9"/>
        <v>1615</v>
      </c>
      <c r="AE27" s="91">
        <f t="shared" si="71"/>
        <v>3720.6000000000004</v>
      </c>
      <c r="AF27" s="91">
        <f t="shared" si="69"/>
        <v>2893.7999999999997</v>
      </c>
      <c r="AG27" s="12"/>
      <c r="AH27" s="10"/>
      <c r="AI27" s="31">
        <v>0</v>
      </c>
      <c r="AJ27" s="29">
        <f t="shared" si="11"/>
        <v>1800</v>
      </c>
      <c r="AK27" s="29">
        <f t="shared" si="60"/>
        <v>0</v>
      </c>
      <c r="AL27" s="29">
        <f t="shared" si="53"/>
        <v>0</v>
      </c>
      <c r="AM27" s="13"/>
      <c r="AN27" s="29">
        <f t="shared" si="33"/>
        <v>29689.399999999998</v>
      </c>
      <c r="AO27" s="29">
        <f t="shared" si="15"/>
        <v>1800</v>
      </c>
      <c r="AP27" s="29">
        <f t="shared" si="34"/>
        <v>27889.399999999998</v>
      </c>
      <c r="AQ27" s="33">
        <f t="shared" si="36"/>
        <v>27889</v>
      </c>
      <c r="AR27" s="29">
        <f t="shared" si="54"/>
        <v>0</v>
      </c>
      <c r="AS27" s="29">
        <f t="shared" si="35"/>
        <v>1800</v>
      </c>
      <c r="AT27" s="13"/>
      <c r="AU27" s="29">
        <f t="shared" si="20"/>
        <v>31489.399999999998</v>
      </c>
      <c r="AV27" s="29">
        <f>'May 2025'!AT27</f>
        <v>0</v>
      </c>
      <c r="AW27" s="29">
        <f t="shared" si="31"/>
        <v>0</v>
      </c>
      <c r="AX27" s="34"/>
      <c r="AY27" s="31">
        <f t="shared" si="37"/>
        <v>0</v>
      </c>
      <c r="AZ27" s="79"/>
      <c r="BA27" s="79"/>
      <c r="BB27" s="75">
        <v>0</v>
      </c>
      <c r="BC27" s="80" t="s">
        <v>165</v>
      </c>
    </row>
    <row r="28" spans="1:55" ht="15.75" customHeight="1" x14ac:dyDescent="0.3">
      <c r="A28" s="21">
        <v>1054</v>
      </c>
      <c r="B28" s="22" t="e">
        <f>VLOOKUP(A28,#REF!,2,FALSE)</f>
        <v>#REF!</v>
      </c>
      <c r="C28" s="8" t="e">
        <f>VLOOKUP(A28,#REF!,19,FALSE)</f>
        <v>#REF!</v>
      </c>
      <c r="D28" s="8" t="e">
        <f>VLOOKUP(A28,#REF!,8,FALSE)</f>
        <v>#REF!</v>
      </c>
      <c r="E28" s="8" t="e">
        <f>VLOOKUP(A28,#REF!,10,FALSE)</f>
        <v>#REF!</v>
      </c>
      <c r="F28" s="8" t="e">
        <f>VLOOKUP(A28,#REF!,11,FALSE)</f>
        <v>#REF!</v>
      </c>
      <c r="G28" s="8" t="e">
        <f>VLOOKUP(A28,#REF!,12,FALSE)</f>
        <v>#REF!</v>
      </c>
      <c r="H28" s="8"/>
      <c r="I28" s="100">
        <v>30</v>
      </c>
      <c r="J28" s="100">
        <v>30</v>
      </c>
      <c r="K28" s="115">
        <v>0</v>
      </c>
      <c r="L28" s="101">
        <v>0</v>
      </c>
      <c r="M28" s="73">
        <v>0</v>
      </c>
      <c r="N28" s="24">
        <f t="shared" si="0"/>
        <v>0</v>
      </c>
      <c r="O28" s="24">
        <f t="shared" si="1"/>
        <v>0</v>
      </c>
      <c r="P28" s="24">
        <f t="shared" si="2"/>
        <v>30</v>
      </c>
      <c r="Q28" s="86">
        <v>15000</v>
      </c>
      <c r="R28" s="86">
        <v>4000</v>
      </c>
      <c r="S28" s="86">
        <v>4000</v>
      </c>
      <c r="T28" s="86">
        <v>4000</v>
      </c>
      <c r="U28" s="86">
        <v>3000</v>
      </c>
      <c r="V28" s="86">
        <v>3000</v>
      </c>
      <c r="W28" s="83">
        <f t="shared" si="66"/>
        <v>33000</v>
      </c>
      <c r="X28" s="30">
        <v>33000</v>
      </c>
      <c r="Y28" s="76">
        <f t="shared" si="4"/>
        <v>0</v>
      </c>
      <c r="Z28" s="147">
        <f t="shared" si="5"/>
        <v>0</v>
      </c>
      <c r="AA28" s="30">
        <f t="shared" si="6"/>
        <v>15000</v>
      </c>
      <c r="AB28" s="30">
        <f t="shared" si="7"/>
        <v>4000.0000000000005</v>
      </c>
      <c r="AC28" s="30">
        <f t="shared" si="8"/>
        <v>4000.0000000000005</v>
      </c>
      <c r="AD28" s="30">
        <f t="shared" si="9"/>
        <v>4000.0000000000005</v>
      </c>
      <c r="AE28" s="77">
        <f>U28*1</f>
        <v>3000</v>
      </c>
      <c r="AF28" s="77">
        <f>V28*0.7</f>
        <v>2100</v>
      </c>
      <c r="AG28" s="12"/>
      <c r="AH28" s="10"/>
      <c r="AI28" s="31">
        <v>0</v>
      </c>
      <c r="AJ28" s="29">
        <f t="shared" si="11"/>
        <v>1800</v>
      </c>
      <c r="AK28" s="29">
        <f t="shared" si="60"/>
        <v>200</v>
      </c>
      <c r="AL28" s="29">
        <f t="shared" si="53"/>
        <v>0</v>
      </c>
      <c r="AM28" s="13"/>
      <c r="AN28" s="29">
        <f t="shared" si="33"/>
        <v>32100</v>
      </c>
      <c r="AO28" s="29">
        <f t="shared" si="15"/>
        <v>2000</v>
      </c>
      <c r="AP28" s="29">
        <f t="shared" si="34"/>
        <v>30100</v>
      </c>
      <c r="AQ28" s="33">
        <f t="shared" si="36"/>
        <v>30100</v>
      </c>
      <c r="AR28" s="29">
        <f t="shared" si="54"/>
        <v>0</v>
      </c>
      <c r="AS28" s="29">
        <f t="shared" si="35"/>
        <v>1800</v>
      </c>
      <c r="AT28" s="13"/>
      <c r="AU28" s="29">
        <f t="shared" si="20"/>
        <v>33900</v>
      </c>
      <c r="AV28" s="29">
        <f>'May 2025'!AT28</f>
        <v>100000</v>
      </c>
      <c r="AW28" s="29">
        <f t="shared" si="31"/>
        <v>50000</v>
      </c>
      <c r="AX28" s="34"/>
      <c r="AY28" s="31">
        <f t="shared" si="37"/>
        <v>0</v>
      </c>
      <c r="AZ28" s="79"/>
      <c r="BA28" s="79"/>
      <c r="BB28" s="103">
        <v>50000</v>
      </c>
      <c r="BC28" s="80" t="s">
        <v>165</v>
      </c>
    </row>
    <row r="29" spans="1:55" ht="15.75" customHeight="1" x14ac:dyDescent="0.3">
      <c r="A29" s="21">
        <v>1055</v>
      </c>
      <c r="B29" s="22" t="e">
        <f>VLOOKUP(A29,#REF!,2,FALSE)</f>
        <v>#REF!</v>
      </c>
      <c r="C29" s="8" t="e">
        <f>VLOOKUP(A29,#REF!,19,FALSE)</f>
        <v>#REF!</v>
      </c>
      <c r="D29" s="8" t="e">
        <f>VLOOKUP(A29,#REF!,8,FALSE)</f>
        <v>#REF!</v>
      </c>
      <c r="E29" s="8" t="e">
        <f>VLOOKUP(A29,#REF!,10,FALSE)</f>
        <v>#REF!</v>
      </c>
      <c r="F29" s="8" t="e">
        <f>VLOOKUP(A29,#REF!,11,FALSE)</f>
        <v>#REF!</v>
      </c>
      <c r="G29" s="8" t="e">
        <f>VLOOKUP(A29,#REF!,12,FALSE)</f>
        <v>#REF!</v>
      </c>
      <c r="H29" s="8"/>
      <c r="I29" s="100">
        <v>30</v>
      </c>
      <c r="J29" s="100">
        <v>30</v>
      </c>
      <c r="K29" s="115">
        <v>0</v>
      </c>
      <c r="L29" s="101">
        <v>0</v>
      </c>
      <c r="M29" s="73">
        <v>0</v>
      </c>
      <c r="N29" s="24">
        <f t="shared" si="0"/>
        <v>0</v>
      </c>
      <c r="O29" s="24">
        <f t="shared" si="1"/>
        <v>0</v>
      </c>
      <c r="P29" s="24">
        <f t="shared" si="2"/>
        <v>30</v>
      </c>
      <c r="Q29" s="36">
        <v>15000</v>
      </c>
      <c r="R29" s="37">
        <v>3000</v>
      </c>
      <c r="S29" s="37">
        <v>1800</v>
      </c>
      <c r="T29" s="37">
        <v>1800</v>
      </c>
      <c r="U29" s="36">
        <f t="shared" ref="U29:V29" si="73">1000*1.9</f>
        <v>1900</v>
      </c>
      <c r="V29" s="36">
        <f t="shared" si="73"/>
        <v>1900</v>
      </c>
      <c r="W29" s="29">
        <f t="shared" si="66"/>
        <v>25400</v>
      </c>
      <c r="X29" s="30">
        <v>19000</v>
      </c>
      <c r="Y29" s="76">
        <f t="shared" si="4"/>
        <v>6400</v>
      </c>
      <c r="Z29" s="147">
        <f t="shared" si="5"/>
        <v>0.25196850393700787</v>
      </c>
      <c r="AA29" s="30">
        <f t="shared" si="6"/>
        <v>15000</v>
      </c>
      <c r="AB29" s="30">
        <f t="shared" si="7"/>
        <v>3000</v>
      </c>
      <c r="AC29" s="30">
        <f t="shared" si="8"/>
        <v>1800</v>
      </c>
      <c r="AD29" s="30">
        <f t="shared" si="9"/>
        <v>1800</v>
      </c>
      <c r="AE29" s="91">
        <f>U29*1*3</f>
        <v>5700</v>
      </c>
      <c r="AF29" s="91">
        <f t="shared" ref="AF29:AF31" si="74">V29*0.7*3</f>
        <v>3990</v>
      </c>
      <c r="AG29" s="12"/>
      <c r="AH29" s="10"/>
      <c r="AI29" s="31">
        <v>0</v>
      </c>
      <c r="AJ29" s="29">
        <f t="shared" si="11"/>
        <v>1800</v>
      </c>
      <c r="AK29" s="29">
        <f t="shared" si="60"/>
        <v>0</v>
      </c>
      <c r="AL29" s="29">
        <f t="shared" si="53"/>
        <v>0</v>
      </c>
      <c r="AM29" s="13"/>
      <c r="AN29" s="29">
        <f t="shared" si="33"/>
        <v>31290</v>
      </c>
      <c r="AO29" s="29">
        <f t="shared" si="15"/>
        <v>1800</v>
      </c>
      <c r="AP29" s="29">
        <f t="shared" si="34"/>
        <v>29490</v>
      </c>
      <c r="AQ29" s="33">
        <f t="shared" si="36"/>
        <v>29490</v>
      </c>
      <c r="AR29" s="29">
        <f t="shared" si="54"/>
        <v>0</v>
      </c>
      <c r="AS29" s="29">
        <f t="shared" si="35"/>
        <v>1800</v>
      </c>
      <c r="AT29" s="13"/>
      <c r="AU29" s="29">
        <f t="shared" si="20"/>
        <v>33090</v>
      </c>
      <c r="AV29" s="29">
        <f>'May 2025'!AT29</f>
        <v>0</v>
      </c>
      <c r="AW29" s="29">
        <f t="shared" ref="AW29:AW33" si="75">AV29+AG29-AM29</f>
        <v>0</v>
      </c>
      <c r="AX29" s="34"/>
      <c r="AY29" s="31">
        <f t="shared" si="37"/>
        <v>0</v>
      </c>
      <c r="AZ29" s="79"/>
      <c r="BA29" s="79"/>
      <c r="BB29" s="75">
        <v>0</v>
      </c>
      <c r="BC29" s="80" t="s">
        <v>165</v>
      </c>
    </row>
    <row r="30" spans="1:55" ht="14.4" x14ac:dyDescent="0.3">
      <c r="A30" s="21">
        <v>1057</v>
      </c>
      <c r="B30" s="22" t="e">
        <f>VLOOKUP(A30,#REF!,2,FALSE)</f>
        <v>#REF!</v>
      </c>
      <c r="C30" s="8" t="e">
        <f>VLOOKUP(A30,#REF!,19,FALSE)</f>
        <v>#REF!</v>
      </c>
      <c r="D30" s="8" t="e">
        <f>VLOOKUP(A30,#REF!,8,FALSE)</f>
        <v>#REF!</v>
      </c>
      <c r="E30" s="8" t="e">
        <f>VLOOKUP(A30,#REF!,10,FALSE)</f>
        <v>#REF!</v>
      </c>
      <c r="F30" s="8" t="e">
        <f>VLOOKUP(A30,#REF!,11,FALSE)</f>
        <v>#REF!</v>
      </c>
      <c r="G30" s="8" t="e">
        <f>VLOOKUP(A30,#REF!,12,FALSE)</f>
        <v>#REF!</v>
      </c>
      <c r="H30" s="8"/>
      <c r="I30" s="100">
        <v>30</v>
      </c>
      <c r="J30" s="100">
        <v>30</v>
      </c>
      <c r="K30" s="115">
        <v>0</v>
      </c>
      <c r="L30" s="101">
        <v>0</v>
      </c>
      <c r="M30" s="73">
        <v>0</v>
      </c>
      <c r="N30" s="24">
        <f t="shared" si="0"/>
        <v>0</v>
      </c>
      <c r="O30" s="24">
        <f t="shared" si="1"/>
        <v>0</v>
      </c>
      <c r="P30" s="24">
        <f t="shared" si="2"/>
        <v>30</v>
      </c>
      <c r="Q30" s="36">
        <v>15000</v>
      </c>
      <c r="R30" s="37">
        <v>2800</v>
      </c>
      <c r="S30" s="37">
        <v>1800</v>
      </c>
      <c r="T30" s="37">
        <v>1300</v>
      </c>
      <c r="U30" s="37">
        <v>1600</v>
      </c>
      <c r="V30" s="37">
        <v>1600</v>
      </c>
      <c r="W30" s="29">
        <f t="shared" si="66"/>
        <v>24100</v>
      </c>
      <c r="X30" s="30">
        <v>18800</v>
      </c>
      <c r="Y30" s="76">
        <f t="shared" si="4"/>
        <v>5300</v>
      </c>
      <c r="Z30" s="147">
        <f t="shared" si="5"/>
        <v>0.21991701244813278</v>
      </c>
      <c r="AA30" s="30">
        <f t="shared" si="6"/>
        <v>15000</v>
      </c>
      <c r="AB30" s="30">
        <f t="shared" si="7"/>
        <v>2800</v>
      </c>
      <c r="AC30" s="30">
        <f t="shared" si="8"/>
        <v>1800</v>
      </c>
      <c r="AD30" s="30">
        <f t="shared" si="9"/>
        <v>1300</v>
      </c>
      <c r="AE30" s="91">
        <f t="shared" ref="AE30:AE31" si="76">U30*0.9*3</f>
        <v>4320</v>
      </c>
      <c r="AF30" s="91">
        <f t="shared" si="74"/>
        <v>3360</v>
      </c>
      <c r="AG30" s="12"/>
      <c r="AH30" s="10"/>
      <c r="AI30" s="31">
        <v>0</v>
      </c>
      <c r="AJ30" s="29">
        <f t="shared" si="11"/>
        <v>1800</v>
      </c>
      <c r="AK30" s="29">
        <f t="shared" si="60"/>
        <v>0</v>
      </c>
      <c r="AL30" s="29">
        <f t="shared" si="53"/>
        <v>156.75</v>
      </c>
      <c r="AM30" s="13"/>
      <c r="AN30" s="29">
        <f t="shared" si="33"/>
        <v>28580</v>
      </c>
      <c r="AO30" s="29">
        <f t="shared" si="15"/>
        <v>1956.75</v>
      </c>
      <c r="AP30" s="29">
        <f t="shared" si="34"/>
        <v>26623.25</v>
      </c>
      <c r="AQ30" s="33">
        <f t="shared" si="36"/>
        <v>26623</v>
      </c>
      <c r="AR30" s="29">
        <f t="shared" si="54"/>
        <v>679.25</v>
      </c>
      <c r="AS30" s="29">
        <f t="shared" si="35"/>
        <v>1800</v>
      </c>
      <c r="AT30" s="13"/>
      <c r="AU30" s="29">
        <f t="shared" si="20"/>
        <v>31059.25</v>
      </c>
      <c r="AV30" s="29">
        <f>'May 2025'!AT30</f>
        <v>0</v>
      </c>
      <c r="AW30" s="29">
        <f t="shared" si="75"/>
        <v>0</v>
      </c>
      <c r="AX30" s="34"/>
      <c r="AY30" s="31">
        <f t="shared" si="37"/>
        <v>0</v>
      </c>
      <c r="AZ30" s="79"/>
      <c r="BA30" s="79"/>
      <c r="BB30" s="75">
        <v>0</v>
      </c>
      <c r="BC30" s="80" t="s">
        <v>165</v>
      </c>
    </row>
    <row r="31" spans="1:55" ht="14.4" x14ac:dyDescent="0.3">
      <c r="A31" s="21">
        <v>1058</v>
      </c>
      <c r="B31" s="22" t="e">
        <f>VLOOKUP(A31,#REF!,2,FALSE)</f>
        <v>#REF!</v>
      </c>
      <c r="C31" s="8" t="e">
        <f>VLOOKUP(A31,#REF!,19,FALSE)</f>
        <v>#REF!</v>
      </c>
      <c r="D31" s="8" t="e">
        <f>VLOOKUP(A31,#REF!,8,FALSE)</f>
        <v>#REF!</v>
      </c>
      <c r="E31" s="8" t="e">
        <f>VLOOKUP(A31,#REF!,10,FALSE)</f>
        <v>#REF!</v>
      </c>
      <c r="F31" s="8" t="e">
        <f>VLOOKUP(A31,#REF!,11,FALSE)</f>
        <v>#REF!</v>
      </c>
      <c r="G31" s="8" t="e">
        <f>VLOOKUP(A31,#REF!,12,FALSE)</f>
        <v>#REF!</v>
      </c>
      <c r="H31" s="8"/>
      <c r="I31" s="100">
        <v>30</v>
      </c>
      <c r="J31" s="100">
        <v>30</v>
      </c>
      <c r="K31" s="115">
        <v>0</v>
      </c>
      <c r="L31" s="101">
        <v>0</v>
      </c>
      <c r="M31" s="73">
        <v>0</v>
      </c>
      <c r="N31" s="24">
        <f t="shared" si="0"/>
        <v>0</v>
      </c>
      <c r="O31" s="24">
        <f t="shared" si="1"/>
        <v>0</v>
      </c>
      <c r="P31" s="24">
        <f t="shared" si="2"/>
        <v>30</v>
      </c>
      <c r="Q31" s="36">
        <v>15000</v>
      </c>
      <c r="R31" s="37">
        <v>2800</v>
      </c>
      <c r="S31" s="37">
        <v>1800</v>
      </c>
      <c r="T31" s="37">
        <v>1300</v>
      </c>
      <c r="U31" s="37">
        <v>1600</v>
      </c>
      <c r="V31" s="37">
        <v>1600</v>
      </c>
      <c r="W31" s="29">
        <f t="shared" si="66"/>
        <v>24100</v>
      </c>
      <c r="X31" s="30">
        <v>18800</v>
      </c>
      <c r="Y31" s="76">
        <f t="shared" si="4"/>
        <v>5300</v>
      </c>
      <c r="Z31" s="147">
        <f t="shared" si="5"/>
        <v>0.21991701244813278</v>
      </c>
      <c r="AA31" s="30">
        <f t="shared" si="6"/>
        <v>15000</v>
      </c>
      <c r="AB31" s="30">
        <f t="shared" si="7"/>
        <v>2800</v>
      </c>
      <c r="AC31" s="30">
        <f t="shared" si="8"/>
        <v>1800</v>
      </c>
      <c r="AD31" s="30">
        <f t="shared" si="9"/>
        <v>1300</v>
      </c>
      <c r="AE31" s="91">
        <f t="shared" si="76"/>
        <v>4320</v>
      </c>
      <c r="AF31" s="91">
        <f t="shared" si="74"/>
        <v>3360</v>
      </c>
      <c r="AG31" s="12"/>
      <c r="AH31" s="10"/>
      <c r="AI31" s="31">
        <v>0</v>
      </c>
      <c r="AJ31" s="29">
        <f t="shared" si="11"/>
        <v>1800</v>
      </c>
      <c r="AK31" s="29">
        <f t="shared" si="60"/>
        <v>0</v>
      </c>
      <c r="AL31" s="29">
        <f t="shared" si="53"/>
        <v>156.75</v>
      </c>
      <c r="AM31" s="13"/>
      <c r="AN31" s="29">
        <f t="shared" si="33"/>
        <v>28580</v>
      </c>
      <c r="AO31" s="29">
        <f t="shared" si="15"/>
        <v>1956.75</v>
      </c>
      <c r="AP31" s="29">
        <f t="shared" si="34"/>
        <v>26623.25</v>
      </c>
      <c r="AQ31" s="33">
        <f t="shared" si="36"/>
        <v>26623</v>
      </c>
      <c r="AR31" s="29">
        <f t="shared" si="54"/>
        <v>679.25</v>
      </c>
      <c r="AS31" s="29">
        <f t="shared" si="35"/>
        <v>1800</v>
      </c>
      <c r="AT31" s="13"/>
      <c r="AU31" s="29">
        <f t="shared" si="20"/>
        <v>31059.25</v>
      </c>
      <c r="AV31" s="29">
        <f>'May 2025'!AT31</f>
        <v>0</v>
      </c>
      <c r="AW31" s="29">
        <f t="shared" si="75"/>
        <v>0</v>
      </c>
      <c r="AX31" s="34"/>
      <c r="AY31" s="31">
        <f t="shared" si="37"/>
        <v>0</v>
      </c>
      <c r="AZ31" s="79"/>
      <c r="BA31" s="79"/>
      <c r="BB31" s="75">
        <v>0</v>
      </c>
      <c r="BC31" s="80" t="s">
        <v>165</v>
      </c>
    </row>
    <row r="32" spans="1:55" ht="14.4" x14ac:dyDescent="0.3">
      <c r="A32" s="88">
        <v>1059</v>
      </c>
      <c r="B32" s="69" t="e">
        <f>VLOOKUP(A32,#REF!,2,FALSE)</f>
        <v>#REF!</v>
      </c>
      <c r="C32" s="2" t="e">
        <f>VLOOKUP(A32,#REF!,19,FALSE)</f>
        <v>#REF!</v>
      </c>
      <c r="D32" s="8" t="e">
        <f>VLOOKUP(A32,#REF!,8,FALSE)</f>
        <v>#REF!</v>
      </c>
      <c r="E32" s="2" t="e">
        <f>VLOOKUP(A32,#REF!,10,FALSE)</f>
        <v>#REF!</v>
      </c>
      <c r="F32" s="2" t="e">
        <f>VLOOKUP(A32,#REF!,11,FALSE)</f>
        <v>#REF!</v>
      </c>
      <c r="G32" s="2" t="e">
        <f>VLOOKUP(A32,#REF!,12,FALSE)</f>
        <v>#REF!</v>
      </c>
      <c r="H32" s="89"/>
      <c r="I32" s="90">
        <v>21</v>
      </c>
      <c r="J32" s="100">
        <v>21</v>
      </c>
      <c r="K32" s="115">
        <v>0</v>
      </c>
      <c r="L32" s="101">
        <v>0</v>
      </c>
      <c r="M32" s="73">
        <v>0</v>
      </c>
      <c r="N32" s="71">
        <f t="shared" si="0"/>
        <v>0</v>
      </c>
      <c r="O32" s="71">
        <f t="shared" si="1"/>
        <v>0</v>
      </c>
      <c r="P32" s="71">
        <f t="shared" si="2"/>
        <v>21</v>
      </c>
      <c r="Q32" s="74">
        <v>90000</v>
      </c>
      <c r="R32" s="13"/>
      <c r="S32" s="13"/>
      <c r="T32" s="13"/>
      <c r="U32" s="13"/>
      <c r="V32" s="13"/>
      <c r="W32" s="75">
        <f t="shared" si="66"/>
        <v>90000</v>
      </c>
      <c r="X32" s="76">
        <v>90000</v>
      </c>
      <c r="Y32" s="76">
        <f t="shared" si="4"/>
        <v>0</v>
      </c>
      <c r="Z32" s="147">
        <f t="shared" si="5"/>
        <v>0</v>
      </c>
      <c r="AA32" s="76">
        <f t="shared" si="6"/>
        <v>89999.999999999985</v>
      </c>
      <c r="AB32" s="76">
        <f t="shared" si="7"/>
        <v>0</v>
      </c>
      <c r="AC32" s="76">
        <f t="shared" si="8"/>
        <v>0</v>
      </c>
      <c r="AD32" s="76">
        <f t="shared" si="9"/>
        <v>0</v>
      </c>
      <c r="AE32" s="91">
        <f>U32*0.9</f>
        <v>0</v>
      </c>
      <c r="AF32" s="91">
        <f>V32*0.9*1</f>
        <v>0</v>
      </c>
      <c r="AG32" s="12"/>
      <c r="AH32" s="10"/>
      <c r="AI32" s="77">
        <v>0</v>
      </c>
      <c r="AJ32" s="75">
        <v>0</v>
      </c>
      <c r="AK32" s="75">
        <v>0</v>
      </c>
      <c r="AL32" s="29">
        <f t="shared" si="53"/>
        <v>0</v>
      </c>
      <c r="AM32" s="13"/>
      <c r="AN32" s="75">
        <f t="shared" si="33"/>
        <v>89999.999999999985</v>
      </c>
      <c r="AO32" s="75">
        <f t="shared" si="15"/>
        <v>8999.9999999999982</v>
      </c>
      <c r="AP32" s="75">
        <f t="shared" si="34"/>
        <v>89999.999999999985</v>
      </c>
      <c r="AQ32" s="78">
        <f t="shared" si="36"/>
        <v>81000</v>
      </c>
      <c r="AR32" s="75">
        <f t="shared" si="54"/>
        <v>0</v>
      </c>
      <c r="AS32" s="75">
        <f t="shared" si="35"/>
        <v>0</v>
      </c>
      <c r="AT32" s="13"/>
      <c r="AU32" s="75">
        <f t="shared" si="20"/>
        <v>89999.999999999985</v>
      </c>
      <c r="AV32" s="29">
        <f>'May 2025'!AT32</f>
        <v>0</v>
      </c>
      <c r="AW32" s="75">
        <f t="shared" si="75"/>
        <v>0</v>
      </c>
      <c r="AX32" s="92">
        <f>(0.1*AN32)</f>
        <v>8999.9999999999982</v>
      </c>
      <c r="AY32" s="77">
        <f t="shared" si="37"/>
        <v>0</v>
      </c>
      <c r="AZ32" s="93">
        <f>AX32+'Apr 2025'!AU32</f>
        <v>14999.999999999998</v>
      </c>
      <c r="BA32" s="64"/>
      <c r="BB32" s="75">
        <v>0</v>
      </c>
      <c r="BC32" s="80" t="s">
        <v>165</v>
      </c>
    </row>
    <row r="33" spans="1:55" ht="14.4" x14ac:dyDescent="0.3">
      <c r="A33" s="21">
        <v>1062</v>
      </c>
      <c r="B33" s="22" t="s">
        <v>99</v>
      </c>
      <c r="C33" s="22" t="s">
        <v>11</v>
      </c>
      <c r="D33" s="1"/>
      <c r="E33" s="8" t="e">
        <f>VLOOKUP(A33,#REF!,10,FALSE)</f>
        <v>#REF!</v>
      </c>
      <c r="F33" s="8" t="e">
        <f>VLOOKUP(A33,#REF!,11,FALSE)</f>
        <v>#REF!</v>
      </c>
      <c r="G33" s="8" t="e">
        <f>VLOOKUP(A33,#REF!,12,FALSE)</f>
        <v>#REF!</v>
      </c>
      <c r="H33" s="1"/>
      <c r="I33" s="100">
        <v>30</v>
      </c>
      <c r="J33" s="105">
        <v>30</v>
      </c>
      <c r="K33" s="115">
        <v>0</v>
      </c>
      <c r="L33" s="101">
        <v>0</v>
      </c>
      <c r="M33" s="73">
        <v>0</v>
      </c>
      <c r="N33" s="71">
        <f t="shared" si="0"/>
        <v>0</v>
      </c>
      <c r="O33" s="71">
        <f t="shared" si="1"/>
        <v>0</v>
      </c>
      <c r="P33" s="71">
        <f t="shared" si="2"/>
        <v>30</v>
      </c>
      <c r="Q33" s="36">
        <v>15000</v>
      </c>
      <c r="R33" s="74">
        <v>1500</v>
      </c>
      <c r="S33" s="13"/>
      <c r="T33" s="13"/>
      <c r="U33" s="74">
        <v>1000</v>
      </c>
      <c r="V33" s="74">
        <v>1000</v>
      </c>
      <c r="W33" s="75">
        <f t="shared" si="66"/>
        <v>18500</v>
      </c>
      <c r="X33" s="76">
        <v>18500</v>
      </c>
      <c r="Y33" s="76">
        <f t="shared" si="4"/>
        <v>0</v>
      </c>
      <c r="Z33" s="147">
        <f t="shared" si="5"/>
        <v>0</v>
      </c>
      <c r="AA33" s="76">
        <f t="shared" si="6"/>
        <v>15000</v>
      </c>
      <c r="AB33" s="76">
        <f t="shared" si="7"/>
        <v>1500</v>
      </c>
      <c r="AC33" s="76">
        <f t="shared" si="8"/>
        <v>0</v>
      </c>
      <c r="AD33" s="76">
        <f t="shared" si="9"/>
        <v>0</v>
      </c>
      <c r="AE33" s="91">
        <f>U33*0.8*3</f>
        <v>2400</v>
      </c>
      <c r="AF33" s="91">
        <f>V33*0.7*3</f>
        <v>2100</v>
      </c>
      <c r="AG33" s="12"/>
      <c r="AH33" s="10"/>
      <c r="AI33" s="77">
        <v>0</v>
      </c>
      <c r="AJ33" s="29">
        <f>IF(AA33&gt;15000,(15000 * 12%),AA33*0.12)</f>
        <v>1800</v>
      </c>
      <c r="AK33" s="29">
        <f>IF(SUM(AA33:AD33)&gt;=25000, 200, 0)</f>
        <v>0</v>
      </c>
      <c r="AL33" s="29">
        <f t="shared" si="53"/>
        <v>123.75</v>
      </c>
      <c r="AM33" s="13"/>
      <c r="AN33" s="75">
        <f t="shared" si="33"/>
        <v>21000</v>
      </c>
      <c r="AO33" s="75">
        <f t="shared" si="15"/>
        <v>1923.75</v>
      </c>
      <c r="AP33" s="75">
        <f t="shared" si="34"/>
        <v>19076.25</v>
      </c>
      <c r="AQ33" s="78">
        <f t="shared" si="36"/>
        <v>19076</v>
      </c>
      <c r="AR33" s="75">
        <v>0</v>
      </c>
      <c r="AS33" s="75">
        <v>0</v>
      </c>
      <c r="AT33" s="13"/>
      <c r="AU33" s="75">
        <f t="shared" si="20"/>
        <v>21000</v>
      </c>
      <c r="AV33" s="29">
        <f>'May 2025'!AT33</f>
        <v>0</v>
      </c>
      <c r="AW33" s="75">
        <f t="shared" si="75"/>
        <v>0</v>
      </c>
      <c r="AX33" s="34"/>
      <c r="AY33" s="77">
        <v>0</v>
      </c>
      <c r="AZ33" s="79"/>
      <c r="BA33" s="64"/>
      <c r="BB33" s="94">
        <v>0</v>
      </c>
      <c r="BC33" s="80" t="s">
        <v>165</v>
      </c>
    </row>
    <row r="34" spans="1:55" ht="14.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95">
        <f t="shared" ref="W34:Y34" si="77">SUM(W3:W33)</f>
        <v>1299070.3333333335</v>
      </c>
      <c r="X34" s="95">
        <f t="shared" si="77"/>
        <v>1168987.3333333335</v>
      </c>
      <c r="Y34" s="95">
        <f t="shared" si="77"/>
        <v>130083</v>
      </c>
      <c r="Z34" s="163">
        <f>Y34/X34</f>
        <v>0.11127836571938901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95"/>
      <c r="AR34" s="95"/>
      <c r="AS34" s="6"/>
      <c r="AT34" s="6"/>
      <c r="AU34" s="6"/>
      <c r="AV34" s="6"/>
      <c r="AW34" s="6"/>
      <c r="AX34" s="6"/>
      <c r="AY34" s="7"/>
      <c r="AZ34" s="96"/>
      <c r="BA34" s="96"/>
      <c r="BB34" s="97"/>
      <c r="BC34" s="7"/>
    </row>
    <row r="35" spans="1:55" ht="14.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7"/>
      <c r="AZ35" s="96"/>
      <c r="BA35" s="96"/>
      <c r="BB35" s="97"/>
      <c r="BC35" s="7"/>
    </row>
    <row r="36" spans="1:55" ht="14.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7"/>
      <c r="AZ36" s="96"/>
      <c r="BA36" s="96"/>
      <c r="BB36" s="97"/>
      <c r="BC36" s="7"/>
    </row>
    <row r="37" spans="1:55" ht="14.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7"/>
      <c r="AZ37" s="96"/>
      <c r="BA37" s="96"/>
      <c r="BB37" s="97"/>
      <c r="BC37" s="7"/>
    </row>
    <row r="38" spans="1:55" ht="14.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7"/>
      <c r="AZ38" s="96"/>
      <c r="BA38" s="96"/>
      <c r="BB38" s="97"/>
      <c r="BC38" s="7"/>
    </row>
    <row r="39" spans="1:55" ht="14.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7"/>
      <c r="AZ39" s="96"/>
      <c r="BA39" s="96"/>
      <c r="BB39" s="97"/>
      <c r="BC39" s="7"/>
    </row>
    <row r="40" spans="1:55" ht="14.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7"/>
      <c r="AZ40" s="96"/>
      <c r="BA40" s="96"/>
      <c r="BB40" s="97"/>
      <c r="BC40" s="7"/>
    </row>
    <row r="41" spans="1:55" ht="14.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7"/>
      <c r="AZ41" s="96"/>
      <c r="BA41" s="96"/>
      <c r="BB41" s="97"/>
      <c r="BC41" s="7"/>
    </row>
    <row r="42" spans="1:55" ht="14.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7"/>
      <c r="AZ42" s="96"/>
      <c r="BA42" s="96"/>
      <c r="BB42" s="97"/>
      <c r="BC42" s="7"/>
    </row>
    <row r="43" spans="1:55" ht="14.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7"/>
      <c r="AZ43" s="96"/>
      <c r="BA43" s="96"/>
      <c r="BB43" s="97"/>
      <c r="BC43" s="7"/>
    </row>
    <row r="44" spans="1:55" ht="14.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7"/>
      <c r="AZ44" s="96"/>
      <c r="BA44" s="96"/>
      <c r="BB44" s="97"/>
      <c r="BC44" s="7"/>
    </row>
    <row r="45" spans="1:55" ht="14.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7"/>
      <c r="AZ45" s="96"/>
      <c r="BA45" s="96"/>
      <c r="BB45" s="97"/>
      <c r="BC45" s="7"/>
    </row>
    <row r="46" spans="1:55" ht="14.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7"/>
      <c r="AZ46" s="96"/>
      <c r="BA46" s="96"/>
      <c r="BB46" s="97"/>
      <c r="BC46" s="7"/>
    </row>
    <row r="47" spans="1:55" ht="14.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7"/>
      <c r="AZ47" s="96"/>
      <c r="BA47" s="96"/>
      <c r="BB47" s="97"/>
      <c r="BC47" s="7"/>
    </row>
    <row r="48" spans="1:55" ht="14.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7"/>
      <c r="AZ48" s="96"/>
      <c r="BA48" s="96"/>
      <c r="BB48" s="97"/>
      <c r="BC48" s="7"/>
    </row>
    <row r="49" spans="1:55" ht="14.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7"/>
      <c r="AZ49" s="96"/>
      <c r="BA49" s="96"/>
      <c r="BB49" s="97"/>
      <c r="BC49" s="7"/>
    </row>
    <row r="50" spans="1:55" ht="14.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7"/>
      <c r="AZ50" s="96"/>
      <c r="BA50" s="96"/>
      <c r="BB50" s="97"/>
      <c r="BC50" s="7"/>
    </row>
    <row r="51" spans="1:55" ht="14.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7"/>
      <c r="AZ51" s="96"/>
      <c r="BA51" s="96"/>
      <c r="BB51" s="97"/>
      <c r="BC51" s="7"/>
    </row>
    <row r="52" spans="1:55" ht="14.4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7"/>
      <c r="AZ52" s="96"/>
      <c r="BA52" s="96"/>
      <c r="BB52" s="97"/>
      <c r="BC52" s="7"/>
    </row>
    <row r="53" spans="1:55" ht="14.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7"/>
      <c r="AZ53" s="96"/>
      <c r="BA53" s="96"/>
      <c r="BB53" s="97"/>
      <c r="BC53" s="7"/>
    </row>
    <row r="54" spans="1:55" ht="14.4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7"/>
      <c r="AZ54" s="96"/>
      <c r="BA54" s="96"/>
      <c r="BB54" s="97"/>
      <c r="BC54" s="7"/>
    </row>
    <row r="55" spans="1:55" ht="14.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7"/>
      <c r="AZ55" s="96"/>
      <c r="BA55" s="96"/>
      <c r="BB55" s="97"/>
      <c r="BC55" s="7"/>
    </row>
    <row r="56" spans="1:55" ht="14.4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7"/>
      <c r="AZ56" s="96"/>
      <c r="BA56" s="96"/>
      <c r="BB56" s="97"/>
      <c r="BC56" s="7"/>
    </row>
    <row r="57" spans="1:55" ht="14.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7"/>
      <c r="AZ57" s="96"/>
      <c r="BA57" s="96"/>
      <c r="BB57" s="97"/>
      <c r="BC57" s="7"/>
    </row>
    <row r="58" spans="1:55" ht="14.4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7"/>
      <c r="AZ58" s="96"/>
      <c r="BA58" s="96"/>
      <c r="BB58" s="97"/>
      <c r="BC58" s="7"/>
    </row>
    <row r="59" spans="1:55" ht="14.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7"/>
      <c r="AZ59" s="96"/>
      <c r="BA59" s="96"/>
      <c r="BB59" s="97"/>
      <c r="BC59" s="7"/>
    </row>
    <row r="60" spans="1:55" ht="14.4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7"/>
      <c r="AZ60" s="96"/>
      <c r="BA60" s="96"/>
      <c r="BB60" s="97"/>
      <c r="BC60" s="7"/>
    </row>
    <row r="61" spans="1:55" ht="14.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7"/>
      <c r="AZ61" s="96"/>
      <c r="BA61" s="96"/>
      <c r="BB61" s="97"/>
      <c r="BC61" s="7"/>
    </row>
    <row r="62" spans="1:55" ht="14.4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7"/>
      <c r="AZ62" s="96"/>
      <c r="BA62" s="96"/>
      <c r="BB62" s="97"/>
      <c r="BC62" s="7"/>
    </row>
    <row r="63" spans="1:55" ht="14.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7"/>
      <c r="AZ63" s="96"/>
      <c r="BA63" s="96"/>
      <c r="BB63" s="97"/>
      <c r="BC63" s="7"/>
    </row>
    <row r="64" spans="1:55" ht="14.4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7"/>
      <c r="AZ64" s="96"/>
      <c r="BA64" s="96"/>
      <c r="BB64" s="97"/>
      <c r="BC64" s="7"/>
    </row>
    <row r="65" spans="1:55" ht="14.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7"/>
      <c r="AZ65" s="96"/>
      <c r="BA65" s="96"/>
      <c r="BB65" s="97"/>
      <c r="BC65" s="7"/>
    </row>
    <row r="66" spans="1:55" ht="14.4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7"/>
      <c r="AZ66" s="96"/>
      <c r="BA66" s="96"/>
      <c r="BB66" s="97"/>
      <c r="BC66" s="7"/>
    </row>
    <row r="67" spans="1:55" ht="14.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7"/>
      <c r="AZ67" s="96"/>
      <c r="BA67" s="96"/>
      <c r="BB67" s="97"/>
      <c r="BC67" s="7"/>
    </row>
    <row r="68" spans="1:55" ht="14.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7"/>
      <c r="AZ68" s="96"/>
      <c r="BA68" s="96"/>
      <c r="BB68" s="97"/>
      <c r="BC68" s="7"/>
    </row>
    <row r="69" spans="1:55" ht="14.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7"/>
      <c r="AZ69" s="96"/>
      <c r="BA69" s="96"/>
      <c r="BB69" s="97"/>
      <c r="BC69" s="7"/>
    </row>
    <row r="70" spans="1:55" ht="14.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7"/>
      <c r="AZ70" s="96"/>
      <c r="BA70" s="96"/>
      <c r="BB70" s="97"/>
      <c r="BC70" s="7"/>
    </row>
    <row r="71" spans="1:55" ht="14.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7"/>
      <c r="AZ71" s="96"/>
      <c r="BA71" s="96"/>
      <c r="BB71" s="97"/>
      <c r="BC71" s="7"/>
    </row>
    <row r="72" spans="1:55" ht="14.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7"/>
      <c r="AZ72" s="96"/>
      <c r="BA72" s="96"/>
      <c r="BB72" s="97"/>
      <c r="BC72" s="7"/>
    </row>
    <row r="73" spans="1:55" ht="14.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7"/>
      <c r="AZ73" s="96"/>
      <c r="BA73" s="96"/>
      <c r="BB73" s="97"/>
      <c r="BC73" s="7"/>
    </row>
    <row r="74" spans="1:55" ht="14.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7"/>
      <c r="AZ74" s="96"/>
      <c r="BA74" s="96"/>
      <c r="BB74" s="97"/>
      <c r="BC74" s="7"/>
    </row>
    <row r="75" spans="1:55" ht="14.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7"/>
      <c r="AZ75" s="96"/>
      <c r="BA75" s="96"/>
      <c r="BB75" s="97"/>
      <c r="BC75" s="7"/>
    </row>
    <row r="76" spans="1:55" ht="14.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7"/>
      <c r="AZ76" s="96"/>
      <c r="BA76" s="96"/>
      <c r="BB76" s="97"/>
      <c r="BC76" s="7"/>
    </row>
    <row r="77" spans="1:55" ht="14.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7"/>
      <c r="AZ77" s="96"/>
      <c r="BA77" s="96"/>
      <c r="BB77" s="97"/>
      <c r="BC77" s="7"/>
    </row>
    <row r="78" spans="1:55" ht="14.4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7"/>
      <c r="AZ78" s="96"/>
      <c r="BA78" s="96"/>
      <c r="BB78" s="97"/>
      <c r="BC78" s="7"/>
    </row>
    <row r="79" spans="1:55" ht="14.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7"/>
      <c r="AZ79" s="96"/>
      <c r="BA79" s="96"/>
      <c r="BB79" s="97"/>
      <c r="BC79" s="7"/>
    </row>
    <row r="80" spans="1:55" ht="14.4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7"/>
      <c r="AZ80" s="96"/>
      <c r="BA80" s="96"/>
      <c r="BB80" s="97"/>
      <c r="BC80" s="7"/>
    </row>
    <row r="81" spans="1:55" ht="14.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7"/>
      <c r="AZ81" s="96"/>
      <c r="BA81" s="96"/>
      <c r="BB81" s="97"/>
      <c r="BC81" s="7"/>
    </row>
    <row r="82" spans="1:55" ht="14.4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7"/>
      <c r="AZ82" s="96"/>
      <c r="BA82" s="96"/>
      <c r="BB82" s="97"/>
      <c r="BC82" s="7"/>
    </row>
    <row r="83" spans="1:55" ht="14.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7"/>
      <c r="AZ83" s="96"/>
      <c r="BA83" s="96"/>
      <c r="BB83" s="97"/>
      <c r="BC83" s="7"/>
    </row>
    <row r="84" spans="1:55" ht="14.4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7"/>
      <c r="AZ84" s="96"/>
      <c r="BA84" s="96"/>
      <c r="BB84" s="97"/>
      <c r="BC84" s="7"/>
    </row>
    <row r="85" spans="1:55" ht="14.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7"/>
      <c r="AZ85" s="96"/>
      <c r="BA85" s="96"/>
      <c r="BB85" s="97"/>
      <c r="BC85" s="7"/>
    </row>
    <row r="86" spans="1:55" ht="14.4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7"/>
      <c r="AZ86" s="96"/>
      <c r="BA86" s="96"/>
      <c r="BB86" s="97"/>
      <c r="BC86" s="7"/>
    </row>
    <row r="87" spans="1:55" ht="14.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7"/>
      <c r="AZ87" s="96"/>
      <c r="BA87" s="96"/>
      <c r="BB87" s="97"/>
      <c r="BC87" s="7"/>
    </row>
    <row r="88" spans="1:55" ht="14.4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7"/>
      <c r="AZ88" s="96"/>
      <c r="BA88" s="96"/>
      <c r="BB88" s="97"/>
      <c r="BC88" s="7"/>
    </row>
    <row r="89" spans="1:55" ht="14.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7"/>
      <c r="AZ89" s="96"/>
      <c r="BA89" s="96"/>
      <c r="BB89" s="97"/>
      <c r="BC89" s="7"/>
    </row>
    <row r="90" spans="1:55" ht="14.4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7"/>
      <c r="AZ90" s="96"/>
      <c r="BA90" s="96"/>
      <c r="BB90" s="97"/>
      <c r="BC90" s="7"/>
    </row>
    <row r="91" spans="1:55" ht="14.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7"/>
      <c r="AZ91" s="96"/>
      <c r="BA91" s="96"/>
      <c r="BB91" s="97"/>
      <c r="BC91" s="7"/>
    </row>
    <row r="92" spans="1:55" ht="14.4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7"/>
      <c r="AZ92" s="96"/>
      <c r="BA92" s="96"/>
      <c r="BB92" s="97"/>
      <c r="BC92" s="7"/>
    </row>
    <row r="93" spans="1:55" ht="14.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7"/>
      <c r="AZ93" s="96"/>
      <c r="BA93" s="96"/>
      <c r="BB93" s="97"/>
      <c r="BC93" s="7"/>
    </row>
    <row r="94" spans="1:55" ht="14.4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7"/>
      <c r="AZ94" s="96"/>
      <c r="BA94" s="96"/>
      <c r="BB94" s="97"/>
      <c r="BC94" s="7"/>
    </row>
    <row r="95" spans="1:55" ht="14.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7"/>
      <c r="AZ95" s="96"/>
      <c r="BA95" s="96"/>
      <c r="BB95" s="97"/>
      <c r="BC95" s="7"/>
    </row>
    <row r="96" spans="1:55" ht="14.4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7"/>
      <c r="AZ96" s="96"/>
      <c r="BA96" s="96"/>
      <c r="BB96" s="97"/>
      <c r="BC96" s="7"/>
    </row>
    <row r="97" spans="1:55" ht="14.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7"/>
      <c r="AZ97" s="96"/>
      <c r="BA97" s="96"/>
      <c r="BB97" s="97"/>
      <c r="BC97" s="7"/>
    </row>
    <row r="98" spans="1:55" ht="14.4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7"/>
      <c r="AZ98" s="96"/>
      <c r="BA98" s="96"/>
      <c r="BB98" s="97"/>
      <c r="BC98" s="7"/>
    </row>
    <row r="99" spans="1:55" ht="14.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7"/>
      <c r="AZ99" s="96"/>
      <c r="BA99" s="96"/>
      <c r="BB99" s="97"/>
      <c r="BC99" s="7"/>
    </row>
    <row r="100" spans="1:55" ht="14.4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7"/>
      <c r="AZ100" s="96"/>
      <c r="BA100" s="96"/>
      <c r="BB100" s="97"/>
      <c r="BC100" s="7"/>
    </row>
    <row r="101" spans="1:55" ht="14.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7"/>
      <c r="AZ101" s="96"/>
      <c r="BA101" s="96"/>
      <c r="BB101" s="97"/>
      <c r="BC101" s="7"/>
    </row>
    <row r="102" spans="1:55" ht="14.4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7"/>
      <c r="AZ102" s="96"/>
      <c r="BA102" s="96"/>
      <c r="BB102" s="97"/>
      <c r="BC102" s="7"/>
    </row>
    <row r="103" spans="1:55" ht="14.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7"/>
      <c r="AZ103" s="96"/>
      <c r="BA103" s="96"/>
      <c r="BB103" s="97"/>
      <c r="BC103" s="7"/>
    </row>
    <row r="104" spans="1:55" ht="14.4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7"/>
      <c r="AZ104" s="96"/>
      <c r="BA104" s="96"/>
      <c r="BB104" s="97"/>
      <c r="BC104" s="7"/>
    </row>
    <row r="105" spans="1:55" ht="14.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7"/>
      <c r="AZ105" s="96"/>
      <c r="BA105" s="96"/>
      <c r="BB105" s="97"/>
      <c r="BC105" s="7"/>
    </row>
    <row r="106" spans="1:55" ht="14.4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7"/>
      <c r="AZ106" s="96"/>
      <c r="BA106" s="96"/>
      <c r="BB106" s="97"/>
      <c r="BC106" s="7"/>
    </row>
    <row r="107" spans="1:55" ht="14.4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7"/>
      <c r="AZ107" s="96"/>
      <c r="BA107" s="96"/>
      <c r="BB107" s="97"/>
      <c r="BC107" s="7"/>
    </row>
    <row r="108" spans="1:55" ht="14.4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7"/>
      <c r="AZ108" s="96"/>
      <c r="BA108" s="96"/>
      <c r="BB108" s="97"/>
      <c r="BC108" s="7"/>
    </row>
    <row r="109" spans="1:55" ht="14.4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7"/>
      <c r="AZ109" s="96"/>
      <c r="BA109" s="96"/>
      <c r="BB109" s="97"/>
      <c r="BC109" s="7"/>
    </row>
    <row r="110" spans="1:55" ht="14.4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7"/>
      <c r="AZ110" s="96"/>
      <c r="BA110" s="96"/>
      <c r="BB110" s="97"/>
      <c r="BC110" s="7"/>
    </row>
    <row r="111" spans="1:55" ht="14.4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7"/>
      <c r="AZ111" s="96"/>
      <c r="BA111" s="96"/>
      <c r="BB111" s="97"/>
      <c r="BC111" s="7"/>
    </row>
    <row r="112" spans="1:55" ht="14.4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7"/>
      <c r="AZ112" s="96"/>
      <c r="BA112" s="96"/>
      <c r="BB112" s="97"/>
      <c r="BC112" s="7"/>
    </row>
    <row r="113" spans="1:55" ht="14.4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7"/>
      <c r="AZ113" s="96"/>
      <c r="BA113" s="96"/>
      <c r="BB113" s="97"/>
      <c r="BC113" s="7"/>
    </row>
    <row r="114" spans="1:55" ht="14.4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7"/>
      <c r="AZ114" s="96"/>
      <c r="BA114" s="96"/>
      <c r="BB114" s="97"/>
      <c r="BC114" s="7"/>
    </row>
    <row r="115" spans="1:55" ht="14.4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7"/>
      <c r="AZ115" s="96"/>
      <c r="BA115" s="96"/>
      <c r="BB115" s="97"/>
      <c r="BC115" s="7"/>
    </row>
    <row r="116" spans="1:55" ht="14.4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7"/>
      <c r="AZ116" s="96"/>
      <c r="BA116" s="96"/>
      <c r="BB116" s="97"/>
      <c r="BC116" s="7"/>
    </row>
    <row r="117" spans="1:55" ht="14.4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7"/>
      <c r="AZ117" s="96"/>
      <c r="BA117" s="96"/>
      <c r="BB117" s="97"/>
      <c r="BC117" s="7"/>
    </row>
    <row r="118" spans="1:55" ht="14.4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7"/>
      <c r="AZ118" s="96"/>
      <c r="BA118" s="96"/>
      <c r="BB118" s="97"/>
      <c r="BC118" s="7"/>
    </row>
    <row r="119" spans="1:55" ht="14.4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7"/>
      <c r="AZ119" s="96"/>
      <c r="BA119" s="96"/>
      <c r="BB119" s="97"/>
      <c r="BC119" s="7"/>
    </row>
    <row r="120" spans="1:55" ht="14.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7"/>
      <c r="AZ120" s="96"/>
      <c r="BA120" s="96"/>
      <c r="BB120" s="97"/>
      <c r="BC120" s="7"/>
    </row>
    <row r="121" spans="1:55" ht="14.4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7"/>
      <c r="AZ121" s="96"/>
      <c r="BA121" s="96"/>
      <c r="BB121" s="97"/>
      <c r="BC121" s="7"/>
    </row>
    <row r="122" spans="1:55" ht="14.4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7"/>
      <c r="AZ122" s="96"/>
      <c r="BA122" s="96"/>
      <c r="BB122" s="97"/>
      <c r="BC122" s="7"/>
    </row>
    <row r="123" spans="1:55" ht="14.4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7"/>
      <c r="AZ123" s="96"/>
      <c r="BA123" s="96"/>
      <c r="BB123" s="97"/>
      <c r="BC123" s="7"/>
    </row>
    <row r="124" spans="1:55" ht="14.4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7"/>
      <c r="AZ124" s="96"/>
      <c r="BA124" s="96"/>
      <c r="BB124" s="97"/>
      <c r="BC124" s="7"/>
    </row>
    <row r="125" spans="1:55" ht="14.4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7"/>
      <c r="AZ125" s="96"/>
      <c r="BA125" s="96"/>
      <c r="BB125" s="97"/>
      <c r="BC125" s="7"/>
    </row>
    <row r="126" spans="1:55" ht="14.4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7"/>
      <c r="AZ126" s="96"/>
      <c r="BA126" s="96"/>
      <c r="BB126" s="97"/>
      <c r="BC126" s="7"/>
    </row>
    <row r="127" spans="1:55" ht="14.4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7"/>
      <c r="AZ127" s="96"/>
      <c r="BA127" s="96"/>
      <c r="BB127" s="97"/>
      <c r="BC127" s="7"/>
    </row>
    <row r="128" spans="1:55" ht="14.4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7"/>
      <c r="AZ128" s="96"/>
      <c r="BA128" s="96"/>
      <c r="BB128" s="97"/>
      <c r="BC128" s="7"/>
    </row>
    <row r="129" spans="1:55" ht="14.4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7"/>
      <c r="AZ129" s="96"/>
      <c r="BA129" s="96"/>
      <c r="BB129" s="97"/>
      <c r="BC129" s="7"/>
    </row>
    <row r="130" spans="1:55" ht="14.4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7"/>
      <c r="AZ130" s="96"/>
      <c r="BA130" s="96"/>
      <c r="BB130" s="97"/>
      <c r="BC130" s="7"/>
    </row>
    <row r="131" spans="1:55" ht="14.4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7"/>
      <c r="AZ131" s="96"/>
      <c r="BA131" s="96"/>
      <c r="BB131" s="97"/>
      <c r="BC131" s="7"/>
    </row>
    <row r="132" spans="1:55" ht="14.4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7"/>
      <c r="AZ132" s="96"/>
      <c r="BA132" s="96"/>
      <c r="BB132" s="97"/>
      <c r="BC132" s="7"/>
    </row>
    <row r="133" spans="1:55" ht="14.4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7"/>
      <c r="AZ133" s="96"/>
      <c r="BA133" s="96"/>
      <c r="BB133" s="97"/>
      <c r="BC133" s="7"/>
    </row>
    <row r="134" spans="1:55" ht="14.4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7"/>
      <c r="AZ134" s="96"/>
      <c r="BA134" s="96"/>
      <c r="BB134" s="97"/>
      <c r="BC134" s="7"/>
    </row>
    <row r="135" spans="1:55" ht="14.4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7"/>
      <c r="AZ135" s="96"/>
      <c r="BA135" s="96"/>
      <c r="BB135" s="97"/>
      <c r="BC135" s="7"/>
    </row>
    <row r="136" spans="1:55" ht="14.4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7"/>
      <c r="AZ136" s="96"/>
      <c r="BA136" s="96"/>
      <c r="BB136" s="97"/>
      <c r="BC136" s="7"/>
    </row>
    <row r="137" spans="1:55" ht="14.4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7"/>
      <c r="AZ137" s="96"/>
      <c r="BA137" s="96"/>
      <c r="BB137" s="97"/>
      <c r="BC137" s="7"/>
    </row>
    <row r="138" spans="1:55" ht="14.4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7"/>
      <c r="AZ138" s="96"/>
      <c r="BA138" s="96"/>
      <c r="BB138" s="97"/>
      <c r="BC138" s="7"/>
    </row>
    <row r="139" spans="1:55" ht="14.4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7"/>
      <c r="AZ139" s="96"/>
      <c r="BA139" s="96"/>
      <c r="BB139" s="97"/>
      <c r="BC139" s="7"/>
    </row>
    <row r="140" spans="1:55" ht="14.4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7"/>
      <c r="AZ140" s="96"/>
      <c r="BA140" s="96"/>
      <c r="BB140" s="97"/>
      <c r="BC140" s="7"/>
    </row>
    <row r="141" spans="1:55" ht="14.4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7"/>
      <c r="AZ141" s="96"/>
      <c r="BA141" s="96"/>
      <c r="BB141" s="97"/>
      <c r="BC141" s="7"/>
    </row>
    <row r="142" spans="1:55" ht="14.4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7"/>
      <c r="AZ142" s="96"/>
      <c r="BA142" s="96"/>
      <c r="BB142" s="97"/>
      <c r="BC142" s="7"/>
    </row>
    <row r="143" spans="1:55" ht="14.4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7"/>
      <c r="AZ143" s="96"/>
      <c r="BA143" s="96"/>
      <c r="BB143" s="97"/>
      <c r="BC143" s="7"/>
    </row>
    <row r="144" spans="1:55" ht="14.4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7"/>
      <c r="AZ144" s="96"/>
      <c r="BA144" s="96"/>
      <c r="BB144" s="97"/>
      <c r="BC144" s="7"/>
    </row>
    <row r="145" spans="1:55" ht="14.4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7"/>
      <c r="AZ145" s="96"/>
      <c r="BA145" s="96"/>
      <c r="BB145" s="97"/>
      <c r="BC145" s="7"/>
    </row>
    <row r="146" spans="1:55" ht="14.4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7"/>
      <c r="AZ146" s="96"/>
      <c r="BA146" s="96"/>
      <c r="BB146" s="97"/>
      <c r="BC146" s="7"/>
    </row>
    <row r="147" spans="1:55" ht="14.4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7"/>
      <c r="AZ147" s="96"/>
      <c r="BA147" s="96"/>
      <c r="BB147" s="97"/>
      <c r="BC147" s="7"/>
    </row>
    <row r="148" spans="1:55" ht="14.4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7"/>
      <c r="AZ148" s="96"/>
      <c r="BA148" s="96"/>
      <c r="BB148" s="97"/>
      <c r="BC148" s="7"/>
    </row>
    <row r="149" spans="1:55" ht="14.4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7"/>
      <c r="AZ149" s="96"/>
      <c r="BA149" s="96"/>
      <c r="BB149" s="97"/>
      <c r="BC149" s="7"/>
    </row>
    <row r="150" spans="1:55" ht="14.4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7"/>
      <c r="AZ150" s="96"/>
      <c r="BA150" s="96"/>
      <c r="BB150" s="97"/>
      <c r="BC150" s="7"/>
    </row>
    <row r="151" spans="1:55" ht="14.4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7"/>
      <c r="AZ151" s="96"/>
      <c r="BA151" s="96"/>
      <c r="BB151" s="97"/>
      <c r="BC151" s="7"/>
    </row>
    <row r="152" spans="1:55" ht="14.4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7"/>
      <c r="AZ152" s="96"/>
      <c r="BA152" s="96"/>
      <c r="BB152" s="97"/>
      <c r="BC152" s="7"/>
    </row>
    <row r="153" spans="1:55" ht="14.4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7"/>
      <c r="AZ153" s="96"/>
      <c r="BA153" s="96"/>
      <c r="BB153" s="97"/>
      <c r="BC153" s="7"/>
    </row>
    <row r="154" spans="1:55" ht="14.4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7"/>
      <c r="AZ154" s="96"/>
      <c r="BA154" s="96"/>
      <c r="BB154" s="97"/>
      <c r="BC154" s="7"/>
    </row>
    <row r="155" spans="1:55" ht="14.4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7"/>
      <c r="AZ155" s="96"/>
      <c r="BA155" s="96"/>
      <c r="BB155" s="97"/>
      <c r="BC155" s="7"/>
    </row>
    <row r="156" spans="1:55" ht="14.4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7"/>
      <c r="AZ156" s="96"/>
      <c r="BA156" s="96"/>
      <c r="BB156" s="97"/>
      <c r="BC156" s="7"/>
    </row>
    <row r="157" spans="1:55" ht="14.4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7"/>
      <c r="AZ157" s="96"/>
      <c r="BA157" s="96"/>
      <c r="BB157" s="97"/>
      <c r="BC157" s="7"/>
    </row>
    <row r="158" spans="1:55" ht="14.4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7"/>
      <c r="AZ158" s="96"/>
      <c r="BA158" s="96"/>
      <c r="BB158" s="97"/>
      <c r="BC158" s="7"/>
    </row>
    <row r="159" spans="1:55" ht="14.4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7"/>
      <c r="AZ159" s="96"/>
      <c r="BA159" s="96"/>
      <c r="BB159" s="97"/>
      <c r="BC159" s="7"/>
    </row>
    <row r="160" spans="1:55" ht="14.4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7"/>
      <c r="AZ160" s="96"/>
      <c r="BA160" s="96"/>
      <c r="BB160" s="97"/>
      <c r="BC160" s="7"/>
    </row>
    <row r="161" spans="1:55" ht="14.4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7"/>
      <c r="AZ161" s="96"/>
      <c r="BA161" s="96"/>
      <c r="BB161" s="97"/>
      <c r="BC161" s="7"/>
    </row>
    <row r="162" spans="1:55" ht="14.4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7"/>
      <c r="AZ162" s="96"/>
      <c r="BA162" s="96"/>
      <c r="BB162" s="97"/>
      <c r="BC162" s="7"/>
    </row>
    <row r="163" spans="1:55" ht="14.4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7"/>
      <c r="AZ163" s="96"/>
      <c r="BA163" s="96"/>
      <c r="BB163" s="97"/>
      <c r="BC163" s="7"/>
    </row>
    <row r="164" spans="1:55" ht="14.4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7"/>
      <c r="AZ164" s="96"/>
      <c r="BA164" s="96"/>
      <c r="BB164" s="97"/>
      <c r="BC164" s="7"/>
    </row>
    <row r="165" spans="1:55" ht="14.4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7"/>
      <c r="AZ165" s="96"/>
      <c r="BA165" s="96"/>
      <c r="BB165" s="97"/>
      <c r="BC165" s="7"/>
    </row>
    <row r="166" spans="1:55" ht="14.4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7"/>
      <c r="AZ166" s="96"/>
      <c r="BA166" s="96"/>
      <c r="BB166" s="97"/>
      <c r="BC166" s="7"/>
    </row>
    <row r="167" spans="1:55" ht="14.4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7"/>
      <c r="AZ167" s="96"/>
      <c r="BA167" s="96"/>
      <c r="BB167" s="97"/>
      <c r="BC167" s="7"/>
    </row>
    <row r="168" spans="1:55" ht="14.4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7"/>
      <c r="AZ168" s="96"/>
      <c r="BA168" s="96"/>
      <c r="BB168" s="97"/>
      <c r="BC168" s="7"/>
    </row>
    <row r="169" spans="1:55" ht="14.4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7"/>
      <c r="AZ169" s="96"/>
      <c r="BA169" s="96"/>
      <c r="BB169" s="97"/>
      <c r="BC169" s="7"/>
    </row>
    <row r="170" spans="1:55" ht="14.4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7"/>
      <c r="AZ170" s="96"/>
      <c r="BA170" s="96"/>
      <c r="BB170" s="97"/>
      <c r="BC170" s="7"/>
    </row>
    <row r="171" spans="1:55" ht="14.4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7"/>
      <c r="AZ171" s="96"/>
      <c r="BA171" s="96"/>
      <c r="BB171" s="97"/>
      <c r="BC171" s="7"/>
    </row>
    <row r="172" spans="1:55" ht="14.4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7"/>
      <c r="AZ172" s="96"/>
      <c r="BA172" s="96"/>
      <c r="BB172" s="97"/>
      <c r="BC172" s="7"/>
    </row>
    <row r="173" spans="1:55" ht="14.4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7"/>
      <c r="AZ173" s="96"/>
      <c r="BA173" s="96"/>
      <c r="BB173" s="97"/>
      <c r="BC173" s="7"/>
    </row>
    <row r="174" spans="1:55" ht="14.4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7"/>
      <c r="AZ174" s="96"/>
      <c r="BA174" s="96"/>
      <c r="BB174" s="97"/>
      <c r="BC174" s="7"/>
    </row>
    <row r="175" spans="1:55" ht="14.4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7"/>
      <c r="AZ175" s="96"/>
      <c r="BA175" s="96"/>
      <c r="BB175" s="97"/>
      <c r="BC175" s="7"/>
    </row>
    <row r="176" spans="1:55" ht="14.4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7"/>
      <c r="AZ176" s="96"/>
      <c r="BA176" s="96"/>
      <c r="BB176" s="97"/>
      <c r="BC176" s="7"/>
    </row>
    <row r="177" spans="1:55" ht="14.4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7"/>
      <c r="AZ177" s="96"/>
      <c r="BA177" s="96"/>
      <c r="BB177" s="97"/>
      <c r="BC177" s="7"/>
    </row>
    <row r="178" spans="1:55" ht="14.4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7"/>
      <c r="AZ178" s="96"/>
      <c r="BA178" s="96"/>
      <c r="BB178" s="97"/>
      <c r="BC178" s="7"/>
    </row>
    <row r="179" spans="1:55" ht="14.4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7"/>
      <c r="AZ179" s="96"/>
      <c r="BA179" s="96"/>
      <c r="BB179" s="97"/>
      <c r="BC179" s="7"/>
    </row>
    <row r="180" spans="1:55" ht="14.4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7"/>
      <c r="AZ180" s="96"/>
      <c r="BA180" s="96"/>
      <c r="BB180" s="97"/>
      <c r="BC180" s="7"/>
    </row>
    <row r="181" spans="1:55" ht="14.4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7"/>
      <c r="AZ181" s="96"/>
      <c r="BA181" s="96"/>
      <c r="BB181" s="97"/>
      <c r="BC181" s="7"/>
    </row>
    <row r="182" spans="1:55" ht="14.4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7"/>
      <c r="AZ182" s="96"/>
      <c r="BA182" s="96"/>
      <c r="BB182" s="97"/>
      <c r="BC182" s="7"/>
    </row>
    <row r="183" spans="1:55" ht="14.4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7"/>
      <c r="AZ183" s="96"/>
      <c r="BA183" s="96"/>
      <c r="BB183" s="97"/>
      <c r="BC183" s="7"/>
    </row>
    <row r="184" spans="1:55" ht="14.4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7"/>
      <c r="AZ184" s="96"/>
      <c r="BA184" s="96"/>
      <c r="BB184" s="97"/>
      <c r="BC184" s="7"/>
    </row>
    <row r="185" spans="1:55" ht="14.4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7"/>
      <c r="AZ185" s="96"/>
      <c r="BA185" s="96"/>
      <c r="BB185" s="97"/>
      <c r="BC185" s="7"/>
    </row>
    <row r="186" spans="1:55" ht="14.4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7"/>
      <c r="AZ186" s="96"/>
      <c r="BA186" s="96"/>
      <c r="BB186" s="97"/>
      <c r="BC186" s="7"/>
    </row>
    <row r="187" spans="1:55" ht="14.4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7"/>
      <c r="AZ187" s="96"/>
      <c r="BA187" s="96"/>
      <c r="BB187" s="97"/>
      <c r="BC187" s="7"/>
    </row>
    <row r="188" spans="1:55" ht="14.4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7"/>
      <c r="AZ188" s="96"/>
      <c r="BA188" s="96"/>
      <c r="BB188" s="97"/>
      <c r="BC188" s="7"/>
    </row>
    <row r="189" spans="1:55" ht="14.4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7"/>
      <c r="AZ189" s="96"/>
      <c r="BA189" s="96"/>
      <c r="BB189" s="97"/>
      <c r="BC189" s="7"/>
    </row>
    <row r="190" spans="1:55" ht="14.4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7"/>
      <c r="AZ190" s="96"/>
      <c r="BA190" s="96"/>
      <c r="BB190" s="97"/>
      <c r="BC190" s="7"/>
    </row>
    <row r="191" spans="1:55" ht="14.4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7"/>
      <c r="AZ191" s="96"/>
      <c r="BA191" s="96"/>
      <c r="BB191" s="97"/>
      <c r="BC191" s="7"/>
    </row>
    <row r="192" spans="1:55" ht="14.4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7"/>
      <c r="AZ192" s="96"/>
      <c r="BA192" s="96"/>
      <c r="BB192" s="97"/>
      <c r="BC192" s="7"/>
    </row>
    <row r="193" spans="1:55" ht="14.4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7"/>
      <c r="AZ193" s="96"/>
      <c r="BA193" s="96"/>
      <c r="BB193" s="97"/>
      <c r="BC193" s="7"/>
    </row>
    <row r="194" spans="1:55" ht="14.4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7"/>
      <c r="AZ194" s="96"/>
      <c r="BA194" s="96"/>
      <c r="BB194" s="97"/>
      <c r="BC194" s="7"/>
    </row>
    <row r="195" spans="1:55" ht="14.4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7"/>
      <c r="AZ195" s="96"/>
      <c r="BA195" s="96"/>
      <c r="BB195" s="97"/>
      <c r="BC195" s="7"/>
    </row>
    <row r="196" spans="1:55" ht="14.4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7"/>
      <c r="AZ196" s="96"/>
      <c r="BA196" s="96"/>
      <c r="BB196" s="97"/>
      <c r="BC196" s="7"/>
    </row>
    <row r="197" spans="1:55" ht="14.4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7"/>
      <c r="AZ197" s="96"/>
      <c r="BA197" s="96"/>
      <c r="BB197" s="97"/>
      <c r="BC197" s="7"/>
    </row>
    <row r="198" spans="1:55" ht="14.4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7"/>
      <c r="AZ198" s="96"/>
      <c r="BA198" s="96"/>
      <c r="BB198" s="97"/>
      <c r="BC198" s="7"/>
    </row>
    <row r="199" spans="1:55" ht="14.4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7"/>
      <c r="AZ199" s="96"/>
      <c r="BA199" s="96"/>
      <c r="BB199" s="97"/>
      <c r="BC199" s="7"/>
    </row>
    <row r="200" spans="1:55" ht="14.4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7"/>
      <c r="AZ200" s="96"/>
      <c r="BA200" s="96"/>
      <c r="BB200" s="97"/>
      <c r="BC200" s="7"/>
    </row>
    <row r="201" spans="1:55" ht="14.4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7"/>
      <c r="AZ201" s="96"/>
      <c r="BA201" s="96"/>
      <c r="BB201" s="97"/>
      <c r="BC201" s="7"/>
    </row>
    <row r="202" spans="1:55" ht="14.4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7"/>
      <c r="AZ202" s="96"/>
      <c r="BA202" s="96"/>
      <c r="BB202" s="97"/>
      <c r="BC202" s="7"/>
    </row>
    <row r="203" spans="1:55" ht="14.4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7"/>
      <c r="AZ203" s="96"/>
      <c r="BA203" s="96"/>
      <c r="BB203" s="97"/>
      <c r="BC203" s="7"/>
    </row>
    <row r="204" spans="1:55" ht="14.4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7"/>
      <c r="AZ204" s="96"/>
      <c r="BA204" s="96"/>
      <c r="BB204" s="97"/>
      <c r="BC204" s="7"/>
    </row>
    <row r="205" spans="1:55" ht="14.4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7"/>
      <c r="AZ205" s="96"/>
      <c r="BA205" s="96"/>
      <c r="BB205" s="97"/>
      <c r="BC205" s="7"/>
    </row>
    <row r="206" spans="1:55" ht="14.4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7"/>
      <c r="AZ206" s="96"/>
      <c r="BA206" s="96"/>
      <c r="BB206" s="97"/>
      <c r="BC206" s="7"/>
    </row>
    <row r="207" spans="1:55" ht="14.4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7"/>
      <c r="AZ207" s="96"/>
      <c r="BA207" s="96"/>
      <c r="BB207" s="97"/>
      <c r="BC207" s="7"/>
    </row>
    <row r="208" spans="1:55" ht="14.4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7"/>
      <c r="AZ208" s="96"/>
      <c r="BA208" s="96"/>
      <c r="BB208" s="97"/>
      <c r="BC208" s="7"/>
    </row>
    <row r="209" spans="1:55" ht="14.4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7"/>
      <c r="AZ209" s="96"/>
      <c r="BA209" s="96"/>
      <c r="BB209" s="97"/>
      <c r="BC209" s="7"/>
    </row>
    <row r="210" spans="1:55" ht="14.4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7"/>
      <c r="AZ210" s="96"/>
      <c r="BA210" s="96"/>
      <c r="BB210" s="97"/>
      <c r="BC210" s="7"/>
    </row>
    <row r="211" spans="1:55" ht="14.4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7"/>
      <c r="AZ211" s="96"/>
      <c r="BA211" s="96"/>
      <c r="BB211" s="97"/>
      <c r="BC211" s="7"/>
    </row>
    <row r="212" spans="1:55" ht="14.4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7"/>
      <c r="AZ212" s="96"/>
      <c r="BA212" s="96"/>
      <c r="BB212" s="97"/>
      <c r="BC212" s="7"/>
    </row>
    <row r="213" spans="1:55" ht="14.4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7"/>
      <c r="AZ213" s="96"/>
      <c r="BA213" s="96"/>
      <c r="BB213" s="97"/>
      <c r="BC213" s="7"/>
    </row>
    <row r="214" spans="1:55" ht="14.4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7"/>
      <c r="AZ214" s="96"/>
      <c r="BA214" s="96"/>
      <c r="BB214" s="97"/>
      <c r="BC214" s="7"/>
    </row>
    <row r="215" spans="1:55" ht="14.4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7"/>
      <c r="AZ215" s="96"/>
      <c r="BA215" s="96"/>
      <c r="BB215" s="97"/>
      <c r="BC215" s="7"/>
    </row>
    <row r="216" spans="1:55" ht="14.4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7"/>
      <c r="AZ216" s="96"/>
      <c r="BA216" s="96"/>
      <c r="BB216" s="97"/>
      <c r="BC216" s="7"/>
    </row>
    <row r="217" spans="1:55" ht="14.4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7"/>
      <c r="AZ217" s="96"/>
      <c r="BA217" s="96"/>
      <c r="BB217" s="97"/>
      <c r="BC217" s="7"/>
    </row>
    <row r="218" spans="1:55" ht="14.4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7"/>
      <c r="AZ218" s="96"/>
      <c r="BA218" s="96"/>
      <c r="BB218" s="97"/>
      <c r="BC218" s="7"/>
    </row>
    <row r="219" spans="1:55" ht="14.4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7"/>
      <c r="AZ219" s="96"/>
      <c r="BA219" s="96"/>
      <c r="BB219" s="97"/>
      <c r="BC219" s="7"/>
    </row>
    <row r="220" spans="1:55" ht="14.4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7"/>
      <c r="AZ220" s="96"/>
      <c r="BA220" s="96"/>
      <c r="BB220" s="97"/>
      <c r="BC220" s="7"/>
    </row>
    <row r="221" spans="1:55" ht="14.4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7"/>
      <c r="AZ221" s="96"/>
      <c r="BA221" s="96"/>
      <c r="BB221" s="97"/>
      <c r="BC221" s="7"/>
    </row>
    <row r="222" spans="1:55" ht="14.4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7"/>
      <c r="AZ222" s="96"/>
      <c r="BA222" s="96"/>
      <c r="BB222" s="97"/>
      <c r="BC222" s="7"/>
    </row>
    <row r="223" spans="1:55" ht="14.4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7"/>
      <c r="AZ223" s="96"/>
      <c r="BA223" s="96"/>
      <c r="BB223" s="97"/>
      <c r="BC223" s="7"/>
    </row>
    <row r="224" spans="1:55" ht="14.4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7"/>
      <c r="AZ224" s="96"/>
      <c r="BA224" s="96"/>
      <c r="BB224" s="97"/>
      <c r="BC224" s="7"/>
    </row>
    <row r="225" spans="1:55" ht="14.4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7"/>
      <c r="AZ225" s="96"/>
      <c r="BA225" s="96"/>
      <c r="BB225" s="97"/>
      <c r="BC225" s="7"/>
    </row>
    <row r="226" spans="1:55" ht="14.4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7"/>
      <c r="AZ226" s="96"/>
      <c r="BA226" s="96"/>
      <c r="BB226" s="97"/>
      <c r="BC226" s="7"/>
    </row>
    <row r="227" spans="1:55" ht="14.4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7"/>
      <c r="AZ227" s="96"/>
      <c r="BA227" s="96"/>
      <c r="BB227" s="97"/>
      <c r="BC227" s="7"/>
    </row>
    <row r="228" spans="1:55" ht="14.4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7"/>
      <c r="AZ228" s="96"/>
      <c r="BA228" s="96"/>
      <c r="BB228" s="97"/>
      <c r="BC228" s="7"/>
    </row>
    <row r="229" spans="1:55" ht="14.4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7"/>
      <c r="AZ229" s="96"/>
      <c r="BA229" s="96"/>
      <c r="BB229" s="97"/>
      <c r="BC229" s="7"/>
    </row>
    <row r="230" spans="1:55" ht="14.4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7"/>
      <c r="AZ230" s="96"/>
      <c r="BA230" s="96"/>
      <c r="BB230" s="97"/>
      <c r="BC230" s="7"/>
    </row>
    <row r="231" spans="1:55" ht="14.4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7"/>
      <c r="AZ231" s="96"/>
      <c r="BA231" s="96"/>
      <c r="BB231" s="97"/>
      <c r="BC231" s="7"/>
    </row>
    <row r="232" spans="1:55" ht="14.4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7"/>
      <c r="AZ232" s="96"/>
      <c r="BA232" s="96"/>
      <c r="BB232" s="97"/>
      <c r="BC232" s="7"/>
    </row>
    <row r="233" spans="1:55" ht="14.4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7"/>
      <c r="AZ233" s="96"/>
      <c r="BA233" s="96"/>
      <c r="BB233" s="97"/>
      <c r="BC233" s="7"/>
    </row>
    <row r="234" spans="1:55" ht="14.4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7"/>
      <c r="AZ234" s="96"/>
      <c r="BA234" s="96"/>
      <c r="BB234" s="97"/>
      <c r="BC234" s="7"/>
    </row>
    <row r="235" spans="1:55" ht="14.4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7"/>
      <c r="AZ235" s="96"/>
      <c r="BA235" s="96"/>
      <c r="BB235" s="97"/>
      <c r="BC235" s="7"/>
    </row>
    <row r="236" spans="1:55" ht="14.4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7"/>
      <c r="AZ236" s="96"/>
      <c r="BA236" s="96"/>
      <c r="BB236" s="97"/>
      <c r="BC236" s="7"/>
    </row>
    <row r="237" spans="1:55" ht="14.4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7"/>
      <c r="AZ237" s="96"/>
      <c r="BA237" s="96"/>
      <c r="BB237" s="97"/>
      <c r="BC237" s="7"/>
    </row>
    <row r="238" spans="1:55" ht="14.4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7"/>
      <c r="AZ238" s="96"/>
      <c r="BA238" s="96"/>
      <c r="BB238" s="97"/>
      <c r="BC238" s="7"/>
    </row>
    <row r="239" spans="1:55" ht="14.4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7"/>
      <c r="AZ239" s="96"/>
      <c r="BA239" s="96"/>
      <c r="BB239" s="97"/>
      <c r="BC239" s="7"/>
    </row>
    <row r="240" spans="1:55" ht="14.4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7"/>
      <c r="AZ240" s="96"/>
      <c r="BA240" s="96"/>
      <c r="BB240" s="97"/>
      <c r="BC240" s="7"/>
    </row>
    <row r="241" spans="1:55" ht="14.4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7"/>
      <c r="AZ241" s="96"/>
      <c r="BA241" s="96"/>
      <c r="BB241" s="97"/>
      <c r="BC241" s="7"/>
    </row>
    <row r="242" spans="1:55" ht="14.4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7"/>
      <c r="AZ242" s="96"/>
      <c r="BA242" s="96"/>
      <c r="BB242" s="97"/>
      <c r="BC242" s="7"/>
    </row>
    <row r="243" spans="1:55" ht="14.4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7"/>
      <c r="AZ243" s="96"/>
      <c r="BA243" s="96"/>
      <c r="BB243" s="97"/>
      <c r="BC243" s="7"/>
    </row>
    <row r="244" spans="1:55" ht="14.4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7"/>
      <c r="AZ244" s="96"/>
      <c r="BA244" s="96"/>
      <c r="BB244" s="97"/>
      <c r="BC244" s="7"/>
    </row>
    <row r="245" spans="1:55" ht="14.4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7"/>
      <c r="AZ245" s="96"/>
      <c r="BA245" s="96"/>
      <c r="BB245" s="97"/>
      <c r="BC245" s="7"/>
    </row>
    <row r="246" spans="1:55" ht="14.4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7"/>
      <c r="AZ246" s="96"/>
      <c r="BA246" s="96"/>
      <c r="BB246" s="97"/>
      <c r="BC246" s="7"/>
    </row>
    <row r="247" spans="1:55" ht="14.4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7"/>
      <c r="AZ247" s="96"/>
      <c r="BA247" s="96"/>
      <c r="BB247" s="97"/>
      <c r="BC247" s="7"/>
    </row>
    <row r="248" spans="1:55" ht="14.4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7"/>
      <c r="AZ248" s="96"/>
      <c r="BA248" s="96"/>
      <c r="BB248" s="97"/>
      <c r="BC248" s="7"/>
    </row>
    <row r="249" spans="1:55" ht="14.4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7"/>
      <c r="AZ249" s="96"/>
      <c r="BA249" s="96"/>
      <c r="BB249" s="97"/>
      <c r="BC249" s="7"/>
    </row>
    <row r="250" spans="1:55" ht="14.4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7"/>
      <c r="AZ250" s="96"/>
      <c r="BA250" s="96"/>
      <c r="BB250" s="97"/>
      <c r="BC250" s="7"/>
    </row>
    <row r="251" spans="1:55" ht="14.4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7"/>
      <c r="AZ251" s="96"/>
      <c r="BA251" s="96"/>
      <c r="BB251" s="97"/>
      <c r="BC251" s="7"/>
    </row>
    <row r="252" spans="1:55" ht="14.4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7"/>
      <c r="AZ252" s="96"/>
      <c r="BA252" s="96"/>
      <c r="BB252" s="97"/>
      <c r="BC252" s="7"/>
    </row>
    <row r="253" spans="1:55" ht="14.4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7"/>
      <c r="AZ253" s="96"/>
      <c r="BA253" s="96"/>
      <c r="BB253" s="97"/>
      <c r="BC253" s="7"/>
    </row>
    <row r="254" spans="1:55" ht="14.4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7"/>
      <c r="AZ254" s="96"/>
      <c r="BA254" s="96"/>
      <c r="BB254" s="97"/>
      <c r="BC254" s="7"/>
    </row>
    <row r="255" spans="1:55" ht="14.4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7"/>
      <c r="AZ255" s="96"/>
      <c r="BA255" s="96"/>
      <c r="BB255" s="97"/>
      <c r="BC255" s="7"/>
    </row>
    <row r="256" spans="1:55" ht="14.4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7"/>
      <c r="AZ256" s="96"/>
      <c r="BA256" s="96"/>
      <c r="BB256" s="97"/>
      <c r="BC256" s="7"/>
    </row>
    <row r="257" spans="1:55" ht="14.4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7"/>
      <c r="AZ257" s="96"/>
      <c r="BA257" s="96"/>
      <c r="BB257" s="97"/>
      <c r="BC257" s="7"/>
    </row>
    <row r="258" spans="1:55" ht="14.4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7"/>
      <c r="AZ258" s="96"/>
      <c r="BA258" s="96"/>
      <c r="BB258" s="97"/>
      <c r="BC258" s="7"/>
    </row>
    <row r="259" spans="1:55" ht="14.4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7"/>
      <c r="AZ259" s="96"/>
      <c r="BA259" s="96"/>
      <c r="BB259" s="97"/>
      <c r="BC259" s="7"/>
    </row>
    <row r="260" spans="1:55" ht="14.4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7"/>
      <c r="AZ260" s="96"/>
      <c r="BA260" s="96"/>
      <c r="BB260" s="97"/>
      <c r="BC260" s="7"/>
    </row>
    <row r="261" spans="1:55" ht="14.4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7"/>
      <c r="AZ261" s="96"/>
      <c r="BA261" s="96"/>
      <c r="BB261" s="97"/>
      <c r="BC261" s="7"/>
    </row>
    <row r="262" spans="1:55" ht="14.4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7"/>
      <c r="AZ262" s="96"/>
      <c r="BA262" s="96"/>
      <c r="BB262" s="97"/>
      <c r="BC262" s="7"/>
    </row>
    <row r="263" spans="1:55" ht="14.4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7"/>
      <c r="AZ263" s="96"/>
      <c r="BA263" s="96"/>
      <c r="BB263" s="97"/>
      <c r="BC263" s="7"/>
    </row>
    <row r="264" spans="1:55" ht="14.4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7"/>
      <c r="AZ264" s="96"/>
      <c r="BA264" s="96"/>
      <c r="BB264" s="97"/>
      <c r="BC264" s="7"/>
    </row>
    <row r="265" spans="1:55" ht="14.4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7"/>
      <c r="AZ265" s="96"/>
      <c r="BA265" s="96"/>
      <c r="BB265" s="97"/>
      <c r="BC265" s="7"/>
    </row>
    <row r="266" spans="1:55" ht="14.4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7"/>
      <c r="AZ266" s="96"/>
      <c r="BA266" s="96"/>
      <c r="BB266" s="97"/>
      <c r="BC266" s="7"/>
    </row>
    <row r="267" spans="1:55" ht="14.4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7"/>
      <c r="AZ267" s="96"/>
      <c r="BA267" s="96"/>
      <c r="BB267" s="97"/>
      <c r="BC267" s="7"/>
    </row>
    <row r="268" spans="1:55" ht="14.4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7"/>
      <c r="AZ268" s="96"/>
      <c r="BA268" s="96"/>
      <c r="BB268" s="97"/>
      <c r="BC268" s="7"/>
    </row>
    <row r="269" spans="1:55" ht="14.4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7"/>
      <c r="AZ269" s="96"/>
      <c r="BA269" s="96"/>
      <c r="BB269" s="97"/>
      <c r="BC269" s="7"/>
    </row>
    <row r="270" spans="1:55" ht="14.4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7"/>
      <c r="AZ270" s="96"/>
      <c r="BA270" s="96"/>
      <c r="BB270" s="97"/>
      <c r="BC270" s="7"/>
    </row>
    <row r="271" spans="1:55" ht="14.4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7"/>
      <c r="AZ271" s="96"/>
      <c r="BA271" s="96"/>
      <c r="BB271" s="97"/>
      <c r="BC271" s="7"/>
    </row>
    <row r="272" spans="1:55" ht="14.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7"/>
      <c r="AZ272" s="96"/>
      <c r="BA272" s="96"/>
      <c r="BB272" s="97"/>
      <c r="BC272" s="7"/>
    </row>
    <row r="273" spans="1:55" ht="14.4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7"/>
      <c r="AZ273" s="96"/>
      <c r="BA273" s="96"/>
      <c r="BB273" s="97"/>
      <c r="BC273" s="7"/>
    </row>
    <row r="274" spans="1:55" ht="14.4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7"/>
      <c r="AZ274" s="96"/>
      <c r="BA274" s="96"/>
      <c r="BB274" s="97"/>
      <c r="BC274" s="7"/>
    </row>
    <row r="275" spans="1:55" ht="14.4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7"/>
      <c r="AZ275" s="96"/>
      <c r="BA275" s="96"/>
      <c r="BB275" s="97"/>
      <c r="BC275" s="7"/>
    </row>
    <row r="276" spans="1:55" ht="14.4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7"/>
      <c r="AZ276" s="96"/>
      <c r="BA276" s="96"/>
      <c r="BB276" s="97"/>
      <c r="BC276" s="7"/>
    </row>
    <row r="277" spans="1:55" ht="14.4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7"/>
      <c r="AZ277" s="96"/>
      <c r="BA277" s="96"/>
      <c r="BB277" s="97"/>
      <c r="BC277" s="7"/>
    </row>
    <row r="278" spans="1:55" ht="14.4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7"/>
      <c r="AZ278" s="96"/>
      <c r="BA278" s="96"/>
      <c r="BB278" s="97"/>
      <c r="BC278" s="7"/>
    </row>
    <row r="279" spans="1:55" ht="14.4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7"/>
      <c r="AZ279" s="96"/>
      <c r="BA279" s="96"/>
      <c r="BB279" s="97"/>
      <c r="BC279" s="7"/>
    </row>
    <row r="280" spans="1:55" ht="14.4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7"/>
      <c r="AZ280" s="96"/>
      <c r="BA280" s="96"/>
      <c r="BB280" s="97"/>
      <c r="BC280" s="7"/>
    </row>
    <row r="281" spans="1:55" ht="14.4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7"/>
      <c r="AZ281" s="96"/>
      <c r="BA281" s="96"/>
      <c r="BB281" s="97"/>
      <c r="BC281" s="7"/>
    </row>
    <row r="282" spans="1:55" ht="14.4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7"/>
      <c r="AZ282" s="96"/>
      <c r="BA282" s="96"/>
      <c r="BB282" s="97"/>
      <c r="BC282" s="7"/>
    </row>
    <row r="283" spans="1:55" ht="14.4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7"/>
      <c r="AZ283" s="96"/>
      <c r="BA283" s="96"/>
      <c r="BB283" s="97"/>
      <c r="BC283" s="7"/>
    </row>
    <row r="284" spans="1:55" ht="14.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7"/>
      <c r="AZ284" s="96"/>
      <c r="BA284" s="96"/>
      <c r="BB284" s="97"/>
      <c r="BC284" s="7"/>
    </row>
    <row r="285" spans="1:55" ht="14.4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7"/>
      <c r="AZ285" s="96"/>
      <c r="BA285" s="96"/>
      <c r="BB285" s="97"/>
      <c r="BC285" s="7"/>
    </row>
    <row r="286" spans="1:55" ht="14.4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7"/>
      <c r="AZ286" s="96"/>
      <c r="BA286" s="96"/>
      <c r="BB286" s="97"/>
      <c r="BC286" s="7"/>
    </row>
    <row r="287" spans="1:55" ht="14.4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7"/>
      <c r="AZ287" s="96"/>
      <c r="BA287" s="96"/>
      <c r="BB287" s="97"/>
      <c r="BC287" s="7"/>
    </row>
    <row r="288" spans="1:55" ht="14.4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7"/>
      <c r="AZ288" s="96"/>
      <c r="BA288" s="96"/>
      <c r="BB288" s="97"/>
      <c r="BC288" s="7"/>
    </row>
    <row r="289" spans="1:55" ht="14.4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7"/>
      <c r="AZ289" s="96"/>
      <c r="BA289" s="96"/>
      <c r="BB289" s="97"/>
      <c r="BC289" s="7"/>
    </row>
    <row r="290" spans="1:55" ht="14.4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7"/>
      <c r="AZ290" s="96"/>
      <c r="BA290" s="96"/>
      <c r="BB290" s="97"/>
      <c r="BC290" s="7"/>
    </row>
    <row r="291" spans="1:55" ht="14.4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7"/>
      <c r="AZ291" s="96"/>
      <c r="BA291" s="96"/>
      <c r="BB291" s="97"/>
      <c r="BC291" s="7"/>
    </row>
    <row r="292" spans="1:55" ht="14.4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7"/>
      <c r="AZ292" s="96"/>
      <c r="BA292" s="96"/>
      <c r="BB292" s="97"/>
      <c r="BC292" s="7"/>
    </row>
    <row r="293" spans="1:55" ht="14.4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7"/>
      <c r="AZ293" s="96"/>
      <c r="BA293" s="96"/>
      <c r="BB293" s="97"/>
      <c r="BC293" s="7"/>
    </row>
    <row r="294" spans="1:55" ht="14.4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7"/>
      <c r="AZ294" s="96"/>
      <c r="BA294" s="96"/>
      <c r="BB294" s="97"/>
      <c r="BC294" s="7"/>
    </row>
    <row r="295" spans="1:55" ht="14.4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7"/>
      <c r="AZ295" s="96"/>
      <c r="BA295" s="96"/>
      <c r="BB295" s="97"/>
      <c r="BC295" s="7"/>
    </row>
    <row r="296" spans="1:55" ht="14.4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7"/>
      <c r="AZ296" s="96"/>
      <c r="BA296" s="96"/>
      <c r="BB296" s="97"/>
      <c r="BC296" s="7"/>
    </row>
    <row r="297" spans="1:55" ht="14.4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7"/>
      <c r="AZ297" s="96"/>
      <c r="BA297" s="96"/>
      <c r="BB297" s="97"/>
      <c r="BC297" s="7"/>
    </row>
    <row r="298" spans="1:55" ht="14.4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7"/>
      <c r="AZ298" s="96"/>
      <c r="BA298" s="96"/>
      <c r="BB298" s="97"/>
      <c r="BC298" s="7"/>
    </row>
    <row r="299" spans="1:55" ht="14.4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7"/>
      <c r="AZ299" s="96"/>
      <c r="BA299" s="96"/>
      <c r="BB299" s="97"/>
      <c r="BC299" s="7"/>
    </row>
    <row r="300" spans="1:55" ht="14.4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7"/>
      <c r="AZ300" s="96"/>
      <c r="BA300" s="96"/>
      <c r="BB300" s="97"/>
      <c r="BC300" s="7"/>
    </row>
    <row r="301" spans="1:55" ht="14.4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7"/>
      <c r="AZ301" s="96"/>
      <c r="BA301" s="96"/>
      <c r="BB301" s="97"/>
      <c r="BC301" s="7"/>
    </row>
    <row r="302" spans="1:55" ht="14.4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7"/>
      <c r="AZ302" s="96"/>
      <c r="BA302" s="96"/>
      <c r="BB302" s="97"/>
      <c r="BC302" s="7"/>
    </row>
    <row r="303" spans="1:55" ht="14.4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7"/>
      <c r="AZ303" s="96"/>
      <c r="BA303" s="96"/>
      <c r="BB303" s="97"/>
      <c r="BC303" s="7"/>
    </row>
    <row r="304" spans="1:55" ht="14.4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7"/>
      <c r="AZ304" s="96"/>
      <c r="BA304" s="96"/>
      <c r="BB304" s="97"/>
      <c r="BC304" s="7"/>
    </row>
    <row r="305" spans="1:55" ht="14.4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7"/>
      <c r="AZ305" s="96"/>
      <c r="BA305" s="96"/>
      <c r="BB305" s="97"/>
      <c r="BC305" s="7"/>
    </row>
    <row r="306" spans="1:55" ht="14.4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7"/>
      <c r="AZ306" s="96"/>
      <c r="BA306" s="96"/>
      <c r="BB306" s="97"/>
      <c r="BC306" s="7"/>
    </row>
    <row r="307" spans="1:55" ht="14.4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7"/>
      <c r="AZ307" s="96"/>
      <c r="BA307" s="96"/>
      <c r="BB307" s="97"/>
      <c r="BC307" s="7"/>
    </row>
    <row r="308" spans="1:55" ht="14.4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7"/>
      <c r="AZ308" s="96"/>
      <c r="BA308" s="96"/>
      <c r="BB308" s="97"/>
      <c r="BC308" s="7"/>
    </row>
    <row r="309" spans="1:55" ht="14.4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7"/>
      <c r="AZ309" s="96"/>
      <c r="BA309" s="96"/>
      <c r="BB309" s="97"/>
      <c r="BC309" s="7"/>
    </row>
    <row r="310" spans="1:55" ht="14.4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7"/>
      <c r="AZ310" s="96"/>
      <c r="BA310" s="96"/>
      <c r="BB310" s="97"/>
      <c r="BC310" s="7"/>
    </row>
    <row r="311" spans="1:55" ht="14.4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7"/>
      <c r="AZ311" s="96"/>
      <c r="BA311" s="96"/>
      <c r="BB311" s="97"/>
      <c r="BC311" s="7"/>
    </row>
    <row r="312" spans="1:55" ht="14.4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7"/>
      <c r="AZ312" s="96"/>
      <c r="BA312" s="96"/>
      <c r="BB312" s="97"/>
      <c r="BC312" s="7"/>
    </row>
    <row r="313" spans="1:55" ht="14.4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7"/>
      <c r="AZ313" s="96"/>
      <c r="BA313" s="96"/>
      <c r="BB313" s="97"/>
      <c r="BC313" s="7"/>
    </row>
    <row r="314" spans="1:55" ht="14.4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7"/>
      <c r="AZ314" s="96"/>
      <c r="BA314" s="96"/>
      <c r="BB314" s="97"/>
      <c r="BC314" s="7"/>
    </row>
    <row r="315" spans="1:55" ht="14.4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7"/>
      <c r="AZ315" s="96"/>
      <c r="BA315" s="96"/>
      <c r="BB315" s="97"/>
      <c r="BC315" s="7"/>
    </row>
    <row r="316" spans="1:55" ht="14.4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7"/>
      <c r="AZ316" s="96"/>
      <c r="BA316" s="96"/>
      <c r="BB316" s="97"/>
      <c r="BC316" s="7"/>
    </row>
    <row r="317" spans="1:55" ht="14.4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7"/>
      <c r="AZ317" s="96"/>
      <c r="BA317" s="96"/>
      <c r="BB317" s="97"/>
      <c r="BC317" s="7"/>
    </row>
    <row r="318" spans="1:55" ht="14.4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7"/>
      <c r="AZ318" s="96"/>
      <c r="BA318" s="96"/>
      <c r="BB318" s="97"/>
      <c r="BC318" s="7"/>
    </row>
    <row r="319" spans="1:55" ht="14.4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7"/>
      <c r="AZ319" s="96"/>
      <c r="BA319" s="96"/>
      <c r="BB319" s="97"/>
      <c r="BC319" s="7"/>
    </row>
    <row r="320" spans="1:55" ht="14.4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7"/>
      <c r="AZ320" s="96"/>
      <c r="BA320" s="96"/>
      <c r="BB320" s="97"/>
      <c r="BC320" s="7"/>
    </row>
    <row r="321" spans="1:55" ht="14.4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7"/>
      <c r="AZ321" s="96"/>
      <c r="BA321" s="96"/>
      <c r="BB321" s="97"/>
      <c r="BC321" s="7"/>
    </row>
    <row r="322" spans="1:55" ht="14.4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7"/>
      <c r="AZ322" s="96"/>
      <c r="BA322" s="96"/>
      <c r="BB322" s="97"/>
      <c r="BC322" s="7"/>
    </row>
    <row r="323" spans="1:55" ht="14.4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7"/>
      <c r="AZ323" s="96"/>
      <c r="BA323" s="96"/>
      <c r="BB323" s="97"/>
      <c r="BC323" s="7"/>
    </row>
    <row r="324" spans="1:55" ht="14.4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7"/>
      <c r="AZ324" s="96"/>
      <c r="BA324" s="96"/>
      <c r="BB324" s="97"/>
      <c r="BC324" s="7"/>
    </row>
    <row r="325" spans="1:55" ht="14.4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7"/>
      <c r="AZ325" s="96"/>
      <c r="BA325" s="96"/>
      <c r="BB325" s="97"/>
      <c r="BC325" s="7"/>
    </row>
    <row r="326" spans="1:55" ht="14.4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7"/>
      <c r="AZ326" s="96"/>
      <c r="BA326" s="96"/>
      <c r="BB326" s="97"/>
      <c r="BC326" s="7"/>
    </row>
    <row r="327" spans="1:55" ht="14.4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7"/>
      <c r="AZ327" s="96"/>
      <c r="BA327" s="96"/>
      <c r="BB327" s="97"/>
      <c r="BC327" s="7"/>
    </row>
    <row r="328" spans="1:55" ht="14.4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7"/>
      <c r="AZ328" s="96"/>
      <c r="BA328" s="96"/>
      <c r="BB328" s="97"/>
      <c r="BC328" s="7"/>
    </row>
    <row r="329" spans="1:55" ht="14.4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7"/>
      <c r="AZ329" s="96"/>
      <c r="BA329" s="96"/>
      <c r="BB329" s="97"/>
      <c r="BC329" s="7"/>
    </row>
    <row r="330" spans="1:55" ht="14.4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7"/>
      <c r="AZ330" s="96"/>
      <c r="BA330" s="96"/>
      <c r="BB330" s="97"/>
      <c r="BC330" s="7"/>
    </row>
    <row r="331" spans="1:55" ht="14.4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7"/>
      <c r="AZ331" s="96"/>
      <c r="BA331" s="96"/>
      <c r="BB331" s="97"/>
      <c r="BC331" s="7"/>
    </row>
    <row r="332" spans="1:55" ht="14.4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7"/>
      <c r="AZ332" s="96"/>
      <c r="BA332" s="96"/>
      <c r="BB332" s="97"/>
      <c r="BC332" s="7"/>
    </row>
    <row r="333" spans="1:55" ht="14.4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7"/>
      <c r="AZ333" s="96"/>
      <c r="BA333" s="96"/>
      <c r="BB333" s="97"/>
      <c r="BC333" s="7"/>
    </row>
    <row r="334" spans="1:55" ht="14.4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7"/>
      <c r="AZ334" s="96"/>
      <c r="BA334" s="96"/>
      <c r="BB334" s="97"/>
      <c r="BC334" s="7"/>
    </row>
    <row r="335" spans="1:55" ht="14.4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7"/>
      <c r="AZ335" s="96"/>
      <c r="BA335" s="96"/>
      <c r="BB335" s="97"/>
      <c r="BC335" s="7"/>
    </row>
    <row r="336" spans="1:55" ht="14.4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7"/>
      <c r="AZ336" s="96"/>
      <c r="BA336" s="96"/>
      <c r="BB336" s="97"/>
      <c r="BC336" s="7"/>
    </row>
    <row r="337" spans="1:55" ht="14.4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7"/>
      <c r="AZ337" s="96"/>
      <c r="BA337" s="96"/>
      <c r="BB337" s="97"/>
      <c r="BC337" s="7"/>
    </row>
    <row r="338" spans="1:55" ht="14.4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7"/>
      <c r="AZ338" s="96"/>
      <c r="BA338" s="96"/>
      <c r="BB338" s="97"/>
      <c r="BC338" s="7"/>
    </row>
    <row r="339" spans="1:55" ht="14.4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7"/>
      <c r="AZ339" s="96"/>
      <c r="BA339" s="96"/>
      <c r="BB339" s="97"/>
      <c r="BC339" s="7"/>
    </row>
    <row r="340" spans="1:55" ht="14.4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7"/>
      <c r="AZ340" s="96"/>
      <c r="BA340" s="96"/>
      <c r="BB340" s="97"/>
      <c r="BC340" s="7"/>
    </row>
    <row r="341" spans="1:55" ht="14.4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7"/>
      <c r="AZ341" s="96"/>
      <c r="BA341" s="96"/>
      <c r="BB341" s="97"/>
      <c r="BC341" s="7"/>
    </row>
    <row r="342" spans="1:55" ht="14.4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7"/>
      <c r="AZ342" s="96"/>
      <c r="BA342" s="96"/>
      <c r="BB342" s="97"/>
      <c r="BC342" s="7"/>
    </row>
    <row r="343" spans="1:55" ht="14.4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7"/>
      <c r="AZ343" s="96"/>
      <c r="BA343" s="96"/>
      <c r="BB343" s="97"/>
      <c r="BC343" s="7"/>
    </row>
    <row r="344" spans="1:55" ht="14.4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7"/>
      <c r="AZ344" s="96"/>
      <c r="BA344" s="96"/>
      <c r="BB344" s="97"/>
      <c r="BC344" s="7"/>
    </row>
    <row r="345" spans="1:55" ht="14.4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7"/>
      <c r="AZ345" s="96"/>
      <c r="BA345" s="96"/>
      <c r="BB345" s="97"/>
      <c r="BC345" s="7"/>
    </row>
    <row r="346" spans="1:55" ht="14.4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7"/>
      <c r="AZ346" s="96"/>
      <c r="BA346" s="96"/>
      <c r="BB346" s="97"/>
      <c r="BC346" s="7"/>
    </row>
    <row r="347" spans="1:55" ht="14.4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7"/>
      <c r="AZ347" s="96"/>
      <c r="BA347" s="96"/>
      <c r="BB347" s="97"/>
      <c r="BC347" s="7"/>
    </row>
    <row r="348" spans="1:55" ht="14.4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7"/>
      <c r="AZ348" s="96"/>
      <c r="BA348" s="96"/>
      <c r="BB348" s="97"/>
      <c r="BC348" s="7"/>
    </row>
    <row r="349" spans="1:55" ht="14.4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7"/>
      <c r="AZ349" s="96"/>
      <c r="BA349" s="96"/>
      <c r="BB349" s="97"/>
      <c r="BC349" s="7"/>
    </row>
    <row r="350" spans="1:55" ht="14.4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7"/>
      <c r="AZ350" s="96"/>
      <c r="BA350" s="96"/>
      <c r="BB350" s="97"/>
      <c r="BC350" s="7"/>
    </row>
    <row r="351" spans="1:55" ht="14.4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7"/>
      <c r="AZ351" s="96"/>
      <c r="BA351" s="96"/>
      <c r="BB351" s="97"/>
      <c r="BC351" s="7"/>
    </row>
    <row r="352" spans="1:55" ht="14.4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7"/>
      <c r="AZ352" s="96"/>
      <c r="BA352" s="96"/>
      <c r="BB352" s="97"/>
      <c r="BC352" s="7"/>
    </row>
    <row r="353" spans="1:55" ht="14.4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7"/>
      <c r="AZ353" s="96"/>
      <c r="BA353" s="96"/>
      <c r="BB353" s="97"/>
      <c r="BC353" s="7"/>
    </row>
    <row r="354" spans="1:55" ht="14.4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7"/>
      <c r="AZ354" s="96"/>
      <c r="BA354" s="96"/>
      <c r="BB354" s="97"/>
      <c r="BC354" s="7"/>
    </row>
    <row r="355" spans="1:55" ht="14.4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7"/>
      <c r="AZ355" s="96"/>
      <c r="BA355" s="96"/>
      <c r="BB355" s="97"/>
      <c r="BC355" s="7"/>
    </row>
    <row r="356" spans="1:55" ht="14.4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7"/>
      <c r="AZ356" s="96"/>
      <c r="BA356" s="96"/>
      <c r="BB356" s="97"/>
      <c r="BC356" s="7"/>
    </row>
    <row r="357" spans="1:55" ht="14.4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7"/>
      <c r="AZ357" s="96"/>
      <c r="BA357" s="96"/>
      <c r="BB357" s="97"/>
      <c r="BC357" s="7"/>
    </row>
    <row r="358" spans="1:55" ht="14.4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7"/>
      <c r="AZ358" s="96"/>
      <c r="BA358" s="96"/>
      <c r="BB358" s="97"/>
      <c r="BC358" s="7"/>
    </row>
    <row r="359" spans="1:55" ht="14.4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7"/>
      <c r="AZ359" s="96"/>
      <c r="BA359" s="96"/>
      <c r="BB359" s="97"/>
      <c r="BC359" s="7"/>
    </row>
    <row r="360" spans="1:55" ht="14.4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7"/>
      <c r="AZ360" s="96"/>
      <c r="BA360" s="96"/>
      <c r="BB360" s="97"/>
      <c r="BC360" s="7"/>
    </row>
    <row r="361" spans="1:55" ht="14.4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7"/>
      <c r="AZ361" s="96"/>
      <c r="BA361" s="96"/>
      <c r="BB361" s="97"/>
      <c r="BC361" s="7"/>
    </row>
    <row r="362" spans="1:55" ht="14.4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7"/>
      <c r="AZ362" s="96"/>
      <c r="BA362" s="96"/>
      <c r="BB362" s="97"/>
      <c r="BC362" s="7"/>
    </row>
    <row r="363" spans="1:55" ht="14.4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7"/>
      <c r="AZ363" s="96"/>
      <c r="BA363" s="96"/>
      <c r="BB363" s="97"/>
      <c r="BC363" s="7"/>
    </row>
    <row r="364" spans="1:55" ht="14.4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7"/>
      <c r="AZ364" s="96"/>
      <c r="BA364" s="96"/>
      <c r="BB364" s="97"/>
      <c r="BC364" s="7"/>
    </row>
    <row r="365" spans="1:55" ht="14.4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7"/>
      <c r="AZ365" s="96"/>
      <c r="BA365" s="96"/>
      <c r="BB365" s="97"/>
      <c r="BC365" s="7"/>
    </row>
    <row r="366" spans="1:55" ht="14.4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7"/>
      <c r="AZ366" s="96"/>
      <c r="BA366" s="96"/>
      <c r="BB366" s="97"/>
      <c r="BC366" s="7"/>
    </row>
    <row r="367" spans="1:55" ht="14.4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7"/>
      <c r="AZ367" s="96"/>
      <c r="BA367" s="96"/>
      <c r="BB367" s="97"/>
      <c r="BC367" s="7"/>
    </row>
    <row r="368" spans="1:55" ht="14.4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7"/>
      <c r="AZ368" s="96"/>
      <c r="BA368" s="96"/>
      <c r="BB368" s="97"/>
      <c r="BC368" s="7"/>
    </row>
    <row r="369" spans="1:55" ht="14.4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7"/>
      <c r="AZ369" s="96"/>
      <c r="BA369" s="96"/>
      <c r="BB369" s="97"/>
      <c r="BC369" s="7"/>
    </row>
    <row r="370" spans="1:55" ht="14.4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7"/>
      <c r="AZ370" s="96"/>
      <c r="BA370" s="96"/>
      <c r="BB370" s="97"/>
      <c r="BC370" s="7"/>
    </row>
    <row r="371" spans="1:55" ht="14.4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7"/>
      <c r="AZ371" s="96"/>
      <c r="BA371" s="96"/>
      <c r="BB371" s="97"/>
      <c r="BC371" s="7"/>
    </row>
    <row r="372" spans="1:55" ht="14.4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7"/>
      <c r="AZ372" s="96"/>
      <c r="BA372" s="96"/>
      <c r="BB372" s="97"/>
      <c r="BC372" s="7"/>
    </row>
    <row r="373" spans="1:55" ht="14.4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7"/>
      <c r="AZ373" s="96"/>
      <c r="BA373" s="96"/>
      <c r="BB373" s="97"/>
      <c r="BC373" s="7"/>
    </row>
    <row r="374" spans="1:55" ht="14.4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7"/>
      <c r="AZ374" s="96"/>
      <c r="BA374" s="96"/>
      <c r="BB374" s="97"/>
      <c r="BC374" s="7"/>
    </row>
    <row r="375" spans="1:55" ht="14.4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7"/>
      <c r="AZ375" s="96"/>
      <c r="BA375" s="96"/>
      <c r="BB375" s="97"/>
      <c r="BC375" s="7"/>
    </row>
    <row r="376" spans="1:55" ht="14.4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7"/>
      <c r="AZ376" s="96"/>
      <c r="BA376" s="96"/>
      <c r="BB376" s="97"/>
      <c r="BC376" s="7"/>
    </row>
    <row r="377" spans="1:55" ht="14.4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7"/>
      <c r="AZ377" s="96"/>
      <c r="BA377" s="96"/>
      <c r="BB377" s="97"/>
      <c r="BC377" s="7"/>
    </row>
    <row r="378" spans="1:55" ht="14.4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7"/>
      <c r="AZ378" s="96"/>
      <c r="BA378" s="96"/>
      <c r="BB378" s="97"/>
      <c r="BC378" s="7"/>
    </row>
    <row r="379" spans="1:55" ht="14.4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7"/>
      <c r="AZ379" s="96"/>
      <c r="BA379" s="96"/>
      <c r="BB379" s="97"/>
      <c r="BC379" s="7"/>
    </row>
    <row r="380" spans="1:55" ht="14.4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7"/>
      <c r="AZ380" s="96"/>
      <c r="BA380" s="96"/>
      <c r="BB380" s="97"/>
      <c r="BC380" s="7"/>
    </row>
    <row r="381" spans="1:55" ht="14.4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7"/>
      <c r="AZ381" s="96"/>
      <c r="BA381" s="96"/>
      <c r="BB381" s="97"/>
      <c r="BC381" s="7"/>
    </row>
    <row r="382" spans="1:55" ht="14.4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7"/>
      <c r="AZ382" s="96"/>
      <c r="BA382" s="96"/>
      <c r="BB382" s="97"/>
      <c r="BC382" s="7"/>
    </row>
    <row r="383" spans="1:55" ht="14.4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7"/>
      <c r="AZ383" s="96"/>
      <c r="BA383" s="96"/>
      <c r="BB383" s="97"/>
      <c r="BC383" s="7"/>
    </row>
    <row r="384" spans="1:55" ht="14.4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7"/>
      <c r="AZ384" s="96"/>
      <c r="BA384" s="96"/>
      <c r="BB384" s="97"/>
      <c r="BC384" s="7"/>
    </row>
    <row r="385" spans="1:55" ht="14.4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7"/>
      <c r="AZ385" s="96"/>
      <c r="BA385" s="96"/>
      <c r="BB385" s="97"/>
      <c r="BC385" s="7"/>
    </row>
    <row r="386" spans="1:55" ht="14.4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7"/>
      <c r="AZ386" s="96"/>
      <c r="BA386" s="96"/>
      <c r="BB386" s="97"/>
      <c r="BC386" s="7"/>
    </row>
    <row r="387" spans="1:55" ht="14.4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7"/>
      <c r="AZ387" s="96"/>
      <c r="BA387" s="96"/>
      <c r="BB387" s="97"/>
      <c r="BC387" s="7"/>
    </row>
    <row r="388" spans="1:55" ht="14.4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7"/>
      <c r="AZ388" s="96"/>
      <c r="BA388" s="96"/>
      <c r="BB388" s="97"/>
      <c r="BC388" s="7"/>
    </row>
    <row r="389" spans="1:55" ht="14.4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7"/>
      <c r="AZ389" s="96"/>
      <c r="BA389" s="96"/>
      <c r="BB389" s="97"/>
      <c r="BC389" s="7"/>
    </row>
    <row r="390" spans="1:55" ht="14.4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7"/>
      <c r="AZ390" s="96"/>
      <c r="BA390" s="96"/>
      <c r="BB390" s="97"/>
      <c r="BC390" s="7"/>
    </row>
    <row r="391" spans="1:55" ht="14.4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7"/>
      <c r="AZ391" s="96"/>
      <c r="BA391" s="96"/>
      <c r="BB391" s="97"/>
      <c r="BC391" s="7"/>
    </row>
    <row r="392" spans="1:55" ht="14.4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7"/>
      <c r="AZ392" s="96"/>
      <c r="BA392" s="96"/>
      <c r="BB392" s="97"/>
      <c r="BC392" s="7"/>
    </row>
    <row r="393" spans="1:55" ht="14.4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7"/>
      <c r="AZ393" s="96"/>
      <c r="BA393" s="96"/>
      <c r="BB393" s="97"/>
      <c r="BC393" s="7"/>
    </row>
    <row r="394" spans="1:55" ht="14.4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7"/>
      <c r="AZ394" s="96"/>
      <c r="BA394" s="96"/>
      <c r="BB394" s="97"/>
      <c r="BC394" s="7"/>
    </row>
    <row r="395" spans="1:55" ht="14.4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7"/>
      <c r="AZ395" s="96"/>
      <c r="BA395" s="96"/>
      <c r="BB395" s="97"/>
      <c r="BC395" s="7"/>
    </row>
    <row r="396" spans="1:55" ht="14.4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7"/>
      <c r="AZ396" s="96"/>
      <c r="BA396" s="96"/>
      <c r="BB396" s="97"/>
      <c r="BC396" s="7"/>
    </row>
    <row r="397" spans="1:55" ht="14.4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7"/>
      <c r="AZ397" s="96"/>
      <c r="BA397" s="96"/>
      <c r="BB397" s="97"/>
      <c r="BC397" s="7"/>
    </row>
    <row r="398" spans="1:55" ht="14.4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7"/>
      <c r="AZ398" s="96"/>
      <c r="BA398" s="96"/>
      <c r="BB398" s="97"/>
      <c r="BC398" s="7"/>
    </row>
    <row r="399" spans="1:55" ht="14.4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7"/>
      <c r="AZ399" s="96"/>
      <c r="BA399" s="96"/>
      <c r="BB399" s="97"/>
      <c r="BC399" s="7"/>
    </row>
    <row r="400" spans="1:55" ht="14.4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7"/>
      <c r="AZ400" s="96"/>
      <c r="BA400" s="96"/>
      <c r="BB400" s="97"/>
      <c r="BC400" s="7"/>
    </row>
    <row r="401" spans="1:55" ht="14.4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7"/>
      <c r="AZ401" s="96"/>
      <c r="BA401" s="96"/>
      <c r="BB401" s="97"/>
      <c r="BC401" s="7"/>
    </row>
    <row r="402" spans="1:55" ht="14.4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7"/>
      <c r="AZ402" s="96"/>
      <c r="BA402" s="96"/>
      <c r="BB402" s="97"/>
      <c r="BC402" s="7"/>
    </row>
    <row r="403" spans="1:55" ht="14.4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7"/>
      <c r="AZ403" s="96"/>
      <c r="BA403" s="96"/>
      <c r="BB403" s="97"/>
      <c r="BC403" s="7"/>
    </row>
    <row r="404" spans="1:55" ht="14.4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7"/>
      <c r="AZ404" s="96"/>
      <c r="BA404" s="96"/>
      <c r="BB404" s="97"/>
      <c r="BC404" s="7"/>
    </row>
    <row r="405" spans="1:55" ht="14.4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7"/>
      <c r="AZ405" s="96"/>
      <c r="BA405" s="96"/>
      <c r="BB405" s="97"/>
      <c r="BC405" s="7"/>
    </row>
    <row r="406" spans="1:55" ht="14.4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7"/>
      <c r="AZ406" s="96"/>
      <c r="BA406" s="96"/>
      <c r="BB406" s="97"/>
      <c r="BC406" s="7"/>
    </row>
    <row r="407" spans="1:55" ht="14.4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7"/>
      <c r="AZ407" s="96"/>
      <c r="BA407" s="96"/>
      <c r="BB407" s="97"/>
      <c r="BC407" s="7"/>
    </row>
    <row r="408" spans="1:55" ht="14.4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7"/>
      <c r="AZ408" s="96"/>
      <c r="BA408" s="96"/>
      <c r="BB408" s="97"/>
      <c r="BC408" s="7"/>
    </row>
    <row r="409" spans="1:55" ht="14.4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7"/>
      <c r="AZ409" s="96"/>
      <c r="BA409" s="96"/>
      <c r="BB409" s="97"/>
      <c r="BC409" s="7"/>
    </row>
    <row r="410" spans="1:55" ht="14.4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7"/>
      <c r="AZ410" s="96"/>
      <c r="BA410" s="96"/>
      <c r="BB410" s="97"/>
      <c r="BC410" s="7"/>
    </row>
    <row r="411" spans="1:55" ht="14.4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7"/>
      <c r="AZ411" s="96"/>
      <c r="BA411" s="96"/>
      <c r="BB411" s="97"/>
      <c r="BC411" s="7"/>
    </row>
    <row r="412" spans="1:55" ht="14.4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7"/>
      <c r="AZ412" s="96"/>
      <c r="BA412" s="96"/>
      <c r="BB412" s="97"/>
      <c r="BC412" s="7"/>
    </row>
    <row r="413" spans="1:55" ht="14.4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7"/>
      <c r="AZ413" s="96"/>
      <c r="BA413" s="96"/>
      <c r="BB413" s="97"/>
      <c r="BC413" s="7"/>
    </row>
    <row r="414" spans="1:55" ht="14.4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7"/>
      <c r="AZ414" s="96"/>
      <c r="BA414" s="96"/>
      <c r="BB414" s="97"/>
      <c r="BC414" s="7"/>
    </row>
    <row r="415" spans="1:55" ht="14.4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7"/>
      <c r="AZ415" s="96"/>
      <c r="BA415" s="96"/>
      <c r="BB415" s="97"/>
      <c r="BC415" s="7"/>
    </row>
    <row r="416" spans="1:55" ht="14.4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7"/>
      <c r="AZ416" s="96"/>
      <c r="BA416" s="96"/>
      <c r="BB416" s="97"/>
      <c r="BC416" s="7"/>
    </row>
    <row r="417" spans="1:55" ht="14.4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7"/>
      <c r="AZ417" s="96"/>
      <c r="BA417" s="96"/>
      <c r="BB417" s="97"/>
      <c r="BC417" s="7"/>
    </row>
    <row r="418" spans="1:55" ht="14.4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7"/>
      <c r="AZ418" s="96"/>
      <c r="BA418" s="96"/>
      <c r="BB418" s="97"/>
      <c r="BC418" s="7"/>
    </row>
    <row r="419" spans="1:55" ht="14.4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7"/>
      <c r="AZ419" s="96"/>
      <c r="BA419" s="96"/>
      <c r="BB419" s="97"/>
      <c r="BC419" s="7"/>
    </row>
    <row r="420" spans="1:55" ht="14.4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7"/>
      <c r="AZ420" s="96"/>
      <c r="BA420" s="96"/>
      <c r="BB420" s="97"/>
      <c r="BC420" s="7"/>
    </row>
    <row r="421" spans="1:55" ht="14.4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7"/>
      <c r="AZ421" s="96"/>
      <c r="BA421" s="96"/>
      <c r="BB421" s="97"/>
      <c r="BC421" s="7"/>
    </row>
    <row r="422" spans="1:55" ht="14.4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7"/>
      <c r="AZ422" s="96"/>
      <c r="BA422" s="96"/>
      <c r="BB422" s="97"/>
      <c r="BC422" s="7"/>
    </row>
    <row r="423" spans="1:55" ht="14.4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7"/>
      <c r="AZ423" s="96"/>
      <c r="BA423" s="96"/>
      <c r="BB423" s="97"/>
      <c r="BC423" s="7"/>
    </row>
    <row r="424" spans="1:55" ht="14.4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7"/>
      <c r="AZ424" s="96"/>
      <c r="BA424" s="96"/>
      <c r="BB424" s="97"/>
      <c r="BC424" s="7"/>
    </row>
    <row r="425" spans="1:55" ht="14.4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7"/>
      <c r="AZ425" s="96"/>
      <c r="BA425" s="96"/>
      <c r="BB425" s="97"/>
      <c r="BC425" s="7"/>
    </row>
    <row r="426" spans="1:55" ht="14.4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7"/>
      <c r="AZ426" s="96"/>
      <c r="BA426" s="96"/>
      <c r="BB426" s="97"/>
      <c r="BC426" s="7"/>
    </row>
    <row r="427" spans="1:55" ht="14.4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7"/>
      <c r="AZ427" s="96"/>
      <c r="BA427" s="96"/>
      <c r="BB427" s="97"/>
      <c r="BC427" s="7"/>
    </row>
    <row r="428" spans="1:55" ht="14.4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7"/>
      <c r="AZ428" s="96"/>
      <c r="BA428" s="96"/>
      <c r="BB428" s="97"/>
      <c r="BC428" s="7"/>
    </row>
    <row r="429" spans="1:55" ht="14.4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7"/>
      <c r="AZ429" s="96"/>
      <c r="BA429" s="96"/>
      <c r="BB429" s="97"/>
      <c r="BC429" s="7"/>
    </row>
    <row r="430" spans="1:55" ht="14.4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7"/>
      <c r="AZ430" s="96"/>
      <c r="BA430" s="96"/>
      <c r="BB430" s="97"/>
      <c r="BC430" s="7"/>
    </row>
    <row r="431" spans="1:55" ht="14.4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7"/>
      <c r="AZ431" s="96"/>
      <c r="BA431" s="96"/>
      <c r="BB431" s="97"/>
      <c r="BC431" s="7"/>
    </row>
    <row r="432" spans="1:55" ht="14.4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7"/>
      <c r="AZ432" s="96"/>
      <c r="BA432" s="96"/>
      <c r="BB432" s="97"/>
      <c r="BC432" s="7"/>
    </row>
    <row r="433" spans="1:55" ht="14.4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7"/>
      <c r="AZ433" s="96"/>
      <c r="BA433" s="96"/>
      <c r="BB433" s="97"/>
      <c r="BC433" s="7"/>
    </row>
    <row r="434" spans="1:55" ht="14.4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7"/>
      <c r="AZ434" s="96"/>
      <c r="BA434" s="96"/>
      <c r="BB434" s="97"/>
      <c r="BC434" s="7"/>
    </row>
    <row r="435" spans="1:55" ht="14.4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7"/>
      <c r="AZ435" s="96"/>
      <c r="BA435" s="96"/>
      <c r="BB435" s="97"/>
      <c r="BC435" s="7"/>
    </row>
    <row r="436" spans="1:55" ht="14.4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7"/>
      <c r="AZ436" s="96"/>
      <c r="BA436" s="96"/>
      <c r="BB436" s="97"/>
      <c r="BC436" s="7"/>
    </row>
    <row r="437" spans="1:55" ht="14.4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7"/>
      <c r="AZ437" s="96"/>
      <c r="BA437" s="96"/>
      <c r="BB437" s="97"/>
      <c r="BC437" s="7"/>
    </row>
    <row r="438" spans="1:55" ht="14.4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7"/>
      <c r="AZ438" s="96"/>
      <c r="BA438" s="96"/>
      <c r="BB438" s="97"/>
      <c r="BC438" s="7"/>
    </row>
    <row r="439" spans="1:55" ht="14.4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7"/>
      <c r="AZ439" s="96"/>
      <c r="BA439" s="96"/>
      <c r="BB439" s="97"/>
      <c r="BC439" s="7"/>
    </row>
    <row r="440" spans="1:55" ht="14.4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7"/>
      <c r="AZ440" s="96"/>
      <c r="BA440" s="96"/>
      <c r="BB440" s="97"/>
      <c r="BC440" s="7"/>
    </row>
    <row r="441" spans="1:55" ht="14.4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7"/>
      <c r="AZ441" s="96"/>
      <c r="BA441" s="96"/>
      <c r="BB441" s="97"/>
      <c r="BC441" s="7"/>
    </row>
    <row r="442" spans="1:55" ht="14.4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7"/>
      <c r="AZ442" s="96"/>
      <c r="BA442" s="96"/>
      <c r="BB442" s="97"/>
      <c r="BC442" s="7"/>
    </row>
    <row r="443" spans="1:55" ht="14.4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7"/>
      <c r="AZ443" s="96"/>
      <c r="BA443" s="96"/>
      <c r="BB443" s="97"/>
      <c r="BC443" s="7"/>
    </row>
    <row r="444" spans="1:55" ht="14.4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7"/>
      <c r="AZ444" s="96"/>
      <c r="BA444" s="96"/>
      <c r="BB444" s="97"/>
      <c r="BC444" s="7"/>
    </row>
    <row r="445" spans="1:55" ht="14.4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7"/>
      <c r="AZ445" s="96"/>
      <c r="BA445" s="96"/>
      <c r="BB445" s="97"/>
      <c r="BC445" s="7"/>
    </row>
    <row r="446" spans="1:55" ht="14.4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7"/>
      <c r="AZ446" s="96"/>
      <c r="BA446" s="96"/>
      <c r="BB446" s="97"/>
      <c r="BC446" s="7"/>
    </row>
    <row r="447" spans="1:55" ht="14.4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7"/>
      <c r="AZ447" s="96"/>
      <c r="BA447" s="96"/>
      <c r="BB447" s="97"/>
      <c r="BC447" s="7"/>
    </row>
    <row r="448" spans="1:55" ht="14.4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7"/>
      <c r="AZ448" s="96"/>
      <c r="BA448" s="96"/>
      <c r="BB448" s="97"/>
      <c r="BC448" s="7"/>
    </row>
    <row r="449" spans="1:55" ht="14.4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7"/>
      <c r="AZ449" s="96"/>
      <c r="BA449" s="96"/>
      <c r="BB449" s="97"/>
      <c r="BC449" s="7"/>
    </row>
    <row r="450" spans="1:55" ht="14.4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7"/>
      <c r="AZ450" s="96"/>
      <c r="BA450" s="96"/>
      <c r="BB450" s="97"/>
      <c r="BC450" s="7"/>
    </row>
    <row r="451" spans="1:55" ht="14.4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7"/>
      <c r="AZ451" s="96"/>
      <c r="BA451" s="96"/>
      <c r="BB451" s="97"/>
      <c r="BC451" s="7"/>
    </row>
    <row r="452" spans="1:55" ht="14.4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7"/>
      <c r="AZ452" s="96"/>
      <c r="BA452" s="96"/>
      <c r="BB452" s="97"/>
      <c r="BC452" s="7"/>
    </row>
    <row r="453" spans="1:55" ht="14.4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7"/>
      <c r="AZ453" s="96"/>
      <c r="BA453" s="96"/>
      <c r="BB453" s="97"/>
      <c r="BC453" s="7"/>
    </row>
    <row r="454" spans="1:55" ht="14.4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7"/>
      <c r="AZ454" s="96"/>
      <c r="BA454" s="96"/>
      <c r="BB454" s="97"/>
      <c r="BC454" s="7"/>
    </row>
    <row r="455" spans="1:55" ht="14.4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7"/>
      <c r="AZ455" s="96"/>
      <c r="BA455" s="96"/>
      <c r="BB455" s="97"/>
      <c r="BC455" s="7"/>
    </row>
    <row r="456" spans="1:55" ht="14.4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7"/>
      <c r="AZ456" s="96"/>
      <c r="BA456" s="96"/>
      <c r="BB456" s="97"/>
      <c r="BC456" s="7"/>
    </row>
    <row r="457" spans="1:55" ht="14.4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7"/>
      <c r="AZ457" s="96"/>
      <c r="BA457" s="96"/>
      <c r="BB457" s="97"/>
      <c r="BC457" s="7"/>
    </row>
    <row r="458" spans="1:55" ht="14.4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7"/>
      <c r="AZ458" s="96"/>
      <c r="BA458" s="96"/>
      <c r="BB458" s="97"/>
      <c r="BC458" s="7"/>
    </row>
    <row r="459" spans="1:55" ht="14.4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7"/>
      <c r="AZ459" s="96"/>
      <c r="BA459" s="96"/>
      <c r="BB459" s="97"/>
      <c r="BC459" s="7"/>
    </row>
    <row r="460" spans="1:55" ht="14.4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7"/>
      <c r="AZ460" s="96"/>
      <c r="BA460" s="96"/>
      <c r="BB460" s="97"/>
      <c r="BC460" s="7"/>
    </row>
    <row r="461" spans="1:55" ht="14.4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7"/>
      <c r="AZ461" s="96"/>
      <c r="BA461" s="96"/>
      <c r="BB461" s="97"/>
      <c r="BC461" s="7"/>
    </row>
    <row r="462" spans="1:55" ht="14.4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7"/>
      <c r="AZ462" s="96"/>
      <c r="BA462" s="96"/>
      <c r="BB462" s="97"/>
      <c r="BC462" s="7"/>
    </row>
    <row r="463" spans="1:55" ht="14.4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7"/>
      <c r="AZ463" s="96"/>
      <c r="BA463" s="96"/>
      <c r="BB463" s="97"/>
      <c r="BC463" s="7"/>
    </row>
    <row r="464" spans="1:55" ht="14.4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7"/>
      <c r="AZ464" s="96"/>
      <c r="BA464" s="96"/>
      <c r="BB464" s="97"/>
      <c r="BC464" s="7"/>
    </row>
    <row r="465" spans="1:55" ht="14.4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7"/>
      <c r="AZ465" s="96"/>
      <c r="BA465" s="96"/>
      <c r="BB465" s="97"/>
      <c r="BC465" s="7"/>
    </row>
    <row r="466" spans="1:55" ht="14.4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7"/>
      <c r="AZ466" s="96"/>
      <c r="BA466" s="96"/>
      <c r="BB466" s="97"/>
      <c r="BC466" s="7"/>
    </row>
    <row r="467" spans="1:55" ht="14.4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7"/>
      <c r="AZ467" s="96"/>
      <c r="BA467" s="96"/>
      <c r="BB467" s="97"/>
      <c r="BC467" s="7"/>
    </row>
    <row r="468" spans="1:55" ht="14.4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7"/>
      <c r="AZ468" s="96"/>
      <c r="BA468" s="96"/>
      <c r="BB468" s="97"/>
      <c r="BC468" s="7"/>
    </row>
    <row r="469" spans="1:55" ht="14.4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7"/>
      <c r="AZ469" s="96"/>
      <c r="BA469" s="96"/>
      <c r="BB469" s="97"/>
      <c r="BC469" s="7"/>
    </row>
    <row r="470" spans="1:55" ht="14.4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7"/>
      <c r="AZ470" s="96"/>
      <c r="BA470" s="96"/>
      <c r="BB470" s="97"/>
      <c r="BC470" s="7"/>
    </row>
    <row r="471" spans="1:55" ht="14.4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7"/>
      <c r="AZ471" s="96"/>
      <c r="BA471" s="96"/>
      <c r="BB471" s="97"/>
      <c r="BC471" s="7"/>
    </row>
    <row r="472" spans="1:55" ht="14.4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7"/>
      <c r="AZ472" s="96"/>
      <c r="BA472" s="96"/>
      <c r="BB472" s="97"/>
      <c r="BC472" s="7"/>
    </row>
    <row r="473" spans="1:55" ht="14.4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7"/>
      <c r="AZ473" s="96"/>
      <c r="BA473" s="96"/>
      <c r="BB473" s="97"/>
      <c r="BC473" s="7"/>
    </row>
    <row r="474" spans="1:55" ht="14.4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7"/>
      <c r="AZ474" s="96"/>
      <c r="BA474" s="96"/>
      <c r="BB474" s="97"/>
      <c r="BC474" s="7"/>
    </row>
    <row r="475" spans="1:55" ht="14.4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7"/>
      <c r="AZ475" s="96"/>
      <c r="BA475" s="96"/>
      <c r="BB475" s="97"/>
      <c r="BC475" s="7"/>
    </row>
    <row r="476" spans="1:55" ht="14.4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7"/>
      <c r="AZ476" s="96"/>
      <c r="BA476" s="96"/>
      <c r="BB476" s="97"/>
      <c r="BC476" s="7"/>
    </row>
    <row r="477" spans="1:55" ht="14.4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7"/>
      <c r="AZ477" s="96"/>
      <c r="BA477" s="96"/>
      <c r="BB477" s="97"/>
      <c r="BC477" s="7"/>
    </row>
    <row r="478" spans="1:55" ht="14.4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7"/>
      <c r="AZ478" s="96"/>
      <c r="BA478" s="96"/>
      <c r="BB478" s="97"/>
      <c r="BC478" s="7"/>
    </row>
    <row r="479" spans="1:55" ht="14.4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7"/>
      <c r="AZ479" s="96"/>
      <c r="BA479" s="96"/>
      <c r="BB479" s="97"/>
      <c r="BC479" s="7"/>
    </row>
    <row r="480" spans="1:55" ht="14.4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7"/>
      <c r="AZ480" s="96"/>
      <c r="BA480" s="96"/>
      <c r="BB480" s="97"/>
      <c r="BC480" s="7"/>
    </row>
    <row r="481" spans="1:55" ht="14.4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7"/>
      <c r="AZ481" s="96"/>
      <c r="BA481" s="96"/>
      <c r="BB481" s="97"/>
      <c r="BC481" s="7"/>
    </row>
    <row r="482" spans="1:55" ht="14.4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7"/>
      <c r="AZ482" s="96"/>
      <c r="BA482" s="96"/>
      <c r="BB482" s="97"/>
      <c r="BC482" s="7"/>
    </row>
    <row r="483" spans="1:55" ht="14.4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7"/>
      <c r="AZ483" s="96"/>
      <c r="BA483" s="96"/>
      <c r="BB483" s="97"/>
      <c r="BC483" s="7"/>
    </row>
    <row r="484" spans="1:55" ht="14.4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7"/>
      <c r="AZ484" s="96"/>
      <c r="BA484" s="96"/>
      <c r="BB484" s="97"/>
      <c r="BC484" s="7"/>
    </row>
    <row r="485" spans="1:55" ht="14.4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7"/>
      <c r="AZ485" s="96"/>
      <c r="BA485" s="96"/>
      <c r="BB485" s="97"/>
      <c r="BC485" s="7"/>
    </row>
    <row r="486" spans="1:55" ht="14.4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7"/>
      <c r="AZ486" s="96"/>
      <c r="BA486" s="96"/>
      <c r="BB486" s="97"/>
      <c r="BC486" s="7"/>
    </row>
    <row r="487" spans="1:55" ht="14.4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7"/>
      <c r="AZ487" s="96"/>
      <c r="BA487" s="96"/>
      <c r="BB487" s="97"/>
      <c r="BC487" s="7"/>
    </row>
    <row r="488" spans="1:55" ht="14.4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7"/>
      <c r="AZ488" s="96"/>
      <c r="BA488" s="96"/>
      <c r="BB488" s="97"/>
      <c r="BC488" s="7"/>
    </row>
    <row r="489" spans="1:55" ht="14.4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7"/>
      <c r="AZ489" s="96"/>
      <c r="BA489" s="96"/>
      <c r="BB489" s="97"/>
      <c r="BC489" s="7"/>
    </row>
    <row r="490" spans="1:55" ht="14.4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7"/>
      <c r="AZ490" s="96"/>
      <c r="BA490" s="96"/>
      <c r="BB490" s="97"/>
      <c r="BC490" s="7"/>
    </row>
    <row r="491" spans="1:55" ht="14.4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7"/>
      <c r="AZ491" s="96"/>
      <c r="BA491" s="96"/>
      <c r="BB491" s="97"/>
      <c r="BC491" s="7"/>
    </row>
    <row r="492" spans="1:55" ht="14.4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7"/>
      <c r="AZ492" s="96"/>
      <c r="BA492" s="96"/>
      <c r="BB492" s="97"/>
      <c r="BC492" s="7"/>
    </row>
    <row r="493" spans="1:55" ht="14.4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7"/>
      <c r="AZ493" s="96"/>
      <c r="BA493" s="96"/>
      <c r="BB493" s="97"/>
      <c r="BC493" s="7"/>
    </row>
    <row r="494" spans="1:55" ht="14.4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7"/>
      <c r="AZ494" s="96"/>
      <c r="BA494" s="96"/>
      <c r="BB494" s="97"/>
      <c r="BC494" s="7"/>
    </row>
    <row r="495" spans="1:55" ht="14.4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7"/>
      <c r="AZ495" s="96"/>
      <c r="BA495" s="96"/>
      <c r="BB495" s="97"/>
      <c r="BC495" s="7"/>
    </row>
    <row r="496" spans="1:55" ht="14.4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7"/>
      <c r="AZ496" s="96"/>
      <c r="BA496" s="96"/>
      <c r="BB496" s="97"/>
      <c r="BC496" s="7"/>
    </row>
    <row r="497" spans="1:55" ht="14.4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7"/>
      <c r="AZ497" s="96"/>
      <c r="BA497" s="96"/>
      <c r="BB497" s="97"/>
      <c r="BC497" s="7"/>
    </row>
    <row r="498" spans="1:55" ht="14.4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7"/>
      <c r="AZ498" s="96"/>
      <c r="BA498" s="96"/>
      <c r="BB498" s="97"/>
      <c r="BC498" s="7"/>
    </row>
    <row r="499" spans="1:55" ht="14.4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7"/>
      <c r="AZ499" s="96"/>
      <c r="BA499" s="96"/>
      <c r="BB499" s="97"/>
      <c r="BC499" s="7"/>
    </row>
    <row r="500" spans="1:55" ht="14.4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7"/>
      <c r="AZ500" s="96"/>
      <c r="BA500" s="96"/>
      <c r="BB500" s="97"/>
      <c r="BC500" s="7"/>
    </row>
    <row r="501" spans="1:55" ht="14.4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7"/>
      <c r="AZ501" s="96"/>
      <c r="BA501" s="96"/>
      <c r="BB501" s="97"/>
      <c r="BC501" s="7"/>
    </row>
    <row r="502" spans="1:55" ht="14.4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7"/>
      <c r="AZ502" s="96"/>
      <c r="BA502" s="96"/>
      <c r="BB502" s="97"/>
      <c r="BC502" s="7"/>
    </row>
    <row r="503" spans="1:55" ht="14.4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7"/>
      <c r="AZ503" s="96"/>
      <c r="BA503" s="96"/>
      <c r="BB503" s="97"/>
      <c r="BC503" s="7"/>
    </row>
    <row r="504" spans="1:55" ht="14.4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7"/>
      <c r="AZ504" s="96"/>
      <c r="BA504" s="96"/>
      <c r="BB504" s="97"/>
      <c r="BC504" s="7"/>
    </row>
    <row r="505" spans="1:55" ht="14.4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7"/>
      <c r="AZ505" s="96"/>
      <c r="BA505" s="96"/>
      <c r="BB505" s="97"/>
      <c r="BC505" s="7"/>
    </row>
    <row r="506" spans="1:55" ht="14.4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7"/>
      <c r="AZ506" s="96"/>
      <c r="BA506" s="96"/>
      <c r="BB506" s="97"/>
      <c r="BC506" s="7"/>
    </row>
    <row r="507" spans="1:55" ht="14.4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7"/>
      <c r="AZ507" s="96"/>
      <c r="BA507" s="96"/>
      <c r="BB507" s="97"/>
      <c r="BC507" s="7"/>
    </row>
    <row r="508" spans="1:55" ht="14.4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7"/>
      <c r="AZ508" s="96"/>
      <c r="BA508" s="96"/>
      <c r="BB508" s="97"/>
      <c r="BC508" s="7"/>
    </row>
    <row r="509" spans="1:55" ht="14.4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7"/>
      <c r="AZ509" s="96"/>
      <c r="BA509" s="96"/>
      <c r="BB509" s="97"/>
      <c r="BC509" s="7"/>
    </row>
    <row r="510" spans="1:55" ht="14.4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7"/>
      <c r="AZ510" s="96"/>
      <c r="BA510" s="96"/>
      <c r="BB510" s="97"/>
      <c r="BC510" s="7"/>
    </row>
    <row r="511" spans="1:55" ht="14.4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7"/>
      <c r="AZ511" s="96"/>
      <c r="BA511" s="96"/>
      <c r="BB511" s="97"/>
      <c r="BC511" s="7"/>
    </row>
    <row r="512" spans="1:55" ht="14.4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7"/>
      <c r="AZ512" s="96"/>
      <c r="BA512" s="96"/>
      <c r="BB512" s="97"/>
      <c r="BC512" s="7"/>
    </row>
    <row r="513" spans="1:55" ht="14.4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7"/>
      <c r="AZ513" s="96"/>
      <c r="BA513" s="96"/>
      <c r="BB513" s="97"/>
      <c r="BC513" s="7"/>
    </row>
    <row r="514" spans="1:55" ht="14.4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7"/>
      <c r="AZ514" s="96"/>
      <c r="BA514" s="96"/>
      <c r="BB514" s="97"/>
      <c r="BC514" s="7"/>
    </row>
    <row r="515" spans="1:55" ht="14.4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7"/>
      <c r="AZ515" s="96"/>
      <c r="BA515" s="96"/>
      <c r="BB515" s="97"/>
      <c r="BC515" s="7"/>
    </row>
    <row r="516" spans="1:55" ht="14.4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7"/>
      <c r="AZ516" s="96"/>
      <c r="BA516" s="96"/>
      <c r="BB516" s="97"/>
      <c r="BC516" s="7"/>
    </row>
    <row r="517" spans="1:55" ht="14.4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7"/>
      <c r="AZ517" s="96"/>
      <c r="BA517" s="96"/>
      <c r="BB517" s="97"/>
      <c r="BC517" s="7"/>
    </row>
    <row r="518" spans="1:55" ht="14.4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7"/>
      <c r="AZ518" s="96"/>
      <c r="BA518" s="96"/>
      <c r="BB518" s="97"/>
      <c r="BC518" s="7"/>
    </row>
    <row r="519" spans="1:55" ht="14.4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7"/>
      <c r="AZ519" s="96"/>
      <c r="BA519" s="96"/>
      <c r="BB519" s="97"/>
      <c r="BC519" s="7"/>
    </row>
    <row r="520" spans="1:55" ht="14.4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7"/>
      <c r="AZ520" s="96"/>
      <c r="BA520" s="96"/>
      <c r="BB520" s="97"/>
      <c r="BC520" s="7"/>
    </row>
    <row r="521" spans="1:55" ht="14.4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7"/>
      <c r="AZ521" s="96"/>
      <c r="BA521" s="96"/>
      <c r="BB521" s="97"/>
      <c r="BC521" s="7"/>
    </row>
    <row r="522" spans="1:55" ht="14.4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7"/>
      <c r="AZ522" s="96"/>
      <c r="BA522" s="96"/>
      <c r="BB522" s="97"/>
      <c r="BC522" s="7"/>
    </row>
    <row r="523" spans="1:55" ht="14.4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7"/>
      <c r="AZ523" s="96"/>
      <c r="BA523" s="96"/>
      <c r="BB523" s="97"/>
      <c r="BC523" s="7"/>
    </row>
    <row r="524" spans="1:55" ht="14.4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7"/>
      <c r="AZ524" s="96"/>
      <c r="BA524" s="96"/>
      <c r="BB524" s="97"/>
      <c r="BC524" s="7"/>
    </row>
    <row r="525" spans="1:55" ht="14.4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7"/>
      <c r="AZ525" s="96"/>
      <c r="BA525" s="96"/>
      <c r="BB525" s="97"/>
      <c r="BC525" s="7"/>
    </row>
    <row r="526" spans="1:55" ht="14.4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7"/>
      <c r="AZ526" s="96"/>
      <c r="BA526" s="96"/>
      <c r="BB526" s="97"/>
      <c r="BC526" s="7"/>
    </row>
    <row r="527" spans="1:55" ht="14.4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7"/>
      <c r="AZ527" s="96"/>
      <c r="BA527" s="96"/>
      <c r="BB527" s="97"/>
      <c r="BC527" s="7"/>
    </row>
    <row r="528" spans="1:55" ht="14.4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7"/>
      <c r="AZ528" s="96"/>
      <c r="BA528" s="96"/>
      <c r="BB528" s="97"/>
      <c r="BC528" s="7"/>
    </row>
    <row r="529" spans="1:55" ht="14.4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7"/>
      <c r="AZ529" s="96"/>
      <c r="BA529" s="96"/>
      <c r="BB529" s="97"/>
      <c r="BC529" s="7"/>
    </row>
    <row r="530" spans="1:55" ht="14.4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7"/>
      <c r="AZ530" s="96"/>
      <c r="BA530" s="96"/>
      <c r="BB530" s="97"/>
      <c r="BC530" s="7"/>
    </row>
    <row r="531" spans="1:55" ht="14.4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7"/>
      <c r="AZ531" s="96"/>
      <c r="BA531" s="96"/>
      <c r="BB531" s="97"/>
      <c r="BC531" s="7"/>
    </row>
    <row r="532" spans="1:55" ht="14.4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7"/>
      <c r="AZ532" s="96"/>
      <c r="BA532" s="96"/>
      <c r="BB532" s="97"/>
      <c r="BC532" s="7"/>
    </row>
    <row r="533" spans="1:55" ht="14.4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7"/>
      <c r="AZ533" s="96"/>
      <c r="BA533" s="96"/>
      <c r="BB533" s="97"/>
      <c r="BC533" s="7"/>
    </row>
    <row r="534" spans="1:55" ht="14.4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7"/>
      <c r="AZ534" s="96"/>
      <c r="BA534" s="96"/>
      <c r="BB534" s="97"/>
      <c r="BC534" s="7"/>
    </row>
    <row r="535" spans="1:55" ht="14.4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7"/>
      <c r="AZ535" s="96"/>
      <c r="BA535" s="96"/>
      <c r="BB535" s="97"/>
      <c r="BC535" s="7"/>
    </row>
    <row r="536" spans="1:55" ht="14.4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7"/>
      <c r="AZ536" s="96"/>
      <c r="BA536" s="96"/>
      <c r="BB536" s="97"/>
      <c r="BC536" s="7"/>
    </row>
    <row r="537" spans="1:55" ht="14.4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7"/>
      <c r="AZ537" s="96"/>
      <c r="BA537" s="96"/>
      <c r="BB537" s="97"/>
      <c r="BC537" s="7"/>
    </row>
    <row r="538" spans="1:55" ht="14.4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7"/>
      <c r="AZ538" s="96"/>
      <c r="BA538" s="96"/>
      <c r="BB538" s="97"/>
      <c r="BC538" s="7"/>
    </row>
    <row r="539" spans="1:55" ht="14.4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7"/>
      <c r="AZ539" s="96"/>
      <c r="BA539" s="96"/>
      <c r="BB539" s="97"/>
      <c r="BC539" s="7"/>
    </row>
    <row r="540" spans="1:55" ht="14.4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7"/>
      <c r="AZ540" s="96"/>
      <c r="BA540" s="96"/>
      <c r="BB540" s="97"/>
      <c r="BC540" s="7"/>
    </row>
    <row r="541" spans="1:55" ht="14.4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7"/>
      <c r="AZ541" s="96"/>
      <c r="BA541" s="96"/>
      <c r="BB541" s="97"/>
      <c r="BC541" s="7"/>
    </row>
    <row r="542" spans="1:55" ht="14.4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7"/>
      <c r="AZ542" s="96"/>
      <c r="BA542" s="96"/>
      <c r="BB542" s="97"/>
      <c r="BC542" s="7"/>
    </row>
    <row r="543" spans="1:55" ht="14.4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7"/>
      <c r="AZ543" s="96"/>
      <c r="BA543" s="96"/>
      <c r="BB543" s="97"/>
      <c r="BC543" s="7"/>
    </row>
    <row r="544" spans="1:55" ht="14.4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7"/>
      <c r="AZ544" s="96"/>
      <c r="BA544" s="96"/>
      <c r="BB544" s="97"/>
      <c r="BC544" s="7"/>
    </row>
    <row r="545" spans="1:55" ht="14.4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7"/>
      <c r="AZ545" s="96"/>
      <c r="BA545" s="96"/>
      <c r="BB545" s="97"/>
      <c r="BC545" s="7"/>
    </row>
    <row r="546" spans="1:55" ht="14.4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7"/>
      <c r="AZ546" s="96"/>
      <c r="BA546" s="96"/>
      <c r="BB546" s="97"/>
      <c r="BC546" s="7"/>
    </row>
    <row r="547" spans="1:55" ht="14.4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7"/>
      <c r="AZ547" s="96"/>
      <c r="BA547" s="96"/>
      <c r="BB547" s="97"/>
      <c r="BC547" s="7"/>
    </row>
    <row r="548" spans="1:55" ht="14.4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7"/>
      <c r="AZ548" s="96"/>
      <c r="BA548" s="96"/>
      <c r="BB548" s="97"/>
      <c r="BC548" s="7"/>
    </row>
    <row r="549" spans="1:55" ht="14.4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7"/>
      <c r="AZ549" s="96"/>
      <c r="BA549" s="96"/>
      <c r="BB549" s="97"/>
      <c r="BC549" s="7"/>
    </row>
    <row r="550" spans="1:55" ht="14.4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7"/>
      <c r="AZ550" s="96"/>
      <c r="BA550" s="96"/>
      <c r="BB550" s="97"/>
      <c r="BC550" s="7"/>
    </row>
    <row r="551" spans="1:55" ht="14.4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7"/>
      <c r="AZ551" s="96"/>
      <c r="BA551" s="96"/>
      <c r="BB551" s="97"/>
      <c r="BC551" s="7"/>
    </row>
    <row r="552" spans="1:55" ht="14.4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7"/>
      <c r="AZ552" s="96"/>
      <c r="BA552" s="96"/>
      <c r="BB552" s="97"/>
      <c r="BC552" s="7"/>
    </row>
    <row r="553" spans="1:55" ht="14.4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7"/>
      <c r="AZ553" s="96"/>
      <c r="BA553" s="96"/>
      <c r="BB553" s="97"/>
      <c r="BC553" s="7"/>
    </row>
    <row r="554" spans="1:55" ht="14.4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7"/>
      <c r="AZ554" s="96"/>
      <c r="BA554" s="96"/>
      <c r="BB554" s="97"/>
      <c r="BC554" s="7"/>
    </row>
    <row r="555" spans="1:55" ht="14.4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7"/>
      <c r="AZ555" s="96"/>
      <c r="BA555" s="96"/>
      <c r="BB555" s="97"/>
      <c r="BC555" s="7"/>
    </row>
    <row r="556" spans="1:55" ht="14.4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7"/>
      <c r="AZ556" s="96"/>
      <c r="BA556" s="96"/>
      <c r="BB556" s="97"/>
      <c r="BC556" s="7"/>
    </row>
    <row r="557" spans="1:55" ht="14.4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7"/>
      <c r="AZ557" s="96"/>
      <c r="BA557" s="96"/>
      <c r="BB557" s="97"/>
      <c r="BC557" s="7"/>
    </row>
    <row r="558" spans="1:55" ht="14.4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7"/>
      <c r="AZ558" s="96"/>
      <c r="BA558" s="96"/>
      <c r="BB558" s="97"/>
      <c r="BC558" s="7"/>
    </row>
    <row r="559" spans="1:55" ht="14.4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7"/>
      <c r="AZ559" s="96"/>
      <c r="BA559" s="96"/>
      <c r="BB559" s="97"/>
      <c r="BC559" s="7"/>
    </row>
    <row r="560" spans="1:55" ht="14.4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7"/>
      <c r="AZ560" s="96"/>
      <c r="BA560" s="96"/>
      <c r="BB560" s="97"/>
      <c r="BC560" s="7"/>
    </row>
    <row r="561" spans="1:55" ht="14.4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7"/>
      <c r="AZ561" s="96"/>
      <c r="BA561" s="96"/>
      <c r="BB561" s="97"/>
      <c r="BC561" s="7"/>
    </row>
    <row r="562" spans="1:55" ht="14.4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7"/>
      <c r="AZ562" s="96"/>
      <c r="BA562" s="96"/>
      <c r="BB562" s="97"/>
      <c r="BC562" s="7"/>
    </row>
    <row r="563" spans="1:55" ht="14.4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7"/>
      <c r="AZ563" s="96"/>
      <c r="BA563" s="96"/>
      <c r="BB563" s="97"/>
      <c r="BC563" s="7"/>
    </row>
    <row r="564" spans="1:55" ht="14.4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7"/>
      <c r="AZ564" s="96"/>
      <c r="BA564" s="96"/>
      <c r="BB564" s="97"/>
      <c r="BC564" s="7"/>
    </row>
    <row r="565" spans="1:55" ht="14.4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7"/>
      <c r="AZ565" s="96"/>
      <c r="BA565" s="96"/>
      <c r="BB565" s="97"/>
      <c r="BC565" s="7"/>
    </row>
    <row r="566" spans="1:55" ht="14.4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7"/>
      <c r="AZ566" s="96"/>
      <c r="BA566" s="96"/>
      <c r="BB566" s="97"/>
      <c r="BC566" s="7"/>
    </row>
    <row r="567" spans="1:55" ht="14.4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7"/>
      <c r="AZ567" s="96"/>
      <c r="BA567" s="96"/>
      <c r="BB567" s="97"/>
      <c r="BC567" s="7"/>
    </row>
    <row r="568" spans="1:55" ht="14.4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7"/>
      <c r="AZ568" s="96"/>
      <c r="BA568" s="96"/>
      <c r="BB568" s="97"/>
      <c r="BC568" s="7"/>
    </row>
    <row r="569" spans="1:55" ht="14.4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7"/>
      <c r="AZ569" s="96"/>
      <c r="BA569" s="96"/>
      <c r="BB569" s="97"/>
      <c r="BC569" s="7"/>
    </row>
    <row r="570" spans="1:55" ht="14.4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7"/>
      <c r="AZ570" s="96"/>
      <c r="BA570" s="96"/>
      <c r="BB570" s="97"/>
      <c r="BC570" s="7"/>
    </row>
    <row r="571" spans="1:55" ht="14.4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7"/>
      <c r="AZ571" s="96"/>
      <c r="BA571" s="96"/>
      <c r="BB571" s="97"/>
      <c r="BC571" s="7"/>
    </row>
    <row r="572" spans="1:55" ht="14.4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7"/>
      <c r="AZ572" s="96"/>
      <c r="BA572" s="96"/>
      <c r="BB572" s="97"/>
      <c r="BC572" s="7"/>
    </row>
    <row r="573" spans="1:55" ht="14.4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7"/>
      <c r="AZ573" s="96"/>
      <c r="BA573" s="96"/>
      <c r="BB573" s="97"/>
      <c r="BC573" s="7"/>
    </row>
    <row r="574" spans="1:55" ht="14.4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7"/>
      <c r="AZ574" s="96"/>
      <c r="BA574" s="96"/>
      <c r="BB574" s="97"/>
      <c r="BC574" s="7"/>
    </row>
    <row r="575" spans="1:55" ht="14.4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7"/>
      <c r="AZ575" s="96"/>
      <c r="BA575" s="96"/>
      <c r="BB575" s="97"/>
      <c r="BC575" s="7"/>
    </row>
    <row r="576" spans="1:55" ht="14.4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7"/>
      <c r="AZ576" s="96"/>
      <c r="BA576" s="96"/>
      <c r="BB576" s="97"/>
      <c r="BC576" s="7"/>
    </row>
    <row r="577" spans="1:55" ht="14.4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7"/>
      <c r="AZ577" s="96"/>
      <c r="BA577" s="96"/>
      <c r="BB577" s="97"/>
      <c r="BC577" s="7"/>
    </row>
    <row r="578" spans="1:55" ht="14.4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7"/>
      <c r="AZ578" s="96"/>
      <c r="BA578" s="96"/>
      <c r="BB578" s="97"/>
      <c r="BC578" s="7"/>
    </row>
    <row r="579" spans="1:55" ht="14.4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7"/>
      <c r="AZ579" s="96"/>
      <c r="BA579" s="96"/>
      <c r="BB579" s="97"/>
      <c r="BC579" s="7"/>
    </row>
    <row r="580" spans="1:55" ht="14.4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7"/>
      <c r="AZ580" s="96"/>
      <c r="BA580" s="96"/>
      <c r="BB580" s="97"/>
      <c r="BC580" s="7"/>
    </row>
    <row r="581" spans="1:55" ht="14.4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7"/>
      <c r="AZ581" s="96"/>
      <c r="BA581" s="96"/>
      <c r="BB581" s="97"/>
      <c r="BC581" s="7"/>
    </row>
    <row r="582" spans="1:55" ht="14.4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7"/>
      <c r="AZ582" s="96"/>
      <c r="BA582" s="96"/>
      <c r="BB582" s="97"/>
      <c r="BC582" s="7"/>
    </row>
    <row r="583" spans="1:55" ht="14.4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7"/>
      <c r="AZ583" s="96"/>
      <c r="BA583" s="96"/>
      <c r="BB583" s="97"/>
      <c r="BC583" s="7"/>
    </row>
    <row r="584" spans="1:55" ht="14.4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7"/>
      <c r="AZ584" s="96"/>
      <c r="BA584" s="96"/>
      <c r="BB584" s="97"/>
      <c r="BC584" s="7"/>
    </row>
    <row r="585" spans="1:55" ht="14.4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7"/>
      <c r="AZ585" s="96"/>
      <c r="BA585" s="96"/>
      <c r="BB585" s="97"/>
      <c r="BC585" s="7"/>
    </row>
    <row r="586" spans="1:55" ht="14.4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7"/>
      <c r="AZ586" s="96"/>
      <c r="BA586" s="96"/>
      <c r="BB586" s="97"/>
      <c r="BC586" s="7"/>
    </row>
    <row r="587" spans="1:55" ht="14.4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7"/>
      <c r="AZ587" s="96"/>
      <c r="BA587" s="96"/>
      <c r="BB587" s="97"/>
      <c r="BC587" s="7"/>
    </row>
    <row r="588" spans="1:55" ht="14.4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7"/>
      <c r="AZ588" s="96"/>
      <c r="BA588" s="96"/>
      <c r="BB588" s="97"/>
      <c r="BC588" s="7"/>
    </row>
    <row r="589" spans="1:55" ht="14.4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7"/>
      <c r="AZ589" s="96"/>
      <c r="BA589" s="96"/>
      <c r="BB589" s="97"/>
      <c r="BC589" s="7"/>
    </row>
    <row r="590" spans="1:55" ht="14.4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7"/>
      <c r="AZ590" s="96"/>
      <c r="BA590" s="96"/>
      <c r="BB590" s="97"/>
      <c r="BC590" s="7"/>
    </row>
    <row r="591" spans="1:55" ht="14.4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7"/>
      <c r="AZ591" s="96"/>
      <c r="BA591" s="96"/>
      <c r="BB591" s="97"/>
      <c r="BC591" s="7"/>
    </row>
    <row r="592" spans="1:55" ht="14.4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7"/>
      <c r="AZ592" s="96"/>
      <c r="BA592" s="96"/>
      <c r="BB592" s="97"/>
      <c r="BC592" s="7"/>
    </row>
    <row r="593" spans="1:55" ht="14.4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7"/>
      <c r="AZ593" s="96"/>
      <c r="BA593" s="96"/>
      <c r="BB593" s="97"/>
      <c r="BC593" s="7"/>
    </row>
    <row r="594" spans="1:55" ht="14.4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7"/>
      <c r="AZ594" s="96"/>
      <c r="BA594" s="96"/>
      <c r="BB594" s="97"/>
      <c r="BC594" s="7"/>
    </row>
    <row r="595" spans="1:55" ht="14.4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7"/>
      <c r="AZ595" s="96"/>
      <c r="BA595" s="96"/>
      <c r="BB595" s="97"/>
      <c r="BC595" s="7"/>
    </row>
    <row r="596" spans="1:55" ht="14.4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7"/>
      <c r="AZ596" s="96"/>
      <c r="BA596" s="96"/>
      <c r="BB596" s="97"/>
      <c r="BC596" s="7"/>
    </row>
    <row r="597" spans="1:55" ht="14.4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7"/>
      <c r="AZ597" s="96"/>
      <c r="BA597" s="96"/>
      <c r="BB597" s="97"/>
      <c r="BC597" s="7"/>
    </row>
    <row r="598" spans="1:55" ht="14.4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7"/>
      <c r="AZ598" s="96"/>
      <c r="BA598" s="96"/>
      <c r="BB598" s="97"/>
      <c r="BC598" s="7"/>
    </row>
    <row r="599" spans="1:55" ht="14.4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7"/>
      <c r="AZ599" s="96"/>
      <c r="BA599" s="96"/>
      <c r="BB599" s="97"/>
      <c r="BC599" s="7"/>
    </row>
    <row r="600" spans="1:55" ht="14.4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7"/>
      <c r="AZ600" s="96"/>
      <c r="BA600" s="96"/>
      <c r="BB600" s="97"/>
      <c r="BC600" s="7"/>
    </row>
    <row r="601" spans="1:55" ht="14.4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7"/>
      <c r="AZ601" s="96"/>
      <c r="BA601" s="96"/>
      <c r="BB601" s="97"/>
      <c r="BC601" s="7"/>
    </row>
    <row r="602" spans="1:55" ht="14.4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7"/>
      <c r="AZ602" s="96"/>
      <c r="BA602" s="96"/>
      <c r="BB602" s="97"/>
      <c r="BC602" s="7"/>
    </row>
    <row r="603" spans="1:55" ht="14.4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7"/>
      <c r="AZ603" s="96"/>
      <c r="BA603" s="96"/>
      <c r="BB603" s="97"/>
      <c r="BC603" s="7"/>
    </row>
    <row r="604" spans="1:55" ht="14.4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7"/>
      <c r="AZ604" s="96"/>
      <c r="BA604" s="96"/>
      <c r="BB604" s="97"/>
      <c r="BC604" s="7"/>
    </row>
    <row r="605" spans="1:55" ht="14.4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7"/>
      <c r="AZ605" s="96"/>
      <c r="BA605" s="96"/>
      <c r="BB605" s="97"/>
      <c r="BC605" s="7"/>
    </row>
    <row r="606" spans="1:55" ht="14.4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7"/>
      <c r="AZ606" s="96"/>
      <c r="BA606" s="96"/>
      <c r="BB606" s="97"/>
      <c r="BC606" s="7"/>
    </row>
    <row r="607" spans="1:55" ht="14.4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7"/>
      <c r="AZ607" s="96"/>
      <c r="BA607" s="96"/>
      <c r="BB607" s="97"/>
      <c r="BC607" s="7"/>
    </row>
    <row r="608" spans="1:55" ht="14.4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7"/>
      <c r="AZ608" s="96"/>
      <c r="BA608" s="96"/>
      <c r="BB608" s="97"/>
      <c r="BC608" s="7"/>
    </row>
    <row r="609" spans="1:55" ht="14.4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7"/>
      <c r="AZ609" s="96"/>
      <c r="BA609" s="96"/>
      <c r="BB609" s="97"/>
      <c r="BC609" s="7"/>
    </row>
    <row r="610" spans="1:55" ht="14.4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7"/>
      <c r="AZ610" s="96"/>
      <c r="BA610" s="96"/>
      <c r="BB610" s="97"/>
      <c r="BC610" s="7"/>
    </row>
    <row r="611" spans="1:55" ht="14.4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7"/>
      <c r="AZ611" s="96"/>
      <c r="BA611" s="96"/>
      <c r="BB611" s="97"/>
      <c r="BC611" s="7"/>
    </row>
    <row r="612" spans="1:55" ht="14.4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7"/>
      <c r="AZ612" s="96"/>
      <c r="BA612" s="96"/>
      <c r="BB612" s="97"/>
      <c r="BC612" s="7"/>
    </row>
    <row r="613" spans="1:55" ht="14.4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7"/>
      <c r="AZ613" s="96"/>
      <c r="BA613" s="96"/>
      <c r="BB613" s="97"/>
      <c r="BC613" s="7"/>
    </row>
    <row r="614" spans="1:55" ht="14.4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7"/>
      <c r="AZ614" s="96"/>
      <c r="BA614" s="96"/>
      <c r="BB614" s="97"/>
      <c r="BC614" s="7"/>
    </row>
    <row r="615" spans="1:55" ht="14.4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7"/>
      <c r="AZ615" s="96"/>
      <c r="BA615" s="96"/>
      <c r="BB615" s="97"/>
      <c r="BC615" s="7"/>
    </row>
    <row r="616" spans="1:55" ht="14.4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7"/>
      <c r="AZ616" s="96"/>
      <c r="BA616" s="96"/>
      <c r="BB616" s="97"/>
      <c r="BC616" s="7"/>
    </row>
    <row r="617" spans="1:55" ht="14.4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7"/>
      <c r="AZ617" s="96"/>
      <c r="BA617" s="96"/>
      <c r="BB617" s="97"/>
      <c r="BC617" s="7"/>
    </row>
    <row r="618" spans="1:55" ht="14.4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7"/>
      <c r="AZ618" s="96"/>
      <c r="BA618" s="96"/>
      <c r="BB618" s="97"/>
      <c r="BC618" s="7"/>
    </row>
    <row r="619" spans="1:55" ht="14.4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7"/>
      <c r="AZ619" s="96"/>
      <c r="BA619" s="96"/>
      <c r="BB619" s="97"/>
      <c r="BC619" s="7"/>
    </row>
    <row r="620" spans="1:55" ht="14.4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7"/>
      <c r="AZ620" s="96"/>
      <c r="BA620" s="96"/>
      <c r="BB620" s="97"/>
      <c r="BC620" s="7"/>
    </row>
    <row r="621" spans="1:55" ht="14.4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7"/>
      <c r="AZ621" s="96"/>
      <c r="BA621" s="96"/>
      <c r="BB621" s="97"/>
      <c r="BC621" s="7"/>
    </row>
    <row r="622" spans="1:55" ht="14.4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7"/>
      <c r="AZ622" s="96"/>
      <c r="BA622" s="96"/>
      <c r="BB622" s="97"/>
      <c r="BC622" s="7"/>
    </row>
    <row r="623" spans="1:55" ht="14.4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7"/>
      <c r="AZ623" s="96"/>
      <c r="BA623" s="96"/>
      <c r="BB623" s="97"/>
      <c r="BC623" s="7"/>
    </row>
    <row r="624" spans="1:55" ht="14.4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7"/>
      <c r="AZ624" s="96"/>
      <c r="BA624" s="96"/>
      <c r="BB624" s="97"/>
      <c r="BC624" s="7"/>
    </row>
    <row r="625" spans="1:55" ht="14.4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7"/>
      <c r="AZ625" s="96"/>
      <c r="BA625" s="96"/>
      <c r="BB625" s="97"/>
      <c r="BC625" s="7"/>
    </row>
    <row r="626" spans="1:55" ht="14.4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7"/>
      <c r="AZ626" s="96"/>
      <c r="BA626" s="96"/>
      <c r="BB626" s="97"/>
      <c r="BC626" s="7"/>
    </row>
    <row r="627" spans="1:55" ht="14.4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7"/>
      <c r="AZ627" s="96"/>
      <c r="BA627" s="96"/>
      <c r="BB627" s="97"/>
      <c r="BC627" s="7"/>
    </row>
    <row r="628" spans="1:55" ht="14.4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7"/>
      <c r="AZ628" s="96"/>
      <c r="BA628" s="96"/>
      <c r="BB628" s="97"/>
      <c r="BC628" s="7"/>
    </row>
    <row r="629" spans="1:55" ht="14.4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7"/>
      <c r="AZ629" s="96"/>
      <c r="BA629" s="96"/>
      <c r="BB629" s="97"/>
      <c r="BC629" s="7"/>
    </row>
    <row r="630" spans="1:55" ht="14.4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7"/>
      <c r="AZ630" s="96"/>
      <c r="BA630" s="96"/>
      <c r="BB630" s="97"/>
      <c r="BC630" s="7"/>
    </row>
    <row r="631" spans="1:55" ht="14.4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7"/>
      <c r="AZ631" s="96"/>
      <c r="BA631" s="96"/>
      <c r="BB631" s="97"/>
      <c r="BC631" s="7"/>
    </row>
    <row r="632" spans="1:55" ht="14.4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7"/>
      <c r="AZ632" s="96"/>
      <c r="BA632" s="96"/>
      <c r="BB632" s="97"/>
      <c r="BC632" s="7"/>
    </row>
    <row r="633" spans="1:55" ht="14.4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7"/>
      <c r="AZ633" s="96"/>
      <c r="BA633" s="96"/>
      <c r="BB633" s="97"/>
      <c r="BC633" s="7"/>
    </row>
    <row r="634" spans="1:55" ht="14.4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7"/>
      <c r="AZ634" s="96"/>
      <c r="BA634" s="96"/>
      <c r="BB634" s="97"/>
      <c r="BC634" s="7"/>
    </row>
    <row r="635" spans="1:55" ht="14.4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7"/>
      <c r="AZ635" s="96"/>
      <c r="BA635" s="96"/>
      <c r="BB635" s="97"/>
      <c r="BC635" s="7"/>
    </row>
    <row r="636" spans="1:55" ht="14.4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7"/>
      <c r="AZ636" s="96"/>
      <c r="BA636" s="96"/>
      <c r="BB636" s="97"/>
      <c r="BC636" s="7"/>
    </row>
    <row r="637" spans="1:55" ht="14.4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7"/>
      <c r="AZ637" s="96"/>
      <c r="BA637" s="96"/>
      <c r="BB637" s="97"/>
      <c r="BC637" s="7"/>
    </row>
    <row r="638" spans="1:55" ht="14.4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7"/>
      <c r="AZ638" s="96"/>
      <c r="BA638" s="96"/>
      <c r="BB638" s="97"/>
      <c r="BC638" s="7"/>
    </row>
    <row r="639" spans="1:55" ht="14.4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7"/>
      <c r="AZ639" s="96"/>
      <c r="BA639" s="96"/>
      <c r="BB639" s="97"/>
      <c r="BC639" s="7"/>
    </row>
    <row r="640" spans="1:55" ht="14.4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7"/>
      <c r="AZ640" s="96"/>
      <c r="BA640" s="96"/>
      <c r="BB640" s="97"/>
      <c r="BC640" s="7"/>
    </row>
    <row r="641" spans="1:55" ht="14.4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7"/>
      <c r="AZ641" s="96"/>
      <c r="BA641" s="96"/>
      <c r="BB641" s="97"/>
      <c r="BC641" s="7"/>
    </row>
    <row r="642" spans="1:55" ht="14.4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7"/>
      <c r="AZ642" s="96"/>
      <c r="BA642" s="96"/>
      <c r="BB642" s="97"/>
      <c r="BC642" s="7"/>
    </row>
    <row r="643" spans="1:55" ht="14.4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7"/>
      <c r="AZ643" s="96"/>
      <c r="BA643" s="96"/>
      <c r="BB643" s="97"/>
      <c r="BC643" s="7"/>
    </row>
    <row r="644" spans="1:55" ht="14.4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7"/>
      <c r="AZ644" s="96"/>
      <c r="BA644" s="96"/>
      <c r="BB644" s="97"/>
      <c r="BC644" s="7"/>
    </row>
    <row r="645" spans="1:55" ht="14.4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7"/>
      <c r="AZ645" s="96"/>
      <c r="BA645" s="96"/>
      <c r="BB645" s="97"/>
      <c r="BC645" s="7"/>
    </row>
    <row r="646" spans="1:55" ht="14.4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7"/>
      <c r="AZ646" s="96"/>
      <c r="BA646" s="96"/>
      <c r="BB646" s="97"/>
      <c r="BC646" s="7"/>
    </row>
    <row r="647" spans="1:55" ht="14.4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7"/>
      <c r="AZ647" s="96"/>
      <c r="BA647" s="96"/>
      <c r="BB647" s="97"/>
      <c r="BC647" s="7"/>
    </row>
    <row r="648" spans="1:55" ht="14.4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7"/>
      <c r="AZ648" s="96"/>
      <c r="BA648" s="96"/>
      <c r="BB648" s="97"/>
      <c r="BC648" s="7"/>
    </row>
    <row r="649" spans="1:55" ht="14.4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7"/>
      <c r="AZ649" s="96"/>
      <c r="BA649" s="96"/>
      <c r="BB649" s="97"/>
      <c r="BC649" s="7"/>
    </row>
    <row r="650" spans="1:55" ht="14.4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7"/>
      <c r="AZ650" s="96"/>
      <c r="BA650" s="96"/>
      <c r="BB650" s="97"/>
      <c r="BC650" s="7"/>
    </row>
    <row r="651" spans="1:55" ht="14.4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7"/>
      <c r="AZ651" s="96"/>
      <c r="BA651" s="96"/>
      <c r="BB651" s="97"/>
      <c r="BC651" s="7"/>
    </row>
    <row r="652" spans="1:55" ht="14.4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7"/>
      <c r="AZ652" s="96"/>
      <c r="BA652" s="96"/>
      <c r="BB652" s="97"/>
      <c r="BC652" s="7"/>
    </row>
    <row r="653" spans="1:55" ht="14.4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7"/>
      <c r="AZ653" s="96"/>
      <c r="BA653" s="96"/>
      <c r="BB653" s="97"/>
      <c r="BC653" s="7"/>
    </row>
    <row r="654" spans="1:55" ht="14.4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7"/>
      <c r="AZ654" s="96"/>
      <c r="BA654" s="96"/>
      <c r="BB654" s="97"/>
      <c r="BC654" s="7"/>
    </row>
    <row r="655" spans="1:55" ht="14.4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7"/>
      <c r="AZ655" s="96"/>
      <c r="BA655" s="96"/>
      <c r="BB655" s="97"/>
      <c r="BC655" s="7"/>
    </row>
    <row r="656" spans="1:55" ht="14.4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7"/>
      <c r="AZ656" s="96"/>
      <c r="BA656" s="96"/>
      <c r="BB656" s="97"/>
      <c r="BC656" s="7"/>
    </row>
    <row r="657" spans="1:55" ht="14.4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7"/>
      <c r="AZ657" s="96"/>
      <c r="BA657" s="96"/>
      <c r="BB657" s="97"/>
      <c r="BC657" s="7"/>
    </row>
    <row r="658" spans="1:55" ht="14.4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7"/>
      <c r="AZ658" s="96"/>
      <c r="BA658" s="96"/>
      <c r="BB658" s="97"/>
      <c r="BC658" s="7"/>
    </row>
    <row r="659" spans="1:55" ht="14.4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7"/>
      <c r="AZ659" s="96"/>
      <c r="BA659" s="96"/>
      <c r="BB659" s="97"/>
      <c r="BC659" s="7"/>
    </row>
    <row r="660" spans="1:55" ht="14.4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7"/>
      <c r="AZ660" s="96"/>
      <c r="BA660" s="96"/>
      <c r="BB660" s="97"/>
      <c r="BC660" s="7"/>
    </row>
    <row r="661" spans="1:55" ht="14.4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7"/>
      <c r="AZ661" s="96"/>
      <c r="BA661" s="96"/>
      <c r="BB661" s="97"/>
      <c r="BC661" s="7"/>
    </row>
    <row r="662" spans="1:55" ht="14.4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7"/>
      <c r="AZ662" s="96"/>
      <c r="BA662" s="96"/>
      <c r="BB662" s="97"/>
      <c r="BC662" s="7"/>
    </row>
    <row r="663" spans="1:55" ht="14.4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7"/>
      <c r="AZ663" s="96"/>
      <c r="BA663" s="96"/>
      <c r="BB663" s="97"/>
      <c r="BC663" s="7"/>
    </row>
    <row r="664" spans="1:55" ht="14.4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7"/>
      <c r="AZ664" s="96"/>
      <c r="BA664" s="96"/>
      <c r="BB664" s="97"/>
      <c r="BC664" s="7"/>
    </row>
    <row r="665" spans="1:55" ht="14.4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7"/>
      <c r="AZ665" s="96"/>
      <c r="BA665" s="96"/>
      <c r="BB665" s="97"/>
      <c r="BC665" s="7"/>
    </row>
    <row r="666" spans="1:55" ht="14.4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7"/>
      <c r="AZ666" s="96"/>
      <c r="BA666" s="96"/>
      <c r="BB666" s="97"/>
      <c r="BC666" s="7"/>
    </row>
    <row r="667" spans="1:55" ht="14.4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7"/>
      <c r="AZ667" s="96"/>
      <c r="BA667" s="96"/>
      <c r="BB667" s="97"/>
      <c r="BC667" s="7"/>
    </row>
    <row r="668" spans="1:55" ht="14.4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7"/>
      <c r="AZ668" s="96"/>
      <c r="BA668" s="96"/>
      <c r="BB668" s="97"/>
      <c r="BC668" s="7"/>
    </row>
    <row r="669" spans="1:55" ht="14.4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7"/>
      <c r="AZ669" s="96"/>
      <c r="BA669" s="96"/>
      <c r="BB669" s="97"/>
      <c r="BC669" s="7"/>
    </row>
    <row r="670" spans="1:55" ht="14.4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7"/>
      <c r="AZ670" s="96"/>
      <c r="BA670" s="96"/>
      <c r="BB670" s="97"/>
      <c r="BC670" s="7"/>
    </row>
    <row r="671" spans="1:55" ht="14.4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7"/>
      <c r="AZ671" s="96"/>
      <c r="BA671" s="96"/>
      <c r="BB671" s="97"/>
      <c r="BC671" s="7"/>
    </row>
    <row r="672" spans="1:55" ht="14.4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7"/>
      <c r="AZ672" s="96"/>
      <c r="BA672" s="96"/>
      <c r="BB672" s="97"/>
      <c r="BC672" s="7"/>
    </row>
    <row r="673" spans="1:55" ht="14.4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7"/>
      <c r="AZ673" s="96"/>
      <c r="BA673" s="96"/>
      <c r="BB673" s="97"/>
      <c r="BC673" s="7"/>
    </row>
    <row r="674" spans="1:55" ht="14.4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7"/>
      <c r="AZ674" s="96"/>
      <c r="BA674" s="96"/>
      <c r="BB674" s="97"/>
      <c r="BC674" s="7"/>
    </row>
    <row r="675" spans="1:55" ht="14.4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7"/>
      <c r="AZ675" s="96"/>
      <c r="BA675" s="96"/>
      <c r="BB675" s="97"/>
      <c r="BC675" s="7"/>
    </row>
    <row r="676" spans="1:55" ht="14.4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7"/>
      <c r="AZ676" s="96"/>
      <c r="BA676" s="96"/>
      <c r="BB676" s="97"/>
      <c r="BC676" s="7"/>
    </row>
    <row r="677" spans="1:55" ht="14.4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7"/>
      <c r="AZ677" s="96"/>
      <c r="BA677" s="96"/>
      <c r="BB677" s="97"/>
      <c r="BC677" s="7"/>
    </row>
    <row r="678" spans="1:55" ht="14.4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7"/>
      <c r="AZ678" s="96"/>
      <c r="BA678" s="96"/>
      <c r="BB678" s="97"/>
      <c r="BC678" s="7"/>
    </row>
    <row r="679" spans="1:55" ht="14.4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7"/>
      <c r="AZ679" s="96"/>
      <c r="BA679" s="96"/>
      <c r="BB679" s="97"/>
      <c r="BC679" s="7"/>
    </row>
    <row r="680" spans="1:55" ht="14.4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7"/>
      <c r="AZ680" s="96"/>
      <c r="BA680" s="96"/>
      <c r="BB680" s="97"/>
      <c r="BC680" s="7"/>
    </row>
    <row r="681" spans="1:55" ht="14.4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7"/>
      <c r="AZ681" s="96"/>
      <c r="BA681" s="96"/>
      <c r="BB681" s="97"/>
      <c r="BC681" s="7"/>
    </row>
    <row r="682" spans="1:55" ht="14.4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7"/>
      <c r="AZ682" s="96"/>
      <c r="BA682" s="96"/>
      <c r="BB682" s="97"/>
      <c r="BC682" s="7"/>
    </row>
    <row r="683" spans="1:55" ht="14.4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7"/>
      <c r="AZ683" s="96"/>
      <c r="BA683" s="96"/>
      <c r="BB683" s="97"/>
      <c r="BC683" s="7"/>
    </row>
    <row r="684" spans="1:55" ht="14.4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7"/>
      <c r="AZ684" s="96"/>
      <c r="BA684" s="96"/>
      <c r="BB684" s="97"/>
      <c r="BC684" s="7"/>
    </row>
    <row r="685" spans="1:55" ht="14.4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7"/>
      <c r="AZ685" s="96"/>
      <c r="BA685" s="96"/>
      <c r="BB685" s="97"/>
      <c r="BC685" s="7"/>
    </row>
    <row r="686" spans="1:55" ht="14.4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7"/>
      <c r="AZ686" s="96"/>
      <c r="BA686" s="96"/>
      <c r="BB686" s="97"/>
      <c r="BC686" s="7"/>
    </row>
    <row r="687" spans="1:55" ht="14.4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7"/>
      <c r="AZ687" s="96"/>
      <c r="BA687" s="96"/>
      <c r="BB687" s="97"/>
      <c r="BC687" s="7"/>
    </row>
    <row r="688" spans="1:55" ht="14.4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7"/>
      <c r="AZ688" s="96"/>
      <c r="BA688" s="96"/>
      <c r="BB688" s="97"/>
      <c r="BC688" s="7"/>
    </row>
    <row r="689" spans="1:55" ht="14.4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7"/>
      <c r="AZ689" s="96"/>
      <c r="BA689" s="96"/>
      <c r="BB689" s="97"/>
      <c r="BC689" s="7"/>
    </row>
    <row r="690" spans="1:55" ht="14.4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7"/>
      <c r="AZ690" s="96"/>
      <c r="BA690" s="96"/>
      <c r="BB690" s="97"/>
      <c r="BC690" s="7"/>
    </row>
    <row r="691" spans="1:55" ht="14.4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7"/>
      <c r="AZ691" s="96"/>
      <c r="BA691" s="96"/>
      <c r="BB691" s="97"/>
      <c r="BC691" s="7"/>
    </row>
    <row r="692" spans="1:55" ht="14.4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7"/>
      <c r="AZ692" s="96"/>
      <c r="BA692" s="96"/>
      <c r="BB692" s="97"/>
      <c r="BC692" s="7"/>
    </row>
    <row r="693" spans="1:55" ht="14.4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7"/>
      <c r="AZ693" s="96"/>
      <c r="BA693" s="96"/>
      <c r="BB693" s="97"/>
      <c r="BC693" s="7"/>
    </row>
    <row r="694" spans="1:55" ht="14.4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7"/>
      <c r="AZ694" s="96"/>
      <c r="BA694" s="96"/>
      <c r="BB694" s="97"/>
      <c r="BC694" s="7"/>
    </row>
    <row r="695" spans="1:55" ht="14.4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7"/>
      <c r="AZ695" s="96"/>
      <c r="BA695" s="96"/>
      <c r="BB695" s="97"/>
      <c r="BC695" s="7"/>
    </row>
    <row r="696" spans="1:55" ht="14.4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7"/>
      <c r="AZ696" s="96"/>
      <c r="BA696" s="96"/>
      <c r="BB696" s="97"/>
      <c r="BC696" s="7"/>
    </row>
    <row r="697" spans="1:55" ht="14.4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7"/>
      <c r="AZ697" s="96"/>
      <c r="BA697" s="96"/>
      <c r="BB697" s="97"/>
      <c r="BC697" s="7"/>
    </row>
    <row r="698" spans="1:55" ht="14.4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7"/>
      <c r="AZ698" s="96"/>
      <c r="BA698" s="96"/>
      <c r="BB698" s="97"/>
      <c r="BC698" s="7"/>
    </row>
    <row r="699" spans="1:55" ht="14.4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7"/>
      <c r="AZ699" s="96"/>
      <c r="BA699" s="96"/>
      <c r="BB699" s="97"/>
      <c r="BC699" s="7"/>
    </row>
    <row r="700" spans="1:55" ht="14.4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7"/>
      <c r="AZ700" s="96"/>
      <c r="BA700" s="96"/>
      <c r="BB700" s="97"/>
      <c r="BC700" s="7"/>
    </row>
    <row r="701" spans="1:55" ht="14.4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7"/>
      <c r="AZ701" s="96"/>
      <c r="BA701" s="96"/>
      <c r="BB701" s="97"/>
      <c r="BC701" s="7"/>
    </row>
    <row r="702" spans="1:55" ht="14.4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7"/>
      <c r="AZ702" s="96"/>
      <c r="BA702" s="96"/>
      <c r="BB702" s="97"/>
      <c r="BC702" s="7"/>
    </row>
    <row r="703" spans="1:55" ht="14.4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7"/>
      <c r="AZ703" s="96"/>
      <c r="BA703" s="96"/>
      <c r="BB703" s="97"/>
      <c r="BC703" s="7"/>
    </row>
    <row r="704" spans="1:55" ht="14.4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7"/>
      <c r="AZ704" s="96"/>
      <c r="BA704" s="96"/>
      <c r="BB704" s="97"/>
      <c r="BC704" s="7"/>
    </row>
    <row r="705" spans="1:55" ht="14.4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7"/>
      <c r="AZ705" s="96"/>
      <c r="BA705" s="96"/>
      <c r="BB705" s="97"/>
      <c r="BC705" s="7"/>
    </row>
    <row r="706" spans="1:55" ht="14.4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7"/>
      <c r="AZ706" s="96"/>
      <c r="BA706" s="96"/>
      <c r="BB706" s="97"/>
      <c r="BC706" s="7"/>
    </row>
    <row r="707" spans="1:55" ht="14.4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7"/>
      <c r="AZ707" s="96"/>
      <c r="BA707" s="96"/>
      <c r="BB707" s="97"/>
      <c r="BC707" s="7"/>
    </row>
    <row r="708" spans="1:55" ht="14.4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7"/>
      <c r="AZ708" s="96"/>
      <c r="BA708" s="96"/>
      <c r="BB708" s="97"/>
      <c r="BC708" s="7"/>
    </row>
    <row r="709" spans="1:55" ht="14.4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7"/>
      <c r="AZ709" s="96"/>
      <c r="BA709" s="96"/>
      <c r="BB709" s="97"/>
      <c r="BC709" s="7"/>
    </row>
    <row r="710" spans="1:55" ht="14.4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7"/>
      <c r="AZ710" s="96"/>
      <c r="BA710" s="96"/>
      <c r="BB710" s="97"/>
      <c r="BC710" s="7"/>
    </row>
    <row r="711" spans="1:55" ht="14.4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7"/>
      <c r="AZ711" s="96"/>
      <c r="BA711" s="96"/>
      <c r="BB711" s="97"/>
      <c r="BC711" s="7"/>
    </row>
    <row r="712" spans="1:55" ht="14.4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7"/>
      <c r="AZ712" s="96"/>
      <c r="BA712" s="96"/>
      <c r="BB712" s="97"/>
      <c r="BC712" s="7"/>
    </row>
    <row r="713" spans="1:55" ht="14.4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7"/>
      <c r="AZ713" s="96"/>
      <c r="BA713" s="96"/>
      <c r="BB713" s="97"/>
      <c r="BC713" s="7"/>
    </row>
    <row r="714" spans="1:55" ht="14.4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7"/>
      <c r="AZ714" s="96"/>
      <c r="BA714" s="96"/>
      <c r="BB714" s="97"/>
      <c r="BC714" s="7"/>
    </row>
    <row r="715" spans="1:55" ht="14.4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7"/>
      <c r="AZ715" s="96"/>
      <c r="BA715" s="96"/>
      <c r="BB715" s="97"/>
      <c r="BC715" s="7"/>
    </row>
    <row r="716" spans="1:55" ht="14.4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7"/>
      <c r="AZ716" s="96"/>
      <c r="BA716" s="96"/>
      <c r="BB716" s="97"/>
      <c r="BC716" s="7"/>
    </row>
    <row r="717" spans="1:55" ht="14.4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7"/>
      <c r="AZ717" s="96"/>
      <c r="BA717" s="96"/>
      <c r="BB717" s="97"/>
      <c r="BC717" s="7"/>
    </row>
    <row r="718" spans="1:55" ht="14.4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7"/>
      <c r="AZ718" s="96"/>
      <c r="BA718" s="96"/>
      <c r="BB718" s="97"/>
      <c r="BC718" s="7"/>
    </row>
    <row r="719" spans="1:55" ht="14.4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7"/>
      <c r="AZ719" s="96"/>
      <c r="BA719" s="96"/>
      <c r="BB719" s="97"/>
      <c r="BC719" s="7"/>
    </row>
    <row r="720" spans="1:55" ht="14.4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7"/>
      <c r="AZ720" s="96"/>
      <c r="BA720" s="96"/>
      <c r="BB720" s="97"/>
      <c r="BC720" s="7"/>
    </row>
    <row r="721" spans="1:55" ht="14.4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7"/>
      <c r="AZ721" s="96"/>
      <c r="BA721" s="96"/>
      <c r="BB721" s="97"/>
      <c r="BC721" s="7"/>
    </row>
    <row r="722" spans="1:55" ht="14.4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7"/>
      <c r="AZ722" s="96"/>
      <c r="BA722" s="96"/>
      <c r="BB722" s="97"/>
      <c r="BC722" s="7"/>
    </row>
    <row r="723" spans="1:55" ht="14.4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7"/>
      <c r="AZ723" s="96"/>
      <c r="BA723" s="96"/>
      <c r="BB723" s="97"/>
      <c r="BC723" s="7"/>
    </row>
    <row r="724" spans="1:55" ht="14.4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7"/>
      <c r="AZ724" s="96"/>
      <c r="BA724" s="96"/>
      <c r="BB724" s="97"/>
      <c r="BC724" s="7"/>
    </row>
    <row r="725" spans="1:55" ht="14.4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7"/>
      <c r="AZ725" s="96"/>
      <c r="BA725" s="96"/>
      <c r="BB725" s="97"/>
      <c r="BC725" s="7"/>
    </row>
    <row r="726" spans="1:55" ht="14.4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7"/>
      <c r="AZ726" s="96"/>
      <c r="BA726" s="96"/>
      <c r="BB726" s="97"/>
      <c r="BC726" s="7"/>
    </row>
    <row r="727" spans="1:55" ht="14.4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7"/>
      <c r="AZ727" s="96"/>
      <c r="BA727" s="96"/>
      <c r="BB727" s="97"/>
      <c r="BC727" s="7"/>
    </row>
    <row r="728" spans="1:55" ht="14.4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7"/>
      <c r="AZ728" s="96"/>
      <c r="BA728" s="96"/>
      <c r="BB728" s="97"/>
      <c r="BC728" s="7"/>
    </row>
    <row r="729" spans="1:55" ht="14.4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7"/>
      <c r="AZ729" s="96"/>
      <c r="BA729" s="96"/>
      <c r="BB729" s="97"/>
      <c r="BC729" s="7"/>
    </row>
    <row r="730" spans="1:55" ht="14.4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7"/>
      <c r="AZ730" s="96"/>
      <c r="BA730" s="96"/>
      <c r="BB730" s="97"/>
      <c r="BC730" s="7"/>
    </row>
    <row r="731" spans="1:55" ht="14.4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7"/>
      <c r="AZ731" s="96"/>
      <c r="BA731" s="96"/>
      <c r="BB731" s="97"/>
      <c r="BC731" s="7"/>
    </row>
    <row r="732" spans="1:55" ht="14.4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7"/>
      <c r="AZ732" s="96"/>
      <c r="BA732" s="96"/>
      <c r="BB732" s="97"/>
      <c r="BC732" s="7"/>
    </row>
    <row r="733" spans="1:55" ht="14.4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7"/>
      <c r="AZ733" s="96"/>
      <c r="BA733" s="96"/>
      <c r="BB733" s="97"/>
      <c r="BC733" s="7"/>
    </row>
    <row r="734" spans="1:55" ht="14.4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7"/>
      <c r="AZ734" s="96"/>
      <c r="BA734" s="96"/>
      <c r="BB734" s="97"/>
      <c r="BC734" s="7"/>
    </row>
    <row r="735" spans="1:55" ht="14.4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7"/>
      <c r="AZ735" s="96"/>
      <c r="BA735" s="96"/>
      <c r="BB735" s="97"/>
      <c r="BC735" s="7"/>
    </row>
    <row r="736" spans="1:55" ht="14.4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7"/>
      <c r="AZ736" s="96"/>
      <c r="BA736" s="96"/>
      <c r="BB736" s="97"/>
      <c r="BC736" s="7"/>
    </row>
    <row r="737" spans="1:55" ht="14.4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7"/>
      <c r="AZ737" s="96"/>
      <c r="BA737" s="96"/>
      <c r="BB737" s="97"/>
      <c r="BC737" s="7"/>
    </row>
    <row r="738" spans="1:55" ht="14.4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7"/>
      <c r="AZ738" s="96"/>
      <c r="BA738" s="96"/>
      <c r="BB738" s="97"/>
      <c r="BC738" s="7"/>
    </row>
    <row r="739" spans="1:55" ht="14.4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7"/>
      <c r="AZ739" s="96"/>
      <c r="BA739" s="96"/>
      <c r="BB739" s="97"/>
      <c r="BC739" s="7"/>
    </row>
    <row r="740" spans="1:55" ht="14.4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7"/>
      <c r="AZ740" s="96"/>
      <c r="BA740" s="96"/>
      <c r="BB740" s="97"/>
      <c r="BC740" s="7"/>
    </row>
    <row r="741" spans="1:55" ht="14.4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7"/>
      <c r="AZ741" s="96"/>
      <c r="BA741" s="96"/>
      <c r="BB741" s="97"/>
      <c r="BC741" s="7"/>
    </row>
    <row r="742" spans="1:55" ht="14.4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7"/>
      <c r="AZ742" s="96"/>
      <c r="BA742" s="96"/>
      <c r="BB742" s="97"/>
      <c r="BC742" s="7"/>
    </row>
    <row r="743" spans="1:55" ht="14.4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7"/>
      <c r="AZ743" s="96"/>
      <c r="BA743" s="96"/>
      <c r="BB743" s="97"/>
      <c r="BC743" s="7"/>
    </row>
    <row r="744" spans="1:55" ht="14.4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7"/>
      <c r="AZ744" s="96"/>
      <c r="BA744" s="96"/>
      <c r="BB744" s="97"/>
      <c r="BC744" s="7"/>
    </row>
    <row r="745" spans="1:55" ht="14.4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7"/>
      <c r="AZ745" s="96"/>
      <c r="BA745" s="96"/>
      <c r="BB745" s="97"/>
      <c r="BC745" s="7"/>
    </row>
    <row r="746" spans="1:55" ht="14.4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7"/>
      <c r="AZ746" s="96"/>
      <c r="BA746" s="96"/>
      <c r="BB746" s="97"/>
      <c r="BC746" s="7"/>
    </row>
    <row r="747" spans="1:55" ht="14.4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7"/>
      <c r="AZ747" s="96"/>
      <c r="BA747" s="96"/>
      <c r="BB747" s="97"/>
      <c r="BC747" s="7"/>
    </row>
    <row r="748" spans="1:55" ht="14.4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7"/>
      <c r="AZ748" s="96"/>
      <c r="BA748" s="96"/>
      <c r="BB748" s="97"/>
      <c r="BC748" s="7"/>
    </row>
    <row r="749" spans="1:55" ht="14.4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7"/>
      <c r="AZ749" s="96"/>
      <c r="BA749" s="96"/>
      <c r="BB749" s="97"/>
      <c r="BC749" s="7"/>
    </row>
    <row r="750" spans="1:55" ht="14.4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7"/>
      <c r="AZ750" s="96"/>
      <c r="BA750" s="96"/>
      <c r="BB750" s="97"/>
      <c r="BC750" s="7"/>
    </row>
    <row r="751" spans="1:55" ht="14.4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7"/>
      <c r="AZ751" s="96"/>
      <c r="BA751" s="96"/>
      <c r="BB751" s="97"/>
      <c r="BC751" s="7"/>
    </row>
    <row r="752" spans="1:55" ht="14.4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7"/>
      <c r="AZ752" s="96"/>
      <c r="BA752" s="96"/>
      <c r="BB752" s="97"/>
      <c r="BC752" s="7"/>
    </row>
    <row r="753" spans="1:55" ht="14.4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7"/>
      <c r="AZ753" s="96"/>
      <c r="BA753" s="96"/>
      <c r="BB753" s="97"/>
      <c r="BC753" s="7"/>
    </row>
    <row r="754" spans="1:55" ht="14.4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7"/>
      <c r="AZ754" s="96"/>
      <c r="BA754" s="96"/>
      <c r="BB754" s="97"/>
      <c r="BC754" s="7"/>
    </row>
    <row r="755" spans="1:55" ht="14.4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7"/>
      <c r="AZ755" s="96"/>
      <c r="BA755" s="96"/>
      <c r="BB755" s="97"/>
      <c r="BC755" s="7"/>
    </row>
    <row r="756" spans="1:55" ht="14.4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7"/>
      <c r="AZ756" s="96"/>
      <c r="BA756" s="96"/>
      <c r="BB756" s="97"/>
      <c r="BC756" s="7"/>
    </row>
    <row r="757" spans="1:55" ht="14.4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7"/>
      <c r="AZ757" s="96"/>
      <c r="BA757" s="96"/>
      <c r="BB757" s="97"/>
      <c r="BC757" s="7"/>
    </row>
    <row r="758" spans="1:55" ht="14.4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7"/>
      <c r="AZ758" s="96"/>
      <c r="BA758" s="96"/>
      <c r="BB758" s="97"/>
      <c r="BC758" s="7"/>
    </row>
    <row r="759" spans="1:55" ht="14.4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7"/>
      <c r="AZ759" s="96"/>
      <c r="BA759" s="96"/>
      <c r="BB759" s="97"/>
      <c r="BC759" s="7"/>
    </row>
    <row r="760" spans="1:55" ht="14.4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7"/>
      <c r="AZ760" s="96"/>
      <c r="BA760" s="96"/>
      <c r="BB760" s="97"/>
      <c r="BC760" s="7"/>
    </row>
    <row r="761" spans="1:55" ht="14.4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7"/>
      <c r="AZ761" s="96"/>
      <c r="BA761" s="96"/>
      <c r="BB761" s="97"/>
      <c r="BC761" s="7"/>
    </row>
    <row r="762" spans="1:55" ht="14.4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7"/>
      <c r="AZ762" s="96"/>
      <c r="BA762" s="96"/>
      <c r="BB762" s="97"/>
      <c r="BC762" s="7"/>
    </row>
    <row r="763" spans="1:55" ht="14.4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7"/>
      <c r="AZ763" s="96"/>
      <c r="BA763" s="96"/>
      <c r="BB763" s="97"/>
      <c r="BC763" s="7"/>
    </row>
    <row r="764" spans="1:55" ht="14.4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7"/>
      <c r="AZ764" s="96"/>
      <c r="BA764" s="96"/>
      <c r="BB764" s="97"/>
      <c r="BC764" s="7"/>
    </row>
    <row r="765" spans="1:55" ht="14.4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7"/>
      <c r="AZ765" s="96"/>
      <c r="BA765" s="96"/>
      <c r="BB765" s="97"/>
      <c r="BC765" s="7"/>
    </row>
    <row r="766" spans="1:55" ht="14.4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7"/>
      <c r="AZ766" s="96"/>
      <c r="BA766" s="96"/>
      <c r="BB766" s="97"/>
      <c r="BC766" s="7"/>
    </row>
    <row r="767" spans="1:55" ht="14.4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7"/>
      <c r="AZ767" s="96"/>
      <c r="BA767" s="96"/>
      <c r="BB767" s="97"/>
      <c r="BC767" s="7"/>
    </row>
    <row r="768" spans="1:55" ht="14.4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7"/>
      <c r="AZ768" s="96"/>
      <c r="BA768" s="96"/>
      <c r="BB768" s="97"/>
      <c r="BC768" s="7"/>
    </row>
    <row r="769" spans="1:55" ht="14.4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7"/>
      <c r="AZ769" s="96"/>
      <c r="BA769" s="96"/>
      <c r="BB769" s="97"/>
      <c r="BC769" s="7"/>
    </row>
    <row r="770" spans="1:55" ht="14.4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7"/>
      <c r="AZ770" s="96"/>
      <c r="BA770" s="96"/>
      <c r="BB770" s="97"/>
      <c r="BC770" s="7"/>
    </row>
    <row r="771" spans="1:55" ht="14.4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7"/>
      <c r="AZ771" s="96"/>
      <c r="BA771" s="96"/>
      <c r="BB771" s="97"/>
      <c r="BC771" s="7"/>
    </row>
    <row r="772" spans="1:55" ht="14.4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7"/>
      <c r="AZ772" s="96"/>
      <c r="BA772" s="96"/>
      <c r="BB772" s="97"/>
      <c r="BC772" s="7"/>
    </row>
    <row r="773" spans="1:55" ht="14.4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7"/>
      <c r="AZ773" s="96"/>
      <c r="BA773" s="96"/>
      <c r="BB773" s="97"/>
      <c r="BC773" s="7"/>
    </row>
    <row r="774" spans="1:55" ht="14.4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7"/>
      <c r="AZ774" s="96"/>
      <c r="BA774" s="96"/>
      <c r="BB774" s="97"/>
      <c r="BC774" s="7"/>
    </row>
    <row r="775" spans="1:55" ht="14.4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7"/>
      <c r="AZ775" s="96"/>
      <c r="BA775" s="96"/>
      <c r="BB775" s="97"/>
      <c r="BC775" s="7"/>
    </row>
    <row r="776" spans="1:55" ht="14.4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7"/>
      <c r="AZ776" s="96"/>
      <c r="BA776" s="96"/>
      <c r="BB776" s="97"/>
      <c r="BC776" s="7"/>
    </row>
    <row r="777" spans="1:55" ht="14.4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7"/>
      <c r="AZ777" s="96"/>
      <c r="BA777" s="96"/>
      <c r="BB777" s="97"/>
      <c r="BC777" s="7"/>
    </row>
    <row r="778" spans="1:55" ht="14.4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7"/>
      <c r="AZ778" s="96"/>
      <c r="BA778" s="96"/>
      <c r="BB778" s="97"/>
      <c r="BC778" s="7"/>
    </row>
    <row r="779" spans="1:55" ht="14.4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7"/>
      <c r="AZ779" s="96"/>
      <c r="BA779" s="96"/>
      <c r="BB779" s="97"/>
      <c r="BC779" s="7"/>
    </row>
    <row r="780" spans="1:55" ht="14.4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7"/>
      <c r="AZ780" s="96"/>
      <c r="BA780" s="96"/>
      <c r="BB780" s="97"/>
      <c r="BC780" s="7"/>
    </row>
    <row r="781" spans="1:55" ht="14.4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7"/>
      <c r="AZ781" s="96"/>
      <c r="BA781" s="96"/>
      <c r="BB781" s="97"/>
      <c r="BC781" s="7"/>
    </row>
    <row r="782" spans="1:55" ht="14.4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7"/>
      <c r="AZ782" s="96"/>
      <c r="BA782" s="96"/>
      <c r="BB782" s="97"/>
      <c r="BC782" s="7"/>
    </row>
    <row r="783" spans="1:55" ht="14.4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7"/>
      <c r="AZ783" s="96"/>
      <c r="BA783" s="96"/>
      <c r="BB783" s="97"/>
      <c r="BC783" s="7"/>
    </row>
    <row r="784" spans="1:55" ht="14.4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7"/>
      <c r="AZ784" s="96"/>
      <c r="BA784" s="96"/>
      <c r="BB784" s="97"/>
      <c r="BC784" s="7"/>
    </row>
    <row r="785" spans="1:55" ht="14.4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7"/>
      <c r="AZ785" s="96"/>
      <c r="BA785" s="96"/>
      <c r="BB785" s="97"/>
      <c r="BC785" s="7"/>
    </row>
    <row r="786" spans="1:55" ht="14.4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7"/>
      <c r="AZ786" s="96"/>
      <c r="BA786" s="96"/>
      <c r="BB786" s="97"/>
      <c r="BC786" s="7"/>
    </row>
    <row r="787" spans="1:55" ht="14.4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7"/>
      <c r="AZ787" s="96"/>
      <c r="BA787" s="96"/>
      <c r="BB787" s="97"/>
      <c r="BC787" s="7"/>
    </row>
    <row r="788" spans="1:55" ht="14.4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7"/>
      <c r="AZ788" s="96"/>
      <c r="BA788" s="96"/>
      <c r="BB788" s="97"/>
      <c r="BC788" s="7"/>
    </row>
    <row r="789" spans="1:55" ht="14.4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7"/>
      <c r="AZ789" s="96"/>
      <c r="BA789" s="96"/>
      <c r="BB789" s="97"/>
      <c r="BC789" s="7"/>
    </row>
    <row r="790" spans="1:55" ht="14.4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7"/>
      <c r="AZ790" s="96"/>
      <c r="BA790" s="96"/>
      <c r="BB790" s="97"/>
      <c r="BC790" s="7"/>
    </row>
    <row r="791" spans="1:55" ht="14.4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7"/>
      <c r="AZ791" s="96"/>
      <c r="BA791" s="96"/>
      <c r="BB791" s="97"/>
      <c r="BC791" s="7"/>
    </row>
    <row r="792" spans="1:55" ht="14.4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7"/>
      <c r="AZ792" s="96"/>
      <c r="BA792" s="96"/>
      <c r="BB792" s="97"/>
      <c r="BC792" s="7"/>
    </row>
    <row r="793" spans="1:55" ht="14.4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7"/>
      <c r="AZ793" s="96"/>
      <c r="BA793" s="96"/>
      <c r="BB793" s="97"/>
      <c r="BC793" s="7"/>
    </row>
    <row r="794" spans="1:55" ht="14.4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7"/>
      <c r="AZ794" s="96"/>
      <c r="BA794" s="96"/>
      <c r="BB794" s="97"/>
      <c r="BC794" s="7"/>
    </row>
    <row r="795" spans="1:55" ht="14.4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7"/>
      <c r="AZ795" s="96"/>
      <c r="BA795" s="96"/>
      <c r="BB795" s="97"/>
      <c r="BC795" s="7"/>
    </row>
    <row r="796" spans="1:55" ht="14.4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7"/>
      <c r="AZ796" s="96"/>
      <c r="BA796" s="96"/>
      <c r="BB796" s="97"/>
      <c r="BC796" s="7"/>
    </row>
    <row r="797" spans="1:55" ht="14.4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7"/>
      <c r="AZ797" s="96"/>
      <c r="BA797" s="96"/>
      <c r="BB797" s="97"/>
      <c r="BC797" s="7"/>
    </row>
    <row r="798" spans="1:55" ht="14.4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7"/>
      <c r="AZ798" s="96"/>
      <c r="BA798" s="96"/>
      <c r="BB798" s="97"/>
      <c r="BC798" s="7"/>
    </row>
    <row r="799" spans="1:55" ht="14.4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7"/>
      <c r="AZ799" s="96"/>
      <c r="BA799" s="96"/>
      <c r="BB799" s="97"/>
      <c r="BC799" s="7"/>
    </row>
    <row r="800" spans="1:55" ht="14.4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7"/>
      <c r="AZ800" s="96"/>
      <c r="BA800" s="96"/>
      <c r="BB800" s="97"/>
      <c r="BC800" s="7"/>
    </row>
    <row r="801" spans="1:55" ht="14.4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7"/>
      <c r="AZ801" s="96"/>
      <c r="BA801" s="96"/>
      <c r="BB801" s="97"/>
      <c r="BC801" s="7"/>
    </row>
    <row r="802" spans="1:55" ht="14.4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7"/>
      <c r="AZ802" s="96"/>
      <c r="BA802" s="96"/>
      <c r="BB802" s="97"/>
      <c r="BC802" s="7"/>
    </row>
    <row r="803" spans="1:55" ht="14.4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7"/>
      <c r="AZ803" s="96"/>
      <c r="BA803" s="96"/>
      <c r="BB803" s="97"/>
      <c r="BC803" s="7"/>
    </row>
    <row r="804" spans="1:55" ht="14.4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7"/>
      <c r="AZ804" s="96"/>
      <c r="BA804" s="96"/>
      <c r="BB804" s="97"/>
      <c r="BC804" s="7"/>
    </row>
    <row r="805" spans="1:55" ht="14.4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7"/>
      <c r="AZ805" s="96"/>
      <c r="BA805" s="96"/>
      <c r="BB805" s="97"/>
      <c r="BC805" s="7"/>
    </row>
    <row r="806" spans="1:55" ht="14.4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7"/>
      <c r="AZ806" s="96"/>
      <c r="BA806" s="96"/>
      <c r="BB806" s="97"/>
      <c r="BC806" s="7"/>
    </row>
    <row r="807" spans="1:55" ht="14.4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7"/>
      <c r="AZ807" s="96"/>
      <c r="BA807" s="96"/>
      <c r="BB807" s="97"/>
      <c r="BC807" s="7"/>
    </row>
    <row r="808" spans="1:55" ht="14.4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7"/>
      <c r="AZ808" s="96"/>
      <c r="BA808" s="96"/>
      <c r="BB808" s="97"/>
      <c r="BC808" s="7"/>
    </row>
    <row r="809" spans="1:55" ht="14.4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7"/>
      <c r="AZ809" s="96"/>
      <c r="BA809" s="96"/>
      <c r="BB809" s="97"/>
      <c r="BC809" s="7"/>
    </row>
    <row r="810" spans="1:55" ht="14.4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7"/>
      <c r="AZ810" s="96"/>
      <c r="BA810" s="96"/>
      <c r="BB810" s="97"/>
      <c r="BC810" s="7"/>
    </row>
    <row r="811" spans="1:55" ht="14.4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7"/>
      <c r="AZ811" s="96"/>
      <c r="BA811" s="96"/>
      <c r="BB811" s="97"/>
      <c r="BC811" s="7"/>
    </row>
    <row r="812" spans="1:55" ht="14.4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7"/>
      <c r="AZ812" s="96"/>
      <c r="BA812" s="96"/>
      <c r="BB812" s="97"/>
      <c r="BC812" s="7"/>
    </row>
    <row r="813" spans="1:55" ht="14.4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7"/>
      <c r="AZ813" s="96"/>
      <c r="BA813" s="96"/>
      <c r="BB813" s="97"/>
      <c r="BC813" s="7"/>
    </row>
    <row r="814" spans="1:55" ht="14.4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7"/>
      <c r="AZ814" s="96"/>
      <c r="BA814" s="96"/>
      <c r="BB814" s="97"/>
      <c r="BC814" s="7"/>
    </row>
    <row r="815" spans="1:55" ht="14.4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7"/>
      <c r="AZ815" s="96"/>
      <c r="BA815" s="96"/>
      <c r="BB815" s="97"/>
      <c r="BC815" s="7"/>
    </row>
    <row r="816" spans="1:55" ht="14.4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7"/>
      <c r="AZ816" s="96"/>
      <c r="BA816" s="96"/>
      <c r="BB816" s="97"/>
      <c r="BC816" s="7"/>
    </row>
    <row r="817" spans="1:55" ht="14.4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7"/>
      <c r="AZ817" s="96"/>
      <c r="BA817" s="96"/>
      <c r="BB817" s="97"/>
      <c r="BC817" s="7"/>
    </row>
    <row r="818" spans="1:55" ht="14.4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7"/>
      <c r="AZ818" s="96"/>
      <c r="BA818" s="96"/>
      <c r="BB818" s="97"/>
      <c r="BC818" s="7"/>
    </row>
    <row r="819" spans="1:55" ht="14.4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7"/>
      <c r="AZ819" s="96"/>
      <c r="BA819" s="96"/>
      <c r="BB819" s="97"/>
      <c r="BC819" s="7"/>
    </row>
    <row r="820" spans="1:55" ht="14.4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7"/>
      <c r="AZ820" s="96"/>
      <c r="BA820" s="96"/>
      <c r="BB820" s="97"/>
      <c r="BC820" s="7"/>
    </row>
    <row r="821" spans="1:55" ht="14.4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7"/>
      <c r="AZ821" s="96"/>
      <c r="BA821" s="96"/>
      <c r="BB821" s="97"/>
      <c r="BC821" s="7"/>
    </row>
    <row r="822" spans="1:55" ht="14.4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7"/>
      <c r="AZ822" s="96"/>
      <c r="BA822" s="96"/>
      <c r="BB822" s="97"/>
      <c r="BC822" s="7"/>
    </row>
    <row r="823" spans="1:55" ht="14.4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7"/>
      <c r="AZ823" s="96"/>
      <c r="BA823" s="96"/>
      <c r="BB823" s="97"/>
      <c r="BC823" s="7"/>
    </row>
    <row r="824" spans="1:55" ht="14.4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7"/>
      <c r="AZ824" s="96"/>
      <c r="BA824" s="96"/>
      <c r="BB824" s="97"/>
      <c r="BC824" s="7"/>
    </row>
    <row r="825" spans="1:55" ht="14.4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7"/>
      <c r="AZ825" s="96"/>
      <c r="BA825" s="96"/>
      <c r="BB825" s="97"/>
      <c r="BC825" s="7"/>
    </row>
    <row r="826" spans="1:55" ht="14.4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7"/>
      <c r="AZ826" s="96"/>
      <c r="BA826" s="96"/>
      <c r="BB826" s="97"/>
      <c r="BC826" s="7"/>
    </row>
    <row r="827" spans="1:55" ht="14.4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7"/>
      <c r="AZ827" s="96"/>
      <c r="BA827" s="96"/>
      <c r="BB827" s="97"/>
      <c r="BC827" s="7"/>
    </row>
    <row r="828" spans="1:55" ht="14.4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7"/>
      <c r="AZ828" s="96"/>
      <c r="BA828" s="96"/>
      <c r="BB828" s="97"/>
      <c r="BC828" s="7"/>
    </row>
    <row r="829" spans="1:55" ht="14.4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7"/>
      <c r="AZ829" s="96"/>
      <c r="BA829" s="96"/>
      <c r="BB829" s="97"/>
      <c r="BC829" s="7"/>
    </row>
    <row r="830" spans="1:55" ht="14.4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7"/>
      <c r="AZ830" s="96"/>
      <c r="BA830" s="96"/>
      <c r="BB830" s="97"/>
      <c r="BC830" s="7"/>
    </row>
    <row r="831" spans="1:55" ht="14.4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7"/>
      <c r="AZ831" s="96"/>
      <c r="BA831" s="96"/>
      <c r="BB831" s="97"/>
      <c r="BC831" s="7"/>
    </row>
    <row r="832" spans="1:55" ht="14.4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7"/>
      <c r="AZ832" s="96"/>
      <c r="BA832" s="96"/>
      <c r="BB832" s="97"/>
      <c r="BC832" s="7"/>
    </row>
    <row r="833" spans="1:55" ht="14.4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7"/>
      <c r="AZ833" s="96"/>
      <c r="BA833" s="96"/>
      <c r="BB833" s="97"/>
      <c r="BC833" s="7"/>
    </row>
    <row r="834" spans="1:55" ht="14.4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7"/>
      <c r="AZ834" s="96"/>
      <c r="BA834" s="96"/>
      <c r="BB834" s="97"/>
      <c r="BC834" s="7"/>
    </row>
    <row r="835" spans="1:55" ht="14.4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7"/>
      <c r="AZ835" s="96"/>
      <c r="BA835" s="96"/>
      <c r="BB835" s="97"/>
      <c r="BC835" s="7"/>
    </row>
    <row r="836" spans="1:55" ht="14.4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7"/>
      <c r="AZ836" s="96"/>
      <c r="BA836" s="96"/>
      <c r="BB836" s="97"/>
      <c r="BC836" s="7"/>
    </row>
    <row r="837" spans="1:55" ht="14.4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7"/>
      <c r="AZ837" s="96"/>
      <c r="BA837" s="96"/>
      <c r="BB837" s="97"/>
      <c r="BC837" s="7"/>
    </row>
    <row r="838" spans="1:55" ht="14.4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7"/>
      <c r="AZ838" s="96"/>
      <c r="BA838" s="96"/>
      <c r="BB838" s="97"/>
      <c r="BC838" s="7"/>
    </row>
    <row r="839" spans="1:55" ht="14.4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7"/>
      <c r="AZ839" s="96"/>
      <c r="BA839" s="96"/>
      <c r="BB839" s="97"/>
      <c r="BC839" s="7"/>
    </row>
    <row r="840" spans="1:55" ht="14.4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7"/>
      <c r="AZ840" s="96"/>
      <c r="BA840" s="96"/>
      <c r="BB840" s="97"/>
      <c r="BC840" s="7"/>
    </row>
    <row r="841" spans="1:55" ht="14.4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7"/>
      <c r="AZ841" s="96"/>
      <c r="BA841" s="96"/>
      <c r="BB841" s="97"/>
      <c r="BC841" s="7"/>
    </row>
    <row r="842" spans="1:55" ht="14.4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7"/>
      <c r="AZ842" s="96"/>
      <c r="BA842" s="96"/>
      <c r="BB842" s="97"/>
      <c r="BC842" s="7"/>
    </row>
    <row r="843" spans="1:55" ht="14.4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7"/>
      <c r="AZ843" s="96"/>
      <c r="BA843" s="96"/>
      <c r="BB843" s="97"/>
      <c r="BC843" s="7"/>
    </row>
    <row r="844" spans="1:55" ht="14.4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7"/>
      <c r="AZ844" s="96"/>
      <c r="BA844" s="96"/>
      <c r="BB844" s="97"/>
      <c r="BC844" s="7"/>
    </row>
    <row r="845" spans="1:55" ht="14.4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7"/>
      <c r="AZ845" s="96"/>
      <c r="BA845" s="96"/>
      <c r="BB845" s="97"/>
      <c r="BC845" s="7"/>
    </row>
    <row r="846" spans="1:55" ht="14.4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7"/>
      <c r="AZ846" s="96"/>
      <c r="BA846" s="96"/>
      <c r="BB846" s="97"/>
      <c r="BC846" s="7"/>
    </row>
    <row r="847" spans="1:55" ht="14.4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7"/>
      <c r="AZ847" s="96"/>
      <c r="BA847" s="96"/>
      <c r="BB847" s="97"/>
      <c r="BC847" s="7"/>
    </row>
    <row r="848" spans="1:55" ht="14.4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7"/>
      <c r="AZ848" s="96"/>
      <c r="BA848" s="96"/>
      <c r="BB848" s="97"/>
      <c r="BC848" s="7"/>
    </row>
    <row r="849" spans="1:55" ht="14.4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7"/>
      <c r="AZ849" s="96"/>
      <c r="BA849" s="96"/>
      <c r="BB849" s="97"/>
      <c r="BC849" s="7"/>
    </row>
    <row r="850" spans="1:55" ht="14.4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7"/>
      <c r="AZ850" s="96"/>
      <c r="BA850" s="96"/>
      <c r="BB850" s="97"/>
      <c r="BC850" s="7"/>
    </row>
    <row r="851" spans="1:55" ht="14.4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7"/>
      <c r="AZ851" s="96"/>
      <c r="BA851" s="96"/>
      <c r="BB851" s="97"/>
      <c r="BC851" s="7"/>
    </row>
    <row r="852" spans="1:55" ht="14.4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7"/>
      <c r="AZ852" s="96"/>
      <c r="BA852" s="96"/>
      <c r="BB852" s="97"/>
      <c r="BC852" s="7"/>
    </row>
    <row r="853" spans="1:55" ht="14.4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7"/>
      <c r="AZ853" s="96"/>
      <c r="BA853" s="96"/>
      <c r="BB853" s="97"/>
      <c r="BC853" s="7"/>
    </row>
    <row r="854" spans="1:55" ht="14.4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7"/>
      <c r="AZ854" s="96"/>
      <c r="BA854" s="96"/>
      <c r="BB854" s="97"/>
      <c r="BC854" s="7"/>
    </row>
    <row r="855" spans="1:55" ht="14.4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7"/>
      <c r="AZ855" s="96"/>
      <c r="BA855" s="96"/>
      <c r="BB855" s="97"/>
      <c r="BC855" s="7"/>
    </row>
    <row r="856" spans="1:55" ht="14.4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7"/>
      <c r="AZ856" s="96"/>
      <c r="BA856" s="96"/>
      <c r="BB856" s="97"/>
      <c r="BC856" s="7"/>
    </row>
    <row r="857" spans="1:55" ht="14.4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7"/>
      <c r="AZ857" s="96"/>
      <c r="BA857" s="96"/>
      <c r="BB857" s="97"/>
      <c r="BC857" s="7"/>
    </row>
    <row r="858" spans="1:55" ht="14.4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7"/>
      <c r="AZ858" s="96"/>
      <c r="BA858" s="96"/>
      <c r="BB858" s="97"/>
      <c r="BC858" s="7"/>
    </row>
    <row r="859" spans="1:55" ht="14.4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7"/>
      <c r="AZ859" s="96"/>
      <c r="BA859" s="96"/>
      <c r="BB859" s="97"/>
      <c r="BC859" s="7"/>
    </row>
    <row r="860" spans="1:55" ht="14.4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7"/>
      <c r="AZ860" s="96"/>
      <c r="BA860" s="96"/>
      <c r="BB860" s="97"/>
      <c r="BC860" s="7"/>
    </row>
    <row r="861" spans="1:55" ht="14.4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7"/>
      <c r="AZ861" s="96"/>
      <c r="BA861" s="96"/>
      <c r="BB861" s="97"/>
      <c r="BC861" s="7"/>
    </row>
    <row r="862" spans="1:55" ht="14.4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7"/>
      <c r="AZ862" s="96"/>
      <c r="BA862" s="96"/>
      <c r="BB862" s="97"/>
      <c r="BC862" s="7"/>
    </row>
    <row r="863" spans="1:55" ht="14.4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7"/>
      <c r="AZ863" s="96"/>
      <c r="BA863" s="96"/>
      <c r="BB863" s="97"/>
      <c r="BC863" s="7"/>
    </row>
    <row r="864" spans="1:55" ht="14.4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7"/>
      <c r="AZ864" s="96"/>
      <c r="BA864" s="96"/>
      <c r="BB864" s="97"/>
      <c r="BC864" s="7"/>
    </row>
    <row r="865" spans="1:55" ht="14.4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7"/>
      <c r="AZ865" s="96"/>
      <c r="BA865" s="96"/>
      <c r="BB865" s="97"/>
      <c r="BC865" s="7"/>
    </row>
    <row r="866" spans="1:55" ht="14.4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7"/>
      <c r="AZ866" s="96"/>
      <c r="BA866" s="96"/>
      <c r="BB866" s="97"/>
      <c r="BC866" s="7"/>
    </row>
    <row r="867" spans="1:55" ht="14.4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7"/>
      <c r="AZ867" s="96"/>
      <c r="BA867" s="96"/>
      <c r="BB867" s="97"/>
      <c r="BC867" s="7"/>
    </row>
    <row r="868" spans="1:55" ht="14.4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7"/>
      <c r="AZ868" s="96"/>
      <c r="BA868" s="96"/>
      <c r="BB868" s="97"/>
      <c r="BC868" s="7"/>
    </row>
    <row r="869" spans="1:55" ht="14.4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7"/>
      <c r="AZ869" s="96"/>
      <c r="BA869" s="96"/>
      <c r="BB869" s="97"/>
      <c r="BC869" s="7"/>
    </row>
    <row r="870" spans="1:55" ht="14.4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7"/>
      <c r="AZ870" s="96"/>
      <c r="BA870" s="96"/>
      <c r="BB870" s="97"/>
      <c r="BC870" s="7"/>
    </row>
    <row r="871" spans="1:55" ht="14.4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7"/>
      <c r="AZ871" s="96"/>
      <c r="BA871" s="96"/>
      <c r="BB871" s="97"/>
      <c r="BC871" s="7"/>
    </row>
    <row r="872" spans="1:55" ht="14.4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7"/>
      <c r="AZ872" s="96"/>
      <c r="BA872" s="96"/>
      <c r="BB872" s="97"/>
      <c r="BC872" s="7"/>
    </row>
    <row r="873" spans="1:55" ht="14.4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7"/>
      <c r="AZ873" s="96"/>
      <c r="BA873" s="96"/>
      <c r="BB873" s="97"/>
      <c r="BC873" s="7"/>
    </row>
    <row r="874" spans="1:55" ht="14.4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7"/>
      <c r="AZ874" s="96"/>
      <c r="BA874" s="96"/>
      <c r="BB874" s="97"/>
      <c r="BC874" s="7"/>
    </row>
    <row r="875" spans="1:55" ht="14.4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7"/>
      <c r="AZ875" s="96"/>
      <c r="BA875" s="96"/>
      <c r="BB875" s="97"/>
      <c r="BC875" s="7"/>
    </row>
    <row r="876" spans="1:55" ht="14.4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7"/>
      <c r="AZ876" s="96"/>
      <c r="BA876" s="96"/>
      <c r="BB876" s="97"/>
      <c r="BC876" s="7"/>
    </row>
    <row r="877" spans="1:55" ht="14.4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7"/>
      <c r="AZ877" s="96"/>
      <c r="BA877" s="96"/>
      <c r="BB877" s="97"/>
      <c r="BC877" s="7"/>
    </row>
    <row r="878" spans="1:55" ht="14.4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7"/>
      <c r="AZ878" s="96"/>
      <c r="BA878" s="96"/>
      <c r="BB878" s="97"/>
      <c r="BC878" s="7"/>
    </row>
    <row r="879" spans="1:55" ht="14.4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7"/>
      <c r="AZ879" s="96"/>
      <c r="BA879" s="96"/>
      <c r="BB879" s="97"/>
      <c r="BC879" s="7"/>
    </row>
    <row r="880" spans="1:55" ht="14.4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7"/>
      <c r="AZ880" s="96"/>
      <c r="BA880" s="96"/>
      <c r="BB880" s="97"/>
      <c r="BC880" s="7"/>
    </row>
    <row r="881" spans="1:55" ht="14.4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7"/>
      <c r="AZ881" s="96"/>
      <c r="BA881" s="96"/>
      <c r="BB881" s="97"/>
      <c r="BC881" s="7"/>
    </row>
    <row r="882" spans="1:55" ht="14.4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7"/>
      <c r="AZ882" s="96"/>
      <c r="BA882" s="96"/>
      <c r="BB882" s="97"/>
      <c r="BC882" s="7"/>
    </row>
    <row r="883" spans="1:55" ht="14.4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7"/>
      <c r="AZ883" s="96"/>
      <c r="BA883" s="96"/>
      <c r="BB883" s="97"/>
      <c r="BC883" s="7"/>
    </row>
    <row r="884" spans="1:55" ht="14.4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7"/>
      <c r="AZ884" s="96"/>
      <c r="BA884" s="96"/>
      <c r="BB884" s="97"/>
      <c r="BC884" s="7"/>
    </row>
    <row r="885" spans="1:55" ht="14.4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7"/>
      <c r="AZ885" s="96"/>
      <c r="BA885" s="96"/>
      <c r="BB885" s="97"/>
      <c r="BC885" s="7"/>
    </row>
    <row r="886" spans="1:55" ht="14.4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7"/>
      <c r="AZ886" s="96"/>
      <c r="BA886" s="96"/>
      <c r="BB886" s="97"/>
      <c r="BC886" s="7"/>
    </row>
    <row r="887" spans="1:55" ht="14.4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7"/>
      <c r="AZ887" s="96"/>
      <c r="BA887" s="96"/>
      <c r="BB887" s="97"/>
      <c r="BC887" s="7"/>
    </row>
    <row r="888" spans="1:55" ht="14.4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7"/>
      <c r="AZ888" s="96"/>
      <c r="BA888" s="96"/>
      <c r="BB888" s="97"/>
      <c r="BC888" s="7"/>
    </row>
    <row r="889" spans="1:55" ht="14.4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7"/>
      <c r="AZ889" s="96"/>
      <c r="BA889" s="96"/>
      <c r="BB889" s="97"/>
      <c r="BC889" s="7"/>
    </row>
    <row r="890" spans="1:55" ht="14.4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7"/>
      <c r="AZ890" s="96"/>
      <c r="BA890" s="96"/>
      <c r="BB890" s="97"/>
      <c r="BC890" s="7"/>
    </row>
    <row r="891" spans="1:55" ht="14.4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7"/>
      <c r="AZ891" s="96"/>
      <c r="BA891" s="96"/>
      <c r="BB891" s="97"/>
      <c r="BC891" s="7"/>
    </row>
    <row r="892" spans="1:55" ht="14.4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7"/>
      <c r="AZ892" s="96"/>
      <c r="BA892" s="96"/>
      <c r="BB892" s="97"/>
      <c r="BC892" s="7"/>
    </row>
    <row r="893" spans="1:55" ht="14.4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7"/>
      <c r="AZ893" s="96"/>
      <c r="BA893" s="96"/>
      <c r="BB893" s="97"/>
      <c r="BC893" s="7"/>
    </row>
    <row r="894" spans="1:55" ht="14.4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7"/>
      <c r="AZ894" s="96"/>
      <c r="BA894" s="96"/>
      <c r="BB894" s="97"/>
      <c r="BC894" s="7"/>
    </row>
    <row r="895" spans="1:55" ht="14.4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7"/>
      <c r="AZ895" s="96"/>
      <c r="BA895" s="96"/>
      <c r="BB895" s="97"/>
      <c r="BC895" s="7"/>
    </row>
    <row r="896" spans="1:55" ht="14.4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7"/>
      <c r="AZ896" s="96"/>
      <c r="BA896" s="96"/>
      <c r="BB896" s="97"/>
      <c r="BC896" s="7"/>
    </row>
    <row r="897" spans="1:55" ht="14.4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7"/>
      <c r="AZ897" s="96"/>
      <c r="BA897" s="96"/>
      <c r="BB897" s="97"/>
      <c r="BC897" s="7"/>
    </row>
    <row r="898" spans="1:55" ht="14.4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7"/>
      <c r="AZ898" s="96"/>
      <c r="BA898" s="96"/>
      <c r="BB898" s="97"/>
      <c r="BC898" s="7"/>
    </row>
    <row r="899" spans="1:55" ht="14.4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7"/>
      <c r="AZ899" s="96"/>
      <c r="BA899" s="96"/>
      <c r="BB899" s="97"/>
      <c r="BC899" s="7"/>
    </row>
    <row r="900" spans="1:55" ht="14.4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7"/>
      <c r="AZ900" s="96"/>
      <c r="BA900" s="96"/>
      <c r="BB900" s="97"/>
      <c r="BC900" s="7"/>
    </row>
    <row r="901" spans="1:55" ht="14.4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7"/>
      <c r="AZ901" s="96"/>
      <c r="BA901" s="96"/>
      <c r="BB901" s="97"/>
      <c r="BC901" s="7"/>
    </row>
    <row r="902" spans="1:55" ht="14.4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7"/>
      <c r="AZ902" s="96"/>
      <c r="BA902" s="96"/>
      <c r="BB902" s="97"/>
      <c r="BC902" s="7"/>
    </row>
    <row r="903" spans="1:55" ht="14.4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7"/>
      <c r="AZ903" s="96"/>
      <c r="BA903" s="96"/>
      <c r="BB903" s="97"/>
      <c r="BC903" s="7"/>
    </row>
    <row r="904" spans="1:55" ht="14.4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7"/>
      <c r="AZ904" s="96"/>
      <c r="BA904" s="96"/>
      <c r="BB904" s="97"/>
      <c r="BC904" s="7"/>
    </row>
    <row r="905" spans="1:55" ht="14.4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7"/>
      <c r="AZ905" s="96"/>
      <c r="BA905" s="96"/>
      <c r="BB905" s="97"/>
      <c r="BC905" s="7"/>
    </row>
    <row r="906" spans="1:55" ht="14.4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7"/>
      <c r="AZ906" s="96"/>
      <c r="BA906" s="96"/>
      <c r="BB906" s="97"/>
      <c r="BC906" s="7"/>
    </row>
    <row r="907" spans="1:55" ht="14.4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7"/>
      <c r="AZ907" s="96"/>
      <c r="BA907" s="96"/>
      <c r="BB907" s="97"/>
      <c r="BC907" s="7"/>
    </row>
    <row r="908" spans="1:55" ht="14.4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7"/>
      <c r="AZ908" s="96"/>
      <c r="BA908" s="96"/>
      <c r="BB908" s="97"/>
      <c r="BC908" s="7"/>
    </row>
    <row r="909" spans="1:55" ht="14.4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7"/>
      <c r="AZ909" s="96"/>
      <c r="BA909" s="96"/>
      <c r="BB909" s="97"/>
      <c r="BC909" s="7"/>
    </row>
    <row r="910" spans="1:55" ht="14.4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7"/>
      <c r="AZ910" s="96"/>
      <c r="BA910" s="96"/>
      <c r="BB910" s="97"/>
      <c r="BC910" s="7"/>
    </row>
    <row r="911" spans="1:55" ht="14.4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7"/>
      <c r="AZ911" s="96"/>
      <c r="BA911" s="96"/>
      <c r="BB911" s="97"/>
      <c r="BC911" s="7"/>
    </row>
    <row r="912" spans="1:55" ht="14.4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7"/>
      <c r="AZ912" s="96"/>
      <c r="BA912" s="96"/>
      <c r="BB912" s="97"/>
      <c r="BC912" s="7"/>
    </row>
    <row r="913" spans="1:55" ht="14.4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7"/>
      <c r="AZ913" s="96"/>
      <c r="BA913" s="96"/>
      <c r="BB913" s="97"/>
      <c r="BC913" s="7"/>
    </row>
    <row r="914" spans="1:55" ht="14.4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7"/>
      <c r="AZ914" s="96"/>
      <c r="BA914" s="96"/>
      <c r="BB914" s="97"/>
      <c r="BC914" s="7"/>
    </row>
    <row r="915" spans="1:55" ht="14.4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7"/>
      <c r="AZ915" s="96"/>
      <c r="BA915" s="96"/>
      <c r="BB915" s="97"/>
      <c r="BC915" s="7"/>
    </row>
    <row r="916" spans="1:55" ht="14.4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7"/>
      <c r="AZ916" s="96"/>
      <c r="BA916" s="96"/>
      <c r="BB916" s="97"/>
      <c r="BC916" s="7"/>
    </row>
    <row r="917" spans="1:55" ht="14.4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7"/>
      <c r="AZ917" s="96"/>
      <c r="BA917" s="96"/>
      <c r="BB917" s="97"/>
      <c r="BC917" s="7"/>
    </row>
    <row r="918" spans="1:55" ht="14.4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7"/>
      <c r="AZ918" s="96"/>
      <c r="BA918" s="96"/>
      <c r="BB918" s="97"/>
      <c r="BC918" s="7"/>
    </row>
    <row r="919" spans="1:55" ht="14.4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7"/>
      <c r="AZ919" s="96"/>
      <c r="BA919" s="96"/>
      <c r="BB919" s="97"/>
      <c r="BC919" s="7"/>
    </row>
    <row r="920" spans="1:55" ht="14.4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7"/>
      <c r="AZ920" s="96"/>
      <c r="BA920" s="96"/>
      <c r="BB920" s="97"/>
      <c r="BC920" s="7"/>
    </row>
    <row r="921" spans="1:55" ht="14.4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7"/>
      <c r="AZ921" s="96"/>
      <c r="BA921" s="96"/>
      <c r="BB921" s="97"/>
      <c r="BC921" s="7"/>
    </row>
    <row r="922" spans="1:55" ht="14.4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7"/>
      <c r="AZ922" s="96"/>
      <c r="BA922" s="96"/>
      <c r="BB922" s="97"/>
      <c r="BC922" s="7"/>
    </row>
    <row r="923" spans="1:55" ht="14.4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7"/>
      <c r="AZ923" s="96"/>
      <c r="BA923" s="96"/>
      <c r="BB923" s="97"/>
      <c r="BC923" s="7"/>
    </row>
    <row r="924" spans="1:55" ht="14.4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7"/>
      <c r="AZ924" s="96"/>
      <c r="BA924" s="96"/>
      <c r="BB924" s="97"/>
      <c r="BC924" s="7"/>
    </row>
    <row r="925" spans="1:55" ht="14.4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7"/>
      <c r="AZ925" s="96"/>
      <c r="BA925" s="96"/>
      <c r="BB925" s="97"/>
      <c r="BC925" s="7"/>
    </row>
    <row r="926" spans="1:55" ht="14.4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7"/>
      <c r="AZ926" s="96"/>
      <c r="BA926" s="96"/>
      <c r="BB926" s="97"/>
      <c r="BC926" s="7"/>
    </row>
    <row r="927" spans="1:55" ht="14.4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7"/>
      <c r="AZ927" s="96"/>
      <c r="BA927" s="96"/>
      <c r="BB927" s="97"/>
      <c r="BC927" s="7"/>
    </row>
    <row r="928" spans="1:55" ht="14.4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7"/>
      <c r="AZ928" s="96"/>
      <c r="BA928" s="96"/>
      <c r="BB928" s="97"/>
      <c r="BC928" s="7"/>
    </row>
    <row r="929" spans="1:55" ht="14.4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7"/>
      <c r="AZ929" s="96"/>
      <c r="BA929" s="96"/>
      <c r="BB929" s="97"/>
      <c r="BC929" s="7"/>
    </row>
    <row r="930" spans="1:55" ht="14.4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7"/>
      <c r="AZ930" s="96"/>
      <c r="BA930" s="96"/>
      <c r="BB930" s="97"/>
      <c r="BC930" s="7"/>
    </row>
    <row r="931" spans="1:55" ht="14.4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7"/>
      <c r="AZ931" s="96"/>
      <c r="BA931" s="96"/>
      <c r="BB931" s="97"/>
      <c r="BC931" s="7"/>
    </row>
    <row r="932" spans="1:55" ht="14.4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7"/>
      <c r="AZ932" s="96"/>
      <c r="BA932" s="96"/>
      <c r="BB932" s="97"/>
      <c r="BC932" s="7"/>
    </row>
    <row r="933" spans="1:55" ht="14.4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7"/>
      <c r="AZ933" s="96"/>
      <c r="BA933" s="96"/>
      <c r="BB933" s="97"/>
      <c r="BC933" s="7"/>
    </row>
    <row r="934" spans="1:55" ht="14.4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7"/>
      <c r="AZ934" s="96"/>
      <c r="BA934" s="96"/>
      <c r="BB934" s="97"/>
      <c r="BC934" s="7"/>
    </row>
    <row r="935" spans="1:55" ht="14.4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7"/>
      <c r="AZ935" s="96"/>
      <c r="BA935" s="96"/>
      <c r="BB935" s="97"/>
      <c r="BC935" s="7"/>
    </row>
    <row r="936" spans="1:55" ht="14.4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7"/>
      <c r="AZ936" s="96"/>
      <c r="BA936" s="96"/>
      <c r="BB936" s="97"/>
      <c r="BC936" s="7"/>
    </row>
    <row r="937" spans="1:55" ht="14.4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7"/>
      <c r="AZ937" s="96"/>
      <c r="BA937" s="96"/>
      <c r="BB937" s="97"/>
      <c r="BC937" s="7"/>
    </row>
    <row r="938" spans="1:55" ht="14.4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7"/>
      <c r="AZ938" s="96"/>
      <c r="BA938" s="96"/>
      <c r="BB938" s="97"/>
      <c r="BC938" s="7"/>
    </row>
    <row r="939" spans="1:55" ht="14.4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7"/>
      <c r="AZ939" s="96"/>
      <c r="BA939" s="96"/>
      <c r="BB939" s="97"/>
      <c r="BC939" s="7"/>
    </row>
    <row r="940" spans="1:55" ht="14.4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7"/>
      <c r="AZ940" s="96"/>
      <c r="BA940" s="96"/>
      <c r="BB940" s="97"/>
      <c r="BC940" s="7"/>
    </row>
    <row r="941" spans="1:55" ht="14.4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7"/>
      <c r="AZ941" s="96"/>
      <c r="BA941" s="96"/>
      <c r="BB941" s="97"/>
      <c r="BC941" s="7"/>
    </row>
    <row r="942" spans="1:55" ht="14.4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7"/>
      <c r="AZ942" s="96"/>
      <c r="BA942" s="96"/>
      <c r="BB942" s="97"/>
      <c r="BC942" s="7"/>
    </row>
    <row r="943" spans="1:55" ht="14.4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7"/>
      <c r="AZ943" s="96"/>
      <c r="BA943" s="96"/>
      <c r="BB943" s="97"/>
      <c r="BC943" s="7"/>
    </row>
    <row r="944" spans="1:55" ht="14.4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7"/>
      <c r="AZ944" s="96"/>
      <c r="BA944" s="96"/>
      <c r="BB944" s="97"/>
      <c r="BC944" s="7"/>
    </row>
    <row r="945" spans="1:55" ht="14.4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7"/>
      <c r="AZ945" s="96"/>
      <c r="BA945" s="96"/>
      <c r="BB945" s="97"/>
      <c r="BC945" s="7"/>
    </row>
    <row r="946" spans="1:55" ht="14.4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7"/>
      <c r="AZ946" s="96"/>
      <c r="BA946" s="96"/>
      <c r="BB946" s="97"/>
      <c r="BC946" s="7"/>
    </row>
    <row r="947" spans="1:55" ht="14.4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7"/>
      <c r="AZ947" s="96"/>
      <c r="BA947" s="96"/>
      <c r="BB947" s="97"/>
      <c r="BC947" s="7"/>
    </row>
    <row r="948" spans="1:55" ht="14.4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7"/>
      <c r="AZ948" s="96"/>
      <c r="BA948" s="96"/>
      <c r="BB948" s="97"/>
      <c r="BC948" s="7"/>
    </row>
    <row r="949" spans="1:55" ht="14.4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7"/>
      <c r="AZ949" s="96"/>
      <c r="BA949" s="96"/>
      <c r="BB949" s="97"/>
      <c r="BC949" s="7"/>
    </row>
    <row r="950" spans="1:55" ht="14.4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7"/>
      <c r="AZ950" s="96"/>
      <c r="BA950" s="96"/>
      <c r="BB950" s="97"/>
      <c r="BC950" s="7"/>
    </row>
    <row r="951" spans="1:55" ht="14.4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7"/>
      <c r="AZ951" s="96"/>
      <c r="BA951" s="96"/>
      <c r="BB951" s="97"/>
      <c r="BC951" s="7"/>
    </row>
    <row r="952" spans="1:55" ht="14.4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7"/>
      <c r="AZ952" s="96"/>
      <c r="BA952" s="96"/>
      <c r="BB952" s="97"/>
      <c r="BC952" s="7"/>
    </row>
    <row r="953" spans="1:55" ht="14.4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7"/>
      <c r="AZ953" s="96"/>
      <c r="BA953" s="96"/>
      <c r="BB953" s="97"/>
      <c r="BC953" s="7"/>
    </row>
    <row r="954" spans="1:55" ht="14.4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7"/>
      <c r="AZ954" s="96"/>
      <c r="BA954" s="96"/>
      <c r="BB954" s="97"/>
      <c r="BC954" s="7"/>
    </row>
    <row r="955" spans="1:55" ht="14.4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7"/>
      <c r="AZ955" s="96"/>
      <c r="BA955" s="96"/>
      <c r="BB955" s="97"/>
      <c r="BC955" s="7"/>
    </row>
    <row r="956" spans="1:55" ht="14.4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7"/>
      <c r="AZ956" s="96"/>
      <c r="BA956" s="96"/>
      <c r="BB956" s="97"/>
      <c r="BC956" s="7"/>
    </row>
    <row r="957" spans="1:55" ht="14.4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7"/>
      <c r="AZ957" s="96"/>
      <c r="BA957" s="96"/>
      <c r="BB957" s="97"/>
      <c r="BC957" s="7"/>
    </row>
    <row r="958" spans="1:55" ht="14.4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7"/>
      <c r="AZ958" s="96"/>
      <c r="BA958" s="96"/>
      <c r="BB958" s="97"/>
      <c r="BC958" s="7"/>
    </row>
    <row r="959" spans="1:55" ht="14.4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7"/>
      <c r="AZ959" s="96"/>
      <c r="BA959" s="96"/>
      <c r="BB959" s="97"/>
      <c r="BC959" s="7"/>
    </row>
    <row r="960" spans="1:55" ht="14.4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7"/>
      <c r="AZ960" s="96"/>
      <c r="BA960" s="96"/>
      <c r="BB960" s="97"/>
      <c r="BC960" s="7"/>
    </row>
    <row r="961" spans="1:55" ht="14.4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7"/>
      <c r="AZ961" s="96"/>
      <c r="BA961" s="96"/>
      <c r="BB961" s="97"/>
      <c r="BC961" s="7"/>
    </row>
    <row r="962" spans="1:55" ht="14.4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7"/>
      <c r="AZ962" s="96"/>
      <c r="BA962" s="96"/>
      <c r="BB962" s="97"/>
      <c r="BC962" s="7"/>
    </row>
    <row r="963" spans="1:55" ht="14.4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7"/>
      <c r="AZ963" s="96"/>
      <c r="BA963" s="96"/>
      <c r="BB963" s="97"/>
      <c r="BC963" s="7"/>
    </row>
    <row r="964" spans="1:55" ht="14.4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7"/>
      <c r="AZ964" s="96"/>
      <c r="BA964" s="96"/>
      <c r="BB964" s="97"/>
      <c r="BC964" s="7"/>
    </row>
    <row r="965" spans="1:55" ht="14.4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7"/>
      <c r="AZ965" s="96"/>
      <c r="BA965" s="96"/>
      <c r="BB965" s="97"/>
      <c r="BC965" s="7"/>
    </row>
    <row r="966" spans="1:55" ht="14.4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7"/>
      <c r="AZ966" s="96"/>
      <c r="BA966" s="96"/>
      <c r="BB966" s="97"/>
      <c r="BC966" s="7"/>
    </row>
    <row r="967" spans="1:55" ht="14.4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7"/>
      <c r="AZ967" s="96"/>
      <c r="BA967" s="96"/>
      <c r="BB967" s="97"/>
      <c r="BC967" s="7"/>
    </row>
    <row r="968" spans="1:55" ht="14.4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7"/>
      <c r="AZ968" s="96"/>
      <c r="BA968" s="96"/>
      <c r="BB968" s="97"/>
      <c r="BC968" s="7"/>
    </row>
    <row r="969" spans="1:55" ht="14.4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7"/>
      <c r="AZ969" s="96"/>
      <c r="BA969" s="96"/>
      <c r="BB969" s="97"/>
      <c r="BC969" s="7"/>
    </row>
    <row r="970" spans="1:55" ht="14.4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7"/>
      <c r="AZ970" s="96"/>
      <c r="BA970" s="96"/>
      <c r="BB970" s="97"/>
      <c r="BC970" s="7"/>
    </row>
    <row r="971" spans="1:55" ht="14.4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7"/>
      <c r="AZ971" s="96"/>
      <c r="BA971" s="96"/>
      <c r="BB971" s="97"/>
      <c r="BC971" s="7"/>
    </row>
    <row r="972" spans="1:55" ht="14.4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7"/>
      <c r="AZ972" s="96"/>
      <c r="BA972" s="96"/>
      <c r="BB972" s="97"/>
      <c r="BC972" s="7"/>
    </row>
    <row r="973" spans="1:55" ht="14.4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7"/>
      <c r="AZ973" s="96"/>
      <c r="BA973" s="96"/>
      <c r="BB973" s="97"/>
      <c r="BC973" s="7"/>
    </row>
    <row r="974" spans="1:55" ht="14.4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7"/>
      <c r="AZ974" s="96"/>
      <c r="BA974" s="96"/>
      <c r="BB974" s="97"/>
      <c r="BC974" s="7"/>
    </row>
    <row r="975" spans="1:55" ht="14.4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7"/>
      <c r="AZ975" s="96"/>
      <c r="BA975" s="96"/>
      <c r="BB975" s="97"/>
      <c r="BC975" s="7"/>
    </row>
    <row r="976" spans="1:55" ht="14.4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7"/>
      <c r="AZ976" s="96"/>
      <c r="BA976" s="96"/>
      <c r="BB976" s="97"/>
      <c r="BC976" s="7"/>
    </row>
    <row r="977" spans="1:55" ht="14.4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7"/>
      <c r="AZ977" s="96"/>
      <c r="BA977" s="96"/>
      <c r="BB977" s="97"/>
      <c r="BC977" s="7"/>
    </row>
    <row r="978" spans="1:55" ht="14.4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7"/>
      <c r="AZ978" s="96"/>
      <c r="BA978" s="96"/>
      <c r="BB978" s="97"/>
      <c r="BC978" s="7"/>
    </row>
    <row r="979" spans="1:55" ht="14.4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7"/>
      <c r="AZ979" s="96"/>
      <c r="BA979" s="96"/>
      <c r="BB979" s="97"/>
      <c r="BC979" s="7"/>
    </row>
    <row r="980" spans="1:55" ht="14.4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7"/>
      <c r="AZ980" s="96"/>
      <c r="BA980" s="96"/>
      <c r="BB980" s="97"/>
      <c r="BC980" s="7"/>
    </row>
    <row r="981" spans="1:55" ht="14.4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7"/>
      <c r="AZ981" s="96"/>
      <c r="BA981" s="96"/>
      <c r="BB981" s="97"/>
      <c r="BC981" s="7"/>
    </row>
    <row r="982" spans="1:55" ht="14.4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7"/>
      <c r="AZ982" s="96"/>
      <c r="BA982" s="96"/>
      <c r="BB982" s="97"/>
      <c r="BC982" s="7"/>
    </row>
    <row r="983" spans="1:55" ht="14.4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7"/>
      <c r="AZ983" s="96"/>
      <c r="BA983" s="96"/>
      <c r="BB983" s="97"/>
      <c r="BC983" s="7"/>
    </row>
    <row r="984" spans="1:55" ht="14.4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7"/>
      <c r="AZ984" s="96"/>
      <c r="BA984" s="96"/>
      <c r="BB984" s="97"/>
      <c r="BC984" s="7"/>
    </row>
    <row r="985" spans="1:55" ht="14.4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7"/>
      <c r="AZ985" s="96"/>
      <c r="BA985" s="96"/>
      <c r="BB985" s="97"/>
      <c r="BC985" s="7"/>
    </row>
    <row r="986" spans="1:55" ht="14.4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7"/>
      <c r="AZ986" s="96"/>
      <c r="BA986" s="96"/>
      <c r="BB986" s="97"/>
      <c r="BC986" s="7"/>
    </row>
    <row r="987" spans="1:55" ht="14.4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7"/>
      <c r="AZ987" s="96"/>
      <c r="BA987" s="96"/>
      <c r="BB987" s="97"/>
      <c r="BC987" s="7"/>
    </row>
    <row r="988" spans="1:55" ht="14.4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7"/>
      <c r="AZ988" s="96"/>
      <c r="BA988" s="96"/>
      <c r="BB988" s="97"/>
      <c r="BC988" s="7"/>
    </row>
    <row r="989" spans="1:55" ht="14.4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7"/>
      <c r="AZ989" s="96"/>
      <c r="BA989" s="96"/>
      <c r="BB989" s="97"/>
      <c r="BC989" s="7"/>
    </row>
    <row r="990" spans="1:55" ht="14.4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7"/>
      <c r="AZ990" s="96"/>
      <c r="BA990" s="96"/>
      <c r="BB990" s="97"/>
      <c r="BC990" s="7"/>
    </row>
    <row r="991" spans="1:55" ht="14.4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7"/>
      <c r="AZ991" s="96"/>
      <c r="BA991" s="96"/>
      <c r="BB991" s="97"/>
      <c r="BC991" s="7"/>
    </row>
    <row r="992" spans="1:55" ht="14.4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7"/>
      <c r="AZ992" s="96"/>
      <c r="BA992" s="96"/>
      <c r="BB992" s="97"/>
      <c r="BC992" s="7"/>
    </row>
    <row r="993" spans="1:55" ht="14.4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7"/>
      <c r="AZ993" s="96"/>
      <c r="BA993" s="96"/>
      <c r="BB993" s="97"/>
      <c r="BC993" s="7"/>
    </row>
    <row r="994" spans="1:55" ht="14.4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7"/>
      <c r="AZ994" s="96"/>
      <c r="BA994" s="96"/>
      <c r="BB994" s="97"/>
      <c r="BC994" s="7"/>
    </row>
    <row r="995" spans="1:55" ht="13.2" x14ac:dyDescent="0.25">
      <c r="I995" s="98"/>
      <c r="J995" s="98"/>
      <c r="K995" s="99"/>
      <c r="L995" s="99"/>
      <c r="M995" s="98"/>
    </row>
    <row r="996" spans="1:55" ht="13.2" x14ac:dyDescent="0.25">
      <c r="I996" s="98"/>
      <c r="J996" s="98"/>
      <c r="K996" s="99"/>
      <c r="L996" s="99"/>
      <c r="M996" s="98"/>
    </row>
    <row r="997" spans="1:55" ht="13.2" x14ac:dyDescent="0.25">
      <c r="I997" s="98"/>
      <c r="J997" s="98"/>
      <c r="K997" s="99"/>
      <c r="L997" s="99"/>
      <c r="M997" s="98"/>
    </row>
    <row r="998" spans="1:55" ht="13.2" x14ac:dyDescent="0.25">
      <c r="I998" s="98"/>
      <c r="J998" s="98"/>
      <c r="K998" s="99"/>
      <c r="L998" s="99"/>
      <c r="M998" s="98"/>
    </row>
    <row r="999" spans="1:55" ht="13.2" x14ac:dyDescent="0.25">
      <c r="I999" s="98"/>
      <c r="J999" s="98"/>
      <c r="K999" s="99"/>
      <c r="L999" s="99"/>
      <c r="M999" s="98"/>
    </row>
    <row r="1000" spans="1:55" ht="13.2" x14ac:dyDescent="0.25">
      <c r="I1000" s="98"/>
      <c r="J1000" s="98"/>
      <c r="K1000" s="99"/>
      <c r="L1000" s="99"/>
      <c r="M1000" s="98"/>
    </row>
  </sheetData>
  <mergeCells count="2">
    <mergeCell ref="AA1:AI1"/>
    <mergeCell ref="AJ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Generic</vt:lpstr>
      <vt:lpstr>Apr 2025</vt:lpstr>
      <vt:lpstr>May 2025</vt:lpstr>
      <vt:lpstr>June 2025</vt:lpstr>
      <vt:lpstr>July 2025</vt:lpstr>
      <vt:lpstr>Aug 2025</vt:lpstr>
      <vt:lpstr>Sep 2025</vt:lpstr>
      <vt:lpstr>Oct 2025</vt:lpstr>
      <vt:lpstr>Nov 2025</vt:lpstr>
      <vt:lpstr>Dec 2025</vt:lpstr>
      <vt:lpstr>Jan 2026</vt:lpstr>
      <vt:lpstr>Feb 2026</vt:lpstr>
      <vt:lpstr>Mar 2026</vt:lpstr>
      <vt:lpstr>Comp Revision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2026-05-06T11:23:29Z</dcterms:modified>
</cp:coreProperties>
</file>