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ys\Desktop\tvreddy\"/>
    </mc:Choice>
  </mc:AlternateContent>
  <bookViews>
    <workbookView xWindow="-510" yWindow="480" windowWidth="12120" windowHeight="9120"/>
  </bookViews>
  <sheets>
    <sheet name="Deviation" sheetId="38" r:id="rId1"/>
  </sheets>
  <definedNames>
    <definedName name="_xlnm.Print_Area" localSheetId="0">Deviation!$A$1:$AC$209</definedName>
    <definedName name="_xlnm.Print_Titles" localSheetId="0">Deviation!$4:$7</definedName>
  </definedNames>
  <calcPr calcId="152511"/>
  <fileRecoveryPr repairLoad="1"/>
</workbook>
</file>

<file path=xl/calcChain.xml><?xml version="1.0" encoding="utf-8"?>
<calcChain xmlns="http://schemas.openxmlformats.org/spreadsheetml/2006/main">
  <c r="H174" i="38" l="1"/>
  <c r="J172" i="38" l="1"/>
  <c r="N28" i="38"/>
  <c r="N24" i="38"/>
  <c r="V141" i="38" l="1"/>
  <c r="L141" i="38"/>
  <c r="J141" i="38"/>
  <c r="H141" i="38"/>
  <c r="AB129" i="38"/>
  <c r="Z129" i="38"/>
  <c r="H129" i="38"/>
  <c r="Z102" i="38"/>
  <c r="J102" i="38"/>
  <c r="H102" i="38"/>
  <c r="AB90" i="38"/>
  <c r="Z90" i="38"/>
  <c r="H90" i="38"/>
  <c r="Z80" i="38"/>
  <c r="L80" i="38"/>
  <c r="J80" i="38"/>
  <c r="H80" i="38"/>
  <c r="Z70" i="38"/>
  <c r="H70" i="38"/>
  <c r="Z61" i="38"/>
  <c r="H61" i="38"/>
  <c r="W42" i="38"/>
  <c r="T41" i="38"/>
  <c r="J31" i="38"/>
  <c r="Z19" i="38"/>
  <c r="AB18" i="38"/>
  <c r="Z18" i="38"/>
  <c r="H109" i="38" l="1"/>
  <c r="K87" i="38"/>
  <c r="J81" i="38"/>
  <c r="AB149" i="38"/>
  <c r="AB151" i="38" s="1"/>
  <c r="AB152" i="38" s="1"/>
  <c r="Z149" i="38"/>
  <c r="Z151" i="38" s="1"/>
  <c r="W149" i="38"/>
  <c r="X149" i="38" s="1"/>
  <c r="X151" i="38" s="1"/>
  <c r="U149" i="38"/>
  <c r="V149" i="38" s="1"/>
  <c r="V151" i="38" s="1"/>
  <c r="S149" i="38"/>
  <c r="T149" i="38" s="1"/>
  <c r="T151" i="38" s="1"/>
  <c r="Q149" i="38"/>
  <c r="R149" i="38" s="1"/>
  <c r="R151" i="38" s="1"/>
  <c r="K149" i="38"/>
  <c r="L149" i="38" s="1"/>
  <c r="L151" i="38" s="1"/>
  <c r="J149" i="38"/>
  <c r="J151" i="38" s="1"/>
  <c r="H149" i="38"/>
  <c r="H151" i="38" s="1"/>
  <c r="H158" i="38"/>
  <c r="J158" i="38"/>
  <c r="K158" i="38"/>
  <c r="M158" i="38" s="1"/>
  <c r="L158" i="38"/>
  <c r="L159" i="38" s="1"/>
  <c r="S158" i="38"/>
  <c r="T158" i="38"/>
  <c r="T159" i="38" s="1"/>
  <c r="U158" i="38"/>
  <c r="V158" i="38" s="1"/>
  <c r="V159" i="38" s="1"/>
  <c r="W158" i="38"/>
  <c r="X158" i="38"/>
  <c r="X159" i="38" s="1"/>
  <c r="Z158" i="38"/>
  <c r="AB158" i="38"/>
  <c r="H159" i="38"/>
  <c r="H160" i="38" s="1"/>
  <c r="H161" i="38" s="1"/>
  <c r="J159" i="38"/>
  <c r="Z159" i="38"/>
  <c r="AB159" i="38"/>
  <c r="AB160" i="38"/>
  <c r="AB161" i="38" s="1"/>
  <c r="X152" i="38" l="1"/>
  <c r="X153" i="38" s="1"/>
  <c r="R152" i="38"/>
  <c r="R153" i="38" s="1"/>
  <c r="Z152" i="38"/>
  <c r="Z153" i="38"/>
  <c r="Z157" i="38" s="1"/>
  <c r="L152" i="38"/>
  <c r="L153" i="38" s="1"/>
  <c r="L157" i="38" s="1"/>
  <c r="H152" i="38"/>
  <c r="H153" i="38"/>
  <c r="H157" i="38" s="1"/>
  <c r="T152" i="38"/>
  <c r="T153" i="38" s="1"/>
  <c r="T157" i="38" s="1"/>
  <c r="J152" i="38"/>
  <c r="J153" i="38" s="1"/>
  <c r="V152" i="38"/>
  <c r="V153" i="38" s="1"/>
  <c r="V157" i="38" s="1"/>
  <c r="M149" i="38"/>
  <c r="AB153" i="38"/>
  <c r="AB157" i="38" s="1"/>
  <c r="N158" i="38"/>
  <c r="N159" i="38" s="1"/>
  <c r="O158" i="38"/>
  <c r="P158" i="38" s="1"/>
  <c r="P159" i="38" s="1"/>
  <c r="L161" i="38"/>
  <c r="L160" i="38"/>
  <c r="T161" i="38"/>
  <c r="T165" i="38" s="1"/>
  <c r="T160" i="38"/>
  <c r="V160" i="38"/>
  <c r="V161" i="38" s="1"/>
  <c r="V165" i="38" s="1"/>
  <c r="X161" i="38"/>
  <c r="X163" i="38" s="1"/>
  <c r="X160" i="38"/>
  <c r="Z160" i="38"/>
  <c r="Z161" i="38" s="1"/>
  <c r="Z165" i="38" s="1"/>
  <c r="J160" i="38"/>
  <c r="J161" i="38" s="1"/>
  <c r="J19" i="38"/>
  <c r="S19" i="38"/>
  <c r="T19" i="38" s="1"/>
  <c r="U19" i="38"/>
  <c r="V19" i="38" s="1"/>
  <c r="W19" i="38"/>
  <c r="X19" i="38" s="1"/>
  <c r="J18" i="38"/>
  <c r="S18" i="38"/>
  <c r="T18" i="38" s="1"/>
  <c r="U18" i="38"/>
  <c r="V18" i="38" s="1"/>
  <c r="W18" i="38"/>
  <c r="X18" i="38" s="1"/>
  <c r="J14" i="38"/>
  <c r="H18" i="38"/>
  <c r="H20" i="38"/>
  <c r="J41" i="38"/>
  <c r="J50" i="38"/>
  <c r="J49" i="38"/>
  <c r="J16" i="38"/>
  <c r="I170" i="38"/>
  <c r="I171" i="38"/>
  <c r="AB165" i="38"/>
  <c r="H165" i="38"/>
  <c r="AB139" i="38"/>
  <c r="Z139" i="38"/>
  <c r="W139" i="38"/>
  <c r="X139" i="38" s="1"/>
  <c r="U139" i="38"/>
  <c r="V139" i="38" s="1"/>
  <c r="S139" i="38"/>
  <c r="T139" i="38" s="1"/>
  <c r="K139" i="38"/>
  <c r="M139" i="38" s="1"/>
  <c r="J139" i="38"/>
  <c r="H139" i="38"/>
  <c r="AB138" i="38"/>
  <c r="Z138" i="38"/>
  <c r="W138" i="38"/>
  <c r="X138" i="38" s="1"/>
  <c r="U138" i="38"/>
  <c r="V138" i="38" s="1"/>
  <c r="S138" i="38"/>
  <c r="T138" i="38" s="1"/>
  <c r="K138" i="38"/>
  <c r="M138" i="38" s="1"/>
  <c r="O138" i="38" s="1"/>
  <c r="Q138" i="38" s="1"/>
  <c r="R138" i="38" s="1"/>
  <c r="J138" i="38"/>
  <c r="H138" i="38"/>
  <c r="AB137" i="38"/>
  <c r="Z137" i="38"/>
  <c r="W137" i="38"/>
  <c r="X137" i="38" s="1"/>
  <c r="U137" i="38"/>
  <c r="V137" i="38" s="1"/>
  <c r="S137" i="38"/>
  <c r="T137" i="38" s="1"/>
  <c r="K137" i="38"/>
  <c r="M137" i="38" s="1"/>
  <c r="J137" i="38"/>
  <c r="H137" i="38"/>
  <c r="AB136" i="38"/>
  <c r="Z136" i="38"/>
  <c r="W136" i="38"/>
  <c r="X136" i="38" s="1"/>
  <c r="U136" i="38"/>
  <c r="V136" i="38" s="1"/>
  <c r="S136" i="38"/>
  <c r="T136" i="38" s="1"/>
  <c r="K136" i="38"/>
  <c r="M136" i="38" s="1"/>
  <c r="O136" i="38" s="1"/>
  <c r="P136" i="38" s="1"/>
  <c r="J136" i="38"/>
  <c r="H136" i="38"/>
  <c r="AB127" i="38"/>
  <c r="AB128" i="38" s="1"/>
  <c r="Z127" i="38"/>
  <c r="Z128" i="38" s="1"/>
  <c r="W127" i="38"/>
  <c r="X127" i="38" s="1"/>
  <c r="X128" i="38" s="1"/>
  <c r="U127" i="38"/>
  <c r="V127" i="38" s="1"/>
  <c r="V128" i="38" s="1"/>
  <c r="S127" i="38"/>
  <c r="T127" i="38" s="1"/>
  <c r="T128" i="38" s="1"/>
  <c r="K127" i="38"/>
  <c r="M127" i="38" s="1"/>
  <c r="N127" i="38" s="1"/>
  <c r="N128" i="38" s="1"/>
  <c r="J127" i="38"/>
  <c r="J128" i="38" s="1"/>
  <c r="J129" i="38" s="1"/>
  <c r="H127" i="38"/>
  <c r="H128" i="38" s="1"/>
  <c r="AB109" i="38"/>
  <c r="AB119" i="38" s="1"/>
  <c r="AB120" i="38" s="1"/>
  <c r="Z109" i="38"/>
  <c r="Z119" i="38" s="1"/>
  <c r="W109" i="38"/>
  <c r="X109" i="38" s="1"/>
  <c r="X119" i="38" s="1"/>
  <c r="U109" i="38"/>
  <c r="V109" i="38" s="1"/>
  <c r="V119" i="38" s="1"/>
  <c r="V120" i="38" s="1"/>
  <c r="S109" i="38"/>
  <c r="T109" i="38" s="1"/>
  <c r="T119" i="38" s="1"/>
  <c r="T120" i="38" s="1"/>
  <c r="T121" i="38" s="1"/>
  <c r="T125" i="38" s="1"/>
  <c r="T177" i="38" s="1"/>
  <c r="Q109" i="38"/>
  <c r="R109" i="38" s="1"/>
  <c r="R119" i="38" s="1"/>
  <c r="K109" i="38"/>
  <c r="L109" i="38" s="1"/>
  <c r="L119" i="38" s="1"/>
  <c r="L120" i="38" s="1"/>
  <c r="L121" i="38" s="1"/>
  <c r="L125" i="38" s="1"/>
  <c r="L177" i="38" s="1"/>
  <c r="J109" i="38"/>
  <c r="J119" i="38" s="1"/>
  <c r="J120" i="38" s="1"/>
  <c r="H119" i="38"/>
  <c r="AB100" i="38"/>
  <c r="Z100" i="38"/>
  <c r="W100" i="38"/>
  <c r="X100" i="38" s="1"/>
  <c r="U100" i="38"/>
  <c r="V100" i="38" s="1"/>
  <c r="S100" i="38"/>
  <c r="T100" i="38" s="1"/>
  <c r="Q100" i="38"/>
  <c r="R100" i="38" s="1"/>
  <c r="O100" i="38"/>
  <c r="P100" i="38" s="1"/>
  <c r="M100" i="38"/>
  <c r="N100" i="38" s="1"/>
  <c r="K100" i="38"/>
  <c r="L100" i="38" s="1"/>
  <c r="J100" i="38"/>
  <c r="H100" i="38"/>
  <c r="AB99" i="38"/>
  <c r="Z99" i="38"/>
  <c r="W99" i="38"/>
  <c r="X99" i="38" s="1"/>
  <c r="U99" i="38"/>
  <c r="V99" i="38" s="1"/>
  <c r="S99" i="38"/>
  <c r="T99" i="38" s="1"/>
  <c r="Q99" i="38"/>
  <c r="R99" i="38" s="1"/>
  <c r="O99" i="38"/>
  <c r="P99" i="38" s="1"/>
  <c r="M99" i="38"/>
  <c r="N99" i="38" s="1"/>
  <c r="K99" i="38"/>
  <c r="L99" i="38" s="1"/>
  <c r="J99" i="38"/>
  <c r="H99" i="38"/>
  <c r="AB98" i="38"/>
  <c r="Z98" i="38"/>
  <c r="W98" i="38"/>
  <c r="X98" i="38" s="1"/>
  <c r="U98" i="38"/>
  <c r="V98" i="38" s="1"/>
  <c r="S98" i="38"/>
  <c r="T98" i="38" s="1"/>
  <c r="K98" i="38"/>
  <c r="L98" i="38" s="1"/>
  <c r="M98" i="38"/>
  <c r="N98" i="38" s="1"/>
  <c r="J98" i="38"/>
  <c r="H98" i="38"/>
  <c r="AB97" i="38"/>
  <c r="Z97" i="38"/>
  <c r="W97" i="38"/>
  <c r="X97" i="38" s="1"/>
  <c r="U97" i="38"/>
  <c r="V97" i="38" s="1"/>
  <c r="S97" i="38"/>
  <c r="T97" i="38" s="1"/>
  <c r="Q97" i="38"/>
  <c r="R97" i="38" s="1"/>
  <c r="O97" i="38"/>
  <c r="P97" i="38" s="1"/>
  <c r="M97" i="38"/>
  <c r="N97" i="38" s="1"/>
  <c r="K97" i="38"/>
  <c r="L97" i="38" s="1"/>
  <c r="J97" i="38"/>
  <c r="H97" i="38"/>
  <c r="AB88" i="38"/>
  <c r="Z88" i="38"/>
  <c r="W88" i="38"/>
  <c r="X88" i="38" s="1"/>
  <c r="U88" i="38"/>
  <c r="V88" i="38" s="1"/>
  <c r="S88" i="38"/>
  <c r="T88" i="38" s="1"/>
  <c r="K88" i="38"/>
  <c r="L88" i="38" s="1"/>
  <c r="J88" i="38"/>
  <c r="H88" i="38"/>
  <c r="AB87" i="38"/>
  <c r="Z87" i="38"/>
  <c r="W87" i="38"/>
  <c r="X87" i="38" s="1"/>
  <c r="U87" i="38"/>
  <c r="V87" i="38" s="1"/>
  <c r="S87" i="38"/>
  <c r="T87" i="38" s="1"/>
  <c r="M87" i="38"/>
  <c r="J87" i="38"/>
  <c r="H87" i="38"/>
  <c r="AB89" i="38"/>
  <c r="AB78" i="38"/>
  <c r="Z78" i="38"/>
  <c r="W78" i="38"/>
  <c r="X78" i="38" s="1"/>
  <c r="U78" i="38"/>
  <c r="V78" i="38" s="1"/>
  <c r="S78" i="38"/>
  <c r="T78" i="38" s="1"/>
  <c r="Q78" i="38"/>
  <c r="R78" i="38" s="1"/>
  <c r="K78" i="38"/>
  <c r="L78" i="38" s="1"/>
  <c r="J78" i="38"/>
  <c r="H78" i="38"/>
  <c r="AB77" i="38"/>
  <c r="Z77" i="38"/>
  <c r="W77" i="38"/>
  <c r="X77" i="38" s="1"/>
  <c r="U77" i="38"/>
  <c r="V77" i="38" s="1"/>
  <c r="S77" i="38"/>
  <c r="T77" i="38" s="1"/>
  <c r="K77" i="38"/>
  <c r="L77" i="38" s="1"/>
  <c r="J77" i="38"/>
  <c r="J79" i="38" s="1"/>
  <c r="H77" i="38"/>
  <c r="AB68" i="38"/>
  <c r="Z68" i="38"/>
  <c r="W68" i="38"/>
  <c r="X68" i="38" s="1"/>
  <c r="U68" i="38"/>
  <c r="V68" i="38" s="1"/>
  <c r="S68" i="38"/>
  <c r="T68" i="38" s="1"/>
  <c r="Q68" i="38"/>
  <c r="R68" i="38" s="1"/>
  <c r="K68" i="38"/>
  <c r="L68" i="38" s="1"/>
  <c r="M68" i="38"/>
  <c r="N68" i="38" s="1"/>
  <c r="J68" i="38"/>
  <c r="H68" i="38"/>
  <c r="AB59" i="38"/>
  <c r="Z59" i="38"/>
  <c r="W59" i="38"/>
  <c r="X59" i="38" s="1"/>
  <c r="U59" i="38"/>
  <c r="V59" i="38" s="1"/>
  <c r="S59" i="38"/>
  <c r="T59" i="38" s="1"/>
  <c r="K59" i="38"/>
  <c r="L59" i="38" s="1"/>
  <c r="AB58" i="38"/>
  <c r="Z58" i="38"/>
  <c r="W58" i="38"/>
  <c r="X58" i="38" s="1"/>
  <c r="U58" i="38"/>
  <c r="V58" i="38" s="1"/>
  <c r="S58" i="38"/>
  <c r="T58" i="38" s="1"/>
  <c r="M58" i="38"/>
  <c r="N58" i="38" s="1"/>
  <c r="K58" i="38"/>
  <c r="L58" i="38" s="1"/>
  <c r="AB57" i="38"/>
  <c r="Z57" i="38"/>
  <c r="W57" i="38"/>
  <c r="X57" i="38" s="1"/>
  <c r="U57" i="38"/>
  <c r="V57" i="38" s="1"/>
  <c r="S57" i="38"/>
  <c r="T57" i="38" s="1"/>
  <c r="K57" i="38"/>
  <c r="L57" i="38" s="1"/>
  <c r="AB56" i="38"/>
  <c r="Z56" i="38"/>
  <c r="W56" i="38"/>
  <c r="X56" i="38" s="1"/>
  <c r="U56" i="38"/>
  <c r="V56" i="38" s="1"/>
  <c r="S56" i="38"/>
  <c r="T56" i="38" s="1"/>
  <c r="M56" i="38"/>
  <c r="N56" i="38" s="1"/>
  <c r="K56" i="38"/>
  <c r="L56" i="38" s="1"/>
  <c r="AB55" i="38"/>
  <c r="Z55" i="38"/>
  <c r="X55" i="38"/>
  <c r="U55" i="38"/>
  <c r="V55" i="38" s="1"/>
  <c r="S55" i="38"/>
  <c r="T55" i="38" s="1"/>
  <c r="K55" i="38"/>
  <c r="L55" i="38" s="1"/>
  <c r="AB54" i="38"/>
  <c r="Z54" i="38"/>
  <c r="W54" i="38"/>
  <c r="X54" i="38" s="1"/>
  <c r="U54" i="38"/>
  <c r="V54" i="38" s="1"/>
  <c r="S54" i="38"/>
  <c r="T54" i="38" s="1"/>
  <c r="Q54" i="38"/>
  <c r="R54" i="38" s="1"/>
  <c r="M54" i="38"/>
  <c r="N54" i="38" s="1"/>
  <c r="K54" i="38"/>
  <c r="L54" i="38" s="1"/>
  <c r="AB53" i="38"/>
  <c r="Z53" i="38"/>
  <c r="W53" i="38"/>
  <c r="X53" i="38" s="1"/>
  <c r="U53" i="38"/>
  <c r="V53" i="38" s="1"/>
  <c r="S53" i="38"/>
  <c r="T53" i="38" s="1"/>
  <c r="Q53" i="38"/>
  <c r="R53" i="38" s="1"/>
  <c r="K53" i="38"/>
  <c r="L53" i="38" s="1"/>
  <c r="AB52" i="38"/>
  <c r="Z52" i="38"/>
  <c r="W52" i="38"/>
  <c r="X52" i="38" s="1"/>
  <c r="U52" i="38"/>
  <c r="V52" i="38" s="1"/>
  <c r="S52" i="38"/>
  <c r="T52" i="38" s="1"/>
  <c r="M52" i="38"/>
  <c r="N52" i="38" s="1"/>
  <c r="K52" i="38"/>
  <c r="L52" i="38" s="1"/>
  <c r="AB51" i="38"/>
  <c r="Z51" i="38"/>
  <c r="W51" i="38"/>
  <c r="X51" i="38" s="1"/>
  <c r="U51" i="38"/>
  <c r="V51" i="38" s="1"/>
  <c r="S51" i="38"/>
  <c r="T51" i="38" s="1"/>
  <c r="K51" i="38"/>
  <c r="L51" i="38" s="1"/>
  <c r="AB50" i="38"/>
  <c r="Z50" i="38"/>
  <c r="W50" i="38"/>
  <c r="X50" i="38" s="1"/>
  <c r="U50" i="38"/>
  <c r="V50" i="38" s="1"/>
  <c r="S50" i="38"/>
  <c r="T50" i="38" s="1"/>
  <c r="M50" i="38"/>
  <c r="N50" i="38" s="1"/>
  <c r="K50" i="38"/>
  <c r="L50" i="38" s="1"/>
  <c r="AB49" i="38"/>
  <c r="Z49" i="38"/>
  <c r="W49" i="38"/>
  <c r="X49" i="38" s="1"/>
  <c r="U49" i="38"/>
  <c r="V49" i="38" s="1"/>
  <c r="S49" i="38"/>
  <c r="T49" i="38" s="1"/>
  <c r="K49" i="38"/>
  <c r="L49" i="38" s="1"/>
  <c r="AB48" i="38"/>
  <c r="Z48" i="38"/>
  <c r="W48" i="38"/>
  <c r="X48" i="38" s="1"/>
  <c r="U48" i="38"/>
  <c r="V48" i="38" s="1"/>
  <c r="S48" i="38"/>
  <c r="T48" i="38" s="1"/>
  <c r="Q48" i="38"/>
  <c r="R48" i="38" s="1"/>
  <c r="M48" i="38"/>
  <c r="N48" i="38" s="1"/>
  <c r="K48" i="38"/>
  <c r="L48" i="38" s="1"/>
  <c r="AB47" i="38"/>
  <c r="Z47" i="38"/>
  <c r="W47" i="38"/>
  <c r="X47" i="38" s="1"/>
  <c r="U47" i="38"/>
  <c r="V47" i="38" s="1"/>
  <c r="S47" i="38"/>
  <c r="T47" i="38" s="1"/>
  <c r="Q47" i="38"/>
  <c r="R47" i="38" s="1"/>
  <c r="K47" i="38"/>
  <c r="L47" i="38" s="1"/>
  <c r="AB46" i="38"/>
  <c r="Z46" i="38"/>
  <c r="W46" i="38"/>
  <c r="X46" i="38" s="1"/>
  <c r="U46" i="38"/>
  <c r="V46" i="38" s="1"/>
  <c r="S46" i="38"/>
  <c r="T46" i="38" s="1"/>
  <c r="Q46" i="38"/>
  <c r="R46" i="38" s="1"/>
  <c r="M46" i="38"/>
  <c r="N46" i="38" s="1"/>
  <c r="K46" i="38"/>
  <c r="L46" i="38" s="1"/>
  <c r="AB45" i="38"/>
  <c r="Z45" i="38"/>
  <c r="W45" i="38"/>
  <c r="X45" i="38" s="1"/>
  <c r="U45" i="38"/>
  <c r="V45" i="38" s="1"/>
  <c r="S45" i="38"/>
  <c r="T45" i="38" s="1"/>
  <c r="Q45" i="38"/>
  <c r="R45" i="38" s="1"/>
  <c r="K45" i="38"/>
  <c r="L45" i="38" s="1"/>
  <c r="AB44" i="38"/>
  <c r="Z44" i="38"/>
  <c r="W44" i="38"/>
  <c r="X44" i="38" s="1"/>
  <c r="U44" i="38"/>
  <c r="V44" i="38" s="1"/>
  <c r="S44" i="38"/>
  <c r="T44" i="38" s="1"/>
  <c r="K44" i="38"/>
  <c r="L44" i="38" s="1"/>
  <c r="AB43" i="38"/>
  <c r="Z43" i="38"/>
  <c r="W43" i="38"/>
  <c r="X43" i="38" s="1"/>
  <c r="U43" i="38"/>
  <c r="V43" i="38" s="1"/>
  <c r="S43" i="38"/>
  <c r="T43" i="38" s="1"/>
  <c r="Q43" i="38"/>
  <c r="R43" i="38" s="1"/>
  <c r="K43" i="38"/>
  <c r="L43" i="38" s="1"/>
  <c r="AB42" i="38"/>
  <c r="Z42" i="38"/>
  <c r="X42" i="38"/>
  <c r="U42" i="38"/>
  <c r="V42" i="38" s="1"/>
  <c r="S42" i="38"/>
  <c r="T42" i="38" s="1"/>
  <c r="M42" i="38"/>
  <c r="N42" i="38" s="1"/>
  <c r="K42" i="38"/>
  <c r="L42" i="38" s="1"/>
  <c r="AB41" i="38"/>
  <c r="Z41" i="38"/>
  <c r="W41" i="38"/>
  <c r="X41" i="38" s="1"/>
  <c r="V41" i="38"/>
  <c r="S41" i="38"/>
  <c r="Q41" i="38"/>
  <c r="R41" i="38" s="1"/>
  <c r="K41" i="38"/>
  <c r="L41" i="38" s="1"/>
  <c r="AB40" i="38"/>
  <c r="Z40" i="38"/>
  <c r="W40" i="38"/>
  <c r="X40" i="38" s="1"/>
  <c r="U40" i="38"/>
  <c r="V40" i="38" s="1"/>
  <c r="S40" i="38"/>
  <c r="T40" i="38" s="1"/>
  <c r="Q40" i="38"/>
  <c r="R40" i="38" s="1"/>
  <c r="M40" i="38"/>
  <c r="N40" i="38" s="1"/>
  <c r="K40" i="38"/>
  <c r="L40" i="38" s="1"/>
  <c r="AB39" i="38"/>
  <c r="Z39" i="38"/>
  <c r="W39" i="38"/>
  <c r="X39" i="38" s="1"/>
  <c r="U39" i="38"/>
  <c r="V39" i="38" s="1"/>
  <c r="S39" i="38"/>
  <c r="T39" i="38" s="1"/>
  <c r="Q39" i="38"/>
  <c r="R39" i="38" s="1"/>
  <c r="K39" i="38"/>
  <c r="L39" i="38" s="1"/>
  <c r="AB38" i="38"/>
  <c r="Z38" i="38"/>
  <c r="W38" i="38"/>
  <c r="X38" i="38" s="1"/>
  <c r="U38" i="38"/>
  <c r="V38" i="38" s="1"/>
  <c r="S38" i="38"/>
  <c r="T38" i="38" s="1"/>
  <c r="Q38" i="38"/>
  <c r="R38" i="38" s="1"/>
  <c r="K38" i="38"/>
  <c r="L38" i="38" s="1"/>
  <c r="AB37" i="38"/>
  <c r="Z37" i="38"/>
  <c r="W37" i="38"/>
  <c r="X37" i="38" s="1"/>
  <c r="U37" i="38"/>
  <c r="V37" i="38" s="1"/>
  <c r="S37" i="38"/>
  <c r="T37" i="38" s="1"/>
  <c r="Q37" i="38"/>
  <c r="R37" i="38" s="1"/>
  <c r="K37" i="38"/>
  <c r="L37" i="38" s="1"/>
  <c r="AB36" i="38"/>
  <c r="Z36" i="38"/>
  <c r="W36" i="38"/>
  <c r="X36" i="38" s="1"/>
  <c r="U36" i="38"/>
  <c r="V36" i="38" s="1"/>
  <c r="S36" i="38"/>
  <c r="T36" i="38" s="1"/>
  <c r="Q36" i="38"/>
  <c r="R36" i="38" s="1"/>
  <c r="K36" i="38"/>
  <c r="L36" i="38" s="1"/>
  <c r="AB35" i="38"/>
  <c r="Z35" i="38"/>
  <c r="W35" i="38"/>
  <c r="X35" i="38" s="1"/>
  <c r="U35" i="38"/>
  <c r="V35" i="38" s="1"/>
  <c r="S35" i="38"/>
  <c r="T35" i="38" s="1"/>
  <c r="K35" i="38"/>
  <c r="L35" i="38" s="1"/>
  <c r="AB34" i="38"/>
  <c r="Z34" i="38"/>
  <c r="W34" i="38"/>
  <c r="X34" i="38" s="1"/>
  <c r="U34" i="38"/>
  <c r="V34" i="38" s="1"/>
  <c r="S34" i="38"/>
  <c r="T34" i="38" s="1"/>
  <c r="Q34" i="38"/>
  <c r="R34" i="38" s="1"/>
  <c r="M34" i="38"/>
  <c r="N34" i="38" s="1"/>
  <c r="K34" i="38"/>
  <c r="L34" i="38" s="1"/>
  <c r="AB33" i="38"/>
  <c r="Z33" i="38"/>
  <c r="W33" i="38"/>
  <c r="X33" i="38" s="1"/>
  <c r="U33" i="38"/>
  <c r="V33" i="38" s="1"/>
  <c r="S33" i="38"/>
  <c r="T33" i="38" s="1"/>
  <c r="Q33" i="38"/>
  <c r="R33" i="38" s="1"/>
  <c r="K33" i="38"/>
  <c r="L33" i="38" s="1"/>
  <c r="AB32" i="38"/>
  <c r="Z32" i="38"/>
  <c r="W32" i="38"/>
  <c r="X32" i="38" s="1"/>
  <c r="U32" i="38"/>
  <c r="V32" i="38" s="1"/>
  <c r="S32" i="38"/>
  <c r="T32" i="38" s="1"/>
  <c r="Q32" i="38"/>
  <c r="R32" i="38" s="1"/>
  <c r="M32" i="38"/>
  <c r="N32" i="38" s="1"/>
  <c r="K32" i="38"/>
  <c r="L32" i="38" s="1"/>
  <c r="AB31" i="38"/>
  <c r="Z31" i="38"/>
  <c r="W31" i="38"/>
  <c r="X31" i="38" s="1"/>
  <c r="U31" i="38"/>
  <c r="V31" i="38" s="1"/>
  <c r="S31" i="38"/>
  <c r="T31" i="38" s="1"/>
  <c r="K31" i="38"/>
  <c r="L31" i="38" s="1"/>
  <c r="AB30" i="38"/>
  <c r="Z30" i="38"/>
  <c r="W30" i="38"/>
  <c r="X30" i="38" s="1"/>
  <c r="U30" i="38"/>
  <c r="V30" i="38" s="1"/>
  <c r="S30" i="38"/>
  <c r="T30" i="38" s="1"/>
  <c r="Q30" i="38"/>
  <c r="R30" i="38" s="1"/>
  <c r="K30" i="38"/>
  <c r="L30" i="38" s="1"/>
  <c r="M30" i="38"/>
  <c r="N30" i="38" s="1"/>
  <c r="J59" i="38"/>
  <c r="H59" i="38"/>
  <c r="J58" i="38"/>
  <c r="H58" i="38"/>
  <c r="J57" i="38"/>
  <c r="H57" i="38"/>
  <c r="J56" i="38"/>
  <c r="H56" i="38"/>
  <c r="J55" i="38"/>
  <c r="H55" i="38"/>
  <c r="J54" i="38"/>
  <c r="H54" i="38"/>
  <c r="H53" i="38"/>
  <c r="J52" i="38"/>
  <c r="H52" i="38"/>
  <c r="J51" i="38"/>
  <c r="H51" i="38"/>
  <c r="H50" i="38"/>
  <c r="H49" i="38"/>
  <c r="J48" i="38"/>
  <c r="H48" i="38"/>
  <c r="J47" i="38"/>
  <c r="H47" i="38"/>
  <c r="J46" i="38"/>
  <c r="H46" i="38"/>
  <c r="J45" i="38"/>
  <c r="H45" i="38"/>
  <c r="J44" i="38"/>
  <c r="H44" i="38"/>
  <c r="J43" i="38"/>
  <c r="H43" i="38"/>
  <c r="J42" i="38"/>
  <c r="H42" i="38"/>
  <c r="H41" i="38"/>
  <c r="J40" i="38"/>
  <c r="H40" i="38"/>
  <c r="J39" i="38"/>
  <c r="H39" i="38"/>
  <c r="J38" i="38"/>
  <c r="H38" i="38"/>
  <c r="J37" i="38"/>
  <c r="H37" i="38"/>
  <c r="J36" i="38"/>
  <c r="H36" i="38"/>
  <c r="J35" i="38"/>
  <c r="H35" i="38"/>
  <c r="J34" i="38"/>
  <c r="H34" i="38"/>
  <c r="J33" i="38"/>
  <c r="H33" i="38"/>
  <c r="J32" i="38"/>
  <c r="H32" i="38"/>
  <c r="H31" i="38"/>
  <c r="AB16" i="38"/>
  <c r="Z16" i="38"/>
  <c r="W16" i="38"/>
  <c r="X16" i="38" s="1"/>
  <c r="U16" i="38"/>
  <c r="V16" i="38" s="1"/>
  <c r="S16" i="38"/>
  <c r="T16" i="38" s="1"/>
  <c r="R16" i="38"/>
  <c r="O16" i="38"/>
  <c r="P16" i="38" s="1"/>
  <c r="N16" i="38"/>
  <c r="L16" i="38"/>
  <c r="H16" i="38"/>
  <c r="AB10" i="38"/>
  <c r="Z10" i="38"/>
  <c r="W10" i="38"/>
  <c r="X10" i="38" s="1"/>
  <c r="U10" i="38"/>
  <c r="V10" i="38" s="1"/>
  <c r="S10" i="38"/>
  <c r="T10" i="38" s="1"/>
  <c r="R10" i="38"/>
  <c r="O10" i="38"/>
  <c r="P10" i="38" s="1"/>
  <c r="N10" i="38"/>
  <c r="L10" i="38"/>
  <c r="J10" i="38"/>
  <c r="H10" i="38"/>
  <c r="AB21" i="38"/>
  <c r="Z21" i="38"/>
  <c r="W21" i="38"/>
  <c r="X21" i="38" s="1"/>
  <c r="U21" i="38"/>
  <c r="V21" i="38" s="1"/>
  <c r="S21" i="38"/>
  <c r="T21" i="38" s="1"/>
  <c r="K21" i="38"/>
  <c r="L21" i="38" s="1"/>
  <c r="J21" i="38"/>
  <c r="H21" i="38"/>
  <c r="AB20" i="38"/>
  <c r="Z20" i="38"/>
  <c r="W20" i="38"/>
  <c r="X20" i="38" s="1"/>
  <c r="U20" i="38"/>
  <c r="V20" i="38" s="1"/>
  <c r="S20" i="38"/>
  <c r="T20" i="38" s="1"/>
  <c r="M20" i="38"/>
  <c r="N20" i="38" s="1"/>
  <c r="Q20" i="38"/>
  <c r="R20" i="38" s="1"/>
  <c r="J20" i="38"/>
  <c r="AB17" i="38"/>
  <c r="Z17" i="38"/>
  <c r="W17" i="38"/>
  <c r="X17" i="38" s="1"/>
  <c r="U17" i="38"/>
  <c r="V17" i="38" s="1"/>
  <c r="S17" i="38"/>
  <c r="T17" i="38" s="1"/>
  <c r="K17" i="38"/>
  <c r="L17" i="38" s="1"/>
  <c r="M17" i="38"/>
  <c r="N17" i="38" s="1"/>
  <c r="J17" i="38"/>
  <c r="H17" i="38"/>
  <c r="AB15" i="38"/>
  <c r="Z15" i="38"/>
  <c r="W15" i="38"/>
  <c r="X15" i="38" s="1"/>
  <c r="U15" i="38"/>
  <c r="V15" i="38" s="1"/>
  <c r="S15" i="38"/>
  <c r="T15" i="38" s="1"/>
  <c r="M15" i="38"/>
  <c r="N15" i="38" s="1"/>
  <c r="J15" i="38"/>
  <c r="H15" i="38"/>
  <c r="J30" i="38"/>
  <c r="H30" i="38"/>
  <c r="AB14" i="38"/>
  <c r="Z14" i="38"/>
  <c r="W14" i="38"/>
  <c r="X14" i="38" s="1"/>
  <c r="U14" i="38"/>
  <c r="V14" i="38" s="1"/>
  <c r="S14" i="38"/>
  <c r="T14" i="38" s="1"/>
  <c r="M14" i="38"/>
  <c r="N14" i="38" s="1"/>
  <c r="Q14" i="38"/>
  <c r="R14" i="38" s="1"/>
  <c r="H14" i="38"/>
  <c r="AB13" i="38"/>
  <c r="Z13" i="38"/>
  <c r="W13" i="38"/>
  <c r="X13" i="38" s="1"/>
  <c r="U13" i="38"/>
  <c r="V13" i="38" s="1"/>
  <c r="S13" i="38"/>
  <c r="T13" i="38" s="1"/>
  <c r="M13" i="38"/>
  <c r="N13" i="38" s="1"/>
  <c r="J13" i="38"/>
  <c r="H13" i="38"/>
  <c r="AB12" i="38"/>
  <c r="Z12" i="38"/>
  <c r="W12" i="38"/>
  <c r="X12" i="38" s="1"/>
  <c r="U12" i="38"/>
  <c r="V12" i="38" s="1"/>
  <c r="S12" i="38"/>
  <c r="T12" i="38" s="1"/>
  <c r="M12" i="38"/>
  <c r="N12" i="38" s="1"/>
  <c r="J12" i="38"/>
  <c r="H12" i="38"/>
  <c r="AB11" i="38"/>
  <c r="Z11" i="38"/>
  <c r="W11" i="38"/>
  <c r="X11" i="38" s="1"/>
  <c r="U11" i="38"/>
  <c r="V11" i="38" s="1"/>
  <c r="S11" i="38"/>
  <c r="T11" i="38" s="1"/>
  <c r="M11" i="38"/>
  <c r="N11" i="38" s="1"/>
  <c r="J11" i="38"/>
  <c r="H11" i="38"/>
  <c r="AB9" i="38"/>
  <c r="Z9" i="38"/>
  <c r="W9" i="38"/>
  <c r="X9" i="38" s="1"/>
  <c r="U9" i="38"/>
  <c r="V9" i="38" s="1"/>
  <c r="S9" i="38"/>
  <c r="T9" i="38" s="1"/>
  <c r="J9" i="38"/>
  <c r="H9" i="38"/>
  <c r="L13" i="38"/>
  <c r="L11" i="38"/>
  <c r="O9" i="38"/>
  <c r="P9" i="38" s="1"/>
  <c r="N9" i="38"/>
  <c r="L9" i="38"/>
  <c r="P11" i="38"/>
  <c r="P12" i="38"/>
  <c r="P15" i="38"/>
  <c r="P13" i="38"/>
  <c r="P14" i="38"/>
  <c r="L12" i="38"/>
  <c r="L14" i="38"/>
  <c r="L15" i="38"/>
  <c r="P20" i="38"/>
  <c r="L20" i="38"/>
  <c r="R15" i="38"/>
  <c r="R11" i="38"/>
  <c r="R13" i="38"/>
  <c r="R12" i="38"/>
  <c r="R9" i="38"/>
  <c r="O98" i="38"/>
  <c r="P98" i="38" s="1"/>
  <c r="M88" i="38"/>
  <c r="N88" i="38" s="1"/>
  <c r="O68" i="38"/>
  <c r="P68" i="38" s="1"/>
  <c r="O32" i="38"/>
  <c r="P32" i="38" s="1"/>
  <c r="M33" i="38"/>
  <c r="N33" i="38" s="1"/>
  <c r="O34" i="38"/>
  <c r="P34" i="38" s="1"/>
  <c r="M35" i="38"/>
  <c r="N35" i="38" s="1"/>
  <c r="M37" i="38"/>
  <c r="N37" i="38" s="1"/>
  <c r="M39" i="38"/>
  <c r="N39" i="38" s="1"/>
  <c r="O40" i="38"/>
  <c r="P40" i="38" s="1"/>
  <c r="M41" i="38"/>
  <c r="N41" i="38" s="1"/>
  <c r="O42" i="38"/>
  <c r="P42" i="38" s="1"/>
  <c r="M43" i="38"/>
  <c r="N43" i="38" s="1"/>
  <c r="M45" i="38"/>
  <c r="N45" i="38" s="1"/>
  <c r="O46" i="38"/>
  <c r="P46" i="38" s="1"/>
  <c r="M47" i="38"/>
  <c r="N47" i="38" s="1"/>
  <c r="O48" i="38"/>
  <c r="P48" i="38" s="1"/>
  <c r="M49" i="38"/>
  <c r="N49" i="38" s="1"/>
  <c r="O50" i="38"/>
  <c r="P50" i="38" s="1"/>
  <c r="M51" i="38"/>
  <c r="N51" i="38" s="1"/>
  <c r="O52" i="38"/>
  <c r="P52" i="38" s="1"/>
  <c r="M53" i="38"/>
  <c r="N53" i="38" s="1"/>
  <c r="O54" i="38"/>
  <c r="P54" i="38" s="1"/>
  <c r="M55" i="38"/>
  <c r="N55" i="38" s="1"/>
  <c r="O56" i="38"/>
  <c r="P56" i="38" s="1"/>
  <c r="M57" i="38"/>
  <c r="N57" i="38" s="1"/>
  <c r="O58" i="38"/>
  <c r="P58" i="38" s="1"/>
  <c r="M59" i="38"/>
  <c r="N59" i="38" s="1"/>
  <c r="Q42" i="38"/>
  <c r="R42" i="38" s="1"/>
  <c r="Q50" i="38"/>
  <c r="R50" i="38" s="1"/>
  <c r="Q52" i="38"/>
  <c r="R52" i="38" s="1"/>
  <c r="Q56" i="38"/>
  <c r="R56" i="38" s="1"/>
  <c r="Q58" i="38"/>
  <c r="R58" i="38" s="1"/>
  <c r="M31" i="38"/>
  <c r="N31" i="38" s="1"/>
  <c r="O30" i="38"/>
  <c r="P30" i="38" s="1"/>
  <c r="M21" i="38"/>
  <c r="N21" i="38" s="1"/>
  <c r="O17" i="38"/>
  <c r="P17" i="38" s="1"/>
  <c r="Q98" i="38"/>
  <c r="R98" i="38" s="1"/>
  <c r="O88" i="38"/>
  <c r="P88" i="38" s="1"/>
  <c r="Q88" i="38"/>
  <c r="R88" i="38" s="1"/>
  <c r="Q87" i="38"/>
  <c r="R87" i="38" s="1"/>
  <c r="O59" i="38"/>
  <c r="P59" i="38" s="1"/>
  <c r="O55" i="38"/>
  <c r="P55" i="38" s="1"/>
  <c r="O53" i="38"/>
  <c r="P53" i="38" s="1"/>
  <c r="O47" i="38"/>
  <c r="P47" i="38" s="1"/>
  <c r="O45" i="38"/>
  <c r="P45" i="38" s="1"/>
  <c r="O43" i="38"/>
  <c r="P43" i="38" s="1"/>
  <c r="O41" i="38"/>
  <c r="P41" i="38" s="1"/>
  <c r="O39" i="38"/>
  <c r="P39" i="38" s="1"/>
  <c r="O37" i="38"/>
  <c r="P37" i="38" s="1"/>
  <c r="O57" i="38"/>
  <c r="P57" i="38" s="1"/>
  <c r="O51" i="38"/>
  <c r="P51" i="38" s="1"/>
  <c r="O35" i="38"/>
  <c r="P35" i="38" s="1"/>
  <c r="O33" i="38"/>
  <c r="P33" i="38" s="1"/>
  <c r="Q59" i="38"/>
  <c r="R59" i="38" s="1"/>
  <c r="Q55" i="38"/>
  <c r="R55" i="38" s="1"/>
  <c r="O31" i="38"/>
  <c r="P31" i="38" s="1"/>
  <c r="O21" i="38"/>
  <c r="P21" i="38" s="1"/>
  <c r="Q21" i="38"/>
  <c r="R21" i="38" s="1"/>
  <c r="Q17" i="38"/>
  <c r="R17" i="38" s="1"/>
  <c r="Q35" i="38"/>
  <c r="R35" i="38" s="1"/>
  <c r="Q51" i="38"/>
  <c r="R51" i="38" s="1"/>
  <c r="Q57" i="38"/>
  <c r="R57" i="38" s="1"/>
  <c r="Q31" i="38"/>
  <c r="R31" i="38" s="1"/>
  <c r="X120" i="38"/>
  <c r="X121" i="38" s="1"/>
  <c r="J130" i="38"/>
  <c r="O127" i="38"/>
  <c r="P127" i="38" s="1"/>
  <c r="P128" i="38" s="1"/>
  <c r="L127" i="38" l="1"/>
  <c r="L128" i="38" s="1"/>
  <c r="L129" i="38" s="1"/>
  <c r="L130" i="38" s="1"/>
  <c r="L134" i="38" s="1"/>
  <c r="Z130" i="38"/>
  <c r="Z134" i="38" s="1"/>
  <c r="Z178" i="38" s="1"/>
  <c r="M78" i="38"/>
  <c r="R155" i="38"/>
  <c r="R157" i="38" s="1"/>
  <c r="X155" i="38"/>
  <c r="X157" i="38" s="1"/>
  <c r="O149" i="38"/>
  <c r="P149" i="38" s="1"/>
  <c r="P151" i="38" s="1"/>
  <c r="N149" i="38"/>
  <c r="N151" i="38" s="1"/>
  <c r="P161" i="38"/>
  <c r="P163" i="38" s="1"/>
  <c r="P160" i="38"/>
  <c r="N160" i="38"/>
  <c r="N161" i="38" s="1"/>
  <c r="N162" i="38" s="1"/>
  <c r="Q158" i="38"/>
  <c r="R158" i="38" s="1"/>
  <c r="R159" i="38" s="1"/>
  <c r="L87" i="38"/>
  <c r="M77" i="38"/>
  <c r="N139" i="38"/>
  <c r="O139" i="38"/>
  <c r="P139" i="38" s="1"/>
  <c r="H120" i="38"/>
  <c r="H121" i="38" s="1"/>
  <c r="H125" i="38" s="1"/>
  <c r="H177" i="38" s="1"/>
  <c r="N69" i="38"/>
  <c r="N70" i="38" s="1"/>
  <c r="N71" i="38" s="1"/>
  <c r="AB91" i="38"/>
  <c r="AB95" i="38" s="1"/>
  <c r="AB175" i="38" s="1"/>
  <c r="AB121" i="38"/>
  <c r="AB125" i="38" s="1"/>
  <c r="AB177" i="38" s="1"/>
  <c r="Z101" i="38"/>
  <c r="Z103" i="38" s="1"/>
  <c r="Z107" i="38" s="1"/>
  <c r="Z176" i="38" s="1"/>
  <c r="L139" i="38"/>
  <c r="V79" i="38"/>
  <c r="V80" i="38" s="1"/>
  <c r="V81" i="38" s="1"/>
  <c r="V85" i="38" s="1"/>
  <c r="V174" i="38" s="1"/>
  <c r="Z79" i="38"/>
  <c r="H130" i="38"/>
  <c r="H134" i="38" s="1"/>
  <c r="H178" i="38" s="1"/>
  <c r="J101" i="38"/>
  <c r="M109" i="38"/>
  <c r="N109" i="38" s="1"/>
  <c r="N119" i="38" s="1"/>
  <c r="N120" i="38" s="1"/>
  <c r="N121" i="38" s="1"/>
  <c r="J69" i="38"/>
  <c r="T69" i="38"/>
  <c r="T70" i="38" s="1"/>
  <c r="T71" i="38" s="1"/>
  <c r="T75" i="38" s="1"/>
  <c r="T173" i="38" s="1"/>
  <c r="L69" i="38"/>
  <c r="L70" i="38" s="1"/>
  <c r="L71" i="38" s="1"/>
  <c r="L75" i="38" s="1"/>
  <c r="V69" i="38"/>
  <c r="V70" i="38" s="1"/>
  <c r="V71" i="38" s="1"/>
  <c r="V75" i="38" s="1"/>
  <c r="V173" i="38" s="1"/>
  <c r="L136" i="38"/>
  <c r="L137" i="38"/>
  <c r="M36" i="38"/>
  <c r="N36" i="38" s="1"/>
  <c r="H89" i="38"/>
  <c r="X140" i="38"/>
  <c r="X141" i="38" s="1"/>
  <c r="M44" i="38"/>
  <c r="M38" i="38"/>
  <c r="O36" i="38"/>
  <c r="P36" i="38" s="1"/>
  <c r="Z60" i="38"/>
  <c r="Z62" i="38" s="1"/>
  <c r="Z66" i="38" s="1"/>
  <c r="Z171" i="38" s="1"/>
  <c r="H60" i="38"/>
  <c r="N87" i="38"/>
  <c r="O87" i="38"/>
  <c r="P87" i="38" s="1"/>
  <c r="X69" i="38"/>
  <c r="X70" i="38" s="1"/>
  <c r="X71" i="38" s="1"/>
  <c r="X73" i="38" s="1"/>
  <c r="X75" i="38" s="1"/>
  <c r="X173" i="38" s="1"/>
  <c r="L89" i="38"/>
  <c r="L90" i="38" s="1"/>
  <c r="L91" i="38" s="1"/>
  <c r="L95" i="38" s="1"/>
  <c r="L175" i="38" s="1"/>
  <c r="N138" i="38"/>
  <c r="O49" i="38"/>
  <c r="J121" i="38"/>
  <c r="N101" i="38"/>
  <c r="N102" i="38" s="1"/>
  <c r="N103" i="38" s="1"/>
  <c r="N104" i="38" s="1"/>
  <c r="N107" i="38" s="1"/>
  <c r="N176" i="38" s="1"/>
  <c r="T140" i="38"/>
  <c r="T141" i="38" s="1"/>
  <c r="T142" i="38" s="1"/>
  <c r="T146" i="38" s="1"/>
  <c r="T179" i="38" s="1"/>
  <c r="Q136" i="38"/>
  <c r="R136" i="38" s="1"/>
  <c r="N136" i="38"/>
  <c r="L138" i="38"/>
  <c r="J60" i="38"/>
  <c r="AB130" i="38"/>
  <c r="AB134" i="38" s="1"/>
  <c r="AB178" i="38" s="1"/>
  <c r="V121" i="38"/>
  <c r="V125" i="38" s="1"/>
  <c r="V177" i="38" s="1"/>
  <c r="Z22" i="38"/>
  <c r="Z23" i="38" s="1"/>
  <c r="Z24" i="38" s="1"/>
  <c r="Z28" i="38" s="1"/>
  <c r="Z170" i="38" s="1"/>
  <c r="H22" i="38"/>
  <c r="Z69" i="38"/>
  <c r="Z71" i="38" s="1"/>
  <c r="Z75" i="38" s="1"/>
  <c r="Z173" i="38" s="1"/>
  <c r="H79" i="38"/>
  <c r="AB79" i="38"/>
  <c r="AB80" i="38" s="1"/>
  <c r="AB81" i="38" s="1"/>
  <c r="AB85" i="38" s="1"/>
  <c r="AB174" i="38" s="1"/>
  <c r="J89" i="38"/>
  <c r="J90" i="38" s="1"/>
  <c r="H101" i="38"/>
  <c r="H103" i="38" s="1"/>
  <c r="H107" i="38" s="1"/>
  <c r="H176" i="38" s="1"/>
  <c r="J140" i="38"/>
  <c r="J142" i="38" s="1"/>
  <c r="AB140" i="38"/>
  <c r="AB141" i="38" s="1"/>
  <c r="AB142" i="38" s="1"/>
  <c r="AB146" i="38" s="1"/>
  <c r="AB179" i="38" s="1"/>
  <c r="AB22" i="38"/>
  <c r="AB23" i="38" s="1"/>
  <c r="AB24" i="38" s="1"/>
  <c r="AB28" i="38" s="1"/>
  <c r="AB170" i="38" s="1"/>
  <c r="Z120" i="38"/>
  <c r="Z121" i="38" s="1"/>
  <c r="Z125" i="38" s="1"/>
  <c r="Z177" i="38" s="1"/>
  <c r="N137" i="38"/>
  <c r="O137" i="38"/>
  <c r="P137" i="38" s="1"/>
  <c r="L101" i="38"/>
  <c r="L102" i="38" s="1"/>
  <c r="L103" i="38" s="1"/>
  <c r="L107" i="38" s="1"/>
  <c r="AB60" i="38"/>
  <c r="AB61" i="38" s="1"/>
  <c r="AB62" i="38" s="1"/>
  <c r="AB66" i="38" s="1"/>
  <c r="AB171" i="38" s="1"/>
  <c r="Z81" i="38"/>
  <c r="Z85" i="38" s="1"/>
  <c r="AB69" i="38"/>
  <c r="Z89" i="38"/>
  <c r="Z91" i="38" s="1"/>
  <c r="Z95" i="38" s="1"/>
  <c r="Z175" i="38" s="1"/>
  <c r="V101" i="38"/>
  <c r="V102" i="38" s="1"/>
  <c r="V103" i="38" s="1"/>
  <c r="V107" i="38" s="1"/>
  <c r="V176" i="38" s="1"/>
  <c r="V140" i="38"/>
  <c r="Z140" i="38"/>
  <c r="AB101" i="38"/>
  <c r="X101" i="38"/>
  <c r="X102" i="38" s="1"/>
  <c r="X103" i="38" s="1"/>
  <c r="X105" i="38" s="1"/>
  <c r="X107" i="38" s="1"/>
  <c r="X176" i="38" s="1"/>
  <c r="P101" i="38"/>
  <c r="P102" i="38" s="1"/>
  <c r="P103" i="38" s="1"/>
  <c r="H69" i="38"/>
  <c r="X79" i="38"/>
  <c r="R101" i="38"/>
  <c r="R102" i="38" s="1"/>
  <c r="R103" i="38" s="1"/>
  <c r="R105" i="38" s="1"/>
  <c r="R107" i="38" s="1"/>
  <c r="R176" i="38" s="1"/>
  <c r="H140" i="38"/>
  <c r="T79" i="38"/>
  <c r="T80" i="38" s="1"/>
  <c r="T81" i="38" s="1"/>
  <c r="T85" i="38" s="1"/>
  <c r="T174" i="38" s="1"/>
  <c r="T101" i="38"/>
  <c r="T102" i="38" s="1"/>
  <c r="T103" i="38" s="1"/>
  <c r="T107" i="38" s="1"/>
  <c r="T176" i="38" s="1"/>
  <c r="T129" i="38"/>
  <c r="T130" i="38" s="1"/>
  <c r="T134" i="38" s="1"/>
  <c r="T178" i="38" s="1"/>
  <c r="X129" i="38"/>
  <c r="X130" i="38" s="1"/>
  <c r="V129" i="38"/>
  <c r="V130" i="38" s="1"/>
  <c r="V134" i="38" s="1"/>
  <c r="V178" i="38" s="1"/>
  <c r="Q127" i="38"/>
  <c r="R127" i="38" s="1"/>
  <c r="R128" i="38" s="1"/>
  <c r="T89" i="38"/>
  <c r="T90" i="38" s="1"/>
  <c r="T91" i="38" s="1"/>
  <c r="T95" i="38" s="1"/>
  <c r="T175" i="38" s="1"/>
  <c r="X89" i="38"/>
  <c r="X90" i="38" s="1"/>
  <c r="X91" i="38" s="1"/>
  <c r="X93" i="38" s="1"/>
  <c r="X95" i="38" s="1"/>
  <c r="X175" i="38" s="1"/>
  <c r="V89" i="38"/>
  <c r="V90" i="38" s="1"/>
  <c r="V91" i="38" s="1"/>
  <c r="V95" i="38" s="1"/>
  <c r="V175" i="38" s="1"/>
  <c r="R120" i="38"/>
  <c r="R121" i="38" s="1"/>
  <c r="R123" i="38" s="1"/>
  <c r="R125" i="38" s="1"/>
  <c r="R177" i="38" s="1"/>
  <c r="X60" i="38"/>
  <c r="X61" i="38" s="1"/>
  <c r="L60" i="38"/>
  <c r="V60" i="38"/>
  <c r="T60" i="38"/>
  <c r="T61" i="38" s="1"/>
  <c r="T62" i="38" s="1"/>
  <c r="T66" i="38" s="1"/>
  <c r="T171" i="38" s="1"/>
  <c r="L22" i="38"/>
  <c r="L23" i="38" s="1"/>
  <c r="L24" i="38" s="1"/>
  <c r="L28" i="38" s="1"/>
  <c r="L170" i="38" s="1"/>
  <c r="R22" i="38"/>
  <c r="R23" i="38" s="1"/>
  <c r="R24" i="38" s="1"/>
  <c r="N22" i="38"/>
  <c r="N23" i="38" s="1"/>
  <c r="J22" i="38"/>
  <c r="V22" i="38"/>
  <c r="V23" i="38" s="1"/>
  <c r="V24" i="38" s="1"/>
  <c r="V28" i="38" s="1"/>
  <c r="V170" i="38" s="1"/>
  <c r="T22" i="38"/>
  <c r="T23" i="38" s="1"/>
  <c r="T24" i="38" s="1"/>
  <c r="T28" i="38" s="1"/>
  <c r="T170" i="38" s="1"/>
  <c r="X22" i="38"/>
  <c r="X23" i="38" s="1"/>
  <c r="X24" i="38" s="1"/>
  <c r="L165" i="38"/>
  <c r="X123" i="38"/>
  <c r="X125" i="38" s="1"/>
  <c r="X177" i="38" s="1"/>
  <c r="L173" i="38"/>
  <c r="V172" i="38"/>
  <c r="Z172" i="38"/>
  <c r="P22" i="38"/>
  <c r="N72" i="38"/>
  <c r="X165" i="38"/>
  <c r="P129" i="38"/>
  <c r="P130" i="38" s="1"/>
  <c r="N129" i="38"/>
  <c r="N130" i="38" s="1"/>
  <c r="L178" i="38"/>
  <c r="T172" i="38"/>
  <c r="AB172" i="38"/>
  <c r="P69" i="38"/>
  <c r="R69" i="38"/>
  <c r="P138" i="38"/>
  <c r="Q139" i="38"/>
  <c r="R139" i="38" s="1"/>
  <c r="L79" i="38"/>
  <c r="J70" i="38" l="1"/>
  <c r="J71" i="38" s="1"/>
  <c r="V61" i="38"/>
  <c r="V62" i="38" s="1"/>
  <c r="V66" i="38" s="1"/>
  <c r="V171" i="38" s="1"/>
  <c r="L61" i="38"/>
  <c r="L62" i="38" s="1"/>
  <c r="L66" i="38" s="1"/>
  <c r="L171" i="38" s="1"/>
  <c r="J61" i="38"/>
  <c r="J62" i="38" s="1"/>
  <c r="J91" i="38"/>
  <c r="Z174" i="38"/>
  <c r="O78" i="38"/>
  <c r="P78" i="38" s="1"/>
  <c r="N78" i="38"/>
  <c r="P152" i="38"/>
  <c r="P153" i="38" s="1"/>
  <c r="N152" i="38"/>
  <c r="N153" i="38" s="1"/>
  <c r="R161" i="38"/>
  <c r="R163" i="38" s="1"/>
  <c r="J162" i="38" s="1"/>
  <c r="J164" i="38" s="1"/>
  <c r="R160" i="38"/>
  <c r="J103" i="38"/>
  <c r="N77" i="38"/>
  <c r="N79" i="38" s="1"/>
  <c r="N80" i="38" s="1"/>
  <c r="N81" i="38" s="1"/>
  <c r="N82" i="38" s="1"/>
  <c r="N85" i="38" s="1"/>
  <c r="N174" i="38" s="1"/>
  <c r="O77" i="38"/>
  <c r="O109" i="38"/>
  <c r="P109" i="38" s="1"/>
  <c r="P119" i="38" s="1"/>
  <c r="P120" i="38" s="1"/>
  <c r="P121" i="38" s="1"/>
  <c r="P123" i="38" s="1"/>
  <c r="P125" i="38" s="1"/>
  <c r="P177" i="38" s="1"/>
  <c r="X142" i="38"/>
  <c r="X144" i="38" s="1"/>
  <c r="X146" i="38" s="1"/>
  <c r="X179" i="38" s="1"/>
  <c r="L140" i="38"/>
  <c r="L142" i="38" s="1"/>
  <c r="L146" i="38" s="1"/>
  <c r="L179" i="38" s="1"/>
  <c r="H62" i="38"/>
  <c r="H66" i="38" s="1"/>
  <c r="H171" i="38" s="1"/>
  <c r="Q137" i="38"/>
  <c r="R137" i="38" s="1"/>
  <c r="H91" i="38"/>
  <c r="H95" i="38" s="1"/>
  <c r="H175" i="38" s="1"/>
  <c r="H23" i="38"/>
  <c r="H24" i="38" s="1"/>
  <c r="H28" i="38" s="1"/>
  <c r="H170" i="38" s="1"/>
  <c r="P140" i="38"/>
  <c r="P141" i="38" s="1"/>
  <c r="P142" i="38" s="1"/>
  <c r="N140" i="38"/>
  <c r="N141" i="38" s="1"/>
  <c r="N142" i="38" s="1"/>
  <c r="N143" i="38" s="1"/>
  <c r="N146" i="38" s="1"/>
  <c r="N179" i="38" s="1"/>
  <c r="N44" i="38"/>
  <c r="O44" i="38"/>
  <c r="P44" i="38" s="1"/>
  <c r="Q44" i="38"/>
  <c r="R44" i="38" s="1"/>
  <c r="N38" i="38"/>
  <c r="O38" i="38"/>
  <c r="P38" i="38" s="1"/>
  <c r="J23" i="38"/>
  <c r="J24" i="38" s="1"/>
  <c r="N89" i="38"/>
  <c r="N90" i="38" s="1"/>
  <c r="N91" i="38" s="1"/>
  <c r="N92" i="38" s="1"/>
  <c r="P89" i="38"/>
  <c r="P90" i="38" s="1"/>
  <c r="P91" i="38" s="1"/>
  <c r="P93" i="38" s="1"/>
  <c r="P95" i="38" s="1"/>
  <c r="P175" i="38" s="1"/>
  <c r="H81" i="38"/>
  <c r="H85" i="38" s="1"/>
  <c r="P49" i="38"/>
  <c r="Q49" i="38"/>
  <c r="R49" i="38" s="1"/>
  <c r="AB102" i="38"/>
  <c r="AB103" i="38" s="1"/>
  <c r="AB107" i="38" s="1"/>
  <c r="AB176" i="38" s="1"/>
  <c r="Z141" i="38"/>
  <c r="Z142" i="38" s="1"/>
  <c r="Z146" i="38" s="1"/>
  <c r="Z179" i="38" s="1"/>
  <c r="Z181" i="38" s="1"/>
  <c r="H195" i="38" s="1"/>
  <c r="AB70" i="38"/>
  <c r="AB71" i="38" s="1"/>
  <c r="AB75" i="38" s="1"/>
  <c r="AB173" i="38" s="1"/>
  <c r="X80" i="38"/>
  <c r="X81" i="38" s="1"/>
  <c r="V142" i="38"/>
  <c r="V146" i="38" s="1"/>
  <c r="V179" i="38" s="1"/>
  <c r="H71" i="38"/>
  <c r="H75" i="38" s="1"/>
  <c r="H142" i="38"/>
  <c r="H146" i="38" s="1"/>
  <c r="H179" i="38" s="1"/>
  <c r="X132" i="38"/>
  <c r="X134" i="38" s="1"/>
  <c r="X178" i="38" s="1"/>
  <c r="R129" i="38"/>
  <c r="R130" i="38" s="1"/>
  <c r="X62" i="38"/>
  <c r="X64" i="38" s="1"/>
  <c r="X66" i="38" s="1"/>
  <c r="X171" i="38" s="1"/>
  <c r="N131" i="38"/>
  <c r="R165" i="38"/>
  <c r="L172" i="38"/>
  <c r="X172" i="38"/>
  <c r="X26" i="38"/>
  <c r="X28" i="38" s="1"/>
  <c r="X170" i="38" s="1"/>
  <c r="P132" i="38"/>
  <c r="P134" i="38" s="1"/>
  <c r="P178" i="38" s="1"/>
  <c r="R26" i="38"/>
  <c r="R28" i="38" s="1"/>
  <c r="R170" i="38" s="1"/>
  <c r="T181" i="38"/>
  <c r="H185" i="38" s="1"/>
  <c r="L81" i="38"/>
  <c r="L85" i="38" s="1"/>
  <c r="J85" i="38" s="1"/>
  <c r="R70" i="38"/>
  <c r="R71" i="38" s="1"/>
  <c r="N25" i="38"/>
  <c r="N170" i="38" s="1"/>
  <c r="N122" i="38"/>
  <c r="N125" i="38" s="1"/>
  <c r="P105" i="38"/>
  <c r="P107" i="38" s="1"/>
  <c r="P165" i="38"/>
  <c r="P23" i="38"/>
  <c r="P24" i="38" s="1"/>
  <c r="L176" i="38"/>
  <c r="P70" i="38"/>
  <c r="P71" i="38" s="1"/>
  <c r="N75" i="38"/>
  <c r="V181" i="38" l="1"/>
  <c r="H190" i="38" s="1"/>
  <c r="N154" i="38"/>
  <c r="P155" i="38"/>
  <c r="P157" i="38" s="1"/>
  <c r="P77" i="38"/>
  <c r="P79" i="38" s="1"/>
  <c r="P80" i="38" s="1"/>
  <c r="P81" i="38" s="1"/>
  <c r="P83" i="38" s="1"/>
  <c r="P85" i="38" s="1"/>
  <c r="P174" i="38" s="1"/>
  <c r="Q77" i="38"/>
  <c r="R77" i="38" s="1"/>
  <c r="R79" i="38" s="1"/>
  <c r="R80" i="38" s="1"/>
  <c r="R81" i="38" s="1"/>
  <c r="R83" i="38" s="1"/>
  <c r="R85" i="38" s="1"/>
  <c r="R140" i="38"/>
  <c r="R141" i="38" s="1"/>
  <c r="R89" i="38"/>
  <c r="R90" i="38" s="1"/>
  <c r="R91" i="38" s="1"/>
  <c r="R93" i="38" s="1"/>
  <c r="R95" i="38" s="1"/>
  <c r="R175" i="38" s="1"/>
  <c r="R60" i="38"/>
  <c r="R61" i="38" s="1"/>
  <c r="R62" i="38" s="1"/>
  <c r="R64" i="38" s="1"/>
  <c r="R66" i="38" s="1"/>
  <c r="R171" i="38" s="1"/>
  <c r="N60" i="38"/>
  <c r="N61" i="38" s="1"/>
  <c r="N62" i="38" s="1"/>
  <c r="N63" i="38" s="1"/>
  <c r="P60" i="38"/>
  <c r="P61" i="38" s="1"/>
  <c r="P62" i="38" s="1"/>
  <c r="P64" i="38" s="1"/>
  <c r="P66" i="38" s="1"/>
  <c r="P171" i="38" s="1"/>
  <c r="H181" i="38"/>
  <c r="H184" i="38" s="1"/>
  <c r="X83" i="38"/>
  <c r="X85" i="38" s="1"/>
  <c r="X174" i="38" s="1"/>
  <c r="X181" i="38" s="1"/>
  <c r="H191" i="38" s="1"/>
  <c r="AB181" i="38"/>
  <c r="H196" i="38" s="1"/>
  <c r="H197" i="38" s="1"/>
  <c r="P172" i="38"/>
  <c r="R132" i="38"/>
  <c r="J131" i="38" s="1"/>
  <c r="J133" i="38" s="1"/>
  <c r="R73" i="38"/>
  <c r="R75" i="38" s="1"/>
  <c r="R173" i="38" s="1"/>
  <c r="P176" i="38"/>
  <c r="J107" i="38"/>
  <c r="J176" i="38" s="1"/>
  <c r="N173" i="38"/>
  <c r="P73" i="38"/>
  <c r="P75" i="38" s="1"/>
  <c r="P173" i="38" s="1"/>
  <c r="P144" i="38"/>
  <c r="R172" i="38"/>
  <c r="P26" i="38"/>
  <c r="P28" i="38" s="1"/>
  <c r="N177" i="38"/>
  <c r="J125" i="38"/>
  <c r="J177" i="38" s="1"/>
  <c r="L174" i="38"/>
  <c r="L181" i="38" s="1"/>
  <c r="H186" i="38" s="1"/>
  <c r="J104" i="38"/>
  <c r="J106" i="38" s="1"/>
  <c r="N165" i="38"/>
  <c r="J165" i="38" s="1"/>
  <c r="N95" i="38"/>
  <c r="J122" i="38"/>
  <c r="J124" i="38" s="1"/>
  <c r="N134" i="38"/>
  <c r="R142" i="38" l="1"/>
  <c r="R144" i="38" s="1"/>
  <c r="R146" i="38" s="1"/>
  <c r="R179" i="38" s="1"/>
  <c r="J154" i="38"/>
  <c r="J156" i="38" s="1"/>
  <c r="N157" i="38"/>
  <c r="J157" i="38" s="1"/>
  <c r="J92" i="38"/>
  <c r="J94" i="38" s="1"/>
  <c r="R134" i="38"/>
  <c r="R178" i="38" s="1"/>
  <c r="P170" i="38"/>
  <c r="J170" i="38"/>
  <c r="R174" i="38"/>
  <c r="R181" i="38" s="1"/>
  <c r="H189" i="38" s="1"/>
  <c r="J174" i="38"/>
  <c r="N178" i="38"/>
  <c r="N175" i="38"/>
  <c r="J95" i="38"/>
  <c r="J175" i="38" s="1"/>
  <c r="C1" i="38"/>
  <c r="H198" i="38"/>
  <c r="J75" i="38"/>
  <c r="J173" i="38" s="1"/>
  <c r="J63" i="38"/>
  <c r="J65" i="38" s="1"/>
  <c r="J25" i="38"/>
  <c r="J27" i="38" s="1"/>
  <c r="J82" i="38"/>
  <c r="J84" i="38" s="1"/>
  <c r="P146" i="38"/>
  <c r="J72" i="38"/>
  <c r="J74" i="38" s="1"/>
  <c r="N66" i="38"/>
  <c r="J143" i="38" l="1"/>
  <c r="J145" i="38" s="1"/>
  <c r="J134" i="38"/>
  <c r="J178" i="38" s="1"/>
  <c r="N171" i="38"/>
  <c r="J66" i="38"/>
  <c r="J171" i="38" s="1"/>
  <c r="N172" i="38"/>
  <c r="P179" i="38"/>
  <c r="P181" i="38" s="1"/>
  <c r="H188" i="38" s="1"/>
  <c r="J146" i="38"/>
  <c r="J179" i="38" s="1"/>
  <c r="J181" i="38" l="1"/>
  <c r="N181" i="38"/>
  <c r="H187" i="38" l="1"/>
  <c r="H192" i="38" s="1"/>
  <c r="J182" i="38"/>
  <c r="H193" i="38" l="1"/>
  <c r="H199" i="38"/>
  <c r="H200" i="38" s="1"/>
  <c r="H194" i="38"/>
  <c r="H201" i="38"/>
</calcChain>
</file>

<file path=xl/sharedStrings.xml><?xml version="1.0" encoding="utf-8"?>
<sst xmlns="http://schemas.openxmlformats.org/spreadsheetml/2006/main" count="490" uniqueCount="265">
  <si>
    <t>cum</t>
  </si>
  <si>
    <t>sqm</t>
  </si>
  <si>
    <t>SUMMARY</t>
  </si>
  <si>
    <t>SSR No</t>
  </si>
  <si>
    <t>Cum</t>
  </si>
  <si>
    <t>Qty</t>
  </si>
  <si>
    <t>Total</t>
  </si>
  <si>
    <t>Unit</t>
  </si>
  <si>
    <t>Amount</t>
  </si>
  <si>
    <t>Kg</t>
  </si>
  <si>
    <t>each</t>
  </si>
  <si>
    <t>kg</t>
  </si>
  <si>
    <t>M</t>
  </si>
  <si>
    <t>Description</t>
  </si>
  <si>
    <t>Cat</t>
  </si>
  <si>
    <t>REMARKS</t>
  </si>
  <si>
    <t>Foundation items</t>
  </si>
  <si>
    <t>NF</t>
  </si>
  <si>
    <t>Gross excess</t>
  </si>
  <si>
    <t>Net Excess</t>
  </si>
  <si>
    <t>Contractor</t>
  </si>
  <si>
    <t>ADEN/ATP</t>
  </si>
  <si>
    <t>Sl.no</t>
  </si>
  <si>
    <t>Non-Foundation items</t>
  </si>
  <si>
    <t>Foundation Items</t>
  </si>
  <si>
    <t>Minor items</t>
  </si>
  <si>
    <t>SAVINGS</t>
  </si>
  <si>
    <t>RATE</t>
  </si>
  <si>
    <t>AGREEMENT</t>
  </si>
  <si>
    <t>Within 25%</t>
  </si>
  <si>
    <t>Bet. 25 - 40%</t>
  </si>
  <si>
    <t>Bet.40 - 50%</t>
  </si>
  <si>
    <t>Above 50%</t>
  </si>
  <si>
    <t>within 100%</t>
  </si>
  <si>
    <t>Beyond 100%</t>
  </si>
  <si>
    <t>Upto 25%</t>
  </si>
  <si>
    <t>Beyond 25%</t>
  </si>
  <si>
    <t>Qty.</t>
  </si>
  <si>
    <t>Rs.  Ps.</t>
  </si>
  <si>
    <t>Rs.       Ps.</t>
  </si>
  <si>
    <t>Rs.    Ps.</t>
  </si>
  <si>
    <t>G Total</t>
  </si>
  <si>
    <t>98% of the rate =( -) 2%</t>
  </si>
  <si>
    <t>96% of the rate = (-) 4%</t>
  </si>
  <si>
    <t>`</t>
  </si>
  <si>
    <t>Grand Total of Schedule  A</t>
  </si>
  <si>
    <t>Grand Total of Schedule  B</t>
  </si>
  <si>
    <t>SCHEDULE' A</t>
  </si>
  <si>
    <t>SCHEDULE' B</t>
  </si>
  <si>
    <t>SCHEDULE' C</t>
  </si>
  <si>
    <t>Financial Implication</t>
  </si>
  <si>
    <t>Original Agreement value</t>
  </si>
  <si>
    <t>Gross excess in % age</t>
  </si>
  <si>
    <t>Gross value of the Agreement.</t>
  </si>
  <si>
    <t>Saving upto 25%</t>
  </si>
  <si>
    <t>Saving beyond 25%</t>
  </si>
  <si>
    <t>Total Saving</t>
  </si>
  <si>
    <t>Gross Savings in %  age</t>
  </si>
  <si>
    <t>Revised Agt. Value</t>
  </si>
  <si>
    <t>It is to certify that we have no claims of any kind on the savings occurred in this agreement and we are herewith furnishing an undertaking that we will not claim for the same in future.</t>
  </si>
  <si>
    <t>We are hereby agree to execute the quantities upto 50% and operation of additional items as shown above and no claims will be prefered on later date due to non operation of certain items and operation of more /less than the original /revised agreement quantities.</t>
  </si>
  <si>
    <t>The Qunatities proposed to be reduced will not be required in the same work at a later date and also due to the decreased quantities , tender is not vitiated.</t>
  </si>
  <si>
    <t>SSE/Drg/GTL</t>
  </si>
  <si>
    <t>DEN/Central/GTL</t>
  </si>
  <si>
    <t>Non-Foundation Item Excess up to 25%</t>
  </si>
  <si>
    <t>Non-Foundation Item Excess with in 25%-40%</t>
  </si>
  <si>
    <t>Non-Foundation Item Excess with in 40%-50%</t>
  </si>
  <si>
    <t>Non-Foundation Item Excess beyond 50%</t>
  </si>
  <si>
    <t>Minor item Excess within 100%</t>
  </si>
  <si>
    <t>Minor Item Excess beyond 100%</t>
  </si>
  <si>
    <t>Net Excess in % age</t>
  </si>
  <si>
    <t>As required as per site condition</t>
  </si>
  <si>
    <t>As required as per site condition.</t>
  </si>
  <si>
    <t>VARIATION STATEMENT</t>
  </si>
  <si>
    <t>Name of the Contractor: M/s. Alam Constructions, Railway Contractors, No.6-5-694-3, Near: Water tank, Srinagar Colony, Anantapur- 515 004</t>
  </si>
  <si>
    <t>011011</t>
  </si>
  <si>
    <t>Earth work in excavation as per approved drawings and dumping at embankment site or spoil heap, within railway land, including 50m lead and 1.5, lift, the lead to be measured from the centre of gravity of excavation measured from natural ground level and paid for in layers of 1.5m each, including incidental work, as per specifications-in all kinds of soils</t>
  </si>
  <si>
    <t>012010</t>
  </si>
  <si>
    <t xml:space="preserve">Earth work in excavation as per approved drawings etc., - Extra over item 011010 for excavation in  foundat etc., - </t>
  </si>
  <si>
    <t>012050</t>
  </si>
  <si>
    <t>Supplying and filling sand in plinth and under  floors including    watering,    ramming,    consolidating    and dressing complete</t>
  </si>
  <si>
    <t>031011</t>
  </si>
  <si>
    <t>Providing and laying in position cement concrete etc., - 1:3:6  (1  cement  :  3   sand  :  6  graded  stone aggregate 20mm nominal size)</t>
  </si>
  <si>
    <t>031012</t>
  </si>
  <si>
    <t>Providing and laying in position cement concrete etc., - 1:3:6  (1  cement  :  3   sand  :  6  graded  stone aggregate 40mm nominal size)</t>
  </si>
  <si>
    <t>031023</t>
  </si>
  <si>
    <t>061014</t>
  </si>
  <si>
    <t>Random  rubble  masonry  with  hard  stone   in fo etc., - Cement mortar 1:6 (1cement: 6fine sand)</t>
  </si>
  <si>
    <t>VARIATION</t>
  </si>
  <si>
    <t>Sch "A" ( FOUNDATION ITEMS)</t>
  </si>
  <si>
    <t>F</t>
  </si>
  <si>
    <t>Demolishing    plain    cement    concrete    including    disposal    of material within 50m lead Mix    leaner   than    1:2:4    with    coarse    aggregate    larger   than 20mm</t>
  </si>
  <si>
    <t>Providing  and  laying  in  position  M  20   Grade concrete    for    reinforced    concrete  etc., -All work in buildings above plinth level upto  floor two level.</t>
  </si>
  <si>
    <t>042025</t>
  </si>
  <si>
    <t>Brick work with non-modular (FPS) bricks of  class etc., - Cement mortar 1:6 (1 cement : 6 coarse sand)</t>
  </si>
  <si>
    <t>092011</t>
  </si>
  <si>
    <t>Pointing     on     stone     work     with     cement     mortar     1:3 (1cement: 3fine sand)  Flush/ Ruled pointing</t>
  </si>
  <si>
    <t>mtr</t>
  </si>
  <si>
    <t>Sch "B"  (OTHER THAN FOUNDATION ITEMS)</t>
  </si>
  <si>
    <t>ADD (+)15.2 % as per Agt</t>
  </si>
  <si>
    <t>tOTAL</t>
  </si>
  <si>
    <t>033062</t>
  </si>
  <si>
    <t>Supply and using cement at work site (OPC 53 grade ,Foundation items)</t>
  </si>
  <si>
    <t>Ton</t>
  </si>
  <si>
    <t>Grand Total of Schedule  D</t>
  </si>
  <si>
    <t>045013</t>
  </si>
  <si>
    <t>Supplying   Reinforcement   for   R.C.C.   work   including straightening,   cutting,   bending,   placing   in    position and binding all complete.
Cold twisted bars</t>
  </si>
  <si>
    <t>045016</t>
  </si>
  <si>
    <t>Supplying   Reinforcement   for   R.C.C.   work   including straightening,   cutting,   bending,   placing   in    position and binding all complete.  Thermo-Mechanically Treated bars</t>
  </si>
  <si>
    <t>ADD (+)8 % as per Agt</t>
  </si>
  <si>
    <t>Grand Total of Schedule  E</t>
  </si>
  <si>
    <t>081031</t>
  </si>
  <si>
    <t>Structural steel work welded in built up se etc., - In RSJ, tees, angles and channels Note for Item 081030 : Purlins and wind bracings shall be paid separately under item 81010.</t>
  </si>
  <si>
    <t>Grand Total of Schedule  F</t>
  </si>
  <si>
    <t>Grand Total of Schedule  G</t>
  </si>
  <si>
    <t>Grand Total of Schedule  H</t>
  </si>
  <si>
    <t>Grand Total of Schedule  I</t>
  </si>
  <si>
    <t>Grand Total New Item Under Schedule "B"</t>
  </si>
  <si>
    <t>Supplying and fixing of elevation dado tiles comform to oasis johson and khajara tiles size 25cm, 38cm or 30 cm and 45cm and are on similar made confirming to IS with all contractor materials,  tools, plants, transportion, lead, lift all taxes etc  including fixing at site with contractor skilled labour and unskilled labour etc. complete and as per the instruction and as direction of engineer in charge</t>
  </si>
  <si>
    <t>Grand Total NEW NS ITEM</t>
  </si>
  <si>
    <t>SCHEDULE' D</t>
  </si>
  <si>
    <t>SCHEDULE' E</t>
  </si>
  <si>
    <t>SCHEDULE' F</t>
  </si>
  <si>
    <t>SCHEDULE' G</t>
  </si>
  <si>
    <t>SCHEDULE' H</t>
  </si>
  <si>
    <t>SCHEDULE' I</t>
  </si>
  <si>
    <t>NEW SSR ITEM</t>
  </si>
  <si>
    <t>As actual site condition.</t>
  </si>
  <si>
    <t>As per actual and sandoms and GM Instructions.</t>
  </si>
  <si>
    <t>As per Actual.</t>
  </si>
  <si>
    <t>As per Actual site condition.</t>
  </si>
  <si>
    <t>As per Site Condition.</t>
  </si>
  <si>
    <t>As per site condition</t>
  </si>
  <si>
    <t>Not operated site condition.</t>
  </si>
  <si>
    <t>As per actual.</t>
  </si>
  <si>
    <t>Not operated as site condition.</t>
  </si>
  <si>
    <t>As required as per site condition (No Variation).</t>
  </si>
  <si>
    <t>As required as per site condition PW Offce Sheid.</t>
  </si>
  <si>
    <t>As required as per site condition PW Offce Sheid and New PRS Building Anantapur.</t>
  </si>
  <si>
    <t>sse/w/amm</t>
  </si>
  <si>
    <t>Name of work: ENGG- GTL-0005:Kalluru:Provision of water hydrant arrangements and GLR, bore well pipeline arrangements at Kalluru station.</t>
  </si>
  <si>
    <t>Agreement No.  48/17/GTL/Central dated  08/06/2017</t>
  </si>
  <si>
    <t>Providing and laying cement concrete, up to plinth in retaining walls, etc., - 1:2:4  (1  cement  :  2  sand  :  4  graded  stone aggregate 20mm nominal size)</t>
  </si>
  <si>
    <t>041011</t>
  </si>
  <si>
    <t>8A</t>
  </si>
  <si>
    <t>042011</t>
  </si>
  <si>
    <t xml:space="preserve">Foundation,  footing,  bases of columns, raft foundation of washables aprons, pile caps, Footings of FOB etc.
</t>
  </si>
  <si>
    <t>8B</t>
  </si>
  <si>
    <t>42011(042023)</t>
  </si>
  <si>
    <t>Extra for shuttering in circular work(20% of respective centering and shuttering items)[RATE = 20%]</t>
  </si>
  <si>
    <t>8C</t>
  </si>
  <si>
    <t>Walls (any thickness) including attached plasters, buttresses, plinth and string courses etc.</t>
  </si>
  <si>
    <t>8D</t>
  </si>
  <si>
    <t>042012(042023)</t>
  </si>
  <si>
    <t>Extra for shuttering in circular work (20% of respective centering and shuttering items) [RATE = 20%]</t>
  </si>
  <si>
    <t>051015</t>
  </si>
  <si>
    <t>f</t>
  </si>
  <si>
    <t>ADD (+)5 % as per Agt</t>
  </si>
  <si>
    <t xml:space="preserve">        </t>
  </si>
  <si>
    <t>extra   for  every additional lift of 1.5m or part thereof, after the initial 1.5m, for earth work in all soils</t>
  </si>
  <si>
    <t>011070</t>
  </si>
  <si>
    <t>Earth work in excavation as per approved drawings and dumping at embankment site or spoil heap, within railway land, including 50m lead and 1.5, lift, the lead to be measured from the centre of gravity of excavation to center of gravity of spoil heap:the lift to be measured from natural ground level and paid for in layers of 1.5m each, including incidental work, as per specifications-in Ordinary Rock (Not requiring blasting)</t>
  </si>
  <si>
    <t>Loading/Unloading       ballast,       kankar,       brickbats,       stone-chips,     shingle,     stone     boulders,     block     kankar,     pitching stones   ,   rubble   stones,   laterite,   coal,   surkhi,   dry   mortar, sand    ,    moorum, earth, manure or sludge, ashes, lime etc., includind lead uo to 50m and stacking into/from trucks, trailors or wagons</t>
  </si>
  <si>
    <t>Leading ballast, kankar, brickbats, stone-chips,  shingle, stone  boulders,  block  kankar,  pitching  stones,  rubble stones, laterite, coal, surkhi, dry mortar, sand, moorum, earth,  manure  or  sludge,  ashes,  lime,  debris,  muck, malba, etc. for lead upto 25km. Note: Lead under this item is payable when the same exceeds 500m.</t>
  </si>
  <si>
    <t>Extra for providing and mixing water proofing material of brand approved by railway, if not included in relevant item.</t>
  </si>
  <si>
    <t>Providing and laying in position M 20 Grade concrete for reinforced concrete structural elements but excluding cost of centering, shuttering reinforcement and Admixtures in recommended proportion(as per IS:9103) too accelerate, retard setting of concrete improve workability without impairing strenght and durability as per direction of engineer in charge All work in buildings above plinth level uoto floor two level.</t>
  </si>
  <si>
    <t>Providing and laying in position M 20 Grade concrete for reinforced concrete structural elements but excluding cost of centering, shuttering reinforcement and Admixtures in recommended proportion(as per IS:9103) too accelerate, retard setting of concrete improve workability without impairing strenght and durability as per direction of engineer in charge in arches, arch ribs, domes, vaults,shells, folded plates and roofs having slopes above 150.</t>
  </si>
  <si>
    <t>041018</t>
  </si>
  <si>
    <t>Providing and laying in position M 20 Grade concrete for reinforced concrete structural elements but excluding cost of centering, shuttering reinforcement and Admixtures in recommended proportion(as per IS:9103) too accelerate, retard setting of concrete improve workability without impairing strenght and durability as per direction of engineer in charge in vertical and Horizontal fins individually or forming box louvers, facias and eaves boards.</t>
  </si>
  <si>
    <t>Centering and shuttering including strutting, propping etc. and removal of form for special shapes Edges of slabs and beams in floors and walls under 20 cm wide</t>
  </si>
  <si>
    <t>nf</t>
  </si>
  <si>
    <t>m</t>
  </si>
  <si>
    <t>11--1</t>
  </si>
  <si>
    <t>11--2</t>
  </si>
  <si>
    <t>12---1</t>
  </si>
  <si>
    <t>12--2</t>
  </si>
  <si>
    <t>042019--042023</t>
  </si>
  <si>
    <t>042014--042023</t>
  </si>
  <si>
    <t xml:space="preserve">043015 </t>
  </si>
  <si>
    <t>Lintels, beams, plinth beams, bed blocks,garders, bressumers and cantilevers</t>
  </si>
  <si>
    <t>Extra for shuttering in circular work (20% of respective centering and shuttering items)[RATE _20%]</t>
  </si>
  <si>
    <t>.042019</t>
  </si>
  <si>
    <t>Extra for arches, domes, vaults exceeding 6m span</t>
  </si>
  <si>
    <t>Extra for shuttering in circular work (20% of respective centering and shuttering items)[RATE=20%]</t>
  </si>
  <si>
    <t>providing  hoisting and fixing  in position upto floor two level M20 Grade precast RCC work including setting in cement motor 1:3 (1 cemecnt :3 coarse sand )and finishing smooth with 6mm thick cement plaster 1:3 (1 cemecnt :3 fine sand ) on exposed surfaces complete including cost of centering, shuttering, finishing, Admixtures in recommened</t>
  </si>
  <si>
    <t>Extra over item 051010 &amp; 051020 for brick work in superstructure beyond plinth level upto floor two level:</t>
  </si>
  <si>
    <t>057104</t>
  </si>
  <si>
    <t>Add or deduct from rates of brickwork when the bricks specified or permitted to be used by Engineer are of class designation other than 7.5 Deduct for Class designation 3.5</t>
  </si>
  <si>
    <t>074231</t>
  </si>
  <si>
    <t>Providing and fixing M.S. grills of requried pattern in frames of windows etc.with MS flats.Squares or rounds bars etc. all complete Fixed to steel windows by welding</t>
  </si>
  <si>
    <t>074262</t>
  </si>
  <si>
    <t>Providing and fixing fly proof galvanized M.S. wire guage to windows and clerestory windows using galvanized M.S. wire guage with average width of aperture width of aperture 1.4mm in both directions with wire wire of dia 0.63mm with 12mm mild steel U beading</t>
  </si>
  <si>
    <t>081070</t>
  </si>
  <si>
    <t>Erecting rails in posts, platform wall copingd etc. including necessary cutting and drilling</t>
  </si>
  <si>
    <t>081190</t>
  </si>
  <si>
    <t>Providing and fixing 1mm thick M.S. Sheet sliding shuttering with frames and diagonal braces of 40x40x6mm angle iron, 3mm M.S. gusset plate at the junction and corners 25mm dia pulley 40x40x6mm angle and stoppers , handlers  and ho;d fasts of approved stell primer.</t>
  </si>
  <si>
    <t>081252</t>
  </si>
  <si>
    <t>Providing and fixing to ISI standard steel glazed doors ,windows , and ventilatiors of standared rolleded stell section (shutters and frame). Joints mitered and welded with 15x3mm lugs, 10cm long embeded in cement concrete blocks</t>
  </si>
  <si>
    <t>.051o40</t>
  </si>
  <si>
    <t>ouintal</t>
  </si>
  <si>
    <t>cement conceret floaring 1:2:4(1 cement :2coarse sand:4graded stone aggregate) finished with a floating coat of neat including cement slurry, but excluding the cost of nosimg of steps etc. complete 25mm thick with 12.5mm nominal size stone aggregate</t>
  </si>
  <si>
    <t>12 mm cement plaster of mix -  etc.,  1:4 (1cement: 4fine sand)</t>
  </si>
  <si>
    <t>12 mm cement plaster of mix -  etc.,  1:6 (1cement: 6fine sand)</t>
  </si>
  <si>
    <t>Finishing walls with water proofing cement paint of approved brand and manufacture and of required shade to given an even shade two or more coats on now work applied @3.84 kg/10 sqm</t>
  </si>
  <si>
    <t>Painting with synthetic enamel paint of approved brand and manufacture to give an even shade Two or more coats on new work</t>
  </si>
  <si>
    <t>Paimting Two coats (excluding priming coat) with white or green ready mixed paint of approved quality, on steel or wood work</t>
  </si>
  <si>
    <t>Miscellaneous G I pipe fittings as nipples/elbows/sockets/bends for GI pipe work</t>
  </si>
  <si>
    <t>ADD (+) 8 % as per Agt</t>
  </si>
  <si>
    <t>Sch "C" CEMENT )</t>
  </si>
  <si>
    <t>Sch "D" (REINFORCEMENT STELL)</t>
  </si>
  <si>
    <t>Sch "E" STRUCTURAL STEEL</t>
  </si>
  <si>
    <t>.081032</t>
  </si>
  <si>
    <t>Structural steel work welded in built up sections ,trusses and framed work, girders, stagings,racks,etc including cutting bending, straightening ,hoisting,fixing in position, including applying a priming coat of approved steel primer,complete</t>
  </si>
  <si>
    <t>Selection of suitable site for drilling bore well/tube well by electrical resistivity method for all diameters</t>
  </si>
  <si>
    <t>Drilling of bore well for specified depth in all types of soil and rock mechanically with all contractors tools, plants, material and labour upto 75 meters for 150mm dia</t>
  </si>
  <si>
    <t>Drilling of bore well for specified depth in all types of soil and rock mechanically with all contractors tools, plants, material and labour upto 75 meters Extra over 75m drilling for 150mm dia</t>
  </si>
  <si>
    <t>Providing   , supplying and fixing mild steel plug or screw cap of standard make on top of casing pipe on completed bore as directed by engineer-in-Charge 150mm dia</t>
  </si>
  <si>
    <t xml:space="preserve">Sch "G" GI/DI/CI PIPES ITEAMS </t>
  </si>
  <si>
    <t>Providing and fixing medium grade G.I. pipes complete with G.I. fittings including trenching and refiling etc. Extrenal work 50mm dia. Nominal bore</t>
  </si>
  <si>
    <t>Providing and fixing medium grade G.I. pipes complete with G.I. fittings including trenching and refiling etc. Extrenal work 80mm dia. Nominal bore</t>
  </si>
  <si>
    <t>Making connection of medium grade G.I. distribution branch with G.I. main of following sizes by providing and fixing tee, including cutting and threading the pipes etc. complete 100mm to 150 mmdia</t>
  </si>
  <si>
    <t>Providing and fixing gun metal non-return valve of 50mm nominal bore approved quality (screwed end) Horizontal</t>
  </si>
  <si>
    <t>Providing and laying S&amp;S Centrifugally cast (spun) Ductile iron pipes conforming to IS:8329 of class K-7 up to 150mm diabDuctile iron Class K-7 pipes</t>
  </si>
  <si>
    <t>Providing flanged joints to double flanged C.I/D.I pipes and specials including fittings , packing &amp; testing of joints upto 400mm dia 150mm dia pipe</t>
  </si>
  <si>
    <t>Providing and fixing C.I sluice valves (with cap) complete with bolts ,nuts, rubber insertiond etc. 150mm dia(the tail pieces it requried will be paid separately) Class II</t>
  </si>
  <si>
    <t>Providing and fixing C.I sluice valves (with cap) complete with bolts ,nuts, rubber insertiond etc. 80mm dia(the tail pieces it requried will be paid separately) Class I</t>
  </si>
  <si>
    <t>Providing and fixing C.I sluice valves (with cap) complete with bolts ,nuts, rubber insertiond etc. 200mm dia(the tail pieces it requried will be paid separately) Class I</t>
  </si>
  <si>
    <t>Providing and fixing G.I Union in G.I pipe including cutting and threading the pipe and making long screws etc. complete (new work) 50mm nominal bore</t>
  </si>
  <si>
    <t>s ch     H     GALVAUME SHEET</t>
  </si>
  <si>
    <t>SUPPLY AND INSTALLATION, including litting  to all heights  as required ,trapezoida/corrugared sheeting system in galvalume colur coated steel having cover width of 1000mm, 35 mm crest at a pitch of 250 mm stiffened with 8 mm deep intermittent corrugations or profilling approvedd by engineer -in- charge sheet should be made</t>
  </si>
  <si>
    <t>SCHEDULE "I" NSSR ITEMS</t>
  </si>
  <si>
    <t>Supplying and placing in positions of unplasticized PVC casing pipe confirming to 18:12818 1992 (Reaffirmed 2002) (CS pipe) inbore wells/ tube wells up to specified (maximum up to 80 meters) including joint couplers as required with all contractors</t>
  </si>
  <si>
    <t>Providing , joining and fixing in position on walls/other supports Galvanized Mild steel tubes medium grade including providing necessary fitting ,as per SI specifications IS 1239 part I &amp; II , including cutting to required sizes</t>
  </si>
  <si>
    <t>Providing and fixing of slim seal BUTTERFLY valve conforming to 18:13095 (orginal manufactures test certifacate conforming to specifications to be furnished) including all   necessary fitting like flanges etc, to fix valves to the existing pipes /ripples etc.</t>
  </si>
  <si>
    <t>Providing and fixing stell pipe flanges conforming to 18:6392 and joining with suitable packing bolts and nuts , as per requriment at site ,including testing with all contractors materials , labour tools,  plants,lead, lift etc,. Complete as per specification and as directed the Engineer</t>
  </si>
  <si>
    <t>NEW   SSR   ITEMS</t>
  </si>
  <si>
    <t>,0101013</t>
  </si>
  <si>
    <t>HARD rock  reguleing  blasting</t>
  </si>
  <si>
    <t>ADD (+)28 % as per Agt</t>
  </si>
  <si>
    <t>ADD (+)16 % as per Agt</t>
  </si>
  <si>
    <t>ADD (+)14 % as per Agt</t>
  </si>
  <si>
    <t xml:space="preserve">Sch "F" drilling of  Bore wells </t>
  </si>
  <si>
    <t>metre</t>
  </si>
  <si>
    <t>meter</t>
  </si>
  <si>
    <t>ADD (+)25 % as per Agt</t>
  </si>
  <si>
    <t>METRE</t>
  </si>
  <si>
    <t>as per site condution</t>
  </si>
  <si>
    <t xml:space="preserve"> </t>
  </si>
  <si>
    <t>as per sitecondition</t>
  </si>
  <si>
    <t>as per site condition</t>
  </si>
  <si>
    <t>As per Site Condition .</t>
  </si>
  <si>
    <t xml:space="preserve"> as per site condition</t>
  </si>
  <si>
    <t>as  per site   condition</t>
  </si>
  <si>
    <t>As  per site condition</t>
  </si>
  <si>
    <t>not operated  sitecondition</t>
  </si>
  <si>
    <t>not  opedreted  site condition</t>
  </si>
  <si>
    <t>as per actual</t>
  </si>
  <si>
    <t>, as per site condition.</t>
  </si>
  <si>
    <t xml:space="preserve"> as site condition.</t>
  </si>
  <si>
    <t xml:space="preserve"> as per site condition.</t>
  </si>
  <si>
    <t>as  per  site condition</t>
  </si>
  <si>
    <t>notop</t>
  </si>
  <si>
    <t>As per site condition.</t>
  </si>
  <si>
    <t>ADD (+25 % as per Agt</t>
  </si>
  <si>
    <t>ADD (+)18 % as per Agt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</si>
</sst>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0000"/>
    <numFmt numFmtId="167" formatCode="0.00_);[Red]\(0.00\)"/>
  </numFmts>
  <fonts count="47" x14ac:knownFonts="1">
    <font>
      <sz val="10"/>
      <name val="Arial"/>
    </font>
    <font>
      <sz val="11"/>
      <name val="Arial"/>
      <family val="2"/>
    </font>
    <font>
      <b/>
      <sz val="10"/>
      <name val="Arial"/>
      <family val="2"/>
    </font>
    <font>
      <sz val="12"/>
      <name val="Arial Narrow"/>
      <family val="2"/>
    </font>
    <font>
      <sz val="14"/>
      <name val="Arial Narrow"/>
      <family val="2"/>
    </font>
    <font>
      <b/>
      <sz val="14"/>
      <name val="Arial Narrow"/>
      <family val="2"/>
    </font>
    <font>
      <sz val="14"/>
      <name val="Century Gothic"/>
      <family val="2"/>
    </font>
    <font>
      <sz val="9"/>
      <name val="Century Gothic"/>
      <family val="2"/>
    </font>
    <font>
      <sz val="12"/>
      <name val="Century Gothic"/>
      <family val="2"/>
    </font>
    <font>
      <b/>
      <sz val="16"/>
      <name val="Century Gothic"/>
      <family val="2"/>
    </font>
    <font>
      <sz val="11"/>
      <name val="Century Gothic"/>
      <family val="2"/>
    </font>
    <font>
      <sz val="11"/>
      <name val="Arial Narrow"/>
      <family val="2"/>
    </font>
    <font>
      <b/>
      <sz val="12"/>
      <name val="Century Gothic"/>
      <family val="2"/>
    </font>
    <font>
      <b/>
      <sz val="9"/>
      <name val="Century Gothic"/>
      <family val="2"/>
    </font>
    <font>
      <b/>
      <sz val="12"/>
      <name val="Arial Narrow"/>
      <family val="2"/>
    </font>
    <font>
      <b/>
      <sz val="14"/>
      <name val="Century Gothic"/>
      <family val="2"/>
    </font>
    <font>
      <b/>
      <u/>
      <sz val="14"/>
      <name val="Century Gothic"/>
      <family val="2"/>
    </font>
    <font>
      <b/>
      <sz val="11"/>
      <name val="Century Gothic"/>
      <family val="2"/>
    </font>
    <font>
      <sz val="9"/>
      <name val="Arial Narrow"/>
      <family val="2"/>
    </font>
    <font>
      <b/>
      <sz val="11"/>
      <name val="Arial Narrow"/>
      <family val="2"/>
    </font>
    <font>
      <sz val="11"/>
      <color rgb="FFFF0000"/>
      <name val="Century Gothic"/>
      <family val="2"/>
    </font>
    <font>
      <sz val="12"/>
      <color rgb="FFFF0000"/>
      <name val="Century Gothic"/>
      <family val="2"/>
    </font>
    <font>
      <b/>
      <sz val="14"/>
      <color rgb="FFFF0000"/>
      <name val="Arial Narrow"/>
      <family val="2"/>
    </font>
    <font>
      <sz val="12"/>
      <color rgb="FF000000"/>
      <name val="Century Gothic"/>
      <family val="2"/>
    </font>
    <font>
      <b/>
      <sz val="12"/>
      <color rgb="FFFF0000"/>
      <name val="Century Gothic"/>
      <family val="2"/>
    </font>
    <font>
      <b/>
      <sz val="14"/>
      <color rgb="FFFF0000"/>
      <name val="Century Gothic"/>
      <family val="2"/>
    </font>
    <font>
      <b/>
      <sz val="14"/>
      <name val="Calibri"/>
      <family val="2"/>
      <scheme val="minor"/>
    </font>
    <font>
      <b/>
      <u/>
      <sz val="14"/>
      <name val="Calibri"/>
      <family val="2"/>
      <scheme val="minor"/>
    </font>
    <font>
      <b/>
      <sz val="12"/>
      <name val="Calibri"/>
      <family val="2"/>
      <scheme val="minor"/>
    </font>
    <font>
      <sz val="14"/>
      <color rgb="FFFF0000"/>
      <name val="Century Gothic"/>
      <family val="2"/>
    </font>
    <font>
      <sz val="14"/>
      <color rgb="FFFF0000"/>
      <name val="Arial Narrow"/>
      <family val="2"/>
    </font>
    <font>
      <sz val="11"/>
      <color rgb="FF0070C0"/>
      <name val="Century Gothic"/>
      <family val="2"/>
    </font>
    <font>
      <sz val="12"/>
      <color rgb="FF0070C0"/>
      <name val="Century Gothic"/>
      <family val="2"/>
    </font>
    <font>
      <b/>
      <sz val="12"/>
      <color rgb="FF0070C0"/>
      <name val="Century Gothic"/>
      <family val="2"/>
    </font>
    <font>
      <b/>
      <sz val="10"/>
      <color rgb="FF0070C0"/>
      <name val="Arial"/>
      <family val="2"/>
    </font>
    <font>
      <b/>
      <sz val="14"/>
      <color rgb="FF0070C0"/>
      <name val="Century Gothic"/>
      <family val="2"/>
    </font>
    <font>
      <sz val="14"/>
      <color rgb="FF0070C0"/>
      <name val="Century Gothic"/>
      <family val="2"/>
    </font>
    <font>
      <sz val="14"/>
      <color rgb="FF0070C0"/>
      <name val="Arial Narrow"/>
      <family val="2"/>
    </font>
    <font>
      <b/>
      <sz val="14"/>
      <color rgb="FF0070C0"/>
      <name val="Arial Narrow"/>
      <family val="2"/>
    </font>
    <font>
      <sz val="12"/>
      <color rgb="FF0070C0"/>
      <name val="Arial Narrow"/>
      <family val="2"/>
    </font>
    <font>
      <sz val="11"/>
      <color theme="1"/>
      <name val="Arial Narrow"/>
      <family val="2"/>
    </font>
    <font>
      <sz val="13"/>
      <color theme="1"/>
      <name val="Arial Narrow"/>
      <family val="2"/>
    </font>
    <font>
      <sz val="11"/>
      <color rgb="FF000000"/>
      <name val="Arial Narrow"/>
      <family val="2"/>
    </font>
    <font>
      <sz val="11"/>
      <color rgb="FF000000"/>
      <name val="Arial"/>
      <family val="2"/>
    </font>
    <font>
      <sz val="11"/>
      <color rgb="FF0070C0"/>
      <name val="Arial"/>
      <family val="2"/>
    </font>
    <font>
      <sz val="11"/>
      <color theme="1"/>
      <name val="Arial"/>
      <family val="2"/>
    </font>
    <font>
      <sz val="12"/>
      <color theme="1"/>
      <name val="Century Gothic"/>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9">
    <xf numFmtId="0" fontId="0" fillId="0" borderId="0" xfId="0"/>
    <xf numFmtId="0" fontId="1" fillId="0" borderId="1" xfId="0" applyFont="1" applyBorder="1" applyAlignment="1">
      <alignment horizontal="center" vertical="top" wrapText="1"/>
    </xf>
    <xf numFmtId="0" fontId="6" fillId="0" borderId="1" xfId="0" applyFont="1" applyFill="1" applyBorder="1" applyAlignment="1">
      <alignment vertical="top" wrapText="1"/>
    </xf>
    <xf numFmtId="0" fontId="6" fillId="0" borderId="1" xfId="0" applyFont="1" applyFill="1" applyBorder="1"/>
    <xf numFmtId="2" fontId="7" fillId="0" borderId="1" xfId="0" applyNumberFormat="1" applyFont="1" applyFill="1" applyBorder="1"/>
    <xf numFmtId="0" fontId="6" fillId="0" borderId="1" xfId="0" applyFont="1" applyFill="1" applyBorder="1" applyAlignment="1">
      <alignment horizontal="center"/>
    </xf>
    <xf numFmtId="2" fontId="8" fillId="0" borderId="1" xfId="0" applyNumberFormat="1" applyFont="1" applyFill="1" applyBorder="1" applyAlignment="1">
      <alignment horizontal="center" vertical="center" wrapText="1"/>
    </xf>
    <xf numFmtId="0" fontId="8" fillId="0" borderId="1" xfId="0" applyFont="1" applyFill="1" applyBorder="1"/>
    <xf numFmtId="0" fontId="4" fillId="0" borderId="2" xfId="0" applyFont="1" applyFill="1" applyBorder="1"/>
    <xf numFmtId="0" fontId="4" fillId="0" borderId="0" xfId="0" applyFont="1" applyFill="1" applyBorder="1"/>
    <xf numFmtId="0" fontId="4" fillId="0" borderId="1" xfId="0" applyFont="1" applyFill="1" applyBorder="1"/>
    <xf numFmtId="2" fontId="6" fillId="0" borderId="1" xfId="0" applyNumberFormat="1" applyFont="1" applyFill="1" applyBorder="1" applyAlignment="1">
      <alignment horizontal="center" vertical="top" wrapText="1"/>
    </xf>
    <xf numFmtId="2" fontId="4" fillId="0" borderId="2" xfId="0" applyNumberFormat="1" applyFont="1" applyFill="1" applyBorder="1" applyAlignment="1">
      <alignment horizontal="left" vertical="top"/>
    </xf>
    <xf numFmtId="2" fontId="4" fillId="0" borderId="0" xfId="0" applyNumberFormat="1" applyFont="1" applyFill="1" applyBorder="1" applyAlignment="1">
      <alignment horizontal="left" vertical="top"/>
    </xf>
    <xf numFmtId="2" fontId="4" fillId="0" borderId="1" xfId="0" applyNumberFormat="1" applyFont="1" applyFill="1" applyBorder="1" applyAlignment="1">
      <alignment horizontal="left" vertical="top"/>
    </xf>
    <xf numFmtId="0" fontId="6" fillId="0" borderId="3" xfId="0" applyFont="1" applyFill="1" applyBorder="1" applyAlignment="1">
      <alignment wrapText="1"/>
    </xf>
    <xf numFmtId="2" fontId="8" fillId="0" borderId="1" xfId="0" applyNumberFormat="1" applyFont="1" applyFill="1" applyBorder="1" applyAlignment="1">
      <alignment horizontal="left" vertical="top"/>
    </xf>
    <xf numFmtId="2" fontId="6" fillId="0" borderId="1" xfId="0" applyNumberFormat="1" applyFont="1" applyFill="1" applyBorder="1" applyAlignment="1">
      <alignment horizontal="center" vertical="top"/>
    </xf>
    <xf numFmtId="2" fontId="8" fillId="0" borderId="1" xfId="0" applyNumberFormat="1" applyFont="1" applyFill="1" applyBorder="1" applyAlignment="1">
      <alignment horizontal="center" vertical="top"/>
    </xf>
    <xf numFmtId="2" fontId="6" fillId="0" borderId="1" xfId="0" applyNumberFormat="1" applyFont="1" applyFill="1" applyBorder="1" applyAlignment="1">
      <alignment vertical="top"/>
    </xf>
    <xf numFmtId="2" fontId="10" fillId="0" borderId="1" xfId="0" applyNumberFormat="1" applyFont="1" applyFill="1" applyBorder="1" applyAlignment="1">
      <alignment horizontal="center" vertical="top" wrapText="1"/>
    </xf>
    <xf numFmtId="2" fontId="10" fillId="0" borderId="1" xfId="0" applyNumberFormat="1" applyFont="1" applyFill="1" applyBorder="1" applyAlignment="1">
      <alignment horizontal="center" vertical="top"/>
    </xf>
    <xf numFmtId="0" fontId="8" fillId="0" borderId="1" xfId="0" applyFont="1" applyFill="1" applyBorder="1" applyAlignment="1">
      <alignment horizontal="center" vertical="center"/>
    </xf>
    <xf numFmtId="2" fontId="10" fillId="0" borderId="1" xfId="0" applyNumberFormat="1" applyFont="1" applyFill="1" applyBorder="1" applyAlignment="1">
      <alignment horizontal="center" vertical="center" wrapText="1"/>
    </xf>
    <xf numFmtId="2" fontId="10" fillId="0" borderId="1" xfId="0" applyNumberFormat="1" applyFont="1" applyFill="1" applyBorder="1" applyAlignment="1">
      <alignment vertical="top"/>
    </xf>
    <xf numFmtId="2" fontId="10" fillId="0" borderId="1" xfId="0" applyNumberFormat="1" applyFont="1" applyFill="1" applyBorder="1" applyAlignment="1">
      <alignment horizontal="right" vertical="top"/>
    </xf>
    <xf numFmtId="164" fontId="20" fillId="0" borderId="1" xfId="0" applyNumberFormat="1" applyFont="1" applyFill="1" applyBorder="1" applyAlignment="1">
      <alignment horizontal="right" vertical="top"/>
    </xf>
    <xf numFmtId="2" fontId="11" fillId="0" borderId="2" xfId="0" applyNumberFormat="1" applyFont="1" applyFill="1" applyBorder="1" applyAlignment="1">
      <alignment horizontal="left" vertical="top"/>
    </xf>
    <xf numFmtId="2" fontId="11" fillId="0" borderId="0" xfId="0" applyNumberFormat="1" applyFont="1" applyFill="1" applyBorder="1" applyAlignment="1">
      <alignment horizontal="left" vertical="top"/>
    </xf>
    <xf numFmtId="2" fontId="11" fillId="0" borderId="1" xfId="0" applyNumberFormat="1" applyFont="1" applyFill="1" applyBorder="1" applyAlignment="1">
      <alignment horizontal="left" vertical="top"/>
    </xf>
    <xf numFmtId="2" fontId="10" fillId="0" borderId="1" xfId="0" applyNumberFormat="1" applyFont="1" applyFill="1" applyBorder="1" applyAlignment="1">
      <alignment horizontal="left" vertical="top"/>
    </xf>
    <xf numFmtId="2" fontId="10" fillId="0" borderId="1" xfId="0" applyNumberFormat="1" applyFont="1" applyFill="1" applyBorder="1" applyAlignment="1">
      <alignment horizontal="right" vertical="top" wrapText="1"/>
    </xf>
    <xf numFmtId="2" fontId="12" fillId="0" borderId="1" xfId="0" applyNumberFormat="1" applyFont="1" applyFill="1" applyBorder="1" applyAlignment="1">
      <alignment horizontal="center" vertical="top"/>
    </xf>
    <xf numFmtId="2" fontId="8" fillId="0" borderId="1" xfId="0" applyNumberFormat="1" applyFont="1" applyFill="1" applyBorder="1" applyAlignment="1">
      <alignment vertical="top"/>
    </xf>
    <xf numFmtId="2" fontId="8" fillId="0" borderId="1" xfId="0" applyNumberFormat="1" applyFont="1" applyFill="1" applyBorder="1" applyAlignment="1">
      <alignment horizontal="right" vertical="top"/>
    </xf>
    <xf numFmtId="164" fontId="21" fillId="0" borderId="1" xfId="0" applyNumberFormat="1" applyFont="1" applyFill="1" applyBorder="1" applyAlignment="1">
      <alignment horizontal="right" vertical="top"/>
    </xf>
    <xf numFmtId="2" fontId="3" fillId="0" borderId="2" xfId="0" applyNumberFormat="1" applyFont="1" applyFill="1" applyBorder="1" applyAlignment="1">
      <alignment horizontal="left" vertical="top"/>
    </xf>
    <xf numFmtId="2" fontId="3" fillId="0" borderId="0"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2" fillId="0" borderId="1" xfId="0" applyFont="1" applyFill="1" applyBorder="1" applyAlignment="1">
      <alignment horizontal="center" vertical="top" wrapText="1"/>
    </xf>
    <xf numFmtId="2" fontId="2" fillId="0" borderId="1" xfId="0" applyNumberFormat="1" applyFont="1" applyFill="1" applyBorder="1" applyAlignment="1">
      <alignment horizontal="center" vertical="top" wrapText="1"/>
    </xf>
    <xf numFmtId="164" fontId="22" fillId="0" borderId="1" xfId="0" applyNumberFormat="1" applyFont="1" applyBorder="1" applyAlignment="1">
      <alignment horizontal="center" vertical="top"/>
    </xf>
    <xf numFmtId="2" fontId="23" fillId="0" borderId="1" xfId="0" applyNumberFormat="1" applyFont="1" applyFill="1" applyBorder="1" applyAlignment="1">
      <alignment horizontal="center" vertical="top"/>
    </xf>
    <xf numFmtId="164" fontId="23" fillId="0" borderId="1" xfId="0" applyNumberFormat="1" applyFont="1" applyFill="1" applyBorder="1" applyAlignment="1">
      <alignment horizontal="center" vertical="top"/>
    </xf>
    <xf numFmtId="2" fontId="12" fillId="0" borderId="1" xfId="0" applyNumberFormat="1" applyFont="1" applyFill="1" applyBorder="1" applyAlignment="1">
      <alignment horizontal="center" vertical="top" wrapText="1"/>
    </xf>
    <xf numFmtId="0" fontId="8" fillId="0" borderId="1" xfId="0" applyFont="1" applyFill="1" applyBorder="1" applyAlignment="1">
      <alignment horizontal="center"/>
    </xf>
    <xf numFmtId="0" fontId="13" fillId="0" borderId="1" xfId="0" applyFont="1" applyFill="1" applyBorder="1" applyAlignment="1">
      <alignment horizontal="justify" vertical="top" wrapText="1"/>
    </xf>
    <xf numFmtId="0" fontId="8" fillId="0" borderId="1" xfId="0" quotePrefix="1" applyFont="1" applyFill="1" applyBorder="1" applyAlignment="1">
      <alignment horizontal="center" vertical="top"/>
    </xf>
    <xf numFmtId="0" fontId="8" fillId="0" borderId="1" xfId="0" quotePrefix="1" applyFont="1" applyFill="1" applyBorder="1" applyAlignment="1">
      <alignment horizontal="center" vertical="top" wrapText="1"/>
    </xf>
    <xf numFmtId="2" fontId="8" fillId="0" borderId="1" xfId="0" quotePrefix="1" applyNumberFormat="1" applyFont="1" applyFill="1" applyBorder="1" applyAlignment="1">
      <alignment horizontal="center" vertical="top"/>
    </xf>
    <xf numFmtId="164" fontId="21" fillId="0" borderId="1" xfId="0" quotePrefix="1" applyNumberFormat="1" applyFont="1" applyFill="1" applyBorder="1" applyAlignment="1">
      <alignment horizontal="center" vertical="top"/>
    </xf>
    <xf numFmtId="2" fontId="14" fillId="0" borderId="2" xfId="0" applyNumberFormat="1" applyFont="1" applyFill="1" applyBorder="1" applyAlignment="1">
      <alignment horizontal="left" vertical="top"/>
    </xf>
    <xf numFmtId="2" fontId="14" fillId="0" borderId="0" xfId="0" applyNumberFormat="1" applyFont="1" applyFill="1" applyBorder="1" applyAlignment="1">
      <alignment horizontal="left" vertical="top"/>
    </xf>
    <xf numFmtId="2" fontId="14" fillId="0" borderId="1" xfId="0" applyNumberFormat="1" applyFont="1" applyFill="1" applyBorder="1" applyAlignment="1">
      <alignment horizontal="left" vertical="top"/>
    </xf>
    <xf numFmtId="1" fontId="12" fillId="0" borderId="1" xfId="0" applyNumberFormat="1" applyFont="1" applyFill="1" applyBorder="1" applyAlignment="1">
      <alignment horizontal="center" vertical="top"/>
    </xf>
    <xf numFmtId="2" fontId="13" fillId="0" borderId="1" xfId="0" applyNumberFormat="1" applyFont="1" applyFill="1" applyBorder="1" applyAlignment="1">
      <alignment horizontal="justify" vertical="top"/>
    </xf>
    <xf numFmtId="0" fontId="8" fillId="0" borderId="1" xfId="0" quotePrefix="1" applyFont="1" applyFill="1" applyBorder="1" applyAlignment="1">
      <alignment horizontal="center" vertical="center"/>
    </xf>
    <xf numFmtId="0" fontId="8" fillId="0" borderId="1" xfId="0" quotePrefix="1" applyFont="1" applyFill="1" applyBorder="1" applyAlignment="1">
      <alignment horizontal="center" vertical="center" wrapText="1"/>
    </xf>
    <xf numFmtId="2" fontId="8" fillId="0" borderId="1" xfId="0" quotePrefix="1" applyNumberFormat="1" applyFont="1" applyFill="1" applyBorder="1" applyAlignment="1">
      <alignment horizontal="right" vertical="center"/>
    </xf>
    <xf numFmtId="2" fontId="12" fillId="0" borderId="1" xfId="0" applyNumberFormat="1" applyFont="1" applyFill="1" applyBorder="1" applyAlignment="1">
      <alignment horizontal="right" vertical="center"/>
    </xf>
    <xf numFmtId="164" fontId="24" fillId="0" borderId="1" xfId="0" applyNumberFormat="1" applyFont="1" applyFill="1" applyBorder="1" applyAlignment="1">
      <alignment horizontal="right" vertical="center"/>
    </xf>
    <xf numFmtId="2" fontId="8" fillId="0" borderId="1" xfId="0" applyNumberFormat="1" applyFont="1" applyFill="1" applyBorder="1" applyAlignment="1">
      <alignment horizontal="right" vertical="center" wrapText="1"/>
    </xf>
    <xf numFmtId="2" fontId="8" fillId="0" borderId="1" xfId="0" applyNumberFormat="1" applyFont="1" applyFill="1" applyBorder="1" applyAlignment="1">
      <alignment horizontal="right" vertical="center"/>
    </xf>
    <xf numFmtId="2" fontId="12" fillId="0" borderId="1" xfId="0" applyNumberFormat="1" applyFont="1" applyFill="1" applyBorder="1" applyAlignment="1">
      <alignment horizontal="center" vertical="center" wrapText="1"/>
    </xf>
    <xf numFmtId="2" fontId="12" fillId="0" borderId="1" xfId="0" applyNumberFormat="1" applyFont="1" applyFill="1" applyBorder="1" applyAlignment="1">
      <alignment horizontal="center" vertical="center"/>
    </xf>
    <xf numFmtId="2" fontId="15" fillId="0" borderId="1" xfId="0" applyNumberFormat="1" applyFont="1" applyFill="1" applyBorder="1" applyAlignment="1">
      <alignment horizontal="center" vertical="top" wrapText="1"/>
    </xf>
    <xf numFmtId="2" fontId="15" fillId="0" borderId="1" xfId="0" applyNumberFormat="1" applyFont="1" applyFill="1" applyBorder="1" applyAlignment="1">
      <alignment horizontal="left" vertical="top"/>
    </xf>
    <xf numFmtId="2" fontId="15" fillId="0" borderId="1" xfId="0" applyNumberFormat="1" applyFont="1" applyFill="1" applyBorder="1" applyAlignment="1">
      <alignment horizontal="center" vertical="top"/>
    </xf>
    <xf numFmtId="2" fontId="15" fillId="0" borderId="1" xfId="0" applyNumberFormat="1" applyFont="1" applyFill="1" applyBorder="1" applyAlignment="1">
      <alignment horizontal="right" vertical="top"/>
    </xf>
    <xf numFmtId="164" fontId="25" fillId="0" borderId="1" xfId="0" applyNumberFormat="1" applyFont="1" applyFill="1" applyBorder="1" applyAlignment="1">
      <alignment horizontal="right" vertical="top"/>
    </xf>
    <xf numFmtId="2" fontId="6" fillId="0" borderId="1" xfId="0" applyNumberFormat="1" applyFont="1" applyFill="1" applyBorder="1" applyAlignment="1">
      <alignment horizontal="right" vertical="center" wrapText="1"/>
    </xf>
    <xf numFmtId="2" fontId="5" fillId="0" borderId="2"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5" fillId="0" borderId="1" xfId="0" applyNumberFormat="1" applyFont="1" applyFill="1" applyBorder="1" applyAlignment="1">
      <alignment horizontal="left" vertical="top"/>
    </xf>
    <xf numFmtId="1" fontId="15" fillId="0" borderId="1" xfId="0" applyNumberFormat="1" applyFont="1" applyFill="1" applyBorder="1" applyAlignment="1">
      <alignment horizontal="center" vertical="top" wrapText="1"/>
    </xf>
    <xf numFmtId="2" fontId="16" fillId="0" borderId="1" xfId="0" applyNumberFormat="1" applyFont="1" applyFill="1" applyBorder="1" applyAlignment="1">
      <alignment horizontal="left" vertical="top"/>
    </xf>
    <xf numFmtId="2" fontId="17" fillId="0" borderId="1" xfId="0" applyNumberFormat="1" applyFont="1" applyFill="1" applyBorder="1" applyAlignment="1">
      <alignment horizontal="left" vertical="top"/>
    </xf>
    <xf numFmtId="2" fontId="13" fillId="0" borderId="1" xfId="0" applyNumberFormat="1" applyFont="1" applyFill="1" applyBorder="1" applyAlignment="1">
      <alignment horizontal="left" vertical="top"/>
    </xf>
    <xf numFmtId="2" fontId="15" fillId="0" borderId="1" xfId="0" applyNumberFormat="1" applyFont="1" applyFill="1" applyBorder="1" applyAlignment="1">
      <alignment vertical="top"/>
    </xf>
    <xf numFmtId="2" fontId="6" fillId="0" borderId="1" xfId="0" applyNumberFormat="1" applyFont="1" applyFill="1" applyBorder="1" applyAlignment="1">
      <alignment horizontal="center" vertical="center" wrapText="1"/>
    </xf>
    <xf numFmtId="1" fontId="26" fillId="0" borderId="1" xfId="0" applyNumberFormat="1" applyFont="1" applyFill="1" applyBorder="1" applyAlignment="1">
      <alignment horizontal="center" vertical="top" wrapText="1"/>
    </xf>
    <xf numFmtId="2" fontId="26" fillId="0" borderId="1" xfId="0" applyNumberFormat="1" applyFont="1" applyFill="1" applyBorder="1" applyAlignment="1">
      <alignment horizontal="left" vertical="top"/>
    </xf>
    <xf numFmtId="2" fontId="27" fillId="0" borderId="1" xfId="0" applyNumberFormat="1" applyFont="1" applyFill="1" applyBorder="1" applyAlignment="1">
      <alignment horizontal="left" vertical="top"/>
    </xf>
    <xf numFmtId="2" fontId="26" fillId="0" borderId="1" xfId="0" applyNumberFormat="1" applyFont="1" applyFill="1" applyBorder="1" applyAlignment="1">
      <alignment horizontal="center" vertical="top"/>
    </xf>
    <xf numFmtId="2" fontId="28" fillId="0" borderId="1" xfId="0" applyNumberFormat="1" applyFont="1" applyFill="1" applyBorder="1" applyAlignment="1">
      <alignment horizontal="center" vertical="center" wrapText="1"/>
    </xf>
    <xf numFmtId="2" fontId="26" fillId="0" borderId="1" xfId="0" applyNumberFormat="1" applyFont="1" applyFill="1" applyBorder="1" applyAlignment="1">
      <alignment vertical="top"/>
    </xf>
    <xf numFmtId="2" fontId="26" fillId="0" borderId="1" xfId="0" applyNumberFormat="1" applyFont="1" applyFill="1" applyBorder="1" applyAlignment="1">
      <alignment horizontal="right" vertical="top"/>
    </xf>
    <xf numFmtId="1" fontId="26" fillId="0" borderId="1" xfId="0" applyNumberFormat="1" applyFont="1" applyFill="1" applyBorder="1" applyAlignment="1">
      <alignment horizontal="left" vertical="top"/>
    </xf>
    <xf numFmtId="2" fontId="28" fillId="0" borderId="1" xfId="0" applyNumberFormat="1" applyFont="1" applyFill="1" applyBorder="1" applyAlignment="1">
      <alignment horizontal="left" vertical="top"/>
    </xf>
    <xf numFmtId="2" fontId="6" fillId="0" borderId="1" xfId="0" applyNumberFormat="1" applyFont="1" applyFill="1" applyBorder="1" applyAlignment="1">
      <alignment horizontal="left" vertical="top"/>
    </xf>
    <xf numFmtId="2" fontId="7" fillId="0" borderId="1" xfId="0" applyNumberFormat="1" applyFont="1" applyFill="1" applyBorder="1" applyAlignment="1">
      <alignment vertical="top"/>
    </xf>
    <xf numFmtId="2" fontId="6" fillId="0" borderId="1" xfId="0" applyNumberFormat="1" applyFont="1" applyFill="1" applyBorder="1" applyAlignment="1">
      <alignment horizontal="right" vertical="top"/>
    </xf>
    <xf numFmtId="164" fontId="29" fillId="0" borderId="1" xfId="0" applyNumberFormat="1" applyFont="1" applyFill="1" applyBorder="1" applyAlignment="1">
      <alignment horizontal="right" vertical="top"/>
    </xf>
    <xf numFmtId="2" fontId="15" fillId="0" borderId="1" xfId="0" applyNumberFormat="1" applyFont="1" applyFill="1" applyBorder="1" applyAlignment="1">
      <alignment horizontal="center"/>
    </xf>
    <xf numFmtId="2" fontId="15" fillId="0" borderId="1" xfId="0" applyNumberFormat="1" applyFont="1" applyFill="1" applyBorder="1" applyAlignment="1">
      <alignment horizontal="right"/>
    </xf>
    <xf numFmtId="2" fontId="15" fillId="0" borderId="4" xfId="0" applyNumberFormat="1" applyFont="1" applyFill="1" applyBorder="1" applyAlignment="1">
      <alignment horizontal="center"/>
    </xf>
    <xf numFmtId="2" fontId="5" fillId="0" borderId="2" xfId="0" applyNumberFormat="1" applyFont="1" applyFill="1" applyBorder="1" applyAlignment="1">
      <alignment horizontal="left"/>
    </xf>
    <xf numFmtId="2" fontId="5" fillId="0" borderId="0" xfId="0" applyNumberFormat="1" applyFont="1" applyFill="1" applyBorder="1" applyAlignment="1">
      <alignment horizontal="left"/>
    </xf>
    <xf numFmtId="2" fontId="5" fillId="0" borderId="1" xfId="0" applyNumberFormat="1" applyFont="1" applyFill="1" applyBorder="1" applyAlignment="1">
      <alignment horizontal="left"/>
    </xf>
    <xf numFmtId="2" fontId="4" fillId="0" borderId="1" xfId="0" applyNumberFormat="1" applyFont="1" applyFill="1" applyBorder="1" applyAlignment="1">
      <alignment horizontal="center" vertical="top" wrapText="1"/>
    </xf>
    <xf numFmtId="2" fontId="18" fillId="0" borderId="1" xfId="0" applyNumberFormat="1" applyFont="1" applyFill="1" applyBorder="1" applyAlignment="1">
      <alignment horizontal="left" vertical="top"/>
    </xf>
    <xf numFmtId="2" fontId="4" fillId="0" borderId="1" xfId="0" applyNumberFormat="1" applyFont="1" applyFill="1" applyBorder="1" applyAlignment="1">
      <alignment horizontal="center" vertical="top"/>
    </xf>
    <xf numFmtId="2" fontId="3" fillId="0" borderId="1" xfId="0" applyNumberFormat="1" applyFont="1" applyFill="1" applyBorder="1" applyAlignment="1">
      <alignment horizontal="center" vertical="center" wrapText="1"/>
    </xf>
    <xf numFmtId="2" fontId="4" fillId="0" borderId="1" xfId="0" applyNumberFormat="1" applyFont="1" applyFill="1" applyBorder="1" applyAlignment="1">
      <alignment vertical="top"/>
    </xf>
    <xf numFmtId="2" fontId="4" fillId="0" borderId="1" xfId="0" applyNumberFormat="1" applyFont="1" applyFill="1" applyBorder="1" applyAlignment="1">
      <alignment horizontal="right" vertical="top"/>
    </xf>
    <xf numFmtId="164" fontId="30" fillId="0" borderId="1" xfId="0" applyNumberFormat="1" applyFont="1" applyFill="1" applyBorder="1" applyAlignment="1">
      <alignment horizontal="right" vertical="top"/>
    </xf>
    <xf numFmtId="2" fontId="4" fillId="0" borderId="1" xfId="0" applyNumberFormat="1" applyFont="1" applyFill="1" applyBorder="1" applyAlignment="1">
      <alignment horizontal="center" vertical="center" wrapText="1"/>
    </xf>
    <xf numFmtId="0" fontId="3" fillId="0" borderId="1" xfId="0" applyFont="1" applyFill="1" applyBorder="1"/>
    <xf numFmtId="2" fontId="31" fillId="0" borderId="1" xfId="0" applyNumberFormat="1" applyFont="1" applyFill="1" applyBorder="1" applyAlignment="1">
      <alignment horizontal="right" vertical="top"/>
    </xf>
    <xf numFmtId="2" fontId="32" fillId="0" borderId="1" xfId="0" applyNumberFormat="1" applyFont="1" applyFill="1" applyBorder="1" applyAlignment="1">
      <alignment horizontal="right" vertical="top"/>
    </xf>
    <xf numFmtId="2" fontId="32" fillId="0" borderId="1" xfId="0" applyNumberFormat="1" applyFont="1" applyFill="1" applyBorder="1" applyAlignment="1">
      <alignment horizontal="center" vertical="top"/>
    </xf>
    <xf numFmtId="2" fontId="32" fillId="0" borderId="1" xfId="0" quotePrefix="1" applyNumberFormat="1" applyFont="1" applyFill="1" applyBorder="1" applyAlignment="1">
      <alignment horizontal="center" vertical="top"/>
    </xf>
    <xf numFmtId="2" fontId="33" fillId="0" borderId="1" xfId="0" applyNumberFormat="1" applyFont="1" applyFill="1" applyBorder="1" applyAlignment="1">
      <alignment horizontal="right" vertical="center"/>
    </xf>
    <xf numFmtId="2" fontId="34" fillId="0" borderId="1" xfId="0" applyNumberFormat="1" applyFont="1" applyFill="1" applyBorder="1" applyAlignment="1">
      <alignment horizontal="center" vertical="top" wrapText="1"/>
    </xf>
    <xf numFmtId="2" fontId="35" fillId="0" borderId="1" xfId="0" applyNumberFormat="1" applyFont="1" applyFill="1" applyBorder="1" applyAlignment="1">
      <alignment horizontal="right" vertical="top"/>
    </xf>
    <xf numFmtId="2" fontId="36" fillId="0" borderId="1" xfId="0" applyNumberFormat="1" applyFont="1" applyFill="1" applyBorder="1" applyAlignment="1">
      <alignment horizontal="right" vertical="top"/>
    </xf>
    <xf numFmtId="2" fontId="37" fillId="0" borderId="1" xfId="0" applyNumberFormat="1" applyFont="1" applyFill="1" applyBorder="1" applyAlignment="1">
      <alignment horizontal="right" vertical="top"/>
    </xf>
    <xf numFmtId="0" fontId="34" fillId="0" borderId="1" xfId="0" applyFont="1" applyFill="1" applyBorder="1" applyAlignment="1">
      <alignment horizontal="center" vertical="top" wrapText="1"/>
    </xf>
    <xf numFmtId="164" fontId="38" fillId="0" borderId="1" xfId="0" applyNumberFormat="1" applyFont="1" applyBorder="1" applyAlignment="1">
      <alignment horizontal="center" vertical="top"/>
    </xf>
    <xf numFmtId="164" fontId="32" fillId="0" borderId="1" xfId="0" applyNumberFormat="1" applyFont="1" applyFill="1" applyBorder="1" applyAlignment="1">
      <alignment horizontal="center" vertical="top"/>
    </xf>
    <xf numFmtId="2" fontId="39" fillId="0" borderId="2" xfId="0" applyNumberFormat="1" applyFont="1" applyFill="1" applyBorder="1" applyAlignment="1">
      <alignment horizontal="left" vertical="top"/>
    </xf>
    <xf numFmtId="2" fontId="39" fillId="0" borderId="0" xfId="0" applyNumberFormat="1" applyFont="1" applyFill="1" applyBorder="1" applyAlignment="1">
      <alignment horizontal="left" vertical="top"/>
    </xf>
    <xf numFmtId="2" fontId="39" fillId="0" borderId="1" xfId="0" applyNumberFormat="1" applyFont="1" applyFill="1" applyBorder="1" applyAlignment="1">
      <alignment horizontal="left" vertical="top"/>
    </xf>
    <xf numFmtId="1" fontId="11" fillId="0" borderId="1" xfId="0" applyNumberFormat="1" applyFont="1" applyBorder="1" applyAlignment="1" applyProtection="1">
      <alignment horizontal="center" vertical="center"/>
      <protection locked="0"/>
    </xf>
    <xf numFmtId="0" fontId="40" fillId="0" borderId="1" xfId="0" quotePrefix="1" applyFont="1" applyBorder="1" applyAlignment="1" applyProtection="1">
      <alignment vertical="center" wrapText="1"/>
      <protection locked="0"/>
    </xf>
    <xf numFmtId="0" fontId="40" fillId="0" borderId="1" xfId="0" applyFont="1" applyBorder="1" applyAlignment="1" applyProtection="1">
      <alignment horizontal="justify" vertical="center" wrapText="1"/>
      <protection locked="0"/>
    </xf>
    <xf numFmtId="1" fontId="11" fillId="0" borderId="1" xfId="0" applyNumberFormat="1" applyFont="1" applyFill="1" applyBorder="1" applyAlignment="1" applyProtection="1">
      <alignment horizontal="center" vertical="center"/>
      <protection locked="0"/>
    </xf>
    <xf numFmtId="0" fontId="40" fillId="0" borderId="1" xfId="0" applyFont="1" applyBorder="1" applyAlignment="1" applyProtection="1">
      <alignment horizontal="justify" vertical="top" wrapText="1"/>
      <protection locked="0"/>
    </xf>
    <xf numFmtId="2" fontId="41" fillId="0" borderId="1" xfId="0" applyNumberFormat="1" applyFont="1" applyBorder="1" applyAlignment="1" applyProtection="1">
      <alignment vertical="top" wrapText="1"/>
      <protection locked="0"/>
    </xf>
    <xf numFmtId="0" fontId="42" fillId="0" borderId="1" xfId="0" quotePrefix="1" applyFont="1" applyFill="1" applyBorder="1" applyAlignment="1" applyProtection="1">
      <alignment vertical="center"/>
      <protection locked="0"/>
    </xf>
    <xf numFmtId="0" fontId="43" fillId="0" borderId="0" xfId="0" applyFont="1" applyAlignment="1">
      <alignment horizontal="justify" vertical="center"/>
    </xf>
    <xf numFmtId="0" fontId="43" fillId="0" borderId="0" xfId="0" applyFont="1" applyAlignment="1">
      <alignment horizontal="justify" vertical="top"/>
    </xf>
    <xf numFmtId="164" fontId="22" fillId="0" borderId="1" xfId="0" applyNumberFormat="1" applyFont="1" applyBorder="1" applyAlignment="1" applyProtection="1">
      <alignment vertical="top" wrapText="1"/>
      <protection locked="0"/>
    </xf>
    <xf numFmtId="2" fontId="22" fillId="0" borderId="1" xfId="0" applyNumberFormat="1" applyFont="1" applyBorder="1" applyAlignment="1" applyProtection="1">
      <alignment vertical="top" wrapText="1"/>
      <protection locked="0"/>
    </xf>
    <xf numFmtId="166" fontId="32" fillId="0" borderId="1" xfId="0" applyNumberFormat="1" applyFont="1" applyFill="1" applyBorder="1" applyAlignment="1">
      <alignment horizontal="center" vertical="top"/>
    </xf>
    <xf numFmtId="0" fontId="42" fillId="0" borderId="1" xfId="0" applyFont="1" applyFill="1" applyBorder="1" applyAlignment="1" applyProtection="1">
      <alignment horizontal="justify" vertical="top" wrapText="1"/>
      <protection locked="0"/>
    </xf>
    <xf numFmtId="165" fontId="41" fillId="0" borderId="1" xfId="0" applyNumberFormat="1" applyFont="1" applyBorder="1" applyAlignment="1" applyProtection="1">
      <alignment vertical="top" wrapText="1"/>
      <protection locked="0"/>
    </xf>
    <xf numFmtId="0" fontId="11" fillId="0" borderId="1" xfId="0" applyFont="1" applyFill="1" applyBorder="1" applyAlignment="1" applyProtection="1">
      <alignment vertical="top" wrapText="1"/>
      <protection locked="0"/>
    </xf>
    <xf numFmtId="0" fontId="42" fillId="0" borderId="1" xfId="0" quotePrefix="1" applyFont="1" applyBorder="1" applyAlignment="1" applyProtection="1">
      <alignment vertical="center"/>
      <protection locked="0"/>
    </xf>
    <xf numFmtId="0" fontId="42" fillId="0" borderId="1" xfId="0" applyFont="1" applyBorder="1" applyAlignment="1" applyProtection="1">
      <alignment horizontal="justify" vertical="center" wrapText="1"/>
      <protection locked="0"/>
    </xf>
    <xf numFmtId="0" fontId="42" fillId="0" borderId="1" xfId="0" applyFont="1" applyBorder="1" applyAlignment="1" applyProtection="1">
      <alignment horizontal="justify" vertical="center"/>
      <protection locked="0"/>
    </xf>
    <xf numFmtId="0" fontId="42" fillId="0" borderId="1" xfId="0" applyFont="1" applyBorder="1" applyAlignment="1" applyProtection="1">
      <alignment horizontal="justify" vertical="top"/>
      <protection locked="0"/>
    </xf>
    <xf numFmtId="0" fontId="42" fillId="0" borderId="1" xfId="0" applyFont="1" applyBorder="1" applyAlignment="1" applyProtection="1">
      <alignment vertical="center" wrapText="1"/>
      <protection locked="0"/>
    </xf>
    <xf numFmtId="0" fontId="11" fillId="0" borderId="1" xfId="0" applyFont="1" applyBorder="1" applyAlignment="1" applyProtection="1">
      <alignment horizontal="justify" vertical="top" wrapText="1"/>
      <protection locked="0"/>
    </xf>
    <xf numFmtId="1" fontId="19" fillId="0" borderId="1" xfId="0" applyNumberFormat="1" applyFont="1" applyFill="1" applyBorder="1" applyAlignment="1" applyProtection="1">
      <alignment horizontal="left" vertical="top"/>
      <protection locked="0"/>
    </xf>
    <xf numFmtId="1" fontId="19" fillId="0" borderId="1" xfId="0" quotePrefix="1" applyNumberFormat="1" applyFont="1" applyFill="1" applyBorder="1" applyAlignment="1" applyProtection="1">
      <alignment horizontal="left" vertical="top"/>
      <protection locked="0"/>
    </xf>
    <xf numFmtId="1" fontId="19" fillId="0" borderId="1" xfId="0" applyNumberFormat="1" applyFont="1" applyBorder="1" applyAlignment="1" applyProtection="1">
      <alignment horizontal="center" vertical="top"/>
      <protection locked="0"/>
    </xf>
    <xf numFmtId="0" fontId="1" fillId="0" borderId="1" xfId="0" applyFont="1" applyFill="1" applyBorder="1" applyAlignment="1">
      <alignment vertical="top" wrapText="1"/>
    </xf>
    <xf numFmtId="0" fontId="44" fillId="0" borderId="1" xfId="0" applyFont="1" applyFill="1" applyBorder="1" applyAlignment="1">
      <alignment vertical="top" wrapText="1"/>
    </xf>
    <xf numFmtId="0" fontId="10" fillId="0" borderId="1" xfId="0" applyFont="1" applyFill="1" applyBorder="1" applyAlignment="1">
      <alignment horizontal="center" vertical="center"/>
    </xf>
    <xf numFmtId="0" fontId="45" fillId="0" borderId="1" xfId="0" applyFont="1" applyFill="1" applyBorder="1" applyAlignment="1">
      <alignment vertical="top" wrapText="1"/>
    </xf>
    <xf numFmtId="2" fontId="46" fillId="0" borderId="1" xfId="0" applyNumberFormat="1" applyFont="1" applyFill="1" applyBorder="1" applyAlignment="1">
      <alignment horizontal="center" vertical="top"/>
    </xf>
    <xf numFmtId="0" fontId="42" fillId="0" borderId="1" xfId="0" quotePrefix="1" applyFont="1" applyFill="1" applyBorder="1" applyAlignment="1" applyProtection="1">
      <alignment horizontal="left" vertical="center"/>
      <protection locked="0"/>
    </xf>
    <xf numFmtId="0" fontId="40" fillId="0" borderId="1" xfId="0" quotePrefix="1" applyFont="1" applyBorder="1" applyAlignment="1" applyProtection="1">
      <alignment horizontal="left" vertical="center" wrapText="1"/>
      <protection locked="0"/>
    </xf>
    <xf numFmtId="0" fontId="11" fillId="0" borderId="1" xfId="0" quotePrefix="1" applyFont="1" applyFill="1" applyBorder="1" applyAlignment="1" applyProtection="1">
      <alignment horizontal="left" vertical="top"/>
      <protection locked="0"/>
    </xf>
    <xf numFmtId="0" fontId="42" fillId="0" borderId="1" xfId="0" applyFont="1" applyBorder="1" applyAlignment="1" applyProtection="1">
      <alignment horizontal="left" vertical="center"/>
      <protection locked="0"/>
    </xf>
    <xf numFmtId="0" fontId="8" fillId="0" borderId="1" xfId="0" applyFont="1" applyFill="1" applyBorder="1" applyAlignment="1">
      <alignment horizontal="left"/>
    </xf>
    <xf numFmtId="2" fontId="8" fillId="0" borderId="1" xfId="0" applyNumberFormat="1" applyFont="1" applyFill="1" applyBorder="1" applyAlignment="1">
      <alignment horizontal="center" vertical="top"/>
    </xf>
    <xf numFmtId="167" fontId="2" fillId="0" borderId="1" xfId="0" applyNumberFormat="1" applyFont="1" applyFill="1" applyBorder="1" applyAlignment="1">
      <alignment horizontal="center" vertical="top" wrapText="1"/>
    </xf>
    <xf numFmtId="2" fontId="11" fillId="0" borderId="1" xfId="0" applyNumberFormat="1" applyFont="1" applyFill="1" applyBorder="1" applyAlignment="1" applyProtection="1">
      <alignment horizontal="justify" vertical="top" wrapText="1"/>
      <protection locked="0"/>
    </xf>
    <xf numFmtId="2" fontId="11" fillId="0" borderId="1" xfId="0" applyNumberFormat="1" applyFont="1" applyFill="1" applyBorder="1" applyAlignment="1" applyProtection="1">
      <alignment horizontal="justify" vertical="top"/>
      <protection locked="0"/>
    </xf>
    <xf numFmtId="2" fontId="15" fillId="0" borderId="4" xfId="0" applyNumberFormat="1" applyFont="1" applyFill="1" applyBorder="1" applyAlignment="1">
      <alignment horizontal="center"/>
    </xf>
    <xf numFmtId="2" fontId="15" fillId="0" borderId="5" xfId="0" applyNumberFormat="1" applyFont="1" applyFill="1" applyBorder="1" applyAlignment="1">
      <alignment horizontal="center"/>
    </xf>
    <xf numFmtId="2" fontId="6" fillId="0" borderId="4" xfId="0" applyNumberFormat="1" applyFont="1" applyFill="1" applyBorder="1" applyAlignment="1">
      <alignment horizontal="left" vertical="top" wrapText="1"/>
    </xf>
    <xf numFmtId="2" fontId="6" fillId="0" borderId="3" xfId="0" applyNumberFormat="1" applyFont="1" applyFill="1" applyBorder="1" applyAlignment="1">
      <alignment horizontal="left" vertical="top" wrapText="1"/>
    </xf>
    <xf numFmtId="2" fontId="6" fillId="0" borderId="5" xfId="0" applyNumberFormat="1" applyFont="1" applyFill="1" applyBorder="1" applyAlignment="1">
      <alignment horizontal="left" vertical="top" wrapText="1"/>
    </xf>
    <xf numFmtId="0" fontId="8" fillId="0" borderId="1" xfId="0" applyFont="1" applyFill="1" applyBorder="1" applyAlignment="1">
      <alignment horizontal="center" vertical="center"/>
    </xf>
    <xf numFmtId="2" fontId="15" fillId="0" borderId="1" xfId="0" applyNumberFormat="1" applyFont="1" applyFill="1" applyBorder="1" applyAlignment="1">
      <alignment horizontal="center"/>
    </xf>
    <xf numFmtId="2" fontId="6" fillId="0" borderId="4" xfId="0" applyNumberFormat="1" applyFont="1" applyFill="1" applyBorder="1" applyAlignment="1">
      <alignment horizontal="left" vertical="top"/>
    </xf>
    <xf numFmtId="2" fontId="6" fillId="0" borderId="3" xfId="0" applyNumberFormat="1" applyFont="1" applyFill="1" applyBorder="1" applyAlignment="1">
      <alignment horizontal="left" vertical="top"/>
    </xf>
    <xf numFmtId="2" fontId="6" fillId="0" borderId="5" xfId="0" applyNumberFormat="1" applyFont="1" applyFill="1" applyBorder="1" applyAlignment="1">
      <alignment horizontal="left" vertical="top"/>
    </xf>
    <xf numFmtId="2" fontId="12" fillId="0" borderId="1" xfId="0" applyNumberFormat="1" applyFont="1" applyFill="1" applyBorder="1" applyAlignment="1">
      <alignment horizontal="left" vertical="top"/>
    </xf>
    <xf numFmtId="2" fontId="10" fillId="0" borderId="1" xfId="0" applyNumberFormat="1" applyFont="1" applyFill="1" applyBorder="1" applyAlignment="1">
      <alignment horizontal="center" vertical="top"/>
    </xf>
    <xf numFmtId="2" fontId="15" fillId="0" borderId="1" xfId="0" applyNumberFormat="1" applyFont="1" applyFill="1" applyBorder="1" applyAlignment="1">
      <alignment horizontal="center" wrapText="1"/>
    </xf>
    <xf numFmtId="2" fontId="10" fillId="0" borderId="1" xfId="0" applyNumberFormat="1" applyFont="1" applyFill="1" applyBorder="1" applyAlignment="1">
      <alignment horizontal="center" vertical="top" wrapText="1"/>
    </xf>
    <xf numFmtId="2" fontId="6" fillId="0" borderId="1" xfId="0" applyNumberFormat="1" applyFont="1" applyFill="1" applyBorder="1" applyAlignment="1">
      <alignment horizontal="center" vertical="top" wrapText="1"/>
    </xf>
    <xf numFmtId="2" fontId="6" fillId="0" borderId="1" xfId="0" applyNumberFormat="1" applyFont="1" applyFill="1" applyBorder="1" applyAlignment="1">
      <alignment horizontal="center" vertical="top"/>
    </xf>
    <xf numFmtId="2" fontId="15" fillId="0" borderId="3" xfId="0" applyNumberFormat="1" applyFont="1" applyFill="1" applyBorder="1" applyAlignment="1">
      <alignment horizontal="center"/>
    </xf>
    <xf numFmtId="0" fontId="6" fillId="0" borderId="1" xfId="0" applyFont="1" applyFill="1" applyBorder="1" applyAlignment="1">
      <alignment horizontal="center" wrapText="1"/>
    </xf>
    <xf numFmtId="2" fontId="8" fillId="0" borderId="1" xfId="0" applyNumberFormat="1" applyFont="1" applyFill="1" applyBorder="1" applyAlignment="1">
      <alignment horizontal="center" vertical="top"/>
    </xf>
    <xf numFmtId="0" fontId="6" fillId="0" borderId="4"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5" xfId="0" applyFont="1" applyFill="1" applyBorder="1" applyAlignment="1">
      <alignment horizontal="center" vertical="top" wrapText="1"/>
    </xf>
    <xf numFmtId="0" fontId="9" fillId="0" borderId="1" xfId="0" applyFont="1" applyFill="1" applyBorder="1" applyAlignment="1">
      <alignment horizontal="center"/>
    </xf>
    <xf numFmtId="0" fontId="6" fillId="0" borderId="4"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4" xfId="0" applyFont="1" applyFill="1" applyBorder="1" applyAlignment="1">
      <alignment horizontal="left" wrapText="1"/>
    </xf>
    <xf numFmtId="0" fontId="6" fillId="0" borderId="3"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09"/>
  <sheetViews>
    <sheetView tabSelected="1" topLeftCell="A153" workbookViewId="0">
      <pane xSplit="2" topLeftCell="C1" activePane="topRight" state="frozen"/>
      <selection activeCell="A10" sqref="A10"/>
      <selection pane="topRight" activeCell="H173" sqref="H173"/>
    </sheetView>
  </sheetViews>
  <sheetFormatPr defaultRowHeight="18" x14ac:dyDescent="0.25"/>
  <cols>
    <col min="1" max="1" width="5.140625" style="99" customWidth="1"/>
    <col min="2" max="2" width="10.42578125" style="14" customWidth="1"/>
    <col min="3" max="3" width="44.5703125" style="100" customWidth="1"/>
    <col min="4" max="4" width="7.140625" style="101" customWidth="1"/>
    <col min="5" max="5" width="9.28515625" style="102" customWidth="1"/>
    <col min="6" max="6" width="9.5703125" style="103" customWidth="1"/>
    <col min="7" max="7" width="12.7109375" style="104" customWidth="1"/>
    <col min="8" max="8" width="18.140625" style="104" customWidth="1"/>
    <col min="9" max="9" width="13.28515625" style="105" customWidth="1"/>
    <col min="10" max="10" width="17.5703125" style="104" customWidth="1"/>
    <col min="11" max="11" width="12.140625" style="116" customWidth="1"/>
    <col min="12" max="12" width="15.140625" style="104" customWidth="1"/>
    <col min="13" max="13" width="10.85546875" style="104" customWidth="1"/>
    <col min="14" max="14" width="15" style="104" customWidth="1"/>
    <col min="15" max="15" width="9.7109375" style="104" customWidth="1"/>
    <col min="16" max="16" width="14.28515625" style="104" customWidth="1"/>
    <col min="17" max="17" width="10.7109375" style="104" customWidth="1"/>
    <col min="18" max="18" width="16.7109375" style="104" customWidth="1"/>
    <col min="19" max="19" width="9.140625" style="104" customWidth="1"/>
    <col min="20" max="20" width="16.85546875" style="104" customWidth="1"/>
    <col min="21" max="21" width="9.140625" style="104" customWidth="1"/>
    <col min="22" max="22" width="15.7109375" style="104" customWidth="1"/>
    <col min="23" max="23" width="8.85546875" style="104" customWidth="1"/>
    <col min="24" max="24" width="14.5703125" style="104" customWidth="1"/>
    <col min="25" max="25" width="12.7109375" style="104" customWidth="1"/>
    <col min="26" max="26" width="15.28515625" style="104" customWidth="1"/>
    <col min="27" max="27" width="13.7109375" style="104" customWidth="1"/>
    <col min="28" max="28" width="15.140625" style="104" customWidth="1"/>
    <col min="29" max="29" width="20" style="107" customWidth="1"/>
    <col min="30" max="30" width="10.42578125" style="12" customWidth="1"/>
    <col min="31" max="54" width="9.140625" style="13"/>
    <col min="55" max="16384" width="9.140625" style="14"/>
  </cols>
  <sheetData>
    <row r="1" spans="1:54" s="10" customFormat="1" ht="20.25" x14ac:dyDescent="0.3">
      <c r="A1" s="2"/>
      <c r="B1" s="3"/>
      <c r="C1" s="4">
        <f>H184*1/100</f>
        <v>102681.04223064</v>
      </c>
      <c r="D1" s="5"/>
      <c r="E1" s="6"/>
      <c r="F1" s="3"/>
      <c r="G1" s="183" t="s">
        <v>73</v>
      </c>
      <c r="H1" s="183"/>
      <c r="I1" s="183"/>
      <c r="J1" s="183"/>
      <c r="K1" s="183"/>
      <c r="L1" s="183"/>
      <c r="M1" s="183"/>
      <c r="N1" s="183"/>
      <c r="O1" s="183"/>
      <c r="P1" s="183"/>
      <c r="Q1" s="183"/>
      <c r="R1" s="3"/>
      <c r="S1" s="3"/>
      <c r="T1" s="3"/>
      <c r="U1" s="3"/>
      <c r="V1" s="3"/>
      <c r="W1" s="3"/>
      <c r="X1" s="3"/>
      <c r="Y1" s="3"/>
      <c r="Z1" s="3"/>
      <c r="AA1" s="3"/>
      <c r="AB1" s="3"/>
      <c r="AC1" s="7"/>
      <c r="AD1" s="8"/>
      <c r="AE1" s="9"/>
      <c r="AF1" s="9"/>
      <c r="AG1" s="9"/>
      <c r="AH1" s="9"/>
      <c r="AI1" s="9"/>
      <c r="AJ1" s="9"/>
      <c r="AK1" s="9"/>
      <c r="AL1" s="9"/>
      <c r="AM1" s="9"/>
      <c r="AN1" s="9"/>
      <c r="AO1" s="9"/>
      <c r="AP1" s="9"/>
      <c r="AQ1" s="9"/>
      <c r="AR1" s="9"/>
      <c r="AS1" s="9"/>
      <c r="AT1" s="9"/>
      <c r="AU1" s="9"/>
      <c r="AV1" s="9"/>
      <c r="AW1" s="9"/>
      <c r="AX1" s="9"/>
      <c r="AY1" s="9"/>
      <c r="AZ1" s="9"/>
      <c r="BA1" s="9"/>
      <c r="BB1" s="9"/>
    </row>
    <row r="2" spans="1:54" ht="60.75" customHeight="1" x14ac:dyDescent="0.2">
      <c r="A2" s="11"/>
      <c r="B2" s="184" t="s">
        <v>140</v>
      </c>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6"/>
    </row>
    <row r="3" spans="1:54" ht="24" customHeight="1" x14ac:dyDescent="0.25">
      <c r="A3" s="11"/>
      <c r="B3" s="187" t="s">
        <v>141</v>
      </c>
      <c r="C3" s="188"/>
      <c r="D3" s="188"/>
      <c r="E3" s="188"/>
      <c r="F3" s="188"/>
      <c r="G3" s="188"/>
      <c r="H3" s="188"/>
      <c r="I3" s="188"/>
      <c r="J3" s="188"/>
      <c r="K3" s="188"/>
      <c r="L3" s="15"/>
      <c r="M3" s="180" t="s">
        <v>74</v>
      </c>
      <c r="N3" s="181"/>
      <c r="O3" s="181"/>
      <c r="P3" s="181"/>
      <c r="Q3" s="181"/>
      <c r="R3" s="181"/>
      <c r="S3" s="181"/>
      <c r="T3" s="181"/>
      <c r="U3" s="181"/>
      <c r="V3" s="181"/>
      <c r="W3" s="181"/>
      <c r="X3" s="181"/>
      <c r="Y3" s="181"/>
      <c r="Z3" s="181"/>
      <c r="AA3" s="181"/>
      <c r="AB3" s="181"/>
      <c r="AC3" s="182"/>
    </row>
    <row r="4" spans="1:54" x14ac:dyDescent="0.25">
      <c r="A4" s="175" t="s">
        <v>22</v>
      </c>
      <c r="B4" s="176" t="s">
        <v>3</v>
      </c>
      <c r="C4" s="179" t="s">
        <v>13</v>
      </c>
      <c r="D4" s="178"/>
      <c r="E4" s="178"/>
      <c r="F4" s="178"/>
      <c r="G4" s="178"/>
      <c r="H4" s="178"/>
      <c r="I4" s="178"/>
      <c r="J4" s="178"/>
      <c r="K4" s="178" t="s">
        <v>23</v>
      </c>
      <c r="L4" s="178"/>
      <c r="M4" s="178"/>
      <c r="N4" s="178"/>
      <c r="O4" s="178"/>
      <c r="P4" s="178"/>
      <c r="Q4" s="178"/>
      <c r="R4" s="178"/>
      <c r="S4" s="175" t="s">
        <v>24</v>
      </c>
      <c r="T4" s="175"/>
      <c r="U4" s="176" t="s">
        <v>25</v>
      </c>
      <c r="V4" s="176"/>
      <c r="W4" s="176"/>
      <c r="X4" s="176"/>
      <c r="Y4" s="176" t="s">
        <v>26</v>
      </c>
      <c r="Z4" s="176"/>
      <c r="AA4" s="176"/>
      <c r="AB4" s="176"/>
      <c r="AC4" s="16"/>
    </row>
    <row r="5" spans="1:54" ht="32.25" customHeight="1" x14ac:dyDescent="0.2">
      <c r="A5" s="175"/>
      <c r="B5" s="176"/>
      <c r="C5" s="179"/>
      <c r="D5" s="17" t="s">
        <v>14</v>
      </c>
      <c r="E5" s="6" t="s">
        <v>7</v>
      </c>
      <c r="F5" s="19" t="s">
        <v>27</v>
      </c>
      <c r="G5" s="176" t="s">
        <v>28</v>
      </c>
      <c r="H5" s="176"/>
      <c r="I5" s="176" t="s">
        <v>88</v>
      </c>
      <c r="J5" s="176"/>
      <c r="K5" s="176" t="s">
        <v>29</v>
      </c>
      <c r="L5" s="176"/>
      <c r="M5" s="176" t="s">
        <v>30</v>
      </c>
      <c r="N5" s="176"/>
      <c r="O5" s="176" t="s">
        <v>31</v>
      </c>
      <c r="P5" s="176"/>
      <c r="Q5" s="176" t="s">
        <v>32</v>
      </c>
      <c r="R5" s="176"/>
      <c r="S5" s="175"/>
      <c r="T5" s="175"/>
      <c r="U5" s="174" t="s">
        <v>33</v>
      </c>
      <c r="V5" s="172" t="s">
        <v>8</v>
      </c>
      <c r="W5" s="174" t="s">
        <v>34</v>
      </c>
      <c r="X5" s="172" t="s">
        <v>8</v>
      </c>
      <c r="Y5" s="174" t="s">
        <v>35</v>
      </c>
      <c r="Z5" s="174" t="s">
        <v>8</v>
      </c>
      <c r="AA5" s="174" t="s">
        <v>36</v>
      </c>
      <c r="AB5" s="174" t="s">
        <v>8</v>
      </c>
      <c r="AC5" s="166" t="s">
        <v>15</v>
      </c>
    </row>
    <row r="6" spans="1:54" s="29" customFormat="1" ht="16.5" customHeight="1" x14ac:dyDescent="0.2">
      <c r="A6" s="175"/>
      <c r="B6" s="176"/>
      <c r="C6" s="179"/>
      <c r="D6" s="21"/>
      <c r="E6" s="23"/>
      <c r="F6" s="24"/>
      <c r="G6" s="25" t="s">
        <v>37</v>
      </c>
      <c r="H6" s="25" t="s">
        <v>8</v>
      </c>
      <c r="I6" s="26" t="s">
        <v>37</v>
      </c>
      <c r="J6" s="25" t="s">
        <v>8</v>
      </c>
      <c r="K6" s="108" t="s">
        <v>37</v>
      </c>
      <c r="L6" s="25" t="s">
        <v>8</v>
      </c>
      <c r="M6" s="25" t="s">
        <v>37</v>
      </c>
      <c r="N6" s="25" t="s">
        <v>8</v>
      </c>
      <c r="O6" s="25" t="s">
        <v>37</v>
      </c>
      <c r="P6" s="25" t="s">
        <v>8</v>
      </c>
      <c r="Q6" s="25" t="s">
        <v>37</v>
      </c>
      <c r="R6" s="25" t="s">
        <v>8</v>
      </c>
      <c r="S6" s="25" t="s">
        <v>5</v>
      </c>
      <c r="T6" s="25" t="s">
        <v>8</v>
      </c>
      <c r="U6" s="174"/>
      <c r="V6" s="172"/>
      <c r="W6" s="174"/>
      <c r="X6" s="172"/>
      <c r="Y6" s="174"/>
      <c r="Z6" s="174"/>
      <c r="AA6" s="174"/>
      <c r="AB6" s="174"/>
      <c r="AC6" s="166"/>
      <c r="AD6" s="27"/>
      <c r="AE6" s="28"/>
      <c r="AF6" s="28"/>
      <c r="AG6" s="28"/>
      <c r="AH6" s="28"/>
      <c r="AI6" s="28"/>
      <c r="AJ6" s="28"/>
      <c r="AK6" s="28"/>
      <c r="AL6" s="28"/>
      <c r="AM6" s="28"/>
      <c r="AN6" s="28"/>
      <c r="AO6" s="28"/>
      <c r="AP6" s="28"/>
      <c r="AQ6" s="28"/>
      <c r="AR6" s="28"/>
      <c r="AS6" s="28"/>
      <c r="AT6" s="28"/>
      <c r="AU6" s="28"/>
      <c r="AV6" s="28"/>
      <c r="AW6" s="28"/>
      <c r="AX6" s="28"/>
      <c r="AY6" s="28"/>
      <c r="AZ6" s="28"/>
      <c r="BA6" s="28"/>
      <c r="BB6" s="28"/>
    </row>
    <row r="7" spans="1:54" s="29" customFormat="1" ht="16.5" x14ac:dyDescent="0.2">
      <c r="A7" s="20"/>
      <c r="B7" s="30"/>
      <c r="C7" s="30"/>
      <c r="D7" s="21"/>
      <c r="E7" s="23"/>
      <c r="F7" s="24" t="s">
        <v>38</v>
      </c>
      <c r="G7" s="25"/>
      <c r="H7" s="25" t="s">
        <v>39</v>
      </c>
      <c r="I7" s="26"/>
      <c r="J7" s="25" t="s">
        <v>39</v>
      </c>
      <c r="K7" s="108"/>
      <c r="L7" s="25" t="s">
        <v>39</v>
      </c>
      <c r="M7" s="25"/>
      <c r="N7" s="25" t="s">
        <v>39</v>
      </c>
      <c r="O7" s="25"/>
      <c r="P7" s="25" t="s">
        <v>40</v>
      </c>
      <c r="Q7" s="25"/>
      <c r="R7" s="25" t="s">
        <v>39</v>
      </c>
      <c r="S7" s="25"/>
      <c r="T7" s="25" t="s">
        <v>39</v>
      </c>
      <c r="U7" s="174"/>
      <c r="V7" s="25" t="s">
        <v>39</v>
      </c>
      <c r="W7" s="174"/>
      <c r="X7" s="25" t="s">
        <v>39</v>
      </c>
      <c r="Y7" s="174"/>
      <c r="Z7" s="31" t="s">
        <v>39</v>
      </c>
      <c r="AA7" s="174"/>
      <c r="AB7" s="31" t="s">
        <v>39</v>
      </c>
      <c r="AC7" s="166"/>
      <c r="AD7" s="27"/>
      <c r="AE7" s="28"/>
      <c r="AF7" s="28"/>
      <c r="AG7" s="28"/>
      <c r="AH7" s="28"/>
      <c r="AI7" s="28"/>
      <c r="AJ7" s="28"/>
      <c r="AK7" s="28"/>
      <c r="AL7" s="28"/>
      <c r="AM7" s="28"/>
      <c r="AN7" s="28"/>
      <c r="AO7" s="28"/>
      <c r="AP7" s="28"/>
      <c r="AQ7" s="28"/>
      <c r="AR7" s="28"/>
      <c r="AS7" s="28"/>
      <c r="AT7" s="28"/>
      <c r="AU7" s="28"/>
      <c r="AV7" s="28"/>
      <c r="AW7" s="28"/>
      <c r="AX7" s="28"/>
      <c r="AY7" s="28"/>
      <c r="AZ7" s="28"/>
      <c r="BA7" s="28"/>
      <c r="BB7" s="28"/>
    </row>
    <row r="8" spans="1:54" s="38" customFormat="1" ht="17.25" x14ac:dyDescent="0.2">
      <c r="A8" s="171" t="s">
        <v>89</v>
      </c>
      <c r="B8" s="171"/>
      <c r="C8" s="171"/>
      <c r="D8" s="32"/>
      <c r="E8" s="6"/>
      <c r="F8" s="33"/>
      <c r="G8" s="34"/>
      <c r="H8" s="34"/>
      <c r="I8" s="35"/>
      <c r="J8" s="34"/>
      <c r="K8" s="109"/>
      <c r="L8" s="34"/>
      <c r="M8" s="34"/>
      <c r="N8" s="34"/>
      <c r="O8" s="34"/>
      <c r="P8" s="34"/>
      <c r="Q8" s="34"/>
      <c r="R8" s="34"/>
      <c r="S8" s="34"/>
      <c r="T8" s="34"/>
      <c r="U8" s="34"/>
      <c r="V8" s="34"/>
      <c r="W8" s="34"/>
      <c r="X8" s="34"/>
      <c r="Y8" s="34"/>
      <c r="Z8" s="18"/>
      <c r="AA8" s="18"/>
      <c r="AB8" s="18"/>
      <c r="AC8" s="22"/>
      <c r="AD8" s="36"/>
      <c r="AE8" s="37"/>
      <c r="AF8" s="37"/>
      <c r="AG8" s="37"/>
      <c r="AH8" s="37"/>
      <c r="AI8" s="37"/>
      <c r="AJ8" s="37"/>
      <c r="AK8" s="37"/>
      <c r="AL8" s="37"/>
      <c r="AM8" s="37"/>
      <c r="AN8" s="37"/>
      <c r="AO8" s="37"/>
      <c r="AP8" s="37"/>
      <c r="AQ8" s="37"/>
      <c r="AR8" s="37"/>
      <c r="AS8" s="37"/>
      <c r="AT8" s="37"/>
      <c r="AU8" s="37"/>
      <c r="AV8" s="37"/>
      <c r="AW8" s="37"/>
      <c r="AX8" s="37"/>
      <c r="AY8" s="37"/>
      <c r="AZ8" s="37"/>
      <c r="BA8" s="37"/>
      <c r="BB8" s="37"/>
    </row>
    <row r="9" spans="1:54" s="38" customFormat="1" ht="130.5" customHeight="1" x14ac:dyDescent="0.2">
      <c r="A9" s="123">
        <v>1</v>
      </c>
      <c r="B9" s="124" t="s">
        <v>75</v>
      </c>
      <c r="C9" s="125" t="s">
        <v>76</v>
      </c>
      <c r="D9" s="39" t="s">
        <v>90</v>
      </c>
      <c r="E9" s="128" t="s">
        <v>4</v>
      </c>
      <c r="F9" s="128">
        <v>100.28</v>
      </c>
      <c r="G9" s="128">
        <v>1597.41</v>
      </c>
      <c r="H9" s="40">
        <f t="shared" ref="H9:H14" si="0">F9*G9</f>
        <v>160188.27480000001</v>
      </c>
      <c r="I9" s="41">
        <v>1017.51</v>
      </c>
      <c r="J9" s="40">
        <f>F9*I9</f>
        <v>102035.9028</v>
      </c>
      <c r="K9" s="110">
        <v>0</v>
      </c>
      <c r="L9" s="42">
        <f t="shared" ref="L9:L14" si="1">IF(ISNONTEXT(K9),$F9*K9,"0")</f>
        <v>0</v>
      </c>
      <c r="M9" s="42">
        <v>0</v>
      </c>
      <c r="N9" s="42">
        <f t="shared" ref="N9:N14" si="2">IF(ISNONTEXT(M9),$F9*M9,"0")</f>
        <v>0</v>
      </c>
      <c r="O9" s="42" t="str">
        <f>IF(D9="NF",IF($M9&gt;0,IF($G9*1.4&lt;$I9,IF(($G9*1.5)&lt;$I9,$G9*0.1,$I9-($G9+$K9+$M9)),"0"),"0"),"0")</f>
        <v>0</v>
      </c>
      <c r="P9" s="42" t="str">
        <f t="shared" ref="P9:P14" si="3">IF(ISNONTEXT(O9),$F9*O9,"0")</f>
        <v>0</v>
      </c>
      <c r="Q9" s="42">
        <v>0</v>
      </c>
      <c r="R9" s="42">
        <f t="shared" ref="R9:R14" si="4">IF(ISNONTEXT(Q9),$F9*Q9,"0")</f>
        <v>0</v>
      </c>
      <c r="S9" s="42">
        <f t="shared" ref="S9:S14" si="5">IF(D9="F",IF(I9&gt;G9, I9-G9,0),"0")</f>
        <v>0</v>
      </c>
      <c r="T9" s="42">
        <f t="shared" ref="T9:T14" si="6">S9*F9</f>
        <v>0</v>
      </c>
      <c r="U9" s="42" t="str">
        <f t="shared" ref="U9:U14" si="7">IF(D9="m",IF(I9&gt;G9*2,G9*1,IF(I9&gt;G9,I9-G9,0)),"0")</f>
        <v>0</v>
      </c>
      <c r="V9" s="42">
        <f t="shared" ref="V9:V14" si="8">U9*F9</f>
        <v>0</v>
      </c>
      <c r="W9" s="42" t="str">
        <f t="shared" ref="W9:W14" si="9">IF(D9="M",IF(I9&gt;G9*2,I9-G9*2,0),"0")</f>
        <v>0</v>
      </c>
      <c r="X9" s="42">
        <f t="shared" ref="X9:X14" si="10">W9*F9</f>
        <v>0</v>
      </c>
      <c r="Y9" s="42">
        <v>399.35</v>
      </c>
      <c r="Z9" s="42">
        <f t="shared" ref="Z9:Z14" si="11">Y9*F9</f>
        <v>40046.817999999999</v>
      </c>
      <c r="AA9" s="42">
        <v>178.06</v>
      </c>
      <c r="AB9" s="42">
        <f t="shared" ref="AB9:AB14" si="12">AA9*F9</f>
        <v>17855.856800000001</v>
      </c>
      <c r="AC9" s="147" t="s">
        <v>127</v>
      </c>
      <c r="AD9" s="36"/>
      <c r="AE9" s="37"/>
      <c r="AF9" s="37"/>
      <c r="AG9" s="37"/>
      <c r="AH9" s="37"/>
      <c r="AI9" s="37"/>
      <c r="AJ9" s="37"/>
      <c r="AK9" s="37"/>
      <c r="AL9" s="37"/>
      <c r="AM9" s="37"/>
      <c r="AN9" s="37"/>
      <c r="AO9" s="37"/>
      <c r="AP9" s="37"/>
      <c r="AQ9" s="37"/>
      <c r="AR9" s="37"/>
      <c r="AS9" s="37"/>
      <c r="AT9" s="37"/>
      <c r="AU9" s="37"/>
      <c r="AV9" s="37"/>
      <c r="AW9" s="37"/>
      <c r="AX9" s="37"/>
      <c r="AY9" s="37"/>
      <c r="AZ9" s="37"/>
      <c r="BA9" s="37"/>
      <c r="BB9" s="37"/>
    </row>
    <row r="10" spans="1:54" s="38" customFormat="1" ht="58.5" customHeight="1" x14ac:dyDescent="0.2">
      <c r="A10" s="126">
        <v>2</v>
      </c>
      <c r="B10" s="124" t="s">
        <v>77</v>
      </c>
      <c r="C10" s="125" t="s">
        <v>78</v>
      </c>
      <c r="D10" s="39" t="s">
        <v>90</v>
      </c>
      <c r="E10" s="128" t="s">
        <v>4</v>
      </c>
      <c r="F10" s="128">
        <v>10.1</v>
      </c>
      <c r="G10" s="128">
        <v>6.55</v>
      </c>
      <c r="H10" s="40">
        <f>F10*G10</f>
        <v>66.155000000000001</v>
      </c>
      <c r="I10" s="41">
        <v>0</v>
      </c>
      <c r="J10" s="40">
        <f>F10*I10</f>
        <v>0</v>
      </c>
      <c r="K10" s="110">
        <v>0</v>
      </c>
      <c r="L10" s="42">
        <f>IF(ISNONTEXT(K10),$F10*K10,"0")</f>
        <v>0</v>
      </c>
      <c r="M10" s="42">
        <v>0</v>
      </c>
      <c r="N10" s="42">
        <f>IF(ISNONTEXT(M10),$F10*M10,"0")</f>
        <v>0</v>
      </c>
      <c r="O10" s="42" t="str">
        <f>IF(D10="NF",IF($M10&gt;0,IF($G10*1.4&lt;$I10,IF(($G10*1.5)&lt;$I10,$G10*0.1,$I10-($G10+$K10+$M10)),"0"),"0"),"0")</f>
        <v>0</v>
      </c>
      <c r="P10" s="42" t="str">
        <f>IF(ISNONTEXT(O10),$F10*O10,"0")</f>
        <v>0</v>
      </c>
      <c r="Q10" s="42">
        <v>0</v>
      </c>
      <c r="R10" s="42">
        <f>IF(ISNONTEXT(Q10),$F10*Q10,"0")</f>
        <v>0</v>
      </c>
      <c r="S10" s="42">
        <f>IF(D10="F",IF(I10&gt;G10, I10-G10,0),"0")</f>
        <v>0</v>
      </c>
      <c r="T10" s="42">
        <f>S10*F10</f>
        <v>0</v>
      </c>
      <c r="U10" s="42" t="str">
        <f>IF(D10="m",IF(I10&gt;G10*2,G10*1,IF(I10&gt;G10,I10-G10,0)),"0")</f>
        <v>0</v>
      </c>
      <c r="V10" s="42">
        <f>U10*F10</f>
        <v>0</v>
      </c>
      <c r="W10" s="42" t="str">
        <f>IF(D10="M",IF(I10&gt;G10*2,I10-G10*2,0),"0")</f>
        <v>0</v>
      </c>
      <c r="X10" s="42">
        <f>W10*F10</f>
        <v>0</v>
      </c>
      <c r="Y10" s="42">
        <v>0</v>
      </c>
      <c r="Z10" s="42">
        <f>Y10*F10</f>
        <v>0</v>
      </c>
      <c r="AA10" s="42">
        <v>0</v>
      </c>
      <c r="AB10" s="42">
        <f>AA10*F10</f>
        <v>0</v>
      </c>
      <c r="AC10" s="147" t="s">
        <v>127</v>
      </c>
      <c r="AD10" s="36"/>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row>
    <row r="11" spans="1:54" s="38" customFormat="1" ht="48" customHeight="1" x14ac:dyDescent="0.2">
      <c r="A11" s="126">
        <v>3</v>
      </c>
      <c r="B11" s="124" t="s">
        <v>79</v>
      </c>
      <c r="C11" s="127" t="s">
        <v>80</v>
      </c>
      <c r="D11" s="39" t="s">
        <v>90</v>
      </c>
      <c r="E11" s="128" t="s">
        <v>4</v>
      </c>
      <c r="F11" s="128">
        <v>615.03</v>
      </c>
      <c r="G11" s="128">
        <v>16.420000000000002</v>
      </c>
      <c r="H11" s="40">
        <f t="shared" si="0"/>
        <v>10098.792600000001</v>
      </c>
      <c r="I11" s="41">
        <v>28.66</v>
      </c>
      <c r="J11" s="40">
        <f>F11*I11</f>
        <v>17626.7598</v>
      </c>
      <c r="K11" s="110">
        <v>0</v>
      </c>
      <c r="L11" s="42">
        <f t="shared" si="1"/>
        <v>0</v>
      </c>
      <c r="M11" s="42" t="str">
        <f>IF(D11="NF",IF($K11&gt;0,IF($G11*1.25&lt;$I11,IF(($G11*1.4)&lt;$I11,$G11*0.15,$I11-($G11+$K11)),"0"),"0"),"0")</f>
        <v>0</v>
      </c>
      <c r="N11" s="42" t="str">
        <f t="shared" si="2"/>
        <v>0</v>
      </c>
      <c r="O11" s="42">
        <v>0</v>
      </c>
      <c r="P11" s="42">
        <f t="shared" si="3"/>
        <v>0</v>
      </c>
      <c r="Q11" s="42">
        <v>0</v>
      </c>
      <c r="R11" s="42">
        <f t="shared" si="4"/>
        <v>0</v>
      </c>
      <c r="S11" s="42">
        <f t="shared" si="5"/>
        <v>12.239999999999998</v>
      </c>
      <c r="T11" s="42">
        <f t="shared" si="6"/>
        <v>7527.9671999999991</v>
      </c>
      <c r="U11" s="42" t="str">
        <f t="shared" si="7"/>
        <v>0</v>
      </c>
      <c r="V11" s="42">
        <f t="shared" si="8"/>
        <v>0</v>
      </c>
      <c r="W11" s="42" t="str">
        <f t="shared" si="9"/>
        <v>0</v>
      </c>
      <c r="X11" s="42">
        <f t="shared" si="10"/>
        <v>0</v>
      </c>
      <c r="Y11" s="42">
        <v>0</v>
      </c>
      <c r="Z11" s="42">
        <f t="shared" si="11"/>
        <v>0</v>
      </c>
      <c r="AA11" s="42">
        <v>0</v>
      </c>
      <c r="AB11" s="42">
        <f t="shared" si="12"/>
        <v>0</v>
      </c>
      <c r="AC11" s="147" t="s">
        <v>128</v>
      </c>
      <c r="AD11" s="36"/>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row>
    <row r="12" spans="1:54" s="38" customFormat="1" ht="60.75" customHeight="1" x14ac:dyDescent="0.2">
      <c r="A12" s="126">
        <v>4</v>
      </c>
      <c r="B12" s="124" t="s">
        <v>81</v>
      </c>
      <c r="C12" s="125" t="s">
        <v>82</v>
      </c>
      <c r="D12" s="39" t="s">
        <v>90</v>
      </c>
      <c r="E12" s="128" t="s">
        <v>4</v>
      </c>
      <c r="F12" s="128">
        <v>2085.21</v>
      </c>
      <c r="G12" s="128">
        <v>21.89</v>
      </c>
      <c r="H12" s="40">
        <f t="shared" si="0"/>
        <v>45645.246900000006</v>
      </c>
      <c r="I12" s="41">
        <v>2.52</v>
      </c>
      <c r="J12" s="40">
        <f>F12*I12</f>
        <v>5254.7291999999998</v>
      </c>
      <c r="K12" s="110">
        <v>0</v>
      </c>
      <c r="L12" s="42">
        <f t="shared" si="1"/>
        <v>0</v>
      </c>
      <c r="M12" s="42" t="str">
        <f>IF(D12="NF",IF($K12&gt;0,IF($G12*1.25&lt;$I12,IF(($G12*1.4)&lt;$I12,$G12*0.15,$I12-($G12+$K12)),"0"),"0"),"0")</f>
        <v>0</v>
      </c>
      <c r="N12" s="42" t="str">
        <f t="shared" si="2"/>
        <v>0</v>
      </c>
      <c r="O12" s="42">
        <v>0</v>
      </c>
      <c r="P12" s="42">
        <f t="shared" si="3"/>
        <v>0</v>
      </c>
      <c r="Q12" s="42">
        <v>0</v>
      </c>
      <c r="R12" s="42">
        <f t="shared" si="4"/>
        <v>0</v>
      </c>
      <c r="S12" s="42">
        <f t="shared" si="5"/>
        <v>0</v>
      </c>
      <c r="T12" s="42">
        <f t="shared" si="6"/>
        <v>0</v>
      </c>
      <c r="U12" s="42" t="str">
        <f t="shared" si="7"/>
        <v>0</v>
      </c>
      <c r="V12" s="42">
        <f t="shared" si="8"/>
        <v>0</v>
      </c>
      <c r="W12" s="42" t="str">
        <f t="shared" si="9"/>
        <v>0</v>
      </c>
      <c r="X12" s="42">
        <f t="shared" si="10"/>
        <v>0</v>
      </c>
      <c r="Y12" s="42">
        <v>5.47</v>
      </c>
      <c r="Z12" s="42">
        <f t="shared" si="11"/>
        <v>11406.0987</v>
      </c>
      <c r="AA12" s="42">
        <v>13.92</v>
      </c>
      <c r="AB12" s="42">
        <f t="shared" si="12"/>
        <v>29026.123200000002</v>
      </c>
      <c r="AC12" s="147" t="s">
        <v>130</v>
      </c>
      <c r="AD12" s="36"/>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row>
    <row r="13" spans="1:54" s="38" customFormat="1" ht="49.5" x14ac:dyDescent="0.2">
      <c r="A13" s="126">
        <v>5</v>
      </c>
      <c r="B13" s="124" t="s">
        <v>83</v>
      </c>
      <c r="C13" s="125" t="s">
        <v>84</v>
      </c>
      <c r="D13" s="39" t="s">
        <v>90</v>
      </c>
      <c r="E13" s="128" t="s">
        <v>4</v>
      </c>
      <c r="F13" s="128">
        <v>1865.68</v>
      </c>
      <c r="G13" s="128">
        <v>81.84</v>
      </c>
      <c r="H13" s="40">
        <f t="shared" si="0"/>
        <v>152687.2512</v>
      </c>
      <c r="I13" s="41">
        <v>4.7</v>
      </c>
      <c r="J13" s="40">
        <f>F13*I13</f>
        <v>8768.6959999999999</v>
      </c>
      <c r="K13" s="110">
        <v>0</v>
      </c>
      <c r="L13" s="42">
        <f t="shared" si="1"/>
        <v>0</v>
      </c>
      <c r="M13" s="42" t="str">
        <f>IF(D13="NF",IF($K13&gt;0,IF($G13*1.25&lt;$I13,IF(($G13*1.4)&lt;$I13,$G13*0.15,$I13-($G13+$K13)),"0"),"0"),"0")</f>
        <v>0</v>
      </c>
      <c r="N13" s="42" t="str">
        <f t="shared" si="2"/>
        <v>0</v>
      </c>
      <c r="O13" s="42">
        <v>0</v>
      </c>
      <c r="P13" s="42">
        <f t="shared" si="3"/>
        <v>0</v>
      </c>
      <c r="Q13" s="42">
        <v>0</v>
      </c>
      <c r="R13" s="42">
        <f t="shared" si="4"/>
        <v>0</v>
      </c>
      <c r="S13" s="42">
        <f t="shared" si="5"/>
        <v>0</v>
      </c>
      <c r="T13" s="42">
        <f t="shared" si="6"/>
        <v>0</v>
      </c>
      <c r="U13" s="42" t="str">
        <f t="shared" si="7"/>
        <v>0</v>
      </c>
      <c r="V13" s="42">
        <f t="shared" si="8"/>
        <v>0</v>
      </c>
      <c r="W13" s="42" t="str">
        <f t="shared" si="9"/>
        <v>0</v>
      </c>
      <c r="X13" s="42">
        <f t="shared" si="10"/>
        <v>0</v>
      </c>
      <c r="Y13" s="42">
        <v>20.46</v>
      </c>
      <c r="Z13" s="42">
        <f t="shared" si="11"/>
        <v>38171.8128</v>
      </c>
      <c r="AA13" s="42">
        <v>55.98</v>
      </c>
      <c r="AB13" s="42">
        <f t="shared" si="12"/>
        <v>104440.76639999999</v>
      </c>
      <c r="AC13" s="147" t="s">
        <v>246</v>
      </c>
      <c r="AD13" s="36"/>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row>
    <row r="14" spans="1:54" s="38" customFormat="1" ht="63.75" customHeight="1" x14ac:dyDescent="0.2">
      <c r="A14" s="126">
        <v>6</v>
      </c>
      <c r="B14" s="124" t="s">
        <v>85</v>
      </c>
      <c r="C14" s="125" t="s">
        <v>142</v>
      </c>
      <c r="D14" s="39" t="s">
        <v>90</v>
      </c>
      <c r="E14" s="128" t="s">
        <v>4</v>
      </c>
      <c r="F14" s="128">
        <v>2309.4499999999998</v>
      </c>
      <c r="G14" s="128">
        <v>487.35</v>
      </c>
      <c r="H14" s="40">
        <f t="shared" si="0"/>
        <v>1125510.4575</v>
      </c>
      <c r="I14" s="41">
        <v>455.18</v>
      </c>
      <c r="J14" s="40">
        <f t="shared" ref="J14:J21" si="13">F14*I14</f>
        <v>1051215.4509999999</v>
      </c>
      <c r="K14" s="110">
        <v>0</v>
      </c>
      <c r="L14" s="42">
        <f t="shared" si="1"/>
        <v>0</v>
      </c>
      <c r="M14" s="42" t="str">
        <f>IF(D14="NF",IF($K14&gt;0,IF($G14*1.25&lt;$I14,IF(($G14*1.4)&lt;$I14,$G14*0.15,$I14-($G14+$K14)),"0"),"0"),"0")</f>
        <v>0</v>
      </c>
      <c r="N14" s="42" t="str">
        <f t="shared" si="2"/>
        <v>0</v>
      </c>
      <c r="O14" s="42">
        <v>0</v>
      </c>
      <c r="P14" s="42">
        <f t="shared" si="3"/>
        <v>0</v>
      </c>
      <c r="Q14" s="42" t="str">
        <f>IF(D14="NF",IF(G14*1.5&lt;I14,I14-(G14+K14+M14+O14),"0"),"0")</f>
        <v>0</v>
      </c>
      <c r="R14" s="42" t="str">
        <f t="shared" si="4"/>
        <v>0</v>
      </c>
      <c r="S14" s="42">
        <f t="shared" si="5"/>
        <v>0</v>
      </c>
      <c r="T14" s="42">
        <f t="shared" si="6"/>
        <v>0</v>
      </c>
      <c r="U14" s="42" t="str">
        <f t="shared" si="7"/>
        <v>0</v>
      </c>
      <c r="V14" s="42">
        <f t="shared" si="8"/>
        <v>0</v>
      </c>
      <c r="W14" s="42" t="str">
        <f t="shared" si="9"/>
        <v>0</v>
      </c>
      <c r="X14" s="42">
        <f t="shared" si="10"/>
        <v>0</v>
      </c>
      <c r="Y14" s="42">
        <v>33.15</v>
      </c>
      <c r="Z14" s="42">
        <f t="shared" si="11"/>
        <v>76558.267499999987</v>
      </c>
      <c r="AA14" s="43">
        <v>0</v>
      </c>
      <c r="AB14" s="42">
        <f t="shared" si="12"/>
        <v>0</v>
      </c>
      <c r="AC14" s="147" t="s">
        <v>131</v>
      </c>
      <c r="AD14" s="36"/>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row>
    <row r="15" spans="1:54" s="38" customFormat="1" ht="67.5" customHeight="1" x14ac:dyDescent="0.2">
      <c r="A15" s="126">
        <v>7</v>
      </c>
      <c r="B15" s="124" t="s">
        <v>143</v>
      </c>
      <c r="C15" s="127" t="s">
        <v>92</v>
      </c>
      <c r="D15" s="39" t="s">
        <v>90</v>
      </c>
      <c r="E15" s="128" t="s">
        <v>0</v>
      </c>
      <c r="F15" s="128">
        <v>2326.6999999999998</v>
      </c>
      <c r="G15" s="128">
        <v>47.49</v>
      </c>
      <c r="H15" s="40">
        <f>F15*G15</f>
        <v>110494.98299999999</v>
      </c>
      <c r="I15" s="41">
        <v>45.94</v>
      </c>
      <c r="J15" s="40">
        <f t="shared" si="13"/>
        <v>106888.59799999998</v>
      </c>
      <c r="K15" s="110">
        <v>0</v>
      </c>
      <c r="L15" s="42">
        <f>IF(ISNONTEXT(K15),$F15*K15,"0")</f>
        <v>0</v>
      </c>
      <c r="M15" s="42" t="str">
        <f>IF(D15="NF",IF($K15&gt;0,IF($G15*1.25&lt;$I15,IF(($G15*1.4)&lt;$I15,$G15*0.15,$I15-($G15+$K15)),"0"),"0"),"0")</f>
        <v>0</v>
      </c>
      <c r="N15" s="42" t="str">
        <f>IF(ISNONTEXT(M15),$F15*M15,"0")</f>
        <v>0</v>
      </c>
      <c r="O15" s="42">
        <v>0</v>
      </c>
      <c r="P15" s="42">
        <f>IF(ISNONTEXT(O15),$F15*O15,"0")</f>
        <v>0</v>
      </c>
      <c r="Q15" s="42">
        <v>0</v>
      </c>
      <c r="R15" s="42">
        <f>IF(ISNONTEXT(Q15),$F15*Q15,"0")</f>
        <v>0</v>
      </c>
      <c r="S15" s="42">
        <f t="shared" ref="S15:S21" si="14">IF(D15="F",IF(I15&gt;G15, I15-G15,0),"0")</f>
        <v>0</v>
      </c>
      <c r="T15" s="42">
        <f t="shared" ref="T15:T21" si="15">S15*F15</f>
        <v>0</v>
      </c>
      <c r="U15" s="42" t="str">
        <f t="shared" ref="U15:U21" si="16">IF(D15="m",IF(I15&gt;G15*2,G15*1,IF(I15&gt;G15,I15-G15,0)),"0")</f>
        <v>0</v>
      </c>
      <c r="V15" s="42">
        <f t="shared" ref="V15:V21" si="17">U15*F15</f>
        <v>0</v>
      </c>
      <c r="W15" s="42" t="str">
        <f t="shared" ref="W15:W21" si="18">IF(D15="M",IF(I15&gt;G15*2,I15-G15*2,0),"0")</f>
        <v>0</v>
      </c>
      <c r="X15" s="42">
        <f t="shared" ref="X15:X21" si="19">W15*F15</f>
        <v>0</v>
      </c>
      <c r="Y15" s="42">
        <v>1.55</v>
      </c>
      <c r="Z15" s="42">
        <f t="shared" ref="Z15:Z21" si="20">Y15*F15</f>
        <v>3606.3849999999998</v>
      </c>
      <c r="AA15" s="43">
        <v>0</v>
      </c>
      <c r="AB15" s="42">
        <f>AA15*F15</f>
        <v>0</v>
      </c>
      <c r="AC15" s="147" t="s">
        <v>247</v>
      </c>
      <c r="AD15" s="36"/>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row>
    <row r="16" spans="1:54" s="38" customFormat="1" ht="66" customHeight="1" x14ac:dyDescent="0.2">
      <c r="A16" s="126" t="s">
        <v>144</v>
      </c>
      <c r="B16" s="124" t="s">
        <v>145</v>
      </c>
      <c r="C16" s="127" t="s">
        <v>146</v>
      </c>
      <c r="D16" s="39" t="s">
        <v>90</v>
      </c>
      <c r="E16" s="128" t="s">
        <v>1</v>
      </c>
      <c r="F16" s="128">
        <v>132.5</v>
      </c>
      <c r="G16" s="128">
        <v>785.1</v>
      </c>
      <c r="H16" s="40">
        <f>F16*G16</f>
        <v>104025.75</v>
      </c>
      <c r="I16" s="41">
        <v>16.12</v>
      </c>
      <c r="J16" s="40">
        <f t="shared" si="13"/>
        <v>2135.9</v>
      </c>
      <c r="K16" s="110">
        <v>0</v>
      </c>
      <c r="L16" s="42">
        <f>IF(ISNONTEXT(K16),$F16*K16,"0")</f>
        <v>0</v>
      </c>
      <c r="M16" s="42">
        <v>0</v>
      </c>
      <c r="N16" s="42">
        <f>IF(ISNONTEXT(M16),$F16*M16,"0")</f>
        <v>0</v>
      </c>
      <c r="O16" s="42" t="str">
        <f>IF(D16="NF",IF($M16&gt;0,IF($G16*1.4&lt;$I16,IF(($G16*1.5)&lt;$I16,$G16*0.1,$I16-($G16+$K16+$M16)),"0"),"0"),"0")</f>
        <v>0</v>
      </c>
      <c r="P16" s="42" t="str">
        <f>IF(ISNONTEXT(O16),$F16*O16,"0")</f>
        <v>0</v>
      </c>
      <c r="Q16" s="42">
        <v>0</v>
      </c>
      <c r="R16" s="42">
        <f>IF(ISNONTEXT(Q16),$F16*Q16,"0")</f>
        <v>0</v>
      </c>
      <c r="S16" s="42">
        <f t="shared" si="14"/>
        <v>0</v>
      </c>
      <c r="T16" s="42">
        <f t="shared" si="15"/>
        <v>0</v>
      </c>
      <c r="U16" s="42" t="str">
        <f t="shared" si="16"/>
        <v>0</v>
      </c>
      <c r="V16" s="42">
        <f t="shared" si="17"/>
        <v>0</v>
      </c>
      <c r="W16" s="42" t="str">
        <f t="shared" si="18"/>
        <v>0</v>
      </c>
      <c r="X16" s="42">
        <f t="shared" si="19"/>
        <v>0</v>
      </c>
      <c r="Y16" s="42">
        <v>196.27</v>
      </c>
      <c r="Z16" s="42">
        <f t="shared" si="20"/>
        <v>26005.775000000001</v>
      </c>
      <c r="AA16" s="42">
        <v>572.71</v>
      </c>
      <c r="AB16" s="42">
        <f>AA16*F16</f>
        <v>75884.075000000012</v>
      </c>
      <c r="AC16" s="147" t="s">
        <v>131</v>
      </c>
      <c r="AD16" s="36"/>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row>
    <row r="17" spans="1:54" s="38" customFormat="1" ht="83.25" customHeight="1" x14ac:dyDescent="0.2">
      <c r="A17" s="126" t="s">
        <v>147</v>
      </c>
      <c r="B17" s="124" t="s">
        <v>148</v>
      </c>
      <c r="C17" s="127" t="s">
        <v>149</v>
      </c>
      <c r="D17" s="39" t="s">
        <v>90</v>
      </c>
      <c r="E17" s="128" t="s">
        <v>1</v>
      </c>
      <c r="F17" s="128">
        <v>26.5</v>
      </c>
      <c r="G17" s="128">
        <v>367.5</v>
      </c>
      <c r="H17" s="40">
        <f>F17*G17</f>
        <v>9738.75</v>
      </c>
      <c r="I17" s="41">
        <v>16.12</v>
      </c>
      <c r="J17" s="40">
        <f t="shared" si="13"/>
        <v>427.18</v>
      </c>
      <c r="K17" s="110" t="str">
        <f>IF(D17="NF",IF(I17&gt;G17*1.25,G17*0.25,IF(I17&gt;G17,I17-G17,0)),"0")</f>
        <v>0</v>
      </c>
      <c r="L17" s="42" t="str">
        <f>IF(ISNONTEXT(K17),$F17*K17,"0")</f>
        <v>0</v>
      </c>
      <c r="M17" s="42" t="str">
        <f>IF(D17="NF",IF($K17&gt;0,IF($G17*1.25&lt;$I17,IF(($G17*1.4)&lt;$I17,$G17*0.15,$I17-($G17+$K17)),"0"),"0"),"0")</f>
        <v>0</v>
      </c>
      <c r="N17" s="42" t="str">
        <f>IF(ISNONTEXT(M17),$F17*M17,"0")</f>
        <v>0</v>
      </c>
      <c r="O17" s="42" t="str">
        <f>IF(D17="NF",IF($M17&gt;0,IF($G17*1.4&lt;$I17,IF(($G17*1.5)&lt;$I17,$G17*0.1,$I17-($G17+$K17+$M17)),"0"),"0"),"0")</f>
        <v>0</v>
      </c>
      <c r="P17" s="42" t="str">
        <f>IF(ISNONTEXT(O17),$F17*O17,"0")</f>
        <v>0</v>
      </c>
      <c r="Q17" s="42" t="str">
        <f>IF(D17="NF",IF(G17*1.5&lt;I17,I17-(G17+K17+M17+O17),"0"),"0")</f>
        <v>0</v>
      </c>
      <c r="R17" s="42" t="str">
        <f>IF(ISNONTEXT(Q17),$F17*Q17,"0")</f>
        <v>0</v>
      </c>
      <c r="S17" s="42">
        <f t="shared" si="14"/>
        <v>0</v>
      </c>
      <c r="T17" s="42">
        <f t="shared" si="15"/>
        <v>0</v>
      </c>
      <c r="U17" s="42" t="str">
        <f t="shared" si="16"/>
        <v>0</v>
      </c>
      <c r="V17" s="42">
        <f t="shared" si="17"/>
        <v>0</v>
      </c>
      <c r="W17" s="42" t="str">
        <f t="shared" si="18"/>
        <v>0</v>
      </c>
      <c r="X17" s="42">
        <f t="shared" si="19"/>
        <v>0</v>
      </c>
      <c r="Y17" s="42">
        <v>91.87</v>
      </c>
      <c r="Z17" s="42">
        <f t="shared" si="20"/>
        <v>2434.5550000000003</v>
      </c>
      <c r="AA17" s="43">
        <v>259.51</v>
      </c>
      <c r="AB17" s="42">
        <f>AA17*F17</f>
        <v>6877.0149999999994</v>
      </c>
      <c r="AC17" s="147" t="s">
        <v>131</v>
      </c>
      <c r="AD17" s="36"/>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row>
    <row r="18" spans="1:54" s="38" customFormat="1" ht="83.25" customHeight="1" x14ac:dyDescent="0.2">
      <c r="A18" s="126" t="s">
        <v>150</v>
      </c>
      <c r="B18" s="124">
        <v>42012</v>
      </c>
      <c r="C18" s="127" t="s">
        <v>151</v>
      </c>
      <c r="D18" s="39" t="s">
        <v>156</v>
      </c>
      <c r="E18" s="128" t="s">
        <v>1</v>
      </c>
      <c r="F18" s="128">
        <v>227.7</v>
      </c>
      <c r="G18" s="128">
        <v>2566.91</v>
      </c>
      <c r="H18" s="40">
        <f>F18*G18</f>
        <v>584485.40699999989</v>
      </c>
      <c r="I18" s="41">
        <v>1667.91</v>
      </c>
      <c r="J18" s="40">
        <f t="shared" si="13"/>
        <v>379783.10700000002</v>
      </c>
      <c r="K18" s="110"/>
      <c r="L18" s="42"/>
      <c r="M18" s="42"/>
      <c r="N18" s="42"/>
      <c r="O18" s="42"/>
      <c r="P18" s="42"/>
      <c r="Q18" s="42"/>
      <c r="R18" s="42"/>
      <c r="S18" s="42">
        <f t="shared" si="14"/>
        <v>0</v>
      </c>
      <c r="T18" s="42">
        <f t="shared" si="15"/>
        <v>0</v>
      </c>
      <c r="U18" s="42" t="str">
        <f t="shared" si="16"/>
        <v>0</v>
      </c>
      <c r="V18" s="42">
        <f t="shared" si="17"/>
        <v>0</v>
      </c>
      <c r="W18" s="42" t="str">
        <f t="shared" si="18"/>
        <v>0</v>
      </c>
      <c r="X18" s="42">
        <f t="shared" si="19"/>
        <v>0</v>
      </c>
      <c r="Y18" s="42">
        <v>641.73</v>
      </c>
      <c r="Z18" s="42">
        <f t="shared" si="20"/>
        <v>146121.921</v>
      </c>
      <c r="AA18" s="43">
        <v>257.27</v>
      </c>
      <c r="AB18" s="42">
        <f>AA18*F18</f>
        <v>58580.378999999994</v>
      </c>
      <c r="AC18" s="147" t="s">
        <v>248</v>
      </c>
      <c r="AD18" s="36"/>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row>
    <row r="19" spans="1:54" s="38" customFormat="1" ht="83.25" customHeight="1" x14ac:dyDescent="0.2">
      <c r="A19" s="126" t="s">
        <v>152</v>
      </c>
      <c r="B19" s="124" t="s">
        <v>153</v>
      </c>
      <c r="C19" s="127" t="s">
        <v>154</v>
      </c>
      <c r="D19" s="39" t="s">
        <v>156</v>
      </c>
      <c r="E19" s="128" t="s">
        <v>1</v>
      </c>
      <c r="F19" s="128">
        <v>45.54</v>
      </c>
      <c r="G19" s="128">
        <v>308.5</v>
      </c>
      <c r="H19" s="40">
        <v>14049.09</v>
      </c>
      <c r="I19" s="41">
        <v>261.41000000000003</v>
      </c>
      <c r="J19" s="40">
        <f t="shared" si="13"/>
        <v>11904.611400000002</v>
      </c>
      <c r="K19" s="110"/>
      <c r="L19" s="42"/>
      <c r="M19" s="42"/>
      <c r="N19" s="42"/>
      <c r="O19" s="42"/>
      <c r="P19" s="42"/>
      <c r="Q19" s="42"/>
      <c r="R19" s="42"/>
      <c r="S19" s="42">
        <f t="shared" si="14"/>
        <v>0</v>
      </c>
      <c r="T19" s="42">
        <f t="shared" si="15"/>
        <v>0</v>
      </c>
      <c r="U19" s="42" t="str">
        <f t="shared" si="16"/>
        <v>0</v>
      </c>
      <c r="V19" s="42">
        <f t="shared" si="17"/>
        <v>0</v>
      </c>
      <c r="W19" s="42" t="str">
        <f t="shared" si="18"/>
        <v>0</v>
      </c>
      <c r="X19" s="42">
        <f t="shared" si="19"/>
        <v>0</v>
      </c>
      <c r="Y19" s="42">
        <v>47.09</v>
      </c>
      <c r="Z19" s="42">
        <f t="shared" si="20"/>
        <v>2144.4785999999999</v>
      </c>
      <c r="AA19" s="43"/>
      <c r="AB19" s="42"/>
      <c r="AC19" s="147" t="s">
        <v>249</v>
      </c>
      <c r="AD19" s="36"/>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row>
    <row r="20" spans="1:54" s="38" customFormat="1" ht="54.75" customHeight="1" x14ac:dyDescent="0.2">
      <c r="A20" s="126">
        <v>9</v>
      </c>
      <c r="B20" s="124" t="s">
        <v>155</v>
      </c>
      <c r="C20" s="127" t="s">
        <v>94</v>
      </c>
      <c r="D20" s="39" t="s">
        <v>90</v>
      </c>
      <c r="E20" s="128" t="s">
        <v>0</v>
      </c>
      <c r="F20" s="128">
        <v>2243.38</v>
      </c>
      <c r="G20" s="128">
        <v>21.58</v>
      </c>
      <c r="H20" s="158">
        <f>F20*G20</f>
        <v>48412.140399999997</v>
      </c>
      <c r="I20" s="41">
        <v>11.54</v>
      </c>
      <c r="J20" s="40">
        <f t="shared" si="13"/>
        <v>25888.605199999998</v>
      </c>
      <c r="K20" s="110">
        <v>0</v>
      </c>
      <c r="L20" s="42">
        <f>IF(ISNONTEXT(K20),$F20*K20,"0")</f>
        <v>0</v>
      </c>
      <c r="M20" s="42" t="str">
        <f>IF(D20="NF",IF($K20&gt;0,IF($G20*1.25&lt;$I20,IF(($G20*1.4)&lt;$I20,$G20*0.15,$I20-($G20+$K20)),"0"),"0"),"0")</f>
        <v>0</v>
      </c>
      <c r="N20" s="42" t="str">
        <f>IF(ISNONTEXT(M20),$F20*M20,"0")</f>
        <v>0</v>
      </c>
      <c r="O20" s="42">
        <v>0</v>
      </c>
      <c r="P20" s="42">
        <f>IF(ISNONTEXT(O20),$F20*O20,"0")</f>
        <v>0</v>
      </c>
      <c r="Q20" s="42" t="str">
        <f>IF(D20="NF",IF(G20*1.5&lt;I20,I20-(G20+K20+M20+O20),"0"),"0")</f>
        <v>0</v>
      </c>
      <c r="R20" s="42" t="str">
        <f>IF(ISNONTEXT(Q20),$F20*Q20,"0")</f>
        <v>0</v>
      </c>
      <c r="S20" s="42">
        <f t="shared" si="14"/>
        <v>0</v>
      </c>
      <c r="T20" s="42">
        <f t="shared" si="15"/>
        <v>0</v>
      </c>
      <c r="U20" s="42" t="str">
        <f t="shared" si="16"/>
        <v>0</v>
      </c>
      <c r="V20" s="42">
        <f t="shared" si="17"/>
        <v>0</v>
      </c>
      <c r="W20" s="42" t="str">
        <f t="shared" si="18"/>
        <v>0</v>
      </c>
      <c r="X20" s="42">
        <f t="shared" si="19"/>
        <v>0</v>
      </c>
      <c r="Y20" s="42">
        <v>5.39</v>
      </c>
      <c r="Z20" s="42">
        <f t="shared" si="20"/>
        <v>12091.8182</v>
      </c>
      <c r="AA20" s="43">
        <v>2.19</v>
      </c>
      <c r="AB20" s="42">
        <f>AA20*F20</f>
        <v>4913.0021999999999</v>
      </c>
      <c r="AC20" s="147" t="s">
        <v>249</v>
      </c>
      <c r="AD20" s="36"/>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row>
    <row r="21" spans="1:54" s="122" customFormat="1" ht="66" customHeight="1" x14ac:dyDescent="0.2">
      <c r="A21" s="126">
        <v>10</v>
      </c>
      <c r="B21" s="124" t="s">
        <v>86</v>
      </c>
      <c r="C21" s="127" t="s">
        <v>87</v>
      </c>
      <c r="D21" s="117" t="s">
        <v>90</v>
      </c>
      <c r="E21" s="128" t="s">
        <v>0</v>
      </c>
      <c r="F21" s="128">
        <v>1933.33</v>
      </c>
      <c r="G21" s="128">
        <v>31.4</v>
      </c>
      <c r="H21" s="113">
        <f>F21*G21</f>
        <v>60706.561999999998</v>
      </c>
      <c r="I21" s="118">
        <v>10.8</v>
      </c>
      <c r="J21" s="113">
        <f t="shared" si="13"/>
        <v>20879.964</v>
      </c>
      <c r="K21" s="110" t="str">
        <f>IF(D21="NF",IF(I21&gt;G21*1.25,G21*0.25,IF(I21&gt;G21,I21-G21,0)),"0")</f>
        <v>0</v>
      </c>
      <c r="L21" s="110" t="str">
        <f>IF(ISNONTEXT(K21),$F21*K21,"0")</f>
        <v>0</v>
      </c>
      <c r="M21" s="110" t="str">
        <f>IF(D21="NF",IF($K21&gt;0,IF($G21*1.25&lt;$I21,IF(($G21*1.4)&lt;$I21,$G21*0.15,$I21-($G21+$K21)),"0"),"0"),"0")</f>
        <v>0</v>
      </c>
      <c r="N21" s="110" t="str">
        <f>IF(ISNONTEXT(M21),$F21*M21,"0")</f>
        <v>0</v>
      </c>
      <c r="O21" s="110" t="str">
        <f>IF(D21="NF",IF($M21&gt;0,IF($G21*1.4&lt;$I21,IF(($G21*1.5)&lt;$I21,$G21*0.1,$I21-($G21+$K21+$M21)),"0"),"0"),"0")</f>
        <v>0</v>
      </c>
      <c r="P21" s="110" t="str">
        <f>IF(ISNONTEXT(O21),$F21*O21,"0")</f>
        <v>0</v>
      </c>
      <c r="Q21" s="110" t="str">
        <f>IF(D21="NF",IF(G21*1.5&lt;I21,I21-(G21+K21+M21+O21),"0"),"0")</f>
        <v>0</v>
      </c>
      <c r="R21" s="110" t="str">
        <f>IF(ISNONTEXT(Q21),$F21*Q21,"0")</f>
        <v>0</v>
      </c>
      <c r="S21" s="110">
        <f t="shared" si="14"/>
        <v>0</v>
      </c>
      <c r="T21" s="110">
        <f t="shared" si="15"/>
        <v>0</v>
      </c>
      <c r="U21" s="110" t="str">
        <f t="shared" si="16"/>
        <v>0</v>
      </c>
      <c r="V21" s="110">
        <f t="shared" si="17"/>
        <v>0</v>
      </c>
      <c r="W21" s="110" t="str">
        <f t="shared" si="18"/>
        <v>0</v>
      </c>
      <c r="X21" s="110">
        <f t="shared" si="19"/>
        <v>0</v>
      </c>
      <c r="Y21" s="110">
        <v>7.85</v>
      </c>
      <c r="Z21" s="110">
        <f t="shared" si="20"/>
        <v>15176.6405</v>
      </c>
      <c r="AA21" s="119">
        <v>12.55</v>
      </c>
      <c r="AB21" s="151">
        <f>AA21*F21</f>
        <v>24263.291499999999</v>
      </c>
      <c r="AC21" s="150" t="s">
        <v>250</v>
      </c>
      <c r="AD21" s="120"/>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row>
    <row r="22" spans="1:54" s="53" customFormat="1" ht="24.95" customHeight="1" x14ac:dyDescent="0.3">
      <c r="A22" s="44"/>
      <c r="B22" s="45"/>
      <c r="C22" s="46" t="s">
        <v>6</v>
      </c>
      <c r="D22" s="47"/>
      <c r="E22" s="48"/>
      <c r="F22" s="49"/>
      <c r="G22" s="49"/>
      <c r="H22" s="49">
        <f>SUM(H9:H21)</f>
        <v>2426108.8603999997</v>
      </c>
      <c r="I22" s="50"/>
      <c r="J22" s="49">
        <f>SUM(J9:J21)</f>
        <v>1732809.5044</v>
      </c>
      <c r="K22" s="111"/>
      <c r="L22" s="49">
        <f>SUM(L9:L21)</f>
        <v>0</v>
      </c>
      <c r="M22" s="49"/>
      <c r="N22" s="49">
        <f>SUM(N9:N21)</f>
        <v>0</v>
      </c>
      <c r="O22" s="49"/>
      <c r="P22" s="49">
        <f>SUM(P9:P21)</f>
        <v>0</v>
      </c>
      <c r="Q22" s="49"/>
      <c r="R22" s="49">
        <f>SUM(R9:R21)</f>
        <v>0</v>
      </c>
      <c r="S22" s="49"/>
      <c r="T22" s="49">
        <f>SUM(T9:T21)</f>
        <v>7527.9671999999991</v>
      </c>
      <c r="U22" s="49"/>
      <c r="V22" s="49">
        <f>SUM(V9:V21)</f>
        <v>0</v>
      </c>
      <c r="W22" s="49"/>
      <c r="X22" s="49">
        <f>SUM(X9:X21)</f>
        <v>0</v>
      </c>
      <c r="Y22" s="49"/>
      <c r="Z22" s="49">
        <f>SUM(Z9:Z21)</f>
        <v>373764.5702999999</v>
      </c>
      <c r="AA22" s="49"/>
      <c r="AB22" s="49">
        <f>SUM(AB9:AB21)</f>
        <v>321840.50910000002</v>
      </c>
      <c r="AC22" s="23"/>
      <c r="AD22" s="51"/>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row>
    <row r="23" spans="1:54" s="53" customFormat="1" ht="24.95" customHeight="1" x14ac:dyDescent="0.2">
      <c r="A23" s="44"/>
      <c r="B23" s="54"/>
      <c r="C23" s="55" t="s">
        <v>157</v>
      </c>
      <c r="D23" s="47"/>
      <c r="E23" s="48"/>
      <c r="F23" s="49"/>
      <c r="G23" s="49"/>
      <c r="H23" s="49">
        <f>H22*5/100</f>
        <v>121305.44301999998</v>
      </c>
      <c r="I23" s="50"/>
      <c r="J23" s="49">
        <f>J22*5/100</f>
        <v>86640.475219999993</v>
      </c>
      <c r="K23" s="111"/>
      <c r="L23" s="49">
        <f>L22*17/100</f>
        <v>0</v>
      </c>
      <c r="M23" s="49"/>
      <c r="N23" s="49">
        <f>N22*17/100</f>
        <v>0</v>
      </c>
      <c r="O23" s="49"/>
      <c r="P23" s="49">
        <f>P22*17/100</f>
        <v>0</v>
      </c>
      <c r="Q23" s="49"/>
      <c r="R23" s="49">
        <f>R22*17/100</f>
        <v>0</v>
      </c>
      <c r="S23" s="49"/>
      <c r="T23" s="49">
        <f>T22*17/100</f>
        <v>1279.7544239999997</v>
      </c>
      <c r="U23" s="49"/>
      <c r="V23" s="49">
        <f>V22*17/100</f>
        <v>0</v>
      </c>
      <c r="W23" s="49"/>
      <c r="X23" s="49">
        <f>X22*17/100</f>
        <v>0</v>
      </c>
      <c r="Y23" s="49"/>
      <c r="Z23" s="49">
        <f>Z22*17/100</f>
        <v>63539.976950999982</v>
      </c>
      <c r="AA23" s="49"/>
      <c r="AB23" s="49">
        <f>AB22*17/100</f>
        <v>54712.886547000009</v>
      </c>
      <c r="AC23" s="23"/>
      <c r="AD23" s="51"/>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row>
    <row r="24" spans="1:54" s="53" customFormat="1" ht="24.95" customHeight="1" x14ac:dyDescent="0.2">
      <c r="A24" s="44"/>
      <c r="B24" s="32"/>
      <c r="C24" s="55" t="s">
        <v>41</v>
      </c>
      <c r="D24" s="47"/>
      <c r="E24" s="48"/>
      <c r="F24" s="49"/>
      <c r="G24" s="49"/>
      <c r="H24" s="49">
        <f>H22+H23</f>
        <v>2547414.3034199998</v>
      </c>
      <c r="I24" s="50" t="s">
        <v>158</v>
      </c>
      <c r="J24" s="49">
        <f>J22+J23</f>
        <v>1819449.9796199999</v>
      </c>
      <c r="K24" s="111"/>
      <c r="L24" s="49">
        <f>L22+L23</f>
        <v>0</v>
      </c>
      <c r="M24" s="49"/>
      <c r="N24" s="49">
        <f>O26+N23</f>
        <v>0</v>
      </c>
      <c r="O24" s="49"/>
      <c r="P24" s="49">
        <f>P22+P23</f>
        <v>0</v>
      </c>
      <c r="Q24" s="49"/>
      <c r="R24" s="49">
        <f>R22+R23</f>
        <v>0</v>
      </c>
      <c r="S24" s="49"/>
      <c r="T24" s="49">
        <f>T22+T23</f>
        <v>8807.721623999998</v>
      </c>
      <c r="U24" s="49"/>
      <c r="V24" s="49">
        <f>V22+V23</f>
        <v>0</v>
      </c>
      <c r="W24" s="49"/>
      <c r="X24" s="49">
        <f>X22+X23</f>
        <v>0</v>
      </c>
      <c r="Y24" s="49"/>
      <c r="Z24" s="49">
        <f>Z22+Z23</f>
        <v>437304.54725099989</v>
      </c>
      <c r="AA24" s="49"/>
      <c r="AB24" s="49">
        <f>AB22+AB23</f>
        <v>376553.39564700006</v>
      </c>
      <c r="AC24" s="23"/>
      <c r="AD24" s="51"/>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row>
    <row r="25" spans="1:54" s="53" customFormat="1" ht="24.95" customHeight="1" x14ac:dyDescent="0.2">
      <c r="A25" s="44"/>
      <c r="B25" s="32"/>
      <c r="C25" s="55" t="s">
        <v>42</v>
      </c>
      <c r="D25" s="56"/>
      <c r="E25" s="57"/>
      <c r="F25" s="58"/>
      <c r="G25" s="58"/>
      <c r="H25" s="59"/>
      <c r="I25" s="60"/>
      <c r="J25" s="59">
        <f>N25+P26+R26+X26</f>
        <v>0</v>
      </c>
      <c r="K25" s="112"/>
      <c r="L25" s="59"/>
      <c r="M25" s="59"/>
      <c r="N25" s="59">
        <f>N24*2/100</f>
        <v>0</v>
      </c>
      <c r="O25" s="59"/>
      <c r="P25" s="59"/>
      <c r="Q25" s="59"/>
      <c r="R25" s="59"/>
      <c r="S25" s="59"/>
      <c r="T25" s="59"/>
      <c r="U25" s="59"/>
      <c r="V25" s="59"/>
      <c r="W25" s="59"/>
      <c r="X25" s="59"/>
      <c r="Y25" s="59"/>
      <c r="Z25" s="59"/>
      <c r="AA25" s="59"/>
      <c r="AB25" s="61"/>
      <c r="AC25" s="23"/>
      <c r="AD25" s="51"/>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row>
    <row r="26" spans="1:54" s="53" customFormat="1" ht="24.95" customHeight="1" x14ac:dyDescent="0.2">
      <c r="A26" s="44"/>
      <c r="B26" s="32"/>
      <c r="C26" s="55" t="s">
        <v>43</v>
      </c>
      <c r="D26" s="56"/>
      <c r="E26" s="57"/>
      <c r="F26" s="58"/>
      <c r="G26" s="58"/>
      <c r="H26" s="59"/>
      <c r="I26" s="60"/>
      <c r="J26" s="59"/>
      <c r="K26" s="112"/>
      <c r="L26" s="59"/>
      <c r="M26" s="59"/>
      <c r="N26" s="59"/>
      <c r="O26" s="59"/>
      <c r="P26" s="59">
        <f>P24*4/100</f>
        <v>0</v>
      </c>
      <c r="Q26" s="59"/>
      <c r="R26" s="59">
        <f>R24*4/100</f>
        <v>0</v>
      </c>
      <c r="S26" s="59"/>
      <c r="T26" s="59"/>
      <c r="U26" s="59"/>
      <c r="V26" s="59"/>
      <c r="W26" s="59"/>
      <c r="X26" s="59">
        <f>X24*4/100</f>
        <v>0</v>
      </c>
      <c r="Y26" s="59"/>
      <c r="Z26" s="59"/>
      <c r="AA26" s="59"/>
      <c r="AB26" s="61"/>
      <c r="AC26" s="23"/>
      <c r="AD26" s="51"/>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row>
    <row r="27" spans="1:54" s="53" customFormat="1" ht="24.95" customHeight="1" x14ac:dyDescent="0.2">
      <c r="A27" s="44"/>
      <c r="B27" s="32"/>
      <c r="C27" s="55"/>
      <c r="D27" s="56"/>
      <c r="E27" s="57"/>
      <c r="F27" s="58"/>
      <c r="G27" s="62" t="s">
        <v>44</v>
      </c>
      <c r="H27" s="59"/>
      <c r="I27" s="60"/>
      <c r="J27" s="59">
        <f>J24-J25</f>
        <v>1819449.9796199999</v>
      </c>
      <c r="K27" s="112"/>
      <c r="L27" s="59"/>
      <c r="M27" s="59"/>
      <c r="N27" s="59"/>
      <c r="O27" s="59"/>
      <c r="P27" s="59"/>
      <c r="Q27" s="59"/>
      <c r="R27" s="59"/>
      <c r="S27" s="59"/>
      <c r="T27" s="59"/>
      <c r="U27" s="59"/>
      <c r="V27" s="59"/>
      <c r="W27" s="59"/>
      <c r="X27" s="59"/>
      <c r="Y27" s="59"/>
      <c r="Z27" s="59"/>
      <c r="AA27" s="59"/>
      <c r="AB27" s="61"/>
      <c r="AC27" s="23"/>
      <c r="AD27" s="51"/>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row>
    <row r="28" spans="1:54" s="53" customFormat="1" ht="24.95" customHeight="1" x14ac:dyDescent="0.2">
      <c r="A28" s="44"/>
      <c r="B28" s="32"/>
      <c r="C28" s="55" t="s">
        <v>45</v>
      </c>
      <c r="D28" s="56"/>
      <c r="E28" s="57"/>
      <c r="F28" s="58"/>
      <c r="G28" s="58"/>
      <c r="H28" s="59">
        <f>H24</f>
        <v>2547414.3034199998</v>
      </c>
      <c r="I28" s="60"/>
      <c r="J28" s="59">
        <v>2176963.04</v>
      </c>
      <c r="K28" s="112"/>
      <c r="L28" s="59">
        <f>L24</f>
        <v>0</v>
      </c>
      <c r="M28" s="59"/>
      <c r="N28" s="59">
        <f>N24-N25</f>
        <v>0</v>
      </c>
      <c r="O28" s="59"/>
      <c r="P28" s="59">
        <f>P24-P26</f>
        <v>0</v>
      </c>
      <c r="Q28" s="59"/>
      <c r="R28" s="59">
        <f>R24-R26</f>
        <v>0</v>
      </c>
      <c r="S28" s="59"/>
      <c r="T28" s="59">
        <f>T24-T26</f>
        <v>8807.721623999998</v>
      </c>
      <c r="U28" s="59"/>
      <c r="V28" s="59">
        <f>V24</f>
        <v>0</v>
      </c>
      <c r="W28" s="59"/>
      <c r="X28" s="59">
        <f>X24-X26</f>
        <v>0</v>
      </c>
      <c r="Y28" s="59"/>
      <c r="Z28" s="59">
        <f>Z24</f>
        <v>437304.54725099989</v>
      </c>
      <c r="AA28" s="59"/>
      <c r="AB28" s="61">
        <f>AB24</f>
        <v>376553.39564700006</v>
      </c>
      <c r="AC28" s="23"/>
      <c r="AD28" s="51"/>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row>
    <row r="29" spans="1:54" s="38" customFormat="1" ht="27" customHeight="1" x14ac:dyDescent="0.2">
      <c r="A29" s="171" t="s">
        <v>98</v>
      </c>
      <c r="B29" s="171"/>
      <c r="C29" s="171"/>
      <c r="D29" s="32"/>
      <c r="E29" s="6"/>
      <c r="F29" s="33"/>
      <c r="G29" s="34"/>
      <c r="H29" s="34"/>
      <c r="I29" s="35"/>
      <c r="J29" s="34"/>
      <c r="K29" s="109"/>
      <c r="L29" s="34"/>
      <c r="M29" s="34"/>
      <c r="N29" s="34"/>
      <c r="O29" s="34"/>
      <c r="P29" s="34"/>
      <c r="Q29" s="34"/>
      <c r="R29" s="34"/>
      <c r="S29" s="34"/>
      <c r="T29" s="34"/>
      <c r="U29" s="34"/>
      <c r="V29" s="34"/>
      <c r="W29" s="34"/>
      <c r="X29" s="34"/>
      <c r="Y29" s="34"/>
      <c r="Z29" s="18"/>
      <c r="AA29" s="18"/>
      <c r="AB29" s="18"/>
      <c r="AC29" s="149"/>
      <c r="AD29" s="36"/>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row>
    <row r="30" spans="1:54" s="38" customFormat="1" ht="67.5" customHeight="1" x14ac:dyDescent="0.2">
      <c r="A30" s="126">
        <v>1</v>
      </c>
      <c r="B30" s="152">
        <v>181022</v>
      </c>
      <c r="C30" s="130" t="s">
        <v>91</v>
      </c>
      <c r="D30" s="39" t="s">
        <v>12</v>
      </c>
      <c r="E30" s="128" t="s">
        <v>0</v>
      </c>
      <c r="F30" s="128">
        <v>314.85000000000002</v>
      </c>
      <c r="G30" s="128">
        <v>3</v>
      </c>
      <c r="H30" s="40">
        <f>F30*G30</f>
        <v>944.55000000000007</v>
      </c>
      <c r="I30" s="132">
        <v>0</v>
      </c>
      <c r="J30" s="40">
        <f>F30*I30</f>
        <v>0</v>
      </c>
      <c r="K30" s="110" t="str">
        <f>IF(D30="NF",IF(I30&gt;G30*1.25,G30*0.25,IF(I30&gt;G30,I30-G30,0)),"0")</f>
        <v>0</v>
      </c>
      <c r="L30" s="110" t="str">
        <f t="shared" ref="L30:L59" si="21">IF(ISNONTEXT(K30),$F30*K30,"0")</f>
        <v>0</v>
      </c>
      <c r="M30" s="110" t="str">
        <f t="shared" ref="M30:M59" si="22">IF(D30="NF",IF($K30&gt;0,IF($G30*1.25&lt;$I30,IF(($G30*1.4)&lt;$I30,$G30*0.15,$I30-($G30+$K30)),"0"),"0"),"0")</f>
        <v>0</v>
      </c>
      <c r="N30" s="110" t="str">
        <f t="shared" ref="N30:N59" si="23">IF(ISNONTEXT(M30),$F30*M30,"0")</f>
        <v>0</v>
      </c>
      <c r="O30" s="110" t="str">
        <f t="shared" ref="O30:O59" si="24">IF(D30="NF",IF($M30&gt;0,IF($G30*1.4&lt;$I30,IF(($G30*1.5)&lt;$I30,$G30*0.1,$I30-($G30+$K30+$M30)),"0"),"0"),"0")</f>
        <v>0</v>
      </c>
      <c r="P30" s="110" t="str">
        <f t="shared" ref="P30:P59" si="25">IF(ISNONTEXT(O30),$F30*O30,"0")</f>
        <v>0</v>
      </c>
      <c r="Q30" s="110" t="str">
        <f t="shared" ref="Q30:Q59" si="26">IF(D30="NF",IF(G30*1.5&lt;I30,I30-(G30+K30+M30+O30),"0"),"0")</f>
        <v>0</v>
      </c>
      <c r="R30" s="110" t="str">
        <f t="shared" ref="R30:R59" si="27">IF(ISNONTEXT(Q30),$F30*Q30,"0")</f>
        <v>0</v>
      </c>
      <c r="S30" s="110" t="str">
        <f t="shared" ref="S30:S59" si="28">IF(D30="F",IF(I30&gt;G30, I30-G30,0),"0")</f>
        <v>0</v>
      </c>
      <c r="T30" s="110">
        <f t="shared" ref="T30:T59" si="29">S30*F30</f>
        <v>0</v>
      </c>
      <c r="U30" s="110">
        <f t="shared" ref="U30:U59" si="30">IF(D30="m",IF(I30&gt;G30*2,G30*1,IF(I30&gt;G30,I30-G30,0)),"0")</f>
        <v>0</v>
      </c>
      <c r="V30" s="110">
        <f t="shared" ref="V30:V59" si="31">U30*F30</f>
        <v>0</v>
      </c>
      <c r="W30" s="110">
        <f t="shared" ref="W30:W59" si="32">IF(D30="M",IF(I30&gt;G30*2,I30-G30*2,0),"0")</f>
        <v>0</v>
      </c>
      <c r="X30" s="110">
        <f t="shared" ref="X30:X59" si="33">W30*F30</f>
        <v>0</v>
      </c>
      <c r="Y30" s="110">
        <v>0</v>
      </c>
      <c r="Z30" s="110">
        <f t="shared" ref="Z30:Z59" si="34">Y30*F30</f>
        <v>0</v>
      </c>
      <c r="AA30" s="119">
        <v>0</v>
      </c>
      <c r="AB30" s="151">
        <f t="shared" ref="AB30:AB59" si="35">AA30*F30</f>
        <v>0</v>
      </c>
      <c r="AC30" s="150" t="s">
        <v>251</v>
      </c>
      <c r="AD30" s="36"/>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row>
    <row r="31" spans="1:54" s="38" customFormat="1" ht="67.5" customHeight="1" x14ac:dyDescent="0.2">
      <c r="A31" s="123">
        <v>2</v>
      </c>
      <c r="B31" s="153" t="s">
        <v>160</v>
      </c>
      <c r="C31" s="125" t="s">
        <v>159</v>
      </c>
      <c r="D31" s="39" t="s">
        <v>12</v>
      </c>
      <c r="E31" s="128" t="s">
        <v>0</v>
      </c>
      <c r="F31" s="128">
        <v>9.6999999999999993</v>
      </c>
      <c r="G31" s="128">
        <v>328.33</v>
      </c>
      <c r="H31" s="40">
        <f>F31*G31</f>
        <v>3184.8009999999995</v>
      </c>
      <c r="I31" s="133">
        <v>321.51</v>
      </c>
      <c r="J31" s="40">
        <f>F31*I31</f>
        <v>3118.6469999999995</v>
      </c>
      <c r="K31" s="110" t="str">
        <f>IF(D31="NF",IF(I31&gt;G31*1.25,G31*0.25,IF(I31&gt;G31,I31-G31,0)),"0")</f>
        <v>0</v>
      </c>
      <c r="L31" s="110" t="str">
        <f t="shared" si="21"/>
        <v>0</v>
      </c>
      <c r="M31" s="110" t="str">
        <f t="shared" si="22"/>
        <v>0</v>
      </c>
      <c r="N31" s="110" t="str">
        <f t="shared" si="23"/>
        <v>0</v>
      </c>
      <c r="O31" s="110" t="str">
        <f t="shared" si="24"/>
        <v>0</v>
      </c>
      <c r="P31" s="110" t="str">
        <f t="shared" si="25"/>
        <v>0</v>
      </c>
      <c r="Q31" s="110" t="str">
        <f t="shared" si="26"/>
        <v>0</v>
      </c>
      <c r="R31" s="110" t="str">
        <f t="shared" si="27"/>
        <v>0</v>
      </c>
      <c r="S31" s="110" t="str">
        <f t="shared" si="28"/>
        <v>0</v>
      </c>
      <c r="T31" s="110">
        <f t="shared" si="29"/>
        <v>0</v>
      </c>
      <c r="U31" s="110">
        <f t="shared" si="30"/>
        <v>0</v>
      </c>
      <c r="V31" s="110">
        <f t="shared" si="31"/>
        <v>0</v>
      </c>
      <c r="W31" s="110">
        <f t="shared" si="32"/>
        <v>0</v>
      </c>
      <c r="X31" s="110">
        <f t="shared" si="33"/>
        <v>0</v>
      </c>
      <c r="Y31" s="110">
        <v>6.82</v>
      </c>
      <c r="Z31" s="110">
        <f t="shared" si="34"/>
        <v>66.153999999999996</v>
      </c>
      <c r="AA31" s="119">
        <v>0</v>
      </c>
      <c r="AB31" s="151">
        <f t="shared" si="35"/>
        <v>0</v>
      </c>
      <c r="AC31" s="150" t="s">
        <v>252</v>
      </c>
      <c r="AD31" s="36"/>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row>
    <row r="32" spans="1:54" s="38" customFormat="1" ht="67.5" customHeight="1" x14ac:dyDescent="0.2">
      <c r="A32" s="126">
        <v>3</v>
      </c>
      <c r="B32" s="153">
        <v>1.1011999999999999E-2</v>
      </c>
      <c r="C32" s="127" t="s">
        <v>161</v>
      </c>
      <c r="D32" s="39" t="s">
        <v>12</v>
      </c>
      <c r="E32" s="128" t="s">
        <v>4</v>
      </c>
      <c r="F32" s="128">
        <v>49.25</v>
      </c>
      <c r="G32" s="128">
        <v>292.77999999999997</v>
      </c>
      <c r="H32" s="40">
        <f t="shared" ref="H32:H59" si="36">F32*G32</f>
        <v>14419.414999999999</v>
      </c>
      <c r="I32" s="133">
        <v>0</v>
      </c>
      <c r="J32" s="40">
        <f t="shared" ref="J32:J59" si="37">F32*I32</f>
        <v>0</v>
      </c>
      <c r="K32" s="110" t="str">
        <f t="shared" ref="K32:K59" si="38">IF(D32="NF",IF(I32&gt;G32*1.25,G32*0.25,IF(I32&gt;G32,I32-G32,0)),"0")</f>
        <v>0</v>
      </c>
      <c r="L32" s="110" t="str">
        <f t="shared" si="21"/>
        <v>0</v>
      </c>
      <c r="M32" s="110" t="str">
        <f t="shared" si="22"/>
        <v>0</v>
      </c>
      <c r="N32" s="110" t="str">
        <f t="shared" si="23"/>
        <v>0</v>
      </c>
      <c r="O32" s="110" t="str">
        <f t="shared" si="24"/>
        <v>0</v>
      </c>
      <c r="P32" s="110" t="str">
        <f t="shared" si="25"/>
        <v>0</v>
      </c>
      <c r="Q32" s="110" t="str">
        <f t="shared" si="26"/>
        <v>0</v>
      </c>
      <c r="R32" s="110" t="str">
        <f t="shared" si="27"/>
        <v>0</v>
      </c>
      <c r="S32" s="110" t="str">
        <f t="shared" si="28"/>
        <v>0</v>
      </c>
      <c r="T32" s="110">
        <f t="shared" si="29"/>
        <v>0</v>
      </c>
      <c r="U32" s="110">
        <f t="shared" si="30"/>
        <v>0</v>
      </c>
      <c r="V32" s="110">
        <f t="shared" si="31"/>
        <v>0</v>
      </c>
      <c r="W32" s="110">
        <f t="shared" si="32"/>
        <v>0</v>
      </c>
      <c r="X32" s="110">
        <f t="shared" si="33"/>
        <v>0</v>
      </c>
      <c r="Y32" s="110">
        <v>60</v>
      </c>
      <c r="Z32" s="110">
        <f t="shared" si="34"/>
        <v>2955</v>
      </c>
      <c r="AA32" s="119">
        <v>180</v>
      </c>
      <c r="AB32" s="151">
        <f t="shared" si="35"/>
        <v>8865</v>
      </c>
      <c r="AC32" s="150" t="s">
        <v>129</v>
      </c>
      <c r="AD32" s="36"/>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row>
    <row r="33" spans="1:54" s="38" customFormat="1" ht="67.5" customHeight="1" x14ac:dyDescent="0.2">
      <c r="A33" s="123">
        <v>4</v>
      </c>
      <c r="B33" s="153">
        <v>2.1069999999999998E-2</v>
      </c>
      <c r="C33" s="127" t="s">
        <v>162</v>
      </c>
      <c r="D33" s="39" t="s">
        <v>12</v>
      </c>
      <c r="E33" s="128" t="s">
        <v>4</v>
      </c>
      <c r="F33" s="128">
        <v>46.62</v>
      </c>
      <c r="G33" s="128">
        <v>544.82000000000005</v>
      </c>
      <c r="H33" s="40">
        <f t="shared" si="36"/>
        <v>25399.508400000002</v>
      </c>
      <c r="I33" s="133">
        <v>847.12</v>
      </c>
      <c r="J33" s="40">
        <f t="shared" si="37"/>
        <v>39492.734400000001</v>
      </c>
      <c r="K33" s="110" t="str">
        <f t="shared" si="38"/>
        <v>0</v>
      </c>
      <c r="L33" s="110" t="str">
        <f t="shared" si="21"/>
        <v>0</v>
      </c>
      <c r="M33" s="110" t="str">
        <f t="shared" si="22"/>
        <v>0</v>
      </c>
      <c r="N33" s="110" t="str">
        <f t="shared" si="23"/>
        <v>0</v>
      </c>
      <c r="O33" s="110" t="str">
        <f t="shared" si="24"/>
        <v>0</v>
      </c>
      <c r="P33" s="110" t="str">
        <f t="shared" si="25"/>
        <v>0</v>
      </c>
      <c r="Q33" s="110" t="str">
        <f t="shared" si="26"/>
        <v>0</v>
      </c>
      <c r="R33" s="110" t="str">
        <f t="shared" si="27"/>
        <v>0</v>
      </c>
      <c r="S33" s="110" t="str">
        <f t="shared" si="28"/>
        <v>0</v>
      </c>
      <c r="T33" s="110">
        <f t="shared" si="29"/>
        <v>0</v>
      </c>
      <c r="U33" s="110">
        <f t="shared" si="30"/>
        <v>302.29999999999995</v>
      </c>
      <c r="V33" s="110">
        <f t="shared" si="31"/>
        <v>14093.225999999997</v>
      </c>
      <c r="W33" s="110">
        <f t="shared" si="32"/>
        <v>0</v>
      </c>
      <c r="X33" s="110">
        <f t="shared" si="33"/>
        <v>0</v>
      </c>
      <c r="Y33" s="110">
        <v>0</v>
      </c>
      <c r="Z33" s="110">
        <f t="shared" si="34"/>
        <v>0</v>
      </c>
      <c r="AA33" s="119">
        <v>0</v>
      </c>
      <c r="AB33" s="151">
        <f t="shared" si="35"/>
        <v>0</v>
      </c>
      <c r="AC33" s="150" t="s">
        <v>129</v>
      </c>
      <c r="AD33" s="36"/>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row>
    <row r="34" spans="1:54" s="38" customFormat="1" ht="67.5" customHeight="1" x14ac:dyDescent="0.2">
      <c r="A34" s="126">
        <v>5</v>
      </c>
      <c r="B34" s="153">
        <v>2.1090000000000001E-2</v>
      </c>
      <c r="C34" s="127" t="s">
        <v>163</v>
      </c>
      <c r="D34" s="39" t="s">
        <v>12</v>
      </c>
      <c r="E34" s="128" t="s">
        <v>4</v>
      </c>
      <c r="F34" s="128">
        <v>59.54</v>
      </c>
      <c r="G34" s="128">
        <v>616.82000000000005</v>
      </c>
      <c r="H34" s="40">
        <f t="shared" si="36"/>
        <v>36725.462800000001</v>
      </c>
      <c r="I34" s="133">
        <v>847.12</v>
      </c>
      <c r="J34" s="40">
        <f t="shared" si="37"/>
        <v>50437.524799999999</v>
      </c>
      <c r="K34" s="110" t="str">
        <f t="shared" si="38"/>
        <v>0</v>
      </c>
      <c r="L34" s="110" t="str">
        <f t="shared" si="21"/>
        <v>0</v>
      </c>
      <c r="M34" s="110" t="str">
        <f t="shared" si="22"/>
        <v>0</v>
      </c>
      <c r="N34" s="110" t="str">
        <f t="shared" si="23"/>
        <v>0</v>
      </c>
      <c r="O34" s="110" t="str">
        <f t="shared" si="24"/>
        <v>0</v>
      </c>
      <c r="P34" s="110" t="str">
        <f t="shared" si="25"/>
        <v>0</v>
      </c>
      <c r="Q34" s="110" t="str">
        <f t="shared" si="26"/>
        <v>0</v>
      </c>
      <c r="R34" s="110" t="str">
        <f t="shared" si="27"/>
        <v>0</v>
      </c>
      <c r="S34" s="110" t="str">
        <f t="shared" si="28"/>
        <v>0</v>
      </c>
      <c r="T34" s="110">
        <f t="shared" si="29"/>
        <v>0</v>
      </c>
      <c r="U34" s="110">
        <f t="shared" si="30"/>
        <v>230.29999999999995</v>
      </c>
      <c r="V34" s="110">
        <f t="shared" si="31"/>
        <v>13712.061999999996</v>
      </c>
      <c r="W34" s="110">
        <f t="shared" si="32"/>
        <v>0</v>
      </c>
      <c r="X34" s="110">
        <f t="shared" si="33"/>
        <v>0</v>
      </c>
      <c r="Y34" s="110">
        <v>0</v>
      </c>
      <c r="Z34" s="110">
        <f t="shared" si="34"/>
        <v>0</v>
      </c>
      <c r="AA34" s="119">
        <v>0</v>
      </c>
      <c r="AB34" s="151">
        <f t="shared" si="35"/>
        <v>0</v>
      </c>
      <c r="AC34" s="150" t="s">
        <v>71</v>
      </c>
      <c r="AD34" s="36"/>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row>
    <row r="35" spans="1:54" s="38" customFormat="1" ht="67.5" customHeight="1" x14ac:dyDescent="0.2">
      <c r="A35" s="123">
        <v>6</v>
      </c>
      <c r="B35" s="153">
        <v>3.2059999999999998E-2</v>
      </c>
      <c r="C35" s="127" t="s">
        <v>164</v>
      </c>
      <c r="D35" s="39" t="s">
        <v>12</v>
      </c>
      <c r="E35" s="128" t="s">
        <v>10</v>
      </c>
      <c r="F35" s="128">
        <v>104.54</v>
      </c>
      <c r="G35" s="128">
        <v>874.51</v>
      </c>
      <c r="H35" s="40">
        <f t="shared" si="36"/>
        <v>91421.275399999999</v>
      </c>
      <c r="I35" s="133">
        <v>980.1</v>
      </c>
      <c r="J35" s="40">
        <f t="shared" si="37"/>
        <v>102459.65400000001</v>
      </c>
      <c r="K35" s="110" t="str">
        <f t="shared" si="38"/>
        <v>0</v>
      </c>
      <c r="L35" s="110" t="str">
        <f t="shared" si="21"/>
        <v>0</v>
      </c>
      <c r="M35" s="110" t="str">
        <f t="shared" si="22"/>
        <v>0</v>
      </c>
      <c r="N35" s="110" t="str">
        <f t="shared" si="23"/>
        <v>0</v>
      </c>
      <c r="O35" s="110" t="str">
        <f t="shared" si="24"/>
        <v>0</v>
      </c>
      <c r="P35" s="110" t="str">
        <f t="shared" si="25"/>
        <v>0</v>
      </c>
      <c r="Q35" s="110" t="str">
        <f t="shared" si="26"/>
        <v>0</v>
      </c>
      <c r="R35" s="110" t="str">
        <f t="shared" si="27"/>
        <v>0</v>
      </c>
      <c r="S35" s="110" t="str">
        <f t="shared" si="28"/>
        <v>0</v>
      </c>
      <c r="T35" s="110">
        <f t="shared" si="29"/>
        <v>0</v>
      </c>
      <c r="U35" s="110">
        <f t="shared" si="30"/>
        <v>105.59000000000003</v>
      </c>
      <c r="V35" s="110">
        <f t="shared" si="31"/>
        <v>11038.378600000004</v>
      </c>
      <c r="W35" s="110">
        <f t="shared" si="32"/>
        <v>0</v>
      </c>
      <c r="X35" s="110">
        <f t="shared" si="33"/>
        <v>0</v>
      </c>
      <c r="Y35" s="110">
        <v>0</v>
      </c>
      <c r="Z35" s="110">
        <f t="shared" si="34"/>
        <v>0</v>
      </c>
      <c r="AA35" s="119">
        <v>0</v>
      </c>
      <c r="AB35" s="151">
        <f t="shared" si="35"/>
        <v>0</v>
      </c>
      <c r="AC35" s="150" t="s">
        <v>71</v>
      </c>
      <c r="AD35" s="36"/>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row>
    <row r="36" spans="1:54" s="38" customFormat="1" ht="67.5" customHeight="1" x14ac:dyDescent="0.2">
      <c r="A36" s="126">
        <v>7</v>
      </c>
      <c r="B36" s="153">
        <v>4.1012E-2</v>
      </c>
      <c r="C36" s="127" t="s">
        <v>165</v>
      </c>
      <c r="D36" s="39" t="s">
        <v>171</v>
      </c>
      <c r="E36" s="128" t="s">
        <v>4</v>
      </c>
      <c r="F36" s="128">
        <v>2530.27</v>
      </c>
      <c r="G36" s="128">
        <v>0.52</v>
      </c>
      <c r="H36" s="40">
        <f t="shared" si="36"/>
        <v>1315.7404000000001</v>
      </c>
      <c r="I36" s="133">
        <v>53.87</v>
      </c>
      <c r="J36" s="40">
        <f t="shared" si="37"/>
        <v>136305.64489999998</v>
      </c>
      <c r="K36" s="110" t="str">
        <f t="shared" si="38"/>
        <v>0</v>
      </c>
      <c r="L36" s="110" t="str">
        <f t="shared" si="21"/>
        <v>0</v>
      </c>
      <c r="M36" s="110" t="str">
        <f t="shared" si="22"/>
        <v>0</v>
      </c>
      <c r="N36" s="110" t="str">
        <f t="shared" si="23"/>
        <v>0</v>
      </c>
      <c r="O36" s="110" t="str">
        <f t="shared" si="24"/>
        <v>0</v>
      </c>
      <c r="P36" s="110" t="str">
        <f t="shared" si="25"/>
        <v>0</v>
      </c>
      <c r="Q36" s="110" t="str">
        <f t="shared" si="26"/>
        <v>0</v>
      </c>
      <c r="R36" s="110" t="str">
        <f t="shared" si="27"/>
        <v>0</v>
      </c>
      <c r="S36" s="110" t="str">
        <f t="shared" si="28"/>
        <v>0</v>
      </c>
      <c r="T36" s="110">
        <f t="shared" si="29"/>
        <v>0</v>
      </c>
      <c r="U36" s="110">
        <f t="shared" si="30"/>
        <v>0.52</v>
      </c>
      <c r="V36" s="110">
        <f t="shared" si="31"/>
        <v>1315.7404000000001</v>
      </c>
      <c r="W36" s="110">
        <f t="shared" si="32"/>
        <v>52.83</v>
      </c>
      <c r="X36" s="110">
        <f t="shared" si="33"/>
        <v>133674.16409999999</v>
      </c>
      <c r="Y36" s="110">
        <v>0</v>
      </c>
      <c r="Z36" s="110">
        <f t="shared" si="34"/>
        <v>0</v>
      </c>
      <c r="AA36" s="119">
        <v>0</v>
      </c>
      <c r="AB36" s="151">
        <f t="shared" si="35"/>
        <v>0</v>
      </c>
      <c r="AC36" s="150" t="s">
        <v>71</v>
      </c>
      <c r="AD36" s="36"/>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row>
    <row r="37" spans="1:54" s="38" customFormat="1" ht="67.5" customHeight="1" x14ac:dyDescent="0.2">
      <c r="A37" s="123">
        <v>8</v>
      </c>
      <c r="B37" s="153">
        <v>4.1015999999999997E-2</v>
      </c>
      <c r="C37" s="127" t="s">
        <v>166</v>
      </c>
      <c r="D37" s="39" t="s">
        <v>12</v>
      </c>
      <c r="E37" s="128" t="s">
        <v>4</v>
      </c>
      <c r="F37" s="128">
        <v>2419.73</v>
      </c>
      <c r="G37" s="128">
        <v>14.1</v>
      </c>
      <c r="H37" s="40">
        <f t="shared" si="36"/>
        <v>34118.192999999999</v>
      </c>
      <c r="I37" s="133">
        <v>21.19</v>
      </c>
      <c r="J37" s="40">
        <f t="shared" si="37"/>
        <v>51274.078700000005</v>
      </c>
      <c r="K37" s="110" t="str">
        <f t="shared" si="38"/>
        <v>0</v>
      </c>
      <c r="L37" s="110" t="str">
        <f t="shared" si="21"/>
        <v>0</v>
      </c>
      <c r="M37" s="110" t="str">
        <f t="shared" si="22"/>
        <v>0</v>
      </c>
      <c r="N37" s="110" t="str">
        <f t="shared" si="23"/>
        <v>0</v>
      </c>
      <c r="O37" s="110" t="str">
        <f t="shared" si="24"/>
        <v>0</v>
      </c>
      <c r="P37" s="110" t="str">
        <f t="shared" si="25"/>
        <v>0</v>
      </c>
      <c r="Q37" s="110" t="str">
        <f t="shared" si="26"/>
        <v>0</v>
      </c>
      <c r="R37" s="110" t="str">
        <f t="shared" si="27"/>
        <v>0</v>
      </c>
      <c r="S37" s="110" t="str">
        <f t="shared" si="28"/>
        <v>0</v>
      </c>
      <c r="T37" s="110">
        <f t="shared" si="29"/>
        <v>0</v>
      </c>
      <c r="U37" s="110">
        <f t="shared" si="30"/>
        <v>7.0900000000000016</v>
      </c>
      <c r="V37" s="110">
        <f t="shared" si="31"/>
        <v>17155.885700000003</v>
      </c>
      <c r="W37" s="110">
        <f t="shared" si="32"/>
        <v>0</v>
      </c>
      <c r="X37" s="110">
        <f t="shared" si="33"/>
        <v>0</v>
      </c>
      <c r="Y37" s="110">
        <v>0</v>
      </c>
      <c r="Z37" s="110">
        <f t="shared" si="34"/>
        <v>0</v>
      </c>
      <c r="AA37" s="119">
        <v>0</v>
      </c>
      <c r="AB37" s="151">
        <f t="shared" si="35"/>
        <v>0</v>
      </c>
      <c r="AC37" s="150" t="s">
        <v>129</v>
      </c>
      <c r="AD37" s="36"/>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row>
    <row r="38" spans="1:54" s="38" customFormat="1" ht="67.5" customHeight="1" x14ac:dyDescent="0.2">
      <c r="A38" s="126">
        <v>9</v>
      </c>
      <c r="B38" s="124" t="s">
        <v>167</v>
      </c>
      <c r="C38" s="127" t="s">
        <v>168</v>
      </c>
      <c r="D38" s="39" t="s">
        <v>170</v>
      </c>
      <c r="E38" s="128" t="s">
        <v>0</v>
      </c>
      <c r="F38" s="128">
        <v>2392.96</v>
      </c>
      <c r="G38" s="128">
        <v>61.32</v>
      </c>
      <c r="H38" s="40">
        <f t="shared" si="36"/>
        <v>146736.30720000001</v>
      </c>
      <c r="I38" s="133">
        <v>0</v>
      </c>
      <c r="J38" s="40">
        <f t="shared" si="37"/>
        <v>0</v>
      </c>
      <c r="K38" s="110">
        <f t="shared" si="38"/>
        <v>0</v>
      </c>
      <c r="L38" s="110">
        <f t="shared" si="21"/>
        <v>0</v>
      </c>
      <c r="M38" s="110" t="str">
        <f t="shared" si="22"/>
        <v>0</v>
      </c>
      <c r="N38" s="110" t="str">
        <f t="shared" si="23"/>
        <v>0</v>
      </c>
      <c r="O38" s="110" t="str">
        <f t="shared" si="24"/>
        <v>0</v>
      </c>
      <c r="P38" s="110" t="str">
        <f t="shared" si="25"/>
        <v>0</v>
      </c>
      <c r="Q38" s="110" t="str">
        <f t="shared" si="26"/>
        <v>0</v>
      </c>
      <c r="R38" s="110" t="str">
        <f t="shared" si="27"/>
        <v>0</v>
      </c>
      <c r="S38" s="110" t="str">
        <f t="shared" si="28"/>
        <v>0</v>
      </c>
      <c r="T38" s="110">
        <f t="shared" si="29"/>
        <v>0</v>
      </c>
      <c r="U38" s="110" t="str">
        <f t="shared" si="30"/>
        <v>0</v>
      </c>
      <c r="V38" s="110">
        <f t="shared" si="31"/>
        <v>0</v>
      </c>
      <c r="W38" s="110" t="str">
        <f t="shared" si="32"/>
        <v>0</v>
      </c>
      <c r="X38" s="110">
        <f t="shared" si="33"/>
        <v>0</v>
      </c>
      <c r="Y38" s="110">
        <v>0</v>
      </c>
      <c r="Z38" s="110">
        <f t="shared" si="34"/>
        <v>0</v>
      </c>
      <c r="AA38" s="119">
        <v>0</v>
      </c>
      <c r="AB38" s="110">
        <f t="shared" si="35"/>
        <v>0</v>
      </c>
      <c r="AC38" s="150" t="s">
        <v>129</v>
      </c>
      <c r="AD38" s="36"/>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row>
    <row r="39" spans="1:54" s="38" customFormat="1" ht="67.5" customHeight="1" x14ac:dyDescent="0.2">
      <c r="A39" s="123">
        <v>10</v>
      </c>
      <c r="B39" s="124" t="s">
        <v>93</v>
      </c>
      <c r="C39" s="127" t="s">
        <v>169</v>
      </c>
      <c r="D39" s="39" t="s">
        <v>171</v>
      </c>
      <c r="E39" s="128" t="s">
        <v>97</v>
      </c>
      <c r="F39" s="128">
        <v>79.599999999999994</v>
      </c>
      <c r="G39" s="128">
        <v>37.08</v>
      </c>
      <c r="H39" s="40">
        <f t="shared" si="36"/>
        <v>2951.5679999999998</v>
      </c>
      <c r="I39" s="133">
        <v>0</v>
      </c>
      <c r="J39" s="40">
        <f t="shared" si="37"/>
        <v>0</v>
      </c>
      <c r="K39" s="110" t="str">
        <f t="shared" si="38"/>
        <v>0</v>
      </c>
      <c r="L39" s="110" t="str">
        <f t="shared" si="21"/>
        <v>0</v>
      </c>
      <c r="M39" s="110" t="str">
        <f t="shared" si="22"/>
        <v>0</v>
      </c>
      <c r="N39" s="110" t="str">
        <f t="shared" si="23"/>
        <v>0</v>
      </c>
      <c r="O39" s="110" t="str">
        <f t="shared" si="24"/>
        <v>0</v>
      </c>
      <c r="P39" s="110" t="str">
        <f t="shared" si="25"/>
        <v>0</v>
      </c>
      <c r="Q39" s="110" t="str">
        <f t="shared" si="26"/>
        <v>0</v>
      </c>
      <c r="R39" s="110" t="str">
        <f t="shared" si="27"/>
        <v>0</v>
      </c>
      <c r="S39" s="110" t="str">
        <f t="shared" si="28"/>
        <v>0</v>
      </c>
      <c r="T39" s="110">
        <f t="shared" si="29"/>
        <v>0</v>
      </c>
      <c r="U39" s="110">
        <f t="shared" si="30"/>
        <v>0</v>
      </c>
      <c r="V39" s="110">
        <f t="shared" si="31"/>
        <v>0</v>
      </c>
      <c r="W39" s="110">
        <f t="shared" si="32"/>
        <v>0</v>
      </c>
      <c r="X39" s="110">
        <f t="shared" si="33"/>
        <v>0</v>
      </c>
      <c r="Y39" s="110">
        <v>0</v>
      </c>
      <c r="Z39" s="110">
        <f t="shared" si="34"/>
        <v>0</v>
      </c>
      <c r="AA39" s="119">
        <v>0</v>
      </c>
      <c r="AB39" s="110">
        <f t="shared" si="35"/>
        <v>0</v>
      </c>
      <c r="AC39" s="150" t="s">
        <v>129</v>
      </c>
      <c r="AD39" s="36"/>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row>
    <row r="40" spans="1:54" s="38" customFormat="1" ht="67.5" customHeight="1" x14ac:dyDescent="0.2">
      <c r="A40" s="126" t="s">
        <v>172</v>
      </c>
      <c r="B40" s="124">
        <v>4.2014000000000003E-2</v>
      </c>
      <c r="C40" s="127" t="s">
        <v>179</v>
      </c>
      <c r="D40" s="39" t="s">
        <v>171</v>
      </c>
      <c r="E40" s="128" t="s">
        <v>1</v>
      </c>
      <c r="F40" s="128">
        <v>199.23</v>
      </c>
      <c r="G40" s="128">
        <v>24.07</v>
      </c>
      <c r="H40" s="40">
        <f t="shared" si="36"/>
        <v>4795.4660999999996</v>
      </c>
      <c r="I40" s="133">
        <v>0</v>
      </c>
      <c r="J40" s="40">
        <f t="shared" si="37"/>
        <v>0</v>
      </c>
      <c r="K40" s="110" t="str">
        <f t="shared" si="38"/>
        <v>0</v>
      </c>
      <c r="L40" s="110" t="str">
        <f t="shared" si="21"/>
        <v>0</v>
      </c>
      <c r="M40" s="110" t="str">
        <f t="shared" si="22"/>
        <v>0</v>
      </c>
      <c r="N40" s="110" t="str">
        <f t="shared" si="23"/>
        <v>0</v>
      </c>
      <c r="O40" s="110" t="str">
        <f t="shared" si="24"/>
        <v>0</v>
      </c>
      <c r="P40" s="110" t="str">
        <f t="shared" si="25"/>
        <v>0</v>
      </c>
      <c r="Q40" s="110" t="str">
        <f t="shared" si="26"/>
        <v>0</v>
      </c>
      <c r="R40" s="110" t="str">
        <f t="shared" si="27"/>
        <v>0</v>
      </c>
      <c r="S40" s="110" t="str">
        <f t="shared" si="28"/>
        <v>0</v>
      </c>
      <c r="T40" s="110">
        <f t="shared" si="29"/>
        <v>0</v>
      </c>
      <c r="U40" s="110">
        <f t="shared" si="30"/>
        <v>0</v>
      </c>
      <c r="V40" s="110">
        <f t="shared" si="31"/>
        <v>0</v>
      </c>
      <c r="W40" s="110">
        <f t="shared" si="32"/>
        <v>0</v>
      </c>
      <c r="X40" s="110">
        <f t="shared" si="33"/>
        <v>0</v>
      </c>
      <c r="Y40" s="110">
        <v>6.02</v>
      </c>
      <c r="Z40" s="110">
        <f t="shared" si="34"/>
        <v>1199.3645999999999</v>
      </c>
      <c r="AA40" s="119">
        <v>18.05</v>
      </c>
      <c r="AB40" s="110">
        <f t="shared" si="35"/>
        <v>3596.1014999999998</v>
      </c>
      <c r="AC40" s="150" t="s">
        <v>129</v>
      </c>
      <c r="AD40" s="36"/>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row>
    <row r="41" spans="1:54" s="38" customFormat="1" ht="67.5" customHeight="1" x14ac:dyDescent="0.2">
      <c r="A41" s="123" t="s">
        <v>173</v>
      </c>
      <c r="B41" s="124" t="s">
        <v>177</v>
      </c>
      <c r="C41" s="127" t="s">
        <v>180</v>
      </c>
      <c r="D41" s="39" t="s">
        <v>171</v>
      </c>
      <c r="E41" s="128" t="s">
        <v>1</v>
      </c>
      <c r="F41" s="128">
        <v>39.85</v>
      </c>
      <c r="G41" s="128">
        <v>16.5</v>
      </c>
      <c r="H41" s="40">
        <f t="shared" si="36"/>
        <v>657.52499999999998</v>
      </c>
      <c r="I41" s="133">
        <v>0</v>
      </c>
      <c r="J41" s="40">
        <f>F41*I41</f>
        <v>0</v>
      </c>
      <c r="K41" s="110" t="str">
        <f t="shared" si="38"/>
        <v>0</v>
      </c>
      <c r="L41" s="110" t="str">
        <f t="shared" si="21"/>
        <v>0</v>
      </c>
      <c r="M41" s="110" t="str">
        <f t="shared" si="22"/>
        <v>0</v>
      </c>
      <c r="N41" s="110" t="str">
        <f t="shared" si="23"/>
        <v>0</v>
      </c>
      <c r="O41" s="110" t="str">
        <f t="shared" si="24"/>
        <v>0</v>
      </c>
      <c r="P41" s="110" t="str">
        <f t="shared" si="25"/>
        <v>0</v>
      </c>
      <c r="Q41" s="110" t="str">
        <f t="shared" si="26"/>
        <v>0</v>
      </c>
      <c r="R41" s="110" t="str">
        <f t="shared" si="27"/>
        <v>0</v>
      </c>
      <c r="S41" s="110" t="str">
        <f t="shared" si="28"/>
        <v>0</v>
      </c>
      <c r="T41" s="110">
        <f>S41*F41</f>
        <v>0</v>
      </c>
      <c r="U41" s="134">
        <v>0</v>
      </c>
      <c r="V41" s="110">
        <f t="shared" si="31"/>
        <v>0</v>
      </c>
      <c r="W41" s="110">
        <f t="shared" si="32"/>
        <v>0</v>
      </c>
      <c r="X41" s="110">
        <f t="shared" si="33"/>
        <v>0</v>
      </c>
      <c r="Y41" s="110">
        <v>4.12</v>
      </c>
      <c r="Z41" s="110">
        <f t="shared" si="34"/>
        <v>164.18200000000002</v>
      </c>
      <c r="AA41" s="119">
        <v>12.48</v>
      </c>
      <c r="AB41" s="110">
        <f t="shared" si="35"/>
        <v>497.32800000000003</v>
      </c>
      <c r="AC41" s="148" t="s">
        <v>132</v>
      </c>
      <c r="AD41" s="36"/>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row>
    <row r="42" spans="1:54" s="38" customFormat="1" ht="67.5" customHeight="1" x14ac:dyDescent="0.2">
      <c r="A42" s="126" t="s">
        <v>174</v>
      </c>
      <c r="B42" s="129" t="s">
        <v>181</v>
      </c>
      <c r="C42" s="131" t="s">
        <v>182</v>
      </c>
      <c r="D42" s="39" t="s">
        <v>12</v>
      </c>
      <c r="E42" s="128" t="s">
        <v>1</v>
      </c>
      <c r="F42" s="128">
        <v>340.98</v>
      </c>
      <c r="G42" s="128">
        <v>95.6</v>
      </c>
      <c r="H42" s="40">
        <f t="shared" si="36"/>
        <v>32597.687999999998</v>
      </c>
      <c r="I42" s="132">
        <v>141.31</v>
      </c>
      <c r="J42" s="40">
        <f t="shared" si="37"/>
        <v>48183.883800000003</v>
      </c>
      <c r="K42" s="110" t="str">
        <f t="shared" si="38"/>
        <v>0</v>
      </c>
      <c r="L42" s="110" t="str">
        <f t="shared" si="21"/>
        <v>0</v>
      </c>
      <c r="M42" s="110" t="str">
        <f t="shared" si="22"/>
        <v>0</v>
      </c>
      <c r="N42" s="110" t="str">
        <f t="shared" si="23"/>
        <v>0</v>
      </c>
      <c r="O42" s="110" t="str">
        <f t="shared" si="24"/>
        <v>0</v>
      </c>
      <c r="P42" s="110" t="str">
        <f t="shared" si="25"/>
        <v>0</v>
      </c>
      <c r="Q42" s="110" t="str">
        <f t="shared" si="26"/>
        <v>0</v>
      </c>
      <c r="R42" s="110" t="str">
        <f t="shared" si="27"/>
        <v>0</v>
      </c>
      <c r="S42" s="110" t="str">
        <f t="shared" si="28"/>
        <v>0</v>
      </c>
      <c r="T42" s="110">
        <f t="shared" si="29"/>
        <v>0</v>
      </c>
      <c r="U42" s="110">
        <f t="shared" si="30"/>
        <v>45.710000000000008</v>
      </c>
      <c r="V42" s="110">
        <f t="shared" si="31"/>
        <v>15586.195800000003</v>
      </c>
      <c r="W42" s="110">
        <f>IF(D42="M",IF(I42&gt;G42*2,I42-G42*2,0),"0")</f>
        <v>0</v>
      </c>
      <c r="X42" s="110">
        <f t="shared" si="33"/>
        <v>0</v>
      </c>
      <c r="Y42" s="110">
        <v>4</v>
      </c>
      <c r="Z42" s="110">
        <f t="shared" si="34"/>
        <v>1363.92</v>
      </c>
      <c r="AA42" s="119">
        <v>0</v>
      </c>
      <c r="AB42" s="110">
        <f t="shared" si="35"/>
        <v>0</v>
      </c>
      <c r="AC42" s="148" t="s">
        <v>71</v>
      </c>
      <c r="AD42" s="36"/>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row>
    <row r="43" spans="1:54" s="38" customFormat="1" ht="67.5" customHeight="1" x14ac:dyDescent="0.2">
      <c r="A43" s="123" t="s">
        <v>175</v>
      </c>
      <c r="B43" s="124" t="s">
        <v>176</v>
      </c>
      <c r="C43" s="127" t="s">
        <v>183</v>
      </c>
      <c r="D43" s="39" t="s">
        <v>12</v>
      </c>
      <c r="E43" s="128" t="s">
        <v>1</v>
      </c>
      <c r="F43" s="128">
        <v>68.2</v>
      </c>
      <c r="G43" s="128">
        <v>95.6</v>
      </c>
      <c r="H43" s="40">
        <f t="shared" si="36"/>
        <v>6519.92</v>
      </c>
      <c r="I43" s="133">
        <v>141.31</v>
      </c>
      <c r="J43" s="40">
        <f t="shared" si="37"/>
        <v>9637.3420000000006</v>
      </c>
      <c r="K43" s="110" t="str">
        <f t="shared" si="38"/>
        <v>0</v>
      </c>
      <c r="L43" s="110" t="str">
        <f t="shared" si="21"/>
        <v>0</v>
      </c>
      <c r="M43" s="110" t="str">
        <f t="shared" si="22"/>
        <v>0</v>
      </c>
      <c r="N43" s="110" t="str">
        <f t="shared" si="23"/>
        <v>0</v>
      </c>
      <c r="O43" s="110" t="str">
        <f t="shared" si="24"/>
        <v>0</v>
      </c>
      <c r="P43" s="110" t="str">
        <f t="shared" si="25"/>
        <v>0</v>
      </c>
      <c r="Q43" s="110" t="str">
        <f t="shared" si="26"/>
        <v>0</v>
      </c>
      <c r="R43" s="110" t="str">
        <f t="shared" si="27"/>
        <v>0</v>
      </c>
      <c r="S43" s="110" t="str">
        <f t="shared" si="28"/>
        <v>0</v>
      </c>
      <c r="T43" s="110">
        <f t="shared" si="29"/>
        <v>0</v>
      </c>
      <c r="U43" s="110">
        <f t="shared" si="30"/>
        <v>45.710000000000008</v>
      </c>
      <c r="V43" s="110">
        <f t="shared" si="31"/>
        <v>3117.4220000000005</v>
      </c>
      <c r="W43" s="110">
        <f t="shared" si="32"/>
        <v>0</v>
      </c>
      <c r="X43" s="110">
        <f t="shared" si="33"/>
        <v>0</v>
      </c>
      <c r="Y43" s="110">
        <v>0</v>
      </c>
      <c r="Z43" s="110">
        <f t="shared" si="34"/>
        <v>0</v>
      </c>
      <c r="AA43" s="119">
        <v>0</v>
      </c>
      <c r="AB43" s="110">
        <f t="shared" si="35"/>
        <v>0</v>
      </c>
      <c r="AC43" s="148" t="s">
        <v>71</v>
      </c>
      <c r="AD43" s="36"/>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row>
    <row r="44" spans="1:54" s="38" customFormat="1" ht="67.5" customHeight="1" x14ac:dyDescent="0.2">
      <c r="A44" s="126">
        <v>13</v>
      </c>
      <c r="B44" s="124" t="s">
        <v>178</v>
      </c>
      <c r="C44" s="127" t="s">
        <v>184</v>
      </c>
      <c r="D44" s="39" t="s">
        <v>170</v>
      </c>
      <c r="E44" s="128" t="s">
        <v>4</v>
      </c>
      <c r="F44" s="128">
        <v>2982.2</v>
      </c>
      <c r="G44" s="128">
        <v>59.97</v>
      </c>
      <c r="H44" s="40">
        <f t="shared" si="36"/>
        <v>178842.53399999999</v>
      </c>
      <c r="I44" s="133">
        <v>65.28</v>
      </c>
      <c r="J44" s="40">
        <f t="shared" si="37"/>
        <v>194678.016</v>
      </c>
      <c r="K44" s="110">
        <f t="shared" si="38"/>
        <v>5.3100000000000023</v>
      </c>
      <c r="L44" s="110">
        <f t="shared" si="21"/>
        <v>15835.482000000005</v>
      </c>
      <c r="M44" s="110" t="str">
        <f t="shared" si="22"/>
        <v>0</v>
      </c>
      <c r="N44" s="110" t="str">
        <f t="shared" si="23"/>
        <v>0</v>
      </c>
      <c r="O44" s="110" t="str">
        <f t="shared" si="24"/>
        <v>0</v>
      </c>
      <c r="P44" s="110" t="str">
        <f t="shared" si="25"/>
        <v>0</v>
      </c>
      <c r="Q44" s="110" t="str">
        <f t="shared" si="26"/>
        <v>0</v>
      </c>
      <c r="R44" s="110" t="str">
        <f t="shared" si="27"/>
        <v>0</v>
      </c>
      <c r="S44" s="110" t="str">
        <f t="shared" si="28"/>
        <v>0</v>
      </c>
      <c r="T44" s="110">
        <f t="shared" si="29"/>
        <v>0</v>
      </c>
      <c r="U44" s="110" t="str">
        <f t="shared" si="30"/>
        <v>0</v>
      </c>
      <c r="V44" s="110">
        <f t="shared" si="31"/>
        <v>0</v>
      </c>
      <c r="W44" s="110" t="str">
        <f t="shared" si="32"/>
        <v>0</v>
      </c>
      <c r="X44" s="110">
        <f t="shared" si="33"/>
        <v>0</v>
      </c>
      <c r="Y44" s="110">
        <v>0</v>
      </c>
      <c r="Z44" s="110">
        <f t="shared" si="34"/>
        <v>0</v>
      </c>
      <c r="AA44" s="119">
        <v>0</v>
      </c>
      <c r="AB44" s="110">
        <f t="shared" si="35"/>
        <v>0</v>
      </c>
      <c r="AC44" s="148" t="s">
        <v>71</v>
      </c>
      <c r="AD44" s="36"/>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row>
    <row r="45" spans="1:54" s="38" customFormat="1" ht="67.5" customHeight="1" x14ac:dyDescent="0.2">
      <c r="A45" s="123">
        <v>14</v>
      </c>
      <c r="B45" s="124" t="s">
        <v>198</v>
      </c>
      <c r="C45" s="127" t="s">
        <v>185</v>
      </c>
      <c r="D45" s="39" t="s">
        <v>12</v>
      </c>
      <c r="E45" s="128" t="s">
        <v>4</v>
      </c>
      <c r="F45" s="128">
        <v>166.76</v>
      </c>
      <c r="G45" s="128">
        <v>21.58</v>
      </c>
      <c r="H45" s="40">
        <f t="shared" si="36"/>
        <v>3598.6807999999996</v>
      </c>
      <c r="I45" s="133">
        <v>11.54</v>
      </c>
      <c r="J45" s="40">
        <f t="shared" si="37"/>
        <v>1924.4103999999998</v>
      </c>
      <c r="K45" s="110" t="str">
        <f t="shared" si="38"/>
        <v>0</v>
      </c>
      <c r="L45" s="110" t="str">
        <f t="shared" si="21"/>
        <v>0</v>
      </c>
      <c r="M45" s="110" t="str">
        <f t="shared" si="22"/>
        <v>0</v>
      </c>
      <c r="N45" s="110" t="str">
        <f t="shared" si="23"/>
        <v>0</v>
      </c>
      <c r="O45" s="110" t="str">
        <f t="shared" si="24"/>
        <v>0</v>
      </c>
      <c r="P45" s="110" t="str">
        <f t="shared" si="25"/>
        <v>0</v>
      </c>
      <c r="Q45" s="110" t="str">
        <f t="shared" si="26"/>
        <v>0</v>
      </c>
      <c r="R45" s="110" t="str">
        <f t="shared" si="27"/>
        <v>0</v>
      </c>
      <c r="S45" s="110" t="str">
        <f t="shared" si="28"/>
        <v>0</v>
      </c>
      <c r="T45" s="110">
        <f t="shared" si="29"/>
        <v>0</v>
      </c>
      <c r="U45" s="110">
        <f t="shared" si="30"/>
        <v>0</v>
      </c>
      <c r="V45" s="110">
        <f t="shared" si="31"/>
        <v>0</v>
      </c>
      <c r="W45" s="110">
        <f t="shared" si="32"/>
        <v>0</v>
      </c>
      <c r="X45" s="110">
        <f t="shared" si="33"/>
        <v>0</v>
      </c>
      <c r="Y45" s="110">
        <v>5.39</v>
      </c>
      <c r="Z45" s="110">
        <f t="shared" si="34"/>
        <v>898.83639999999991</v>
      </c>
      <c r="AA45" s="119">
        <v>2.19</v>
      </c>
      <c r="AB45" s="110">
        <f t="shared" si="35"/>
        <v>365.20439999999996</v>
      </c>
      <c r="AC45" s="148" t="s">
        <v>249</v>
      </c>
      <c r="AD45" s="36"/>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row>
    <row r="46" spans="1:54" s="38" customFormat="1" ht="67.5" customHeight="1" x14ac:dyDescent="0.2">
      <c r="A46" s="126">
        <v>15</v>
      </c>
      <c r="B46" s="124" t="s">
        <v>186</v>
      </c>
      <c r="C46" s="127" t="s">
        <v>187</v>
      </c>
      <c r="D46" s="39" t="s">
        <v>12</v>
      </c>
      <c r="E46" s="128" t="s">
        <v>0</v>
      </c>
      <c r="F46" s="128">
        <v>655.33000000000004</v>
      </c>
      <c r="G46" s="128">
        <v>21.58</v>
      </c>
      <c r="H46" s="40">
        <f t="shared" si="36"/>
        <v>14142.0214</v>
      </c>
      <c r="I46" s="133">
        <v>11.54</v>
      </c>
      <c r="J46" s="40">
        <f t="shared" si="37"/>
        <v>7562.5082000000002</v>
      </c>
      <c r="K46" s="110" t="str">
        <f t="shared" si="38"/>
        <v>0</v>
      </c>
      <c r="L46" s="110" t="str">
        <f t="shared" si="21"/>
        <v>0</v>
      </c>
      <c r="M46" s="110" t="str">
        <f t="shared" si="22"/>
        <v>0</v>
      </c>
      <c r="N46" s="110" t="str">
        <f t="shared" si="23"/>
        <v>0</v>
      </c>
      <c r="O46" s="110" t="str">
        <f t="shared" si="24"/>
        <v>0</v>
      </c>
      <c r="P46" s="110" t="str">
        <f t="shared" si="25"/>
        <v>0</v>
      </c>
      <c r="Q46" s="110" t="str">
        <f t="shared" si="26"/>
        <v>0</v>
      </c>
      <c r="R46" s="110" t="str">
        <f t="shared" si="27"/>
        <v>0</v>
      </c>
      <c r="S46" s="110" t="str">
        <f t="shared" si="28"/>
        <v>0</v>
      </c>
      <c r="T46" s="110">
        <f t="shared" si="29"/>
        <v>0</v>
      </c>
      <c r="U46" s="110">
        <f t="shared" si="30"/>
        <v>0</v>
      </c>
      <c r="V46" s="110">
        <f t="shared" si="31"/>
        <v>0</v>
      </c>
      <c r="W46" s="110">
        <f t="shared" si="32"/>
        <v>0</v>
      </c>
      <c r="X46" s="110">
        <f t="shared" si="33"/>
        <v>0</v>
      </c>
      <c r="Y46" s="110">
        <v>5.39</v>
      </c>
      <c r="Z46" s="110">
        <f t="shared" si="34"/>
        <v>3532.2287000000001</v>
      </c>
      <c r="AA46" s="119">
        <v>2.19</v>
      </c>
      <c r="AB46" s="110">
        <f t="shared" si="35"/>
        <v>1435.1727000000001</v>
      </c>
      <c r="AC46" s="148" t="s">
        <v>249</v>
      </c>
      <c r="AD46" s="36"/>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row>
    <row r="47" spans="1:54" s="38" customFormat="1" ht="67.5" customHeight="1" x14ac:dyDescent="0.2">
      <c r="A47" s="123">
        <v>16</v>
      </c>
      <c r="B47" s="124" t="s">
        <v>188</v>
      </c>
      <c r="C47" s="127" t="s">
        <v>189</v>
      </c>
      <c r="D47" s="39" t="s">
        <v>12</v>
      </c>
      <c r="E47" s="128" t="s">
        <v>11</v>
      </c>
      <c r="F47" s="128">
        <v>72.900000000000006</v>
      </c>
      <c r="G47" s="128">
        <v>74.58</v>
      </c>
      <c r="H47" s="40">
        <f t="shared" si="36"/>
        <v>5436.8820000000005</v>
      </c>
      <c r="I47" s="133">
        <v>0</v>
      </c>
      <c r="J47" s="40">
        <f t="shared" si="37"/>
        <v>0</v>
      </c>
      <c r="K47" s="110" t="str">
        <f t="shared" si="38"/>
        <v>0</v>
      </c>
      <c r="L47" s="110" t="str">
        <f t="shared" si="21"/>
        <v>0</v>
      </c>
      <c r="M47" s="110" t="str">
        <f t="shared" si="22"/>
        <v>0</v>
      </c>
      <c r="N47" s="110" t="str">
        <f t="shared" si="23"/>
        <v>0</v>
      </c>
      <c r="O47" s="110" t="str">
        <f t="shared" si="24"/>
        <v>0</v>
      </c>
      <c r="P47" s="110" t="str">
        <f t="shared" si="25"/>
        <v>0</v>
      </c>
      <c r="Q47" s="110" t="str">
        <f t="shared" si="26"/>
        <v>0</v>
      </c>
      <c r="R47" s="110" t="str">
        <f t="shared" si="27"/>
        <v>0</v>
      </c>
      <c r="S47" s="110" t="str">
        <f t="shared" si="28"/>
        <v>0</v>
      </c>
      <c r="T47" s="110">
        <f t="shared" si="29"/>
        <v>0</v>
      </c>
      <c r="U47" s="110">
        <f t="shared" si="30"/>
        <v>0</v>
      </c>
      <c r="V47" s="110">
        <f t="shared" si="31"/>
        <v>0</v>
      </c>
      <c r="W47" s="110">
        <f t="shared" si="32"/>
        <v>0</v>
      </c>
      <c r="X47" s="110">
        <f t="shared" si="33"/>
        <v>0</v>
      </c>
      <c r="Y47" s="110">
        <v>18.64</v>
      </c>
      <c r="Z47" s="110">
        <f t="shared" si="34"/>
        <v>1358.8560000000002</v>
      </c>
      <c r="AA47" s="119">
        <v>55.94</v>
      </c>
      <c r="AB47" s="110">
        <f t="shared" si="35"/>
        <v>4078.0260000000003</v>
      </c>
      <c r="AC47" s="148" t="s">
        <v>133</v>
      </c>
      <c r="AD47" s="36"/>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row>
    <row r="48" spans="1:54" s="38" customFormat="1" ht="67.5" customHeight="1" x14ac:dyDescent="0.2">
      <c r="A48" s="126">
        <v>17</v>
      </c>
      <c r="B48" s="124" t="s">
        <v>190</v>
      </c>
      <c r="C48" s="127" t="s">
        <v>191</v>
      </c>
      <c r="D48" s="39" t="s">
        <v>12</v>
      </c>
      <c r="E48" s="128" t="s">
        <v>1</v>
      </c>
      <c r="F48" s="128">
        <v>364.87</v>
      </c>
      <c r="G48" s="128">
        <v>2.23</v>
      </c>
      <c r="H48" s="40">
        <f t="shared" si="36"/>
        <v>813.66010000000006</v>
      </c>
      <c r="I48" s="133">
        <v>0</v>
      </c>
      <c r="J48" s="40">
        <f t="shared" si="37"/>
        <v>0</v>
      </c>
      <c r="K48" s="110" t="str">
        <f t="shared" si="38"/>
        <v>0</v>
      </c>
      <c r="L48" s="110" t="str">
        <f t="shared" si="21"/>
        <v>0</v>
      </c>
      <c r="M48" s="110" t="str">
        <f t="shared" si="22"/>
        <v>0</v>
      </c>
      <c r="N48" s="110" t="str">
        <f t="shared" si="23"/>
        <v>0</v>
      </c>
      <c r="O48" s="110" t="str">
        <f t="shared" si="24"/>
        <v>0</v>
      </c>
      <c r="P48" s="110" t="str">
        <f t="shared" si="25"/>
        <v>0</v>
      </c>
      <c r="Q48" s="110" t="str">
        <f t="shared" si="26"/>
        <v>0</v>
      </c>
      <c r="R48" s="110" t="str">
        <f t="shared" si="27"/>
        <v>0</v>
      </c>
      <c r="S48" s="110" t="str">
        <f t="shared" si="28"/>
        <v>0</v>
      </c>
      <c r="T48" s="110">
        <f t="shared" si="29"/>
        <v>0</v>
      </c>
      <c r="U48" s="110">
        <f t="shared" si="30"/>
        <v>0</v>
      </c>
      <c r="V48" s="110">
        <f t="shared" si="31"/>
        <v>0</v>
      </c>
      <c r="W48" s="110">
        <f t="shared" si="32"/>
        <v>0</v>
      </c>
      <c r="X48" s="110">
        <f t="shared" si="33"/>
        <v>0</v>
      </c>
      <c r="Y48" s="110">
        <v>0.56000000000000005</v>
      </c>
      <c r="Z48" s="110">
        <f t="shared" si="34"/>
        <v>204.32720000000003</v>
      </c>
      <c r="AA48" s="119">
        <v>1.67</v>
      </c>
      <c r="AB48" s="110">
        <f t="shared" si="35"/>
        <v>609.3329</v>
      </c>
      <c r="AC48" s="148" t="s">
        <v>133</v>
      </c>
      <c r="AD48" s="36"/>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row>
    <row r="49" spans="1:54" s="38" customFormat="1" ht="67.5" customHeight="1" x14ac:dyDescent="0.2">
      <c r="A49" s="123">
        <v>18</v>
      </c>
      <c r="B49" s="124" t="s">
        <v>192</v>
      </c>
      <c r="C49" s="127" t="s">
        <v>193</v>
      </c>
      <c r="D49" s="39" t="s">
        <v>171</v>
      </c>
      <c r="E49" s="128" t="s">
        <v>199</v>
      </c>
      <c r="F49" s="128">
        <v>80.36</v>
      </c>
      <c r="G49" s="128">
        <v>214.5</v>
      </c>
      <c r="H49" s="40">
        <f t="shared" si="36"/>
        <v>17237.22</v>
      </c>
      <c r="I49" s="133">
        <v>79.53</v>
      </c>
      <c r="J49" s="40">
        <f>F49*I49</f>
        <v>6391.0308000000005</v>
      </c>
      <c r="K49" s="110" t="str">
        <f t="shared" si="38"/>
        <v>0</v>
      </c>
      <c r="L49" s="110" t="str">
        <f t="shared" si="21"/>
        <v>0</v>
      </c>
      <c r="M49" s="110" t="str">
        <f t="shared" si="22"/>
        <v>0</v>
      </c>
      <c r="N49" s="110" t="str">
        <f t="shared" si="23"/>
        <v>0</v>
      </c>
      <c r="O49" s="110" t="str">
        <f t="shared" si="24"/>
        <v>0</v>
      </c>
      <c r="P49" s="110" t="str">
        <f t="shared" si="25"/>
        <v>0</v>
      </c>
      <c r="Q49" s="110" t="str">
        <f t="shared" si="26"/>
        <v>0</v>
      </c>
      <c r="R49" s="110" t="str">
        <f t="shared" si="27"/>
        <v>0</v>
      </c>
      <c r="S49" s="110" t="str">
        <f t="shared" si="28"/>
        <v>0</v>
      </c>
      <c r="T49" s="110">
        <f t="shared" si="29"/>
        <v>0</v>
      </c>
      <c r="U49" s="110">
        <f t="shared" si="30"/>
        <v>0</v>
      </c>
      <c r="V49" s="110">
        <f t="shared" si="31"/>
        <v>0</v>
      </c>
      <c r="W49" s="110">
        <f t="shared" si="32"/>
        <v>0</v>
      </c>
      <c r="X49" s="110">
        <f t="shared" si="33"/>
        <v>0</v>
      </c>
      <c r="Y49" s="110">
        <v>53.62</v>
      </c>
      <c r="Z49" s="110">
        <f t="shared" si="34"/>
        <v>4308.9031999999997</v>
      </c>
      <c r="AA49" s="119">
        <v>81.349999999999994</v>
      </c>
      <c r="AB49" s="110">
        <f t="shared" si="35"/>
        <v>6537.2859999999991</v>
      </c>
      <c r="AC49" s="148" t="s">
        <v>253</v>
      </c>
      <c r="AD49" s="36"/>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row>
    <row r="50" spans="1:54" s="38" customFormat="1" ht="67.5" customHeight="1" x14ac:dyDescent="0.2">
      <c r="A50" s="126">
        <v>19</v>
      </c>
      <c r="B50" s="124" t="s">
        <v>194</v>
      </c>
      <c r="C50" s="127" t="s">
        <v>195</v>
      </c>
      <c r="D50" s="39" t="s">
        <v>12</v>
      </c>
      <c r="E50" s="128" t="s">
        <v>1</v>
      </c>
      <c r="F50" s="128">
        <v>2742.82</v>
      </c>
      <c r="G50" s="128">
        <v>7.2</v>
      </c>
      <c r="H50" s="40">
        <f t="shared" si="36"/>
        <v>19748.304</v>
      </c>
      <c r="I50" s="133">
        <v>0</v>
      </c>
      <c r="J50" s="40">
        <f>F50*I50</f>
        <v>0</v>
      </c>
      <c r="K50" s="110" t="str">
        <f t="shared" si="38"/>
        <v>0</v>
      </c>
      <c r="L50" s="110" t="str">
        <f t="shared" si="21"/>
        <v>0</v>
      </c>
      <c r="M50" s="110" t="str">
        <f t="shared" si="22"/>
        <v>0</v>
      </c>
      <c r="N50" s="110" t="str">
        <f t="shared" si="23"/>
        <v>0</v>
      </c>
      <c r="O50" s="110" t="str">
        <f t="shared" si="24"/>
        <v>0</v>
      </c>
      <c r="P50" s="110" t="str">
        <f t="shared" si="25"/>
        <v>0</v>
      </c>
      <c r="Q50" s="110" t="str">
        <f t="shared" si="26"/>
        <v>0</v>
      </c>
      <c r="R50" s="110" t="str">
        <f t="shared" si="27"/>
        <v>0</v>
      </c>
      <c r="S50" s="110" t="str">
        <f t="shared" si="28"/>
        <v>0</v>
      </c>
      <c r="T50" s="110">
        <f t="shared" si="29"/>
        <v>0</v>
      </c>
      <c r="U50" s="110">
        <f t="shared" si="30"/>
        <v>0</v>
      </c>
      <c r="V50" s="110">
        <f t="shared" si="31"/>
        <v>0</v>
      </c>
      <c r="W50" s="110">
        <f t="shared" si="32"/>
        <v>0</v>
      </c>
      <c r="X50" s="110">
        <f t="shared" si="33"/>
        <v>0</v>
      </c>
      <c r="Y50" s="110">
        <v>1.8</v>
      </c>
      <c r="Z50" s="110">
        <f t="shared" si="34"/>
        <v>4937.076</v>
      </c>
      <c r="AA50" s="119">
        <v>5.4</v>
      </c>
      <c r="AB50" s="110">
        <f t="shared" si="35"/>
        <v>14811.228000000001</v>
      </c>
      <c r="AC50" s="148" t="s">
        <v>254</v>
      </c>
      <c r="AD50" s="36"/>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row>
    <row r="51" spans="1:54" s="38" customFormat="1" ht="67.5" customHeight="1" x14ac:dyDescent="0.2">
      <c r="A51" s="123">
        <v>20</v>
      </c>
      <c r="B51" s="124" t="s">
        <v>196</v>
      </c>
      <c r="C51" s="127" t="s">
        <v>197</v>
      </c>
      <c r="D51" s="39" t="s">
        <v>12</v>
      </c>
      <c r="E51" s="128" t="s">
        <v>1</v>
      </c>
      <c r="F51" s="128">
        <v>2416.13</v>
      </c>
      <c r="G51" s="128">
        <v>7.2</v>
      </c>
      <c r="H51" s="40">
        <f t="shared" si="36"/>
        <v>17396.136000000002</v>
      </c>
      <c r="I51" s="133">
        <v>0</v>
      </c>
      <c r="J51" s="40">
        <f t="shared" si="37"/>
        <v>0</v>
      </c>
      <c r="K51" s="110" t="str">
        <f t="shared" si="38"/>
        <v>0</v>
      </c>
      <c r="L51" s="110" t="str">
        <f t="shared" si="21"/>
        <v>0</v>
      </c>
      <c r="M51" s="110" t="str">
        <f t="shared" si="22"/>
        <v>0</v>
      </c>
      <c r="N51" s="110" t="str">
        <f t="shared" si="23"/>
        <v>0</v>
      </c>
      <c r="O51" s="110" t="str">
        <f t="shared" si="24"/>
        <v>0</v>
      </c>
      <c r="P51" s="110" t="str">
        <f t="shared" si="25"/>
        <v>0</v>
      </c>
      <c r="Q51" s="110" t="str">
        <f t="shared" si="26"/>
        <v>0</v>
      </c>
      <c r="R51" s="110" t="str">
        <f t="shared" si="27"/>
        <v>0</v>
      </c>
      <c r="S51" s="110" t="str">
        <f t="shared" si="28"/>
        <v>0</v>
      </c>
      <c r="T51" s="110">
        <f t="shared" si="29"/>
        <v>0</v>
      </c>
      <c r="U51" s="110">
        <f t="shared" si="30"/>
        <v>0</v>
      </c>
      <c r="V51" s="110">
        <f t="shared" si="31"/>
        <v>0</v>
      </c>
      <c r="W51" s="110">
        <f t="shared" si="32"/>
        <v>0</v>
      </c>
      <c r="X51" s="110">
        <f t="shared" si="33"/>
        <v>0</v>
      </c>
      <c r="Y51" s="110">
        <v>1.8</v>
      </c>
      <c r="Z51" s="110">
        <f t="shared" si="34"/>
        <v>4349.0340000000006</v>
      </c>
      <c r="AA51" s="119">
        <v>5.4</v>
      </c>
      <c r="AB51" s="110">
        <f t="shared" si="35"/>
        <v>13047.102000000001</v>
      </c>
      <c r="AC51" s="148" t="s">
        <v>255</v>
      </c>
      <c r="AD51" s="36"/>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row>
    <row r="52" spans="1:54" s="38" customFormat="1" ht="67.5" customHeight="1" x14ac:dyDescent="0.2">
      <c r="A52" s="126">
        <v>21</v>
      </c>
      <c r="B52" s="124" t="s">
        <v>95</v>
      </c>
      <c r="C52" s="127" t="s">
        <v>200</v>
      </c>
      <c r="D52" s="39" t="s">
        <v>12</v>
      </c>
      <c r="E52" s="128" t="s">
        <v>1</v>
      </c>
      <c r="F52" s="128">
        <v>98.53</v>
      </c>
      <c r="G52" s="128">
        <v>329.85</v>
      </c>
      <c r="H52" s="40">
        <f t="shared" si="36"/>
        <v>32500.120500000001</v>
      </c>
      <c r="I52" s="133">
        <v>95.36</v>
      </c>
      <c r="J52" s="40">
        <f t="shared" si="37"/>
        <v>9395.8207999999995</v>
      </c>
      <c r="K52" s="110" t="str">
        <f t="shared" si="38"/>
        <v>0</v>
      </c>
      <c r="L52" s="110" t="str">
        <f t="shared" si="21"/>
        <v>0</v>
      </c>
      <c r="M52" s="110" t="str">
        <f t="shared" si="22"/>
        <v>0</v>
      </c>
      <c r="N52" s="110" t="str">
        <f t="shared" si="23"/>
        <v>0</v>
      </c>
      <c r="O52" s="110" t="str">
        <f t="shared" si="24"/>
        <v>0</v>
      </c>
      <c r="P52" s="110" t="str">
        <f t="shared" si="25"/>
        <v>0</v>
      </c>
      <c r="Q52" s="110" t="str">
        <f t="shared" si="26"/>
        <v>0</v>
      </c>
      <c r="R52" s="110" t="str">
        <f t="shared" si="27"/>
        <v>0</v>
      </c>
      <c r="S52" s="110" t="str">
        <f t="shared" si="28"/>
        <v>0</v>
      </c>
      <c r="T52" s="110">
        <f t="shared" si="29"/>
        <v>0</v>
      </c>
      <c r="U52" s="110">
        <f t="shared" si="30"/>
        <v>0</v>
      </c>
      <c r="V52" s="110">
        <f t="shared" si="31"/>
        <v>0</v>
      </c>
      <c r="W52" s="110">
        <f t="shared" si="32"/>
        <v>0</v>
      </c>
      <c r="X52" s="110">
        <f t="shared" si="33"/>
        <v>0</v>
      </c>
      <c r="Y52" s="110">
        <v>82.46</v>
      </c>
      <c r="Z52" s="110">
        <f t="shared" si="34"/>
        <v>8124.7837999999992</v>
      </c>
      <c r="AA52" s="119">
        <v>152.03</v>
      </c>
      <c r="AB52" s="110">
        <f t="shared" si="35"/>
        <v>14979.5159</v>
      </c>
      <c r="AC52" s="148" t="s">
        <v>255</v>
      </c>
      <c r="AD52" s="36"/>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row>
    <row r="53" spans="1:54" s="38" customFormat="1" ht="67.5" customHeight="1" x14ac:dyDescent="0.2">
      <c r="A53" s="123">
        <v>22</v>
      </c>
      <c r="B53" s="124">
        <v>111011</v>
      </c>
      <c r="C53" s="127" t="s">
        <v>201</v>
      </c>
      <c r="D53" s="39" t="s">
        <v>12</v>
      </c>
      <c r="E53" s="128" t="s">
        <v>1</v>
      </c>
      <c r="F53" s="128">
        <v>67.010000000000005</v>
      </c>
      <c r="G53" s="128">
        <v>410.8</v>
      </c>
      <c r="H53" s="40">
        <f t="shared" si="36"/>
        <v>27527.708000000002</v>
      </c>
      <c r="I53" s="133">
        <v>125.68</v>
      </c>
      <c r="J53" s="40">
        <v>10695.47</v>
      </c>
      <c r="K53" s="110" t="str">
        <f t="shared" si="38"/>
        <v>0</v>
      </c>
      <c r="L53" s="110" t="str">
        <f>IF(ISNONTEXT(K53),$F53*K53,"0")</f>
        <v>0</v>
      </c>
      <c r="M53" s="110" t="str">
        <f t="shared" si="22"/>
        <v>0</v>
      </c>
      <c r="N53" s="110" t="str">
        <f t="shared" si="23"/>
        <v>0</v>
      </c>
      <c r="O53" s="110" t="str">
        <f t="shared" si="24"/>
        <v>0</v>
      </c>
      <c r="P53" s="110" t="str">
        <f t="shared" si="25"/>
        <v>0</v>
      </c>
      <c r="Q53" s="110" t="str">
        <f t="shared" si="26"/>
        <v>0</v>
      </c>
      <c r="R53" s="110" t="str">
        <f t="shared" si="27"/>
        <v>0</v>
      </c>
      <c r="S53" s="110" t="str">
        <f t="shared" si="28"/>
        <v>0</v>
      </c>
      <c r="T53" s="110">
        <f t="shared" si="29"/>
        <v>0</v>
      </c>
      <c r="U53" s="110">
        <f t="shared" si="30"/>
        <v>0</v>
      </c>
      <c r="V53" s="110">
        <f t="shared" si="31"/>
        <v>0</v>
      </c>
      <c r="W53" s="110">
        <f t="shared" si="32"/>
        <v>0</v>
      </c>
      <c r="X53" s="110">
        <f t="shared" si="33"/>
        <v>0</v>
      </c>
      <c r="Y53" s="110">
        <v>102.7</v>
      </c>
      <c r="Z53" s="110">
        <f t="shared" si="34"/>
        <v>6881.9270000000006</v>
      </c>
      <c r="AA53" s="119">
        <v>148.49</v>
      </c>
      <c r="AB53" s="110">
        <f t="shared" si="35"/>
        <v>9950.3149000000012</v>
      </c>
      <c r="AC53" s="148" t="s">
        <v>256</v>
      </c>
      <c r="AD53" s="36"/>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row>
    <row r="54" spans="1:54" s="38" customFormat="1" ht="67.5" customHeight="1" x14ac:dyDescent="0.2">
      <c r="A54" s="126">
        <v>23</v>
      </c>
      <c r="B54" s="129">
        <v>111012</v>
      </c>
      <c r="C54" s="131" t="s">
        <v>202</v>
      </c>
      <c r="D54" s="39" t="s">
        <v>12</v>
      </c>
      <c r="E54" s="128" t="s">
        <v>1</v>
      </c>
      <c r="F54" s="128">
        <v>67.02</v>
      </c>
      <c r="G54" s="128">
        <v>123.07</v>
      </c>
      <c r="H54" s="40">
        <f t="shared" si="36"/>
        <v>8248.1513999999988</v>
      </c>
      <c r="I54" s="132">
        <v>106.27</v>
      </c>
      <c r="J54" s="40">
        <f t="shared" si="37"/>
        <v>7122.2153999999991</v>
      </c>
      <c r="K54" s="110" t="str">
        <f t="shared" si="38"/>
        <v>0</v>
      </c>
      <c r="L54" s="110" t="str">
        <f t="shared" si="21"/>
        <v>0</v>
      </c>
      <c r="M54" s="110" t="str">
        <f t="shared" si="22"/>
        <v>0</v>
      </c>
      <c r="N54" s="110" t="str">
        <f t="shared" si="23"/>
        <v>0</v>
      </c>
      <c r="O54" s="110" t="str">
        <f t="shared" si="24"/>
        <v>0</v>
      </c>
      <c r="P54" s="110" t="str">
        <f t="shared" si="25"/>
        <v>0</v>
      </c>
      <c r="Q54" s="110" t="str">
        <f t="shared" si="26"/>
        <v>0</v>
      </c>
      <c r="R54" s="110" t="str">
        <f t="shared" si="27"/>
        <v>0</v>
      </c>
      <c r="S54" s="110" t="str">
        <f t="shared" si="28"/>
        <v>0</v>
      </c>
      <c r="T54" s="110">
        <f t="shared" si="29"/>
        <v>0</v>
      </c>
      <c r="U54" s="110">
        <f t="shared" si="30"/>
        <v>0</v>
      </c>
      <c r="V54" s="110">
        <f t="shared" si="31"/>
        <v>0</v>
      </c>
      <c r="W54" s="110">
        <f t="shared" si="32"/>
        <v>0</v>
      </c>
      <c r="X54" s="110">
        <f t="shared" si="33"/>
        <v>0</v>
      </c>
      <c r="Y54" s="110">
        <v>3.07</v>
      </c>
      <c r="Z54" s="110">
        <f t="shared" si="34"/>
        <v>205.75139999999999</v>
      </c>
      <c r="AA54" s="119">
        <v>0</v>
      </c>
      <c r="AB54" s="110">
        <f t="shared" si="35"/>
        <v>0</v>
      </c>
      <c r="AC54" s="148" t="s">
        <v>257</v>
      </c>
      <c r="AD54" s="36"/>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row>
    <row r="55" spans="1:54" s="38" customFormat="1" ht="67.5" customHeight="1" x14ac:dyDescent="0.2">
      <c r="A55" s="123">
        <v>24</v>
      </c>
      <c r="B55" s="124">
        <v>114041</v>
      </c>
      <c r="C55" s="127" t="s">
        <v>96</v>
      </c>
      <c r="D55" s="39" t="s">
        <v>12</v>
      </c>
      <c r="E55" s="128" t="s">
        <v>97</v>
      </c>
      <c r="F55" s="128">
        <v>78.05</v>
      </c>
      <c r="G55" s="128">
        <v>11.63</v>
      </c>
      <c r="H55" s="40">
        <f t="shared" si="36"/>
        <v>907.72149999999999</v>
      </c>
      <c r="I55" s="133">
        <v>8.2100000000000009</v>
      </c>
      <c r="J55" s="40">
        <f t="shared" si="37"/>
        <v>640.79050000000007</v>
      </c>
      <c r="K55" s="110" t="str">
        <f t="shared" si="38"/>
        <v>0</v>
      </c>
      <c r="L55" s="110" t="str">
        <f t="shared" si="21"/>
        <v>0</v>
      </c>
      <c r="M55" s="110" t="str">
        <f t="shared" si="22"/>
        <v>0</v>
      </c>
      <c r="N55" s="110" t="str">
        <f t="shared" si="23"/>
        <v>0</v>
      </c>
      <c r="O55" s="110" t="str">
        <f t="shared" si="24"/>
        <v>0</v>
      </c>
      <c r="P55" s="110" t="str">
        <f t="shared" si="25"/>
        <v>0</v>
      </c>
      <c r="Q55" s="110" t="str">
        <f t="shared" si="26"/>
        <v>0</v>
      </c>
      <c r="R55" s="110" t="str">
        <f t="shared" si="27"/>
        <v>0</v>
      </c>
      <c r="S55" s="110" t="str">
        <f t="shared" si="28"/>
        <v>0</v>
      </c>
      <c r="T55" s="110">
        <f t="shared" si="29"/>
        <v>0</v>
      </c>
      <c r="U55" s="110">
        <f t="shared" si="30"/>
        <v>0</v>
      </c>
      <c r="V55" s="110">
        <f t="shared" si="31"/>
        <v>0</v>
      </c>
      <c r="W55" s="110">
        <v>0</v>
      </c>
      <c r="X55" s="110">
        <f t="shared" si="33"/>
        <v>0</v>
      </c>
      <c r="Y55" s="110">
        <v>0</v>
      </c>
      <c r="Z55" s="110">
        <f t="shared" si="34"/>
        <v>0</v>
      </c>
      <c r="AA55" s="119">
        <v>0</v>
      </c>
      <c r="AB55" s="110">
        <f t="shared" si="35"/>
        <v>0</v>
      </c>
      <c r="AC55" s="148" t="s">
        <v>134</v>
      </c>
      <c r="AD55" s="36"/>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row>
    <row r="56" spans="1:54" s="38" customFormat="1" ht="67.5" customHeight="1" x14ac:dyDescent="0.2">
      <c r="A56" s="126">
        <v>25</v>
      </c>
      <c r="B56" s="124">
        <v>115110</v>
      </c>
      <c r="C56" s="127" t="s">
        <v>203</v>
      </c>
      <c r="D56" s="39" t="s">
        <v>12</v>
      </c>
      <c r="E56" s="128" t="s">
        <v>1</v>
      </c>
      <c r="F56" s="128">
        <v>38.31</v>
      </c>
      <c r="G56" s="128">
        <v>243.01</v>
      </c>
      <c r="H56" s="40">
        <f t="shared" si="36"/>
        <v>9309.7131000000008</v>
      </c>
      <c r="I56" s="133">
        <v>292.02999999999997</v>
      </c>
      <c r="J56" s="40">
        <f t="shared" si="37"/>
        <v>11187.6693</v>
      </c>
      <c r="K56" s="110" t="str">
        <f t="shared" si="38"/>
        <v>0</v>
      </c>
      <c r="L56" s="110" t="str">
        <f t="shared" si="21"/>
        <v>0</v>
      </c>
      <c r="M56" s="110" t="str">
        <f t="shared" si="22"/>
        <v>0</v>
      </c>
      <c r="N56" s="110" t="str">
        <f t="shared" si="23"/>
        <v>0</v>
      </c>
      <c r="O56" s="110" t="str">
        <f t="shared" si="24"/>
        <v>0</v>
      </c>
      <c r="P56" s="110" t="str">
        <f t="shared" si="25"/>
        <v>0</v>
      </c>
      <c r="Q56" s="110" t="str">
        <f t="shared" si="26"/>
        <v>0</v>
      </c>
      <c r="R56" s="110" t="str">
        <f t="shared" si="27"/>
        <v>0</v>
      </c>
      <c r="S56" s="110" t="str">
        <f t="shared" si="28"/>
        <v>0</v>
      </c>
      <c r="T56" s="110">
        <f t="shared" si="29"/>
        <v>0</v>
      </c>
      <c r="U56" s="110">
        <f t="shared" si="30"/>
        <v>49.019999999999982</v>
      </c>
      <c r="V56" s="110">
        <f t="shared" si="31"/>
        <v>1877.9561999999994</v>
      </c>
      <c r="W56" s="110">
        <f t="shared" si="32"/>
        <v>0</v>
      </c>
      <c r="X56" s="110">
        <f t="shared" si="33"/>
        <v>0</v>
      </c>
      <c r="Y56" s="110">
        <v>0</v>
      </c>
      <c r="Z56" s="110">
        <f t="shared" si="34"/>
        <v>0</v>
      </c>
      <c r="AA56" s="119">
        <v>0</v>
      </c>
      <c r="AB56" s="110">
        <f t="shared" si="35"/>
        <v>0</v>
      </c>
      <c r="AC56" s="148" t="s">
        <v>71</v>
      </c>
      <c r="AD56" s="36"/>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row>
    <row r="57" spans="1:54" s="38" customFormat="1" ht="67.5" customHeight="1" x14ac:dyDescent="0.2">
      <c r="A57" s="123">
        <v>26</v>
      </c>
      <c r="B57" s="124">
        <v>121051</v>
      </c>
      <c r="C57" s="127" t="s">
        <v>204</v>
      </c>
      <c r="D57" s="39" t="s">
        <v>12</v>
      </c>
      <c r="E57" s="128" t="s">
        <v>1</v>
      </c>
      <c r="F57" s="128">
        <v>47.41</v>
      </c>
      <c r="G57" s="128">
        <v>658.27</v>
      </c>
      <c r="H57" s="40">
        <f t="shared" si="36"/>
        <v>31208.580699999999</v>
      </c>
      <c r="I57" s="133">
        <v>465.22</v>
      </c>
      <c r="J57" s="40">
        <f t="shared" si="37"/>
        <v>22056.0802</v>
      </c>
      <c r="K57" s="110" t="str">
        <f t="shared" si="38"/>
        <v>0</v>
      </c>
      <c r="L57" s="110" t="str">
        <f t="shared" si="21"/>
        <v>0</v>
      </c>
      <c r="M57" s="110" t="str">
        <f t="shared" si="22"/>
        <v>0</v>
      </c>
      <c r="N57" s="110" t="str">
        <f t="shared" si="23"/>
        <v>0</v>
      </c>
      <c r="O57" s="110" t="str">
        <f t="shared" si="24"/>
        <v>0</v>
      </c>
      <c r="P57" s="110" t="str">
        <f t="shared" si="25"/>
        <v>0</v>
      </c>
      <c r="Q57" s="110" t="str">
        <f t="shared" si="26"/>
        <v>0</v>
      </c>
      <c r="R57" s="110" t="str">
        <f t="shared" si="27"/>
        <v>0</v>
      </c>
      <c r="S57" s="110" t="str">
        <f t="shared" si="28"/>
        <v>0</v>
      </c>
      <c r="T57" s="110">
        <f t="shared" si="29"/>
        <v>0</v>
      </c>
      <c r="U57" s="110">
        <f t="shared" si="30"/>
        <v>0</v>
      </c>
      <c r="V57" s="110">
        <f t="shared" si="31"/>
        <v>0</v>
      </c>
      <c r="W57" s="110">
        <f t="shared" si="32"/>
        <v>0</v>
      </c>
      <c r="X57" s="110">
        <f t="shared" si="33"/>
        <v>0</v>
      </c>
      <c r="Y57" s="110">
        <v>0</v>
      </c>
      <c r="Z57" s="110">
        <f t="shared" si="34"/>
        <v>0</v>
      </c>
      <c r="AA57" s="119">
        <v>0</v>
      </c>
      <c r="AB57" s="110">
        <f t="shared" si="35"/>
        <v>0</v>
      </c>
      <c r="AC57" s="148" t="s">
        <v>258</v>
      </c>
      <c r="AD57" s="36"/>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row>
    <row r="58" spans="1:54" s="38" customFormat="1" ht="67.5" customHeight="1" x14ac:dyDescent="0.2">
      <c r="A58" s="126">
        <v>27</v>
      </c>
      <c r="B58" s="124">
        <v>121170</v>
      </c>
      <c r="C58" s="127" t="s">
        <v>205</v>
      </c>
      <c r="D58" s="39" t="s">
        <v>12</v>
      </c>
      <c r="E58" s="128" t="s">
        <v>1</v>
      </c>
      <c r="F58" s="128">
        <v>40.299999999999997</v>
      </c>
      <c r="G58" s="128">
        <v>26</v>
      </c>
      <c r="H58" s="40">
        <f t="shared" si="36"/>
        <v>1047.8</v>
      </c>
      <c r="I58" s="133">
        <v>0</v>
      </c>
      <c r="J58" s="40">
        <f t="shared" si="37"/>
        <v>0</v>
      </c>
      <c r="K58" s="110" t="str">
        <f t="shared" si="38"/>
        <v>0</v>
      </c>
      <c r="L58" s="110" t="str">
        <f t="shared" si="21"/>
        <v>0</v>
      </c>
      <c r="M58" s="110" t="str">
        <f t="shared" si="22"/>
        <v>0</v>
      </c>
      <c r="N58" s="110" t="str">
        <f t="shared" si="23"/>
        <v>0</v>
      </c>
      <c r="O58" s="110" t="str">
        <f t="shared" si="24"/>
        <v>0</v>
      </c>
      <c r="P58" s="110" t="str">
        <f t="shared" si="25"/>
        <v>0</v>
      </c>
      <c r="Q58" s="110" t="str">
        <f t="shared" si="26"/>
        <v>0</v>
      </c>
      <c r="R58" s="110" t="str">
        <f t="shared" si="27"/>
        <v>0</v>
      </c>
      <c r="S58" s="110" t="str">
        <f t="shared" si="28"/>
        <v>0</v>
      </c>
      <c r="T58" s="110">
        <f t="shared" si="29"/>
        <v>0</v>
      </c>
      <c r="U58" s="110">
        <f t="shared" si="30"/>
        <v>0</v>
      </c>
      <c r="V58" s="110">
        <f t="shared" si="31"/>
        <v>0</v>
      </c>
      <c r="W58" s="110">
        <f t="shared" si="32"/>
        <v>0</v>
      </c>
      <c r="X58" s="110">
        <f t="shared" si="33"/>
        <v>0</v>
      </c>
      <c r="Y58" s="110">
        <v>0</v>
      </c>
      <c r="Z58" s="110">
        <f t="shared" si="34"/>
        <v>0</v>
      </c>
      <c r="AA58" s="119">
        <v>0</v>
      </c>
      <c r="AB58" s="110">
        <f t="shared" si="35"/>
        <v>0</v>
      </c>
      <c r="AC58" s="148" t="s">
        <v>258</v>
      </c>
      <c r="AD58" s="36"/>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row>
    <row r="59" spans="1:54" s="38" customFormat="1" ht="67.5" customHeight="1" x14ac:dyDescent="0.2">
      <c r="A59" s="123">
        <v>28</v>
      </c>
      <c r="B59" s="124">
        <v>256070</v>
      </c>
      <c r="C59" s="127" t="s">
        <v>206</v>
      </c>
      <c r="D59" s="39" t="s">
        <v>12</v>
      </c>
      <c r="E59" s="128" t="s">
        <v>11</v>
      </c>
      <c r="F59" s="128">
        <v>92</v>
      </c>
      <c r="G59" s="128">
        <v>950</v>
      </c>
      <c r="H59" s="40">
        <f t="shared" si="36"/>
        <v>87400</v>
      </c>
      <c r="I59" s="133">
        <v>0</v>
      </c>
      <c r="J59" s="40">
        <f t="shared" si="37"/>
        <v>0</v>
      </c>
      <c r="K59" s="110" t="str">
        <f t="shared" si="38"/>
        <v>0</v>
      </c>
      <c r="L59" s="110" t="str">
        <f t="shared" si="21"/>
        <v>0</v>
      </c>
      <c r="M59" s="110" t="str">
        <f t="shared" si="22"/>
        <v>0</v>
      </c>
      <c r="N59" s="110" t="str">
        <f t="shared" si="23"/>
        <v>0</v>
      </c>
      <c r="O59" s="110" t="str">
        <f t="shared" si="24"/>
        <v>0</v>
      </c>
      <c r="P59" s="110" t="str">
        <f t="shared" si="25"/>
        <v>0</v>
      </c>
      <c r="Q59" s="110" t="str">
        <f t="shared" si="26"/>
        <v>0</v>
      </c>
      <c r="R59" s="110" t="str">
        <f t="shared" si="27"/>
        <v>0</v>
      </c>
      <c r="S59" s="110" t="str">
        <f t="shared" si="28"/>
        <v>0</v>
      </c>
      <c r="T59" s="110">
        <f t="shared" si="29"/>
        <v>0</v>
      </c>
      <c r="U59" s="110">
        <f t="shared" si="30"/>
        <v>0</v>
      </c>
      <c r="V59" s="110">
        <f t="shared" si="31"/>
        <v>0</v>
      </c>
      <c r="W59" s="110">
        <f t="shared" si="32"/>
        <v>0</v>
      </c>
      <c r="X59" s="110">
        <f t="shared" si="33"/>
        <v>0</v>
      </c>
      <c r="Y59" s="110">
        <v>237.5</v>
      </c>
      <c r="Z59" s="110">
        <f t="shared" si="34"/>
        <v>21850</v>
      </c>
      <c r="AA59" s="119">
        <v>712.5</v>
      </c>
      <c r="AB59" s="110">
        <f t="shared" si="35"/>
        <v>65550</v>
      </c>
      <c r="AC59" s="148" t="s">
        <v>135</v>
      </c>
      <c r="AD59" s="36"/>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row>
    <row r="60" spans="1:54" s="53" customFormat="1" ht="24.95" customHeight="1" x14ac:dyDescent="0.3">
      <c r="A60" s="44"/>
      <c r="B60" s="45"/>
      <c r="C60" s="46" t="s">
        <v>6</v>
      </c>
      <c r="D60" s="47"/>
      <c r="E60" s="48"/>
      <c r="F60" s="49"/>
      <c r="G60" s="49"/>
      <c r="H60" s="49">
        <f>SUM(H30:H59)</f>
        <v>857152.65380000009</v>
      </c>
      <c r="I60" s="50"/>
      <c r="J60" s="49">
        <f>SUM(J30:J59)</f>
        <v>712563.52119999996</v>
      </c>
      <c r="K60" s="111"/>
      <c r="L60" s="49">
        <f>SUM(L30:L59)</f>
        <v>15835.482000000005</v>
      </c>
      <c r="M60" s="49"/>
      <c r="N60" s="49">
        <f>SUM(N30:N59)</f>
        <v>0</v>
      </c>
      <c r="O60" s="49"/>
      <c r="P60" s="49">
        <f>SUM(P30:P59)</f>
        <v>0</v>
      </c>
      <c r="Q60" s="49"/>
      <c r="R60" s="49">
        <f>SUM(R30:R59)</f>
        <v>0</v>
      </c>
      <c r="S60" s="49"/>
      <c r="T60" s="49">
        <f>SUM(T30:T59)</f>
        <v>0</v>
      </c>
      <c r="U60" s="49"/>
      <c r="V60" s="49">
        <f>SUM(V30:V59)</f>
        <v>77896.866700000013</v>
      </c>
      <c r="W60" s="49"/>
      <c r="X60" s="49">
        <f>SUM(X30:X59)</f>
        <v>133674.16409999999</v>
      </c>
      <c r="Y60" s="49"/>
      <c r="Z60" s="49">
        <f>SUM(Z30:Z59)</f>
        <v>62400.344300000004</v>
      </c>
      <c r="AA60" s="49"/>
      <c r="AB60" s="49">
        <f>SUM(AB30:AB59)</f>
        <v>144321.61230000001</v>
      </c>
      <c r="AC60" s="23"/>
      <c r="AD60" s="51"/>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row>
    <row r="61" spans="1:54" s="53" customFormat="1" ht="24.95" customHeight="1" x14ac:dyDescent="0.2">
      <c r="A61" s="44"/>
      <c r="B61" s="54"/>
      <c r="C61" s="55" t="s">
        <v>207</v>
      </c>
      <c r="D61" s="47"/>
      <c r="E61" s="48"/>
      <c r="F61" s="49"/>
      <c r="G61" s="49"/>
      <c r="H61" s="49">
        <f>H60*8/100</f>
        <v>68572.212304000001</v>
      </c>
      <c r="I61" s="50"/>
      <c r="J61" s="49">
        <f>J60*8/100</f>
        <v>57005.081695999994</v>
      </c>
      <c r="K61" s="111"/>
      <c r="L61" s="49">
        <f>L60*8/100</f>
        <v>1266.8385600000004</v>
      </c>
      <c r="M61" s="49"/>
      <c r="N61" s="49">
        <f>N60*17/100</f>
        <v>0</v>
      </c>
      <c r="O61" s="49"/>
      <c r="P61" s="49">
        <f>P60*17/100</f>
        <v>0</v>
      </c>
      <c r="Q61" s="49"/>
      <c r="R61" s="49">
        <f>R60*17/100</f>
        <v>0</v>
      </c>
      <c r="S61" s="49"/>
      <c r="T61" s="49">
        <f>T60*17/100</f>
        <v>0</v>
      </c>
      <c r="U61" s="49"/>
      <c r="V61" s="49">
        <f>V60*8/100</f>
        <v>6231.7493360000008</v>
      </c>
      <c r="W61" s="49"/>
      <c r="X61" s="49">
        <f>X60*8/100</f>
        <v>10693.933127999999</v>
      </c>
      <c r="Y61" s="49"/>
      <c r="Z61" s="49">
        <f>Z60*8/100</f>
        <v>4992.0275440000005</v>
      </c>
      <c r="AA61" s="49"/>
      <c r="AB61" s="49">
        <f>AB60*17/100</f>
        <v>24534.674091000004</v>
      </c>
      <c r="AC61" s="23"/>
      <c r="AD61" s="51"/>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row>
    <row r="62" spans="1:54" s="53" customFormat="1" ht="24.95" customHeight="1" x14ac:dyDescent="0.2">
      <c r="A62" s="44"/>
      <c r="B62" s="32"/>
      <c r="C62" s="55" t="s">
        <v>41</v>
      </c>
      <c r="D62" s="47"/>
      <c r="E62" s="48"/>
      <c r="F62" s="49"/>
      <c r="G62" s="49"/>
      <c r="H62" s="49">
        <f>H60+H61</f>
        <v>925724.86610400013</v>
      </c>
      <c r="I62" s="50"/>
      <c r="J62" s="49">
        <f>J60+J61</f>
        <v>769568.60289599991</v>
      </c>
      <c r="K62" s="111"/>
      <c r="L62" s="49">
        <f>L60+L61</f>
        <v>17102.320560000007</v>
      </c>
      <c r="M62" s="49"/>
      <c r="N62" s="49">
        <f>N60+N61</f>
        <v>0</v>
      </c>
      <c r="O62" s="49"/>
      <c r="P62" s="49">
        <f>P60+P61</f>
        <v>0</v>
      </c>
      <c r="Q62" s="49"/>
      <c r="R62" s="49">
        <f>R60+R61</f>
        <v>0</v>
      </c>
      <c r="S62" s="49"/>
      <c r="T62" s="49">
        <f>T60+T61</f>
        <v>0</v>
      </c>
      <c r="U62" s="49"/>
      <c r="V62" s="49">
        <f>V60+V61</f>
        <v>84128.616036000021</v>
      </c>
      <c r="W62" s="49"/>
      <c r="X62" s="49">
        <f>X60+X61</f>
        <v>144368.097228</v>
      </c>
      <c r="Y62" s="49"/>
      <c r="Z62" s="49">
        <f>Z60+Z61</f>
        <v>67392.371844000008</v>
      </c>
      <c r="AA62" s="49"/>
      <c r="AB62" s="49">
        <f>AB60+AB61</f>
        <v>168856.286391</v>
      </c>
      <c r="AC62" s="23"/>
      <c r="AD62" s="51"/>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row>
    <row r="63" spans="1:54" s="53" customFormat="1" ht="24.95" customHeight="1" x14ac:dyDescent="0.2">
      <c r="A63" s="44"/>
      <c r="B63" s="32"/>
      <c r="C63" s="55" t="s">
        <v>42</v>
      </c>
      <c r="D63" s="56"/>
      <c r="E63" s="57"/>
      <c r="F63" s="58"/>
      <c r="G63" s="58"/>
      <c r="H63" s="59"/>
      <c r="I63" s="60"/>
      <c r="J63" s="59">
        <f>N63+P64+R64+X64</f>
        <v>5774.7238891199995</v>
      </c>
      <c r="K63" s="112"/>
      <c r="L63" s="59"/>
      <c r="M63" s="59"/>
      <c r="N63" s="59">
        <f>N62*2/100</f>
        <v>0</v>
      </c>
      <c r="O63" s="59"/>
      <c r="P63" s="59"/>
      <c r="Q63" s="59"/>
      <c r="R63" s="59"/>
      <c r="S63" s="59"/>
      <c r="T63" s="59"/>
      <c r="U63" s="59"/>
      <c r="V63" s="59"/>
      <c r="W63" s="59"/>
      <c r="X63" s="59"/>
      <c r="Y63" s="59"/>
      <c r="Z63" s="59"/>
      <c r="AA63" s="59"/>
      <c r="AB63" s="61"/>
      <c r="AC63" s="23"/>
      <c r="AD63" s="51"/>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row>
    <row r="64" spans="1:54" s="53" customFormat="1" ht="24.95" customHeight="1" x14ac:dyDescent="0.2">
      <c r="A64" s="44"/>
      <c r="B64" s="32"/>
      <c r="C64" s="55" t="s">
        <v>43</v>
      </c>
      <c r="D64" s="56"/>
      <c r="E64" s="57"/>
      <c r="F64" s="58"/>
      <c r="G64" s="58"/>
      <c r="H64" s="59"/>
      <c r="I64" s="60"/>
      <c r="J64" s="59"/>
      <c r="K64" s="112"/>
      <c r="L64" s="59"/>
      <c r="M64" s="59"/>
      <c r="N64" s="59"/>
      <c r="O64" s="59"/>
      <c r="P64" s="59">
        <f>P62*4/100</f>
        <v>0</v>
      </c>
      <c r="Q64" s="59"/>
      <c r="R64" s="59">
        <f>R62*4/100</f>
        <v>0</v>
      </c>
      <c r="S64" s="59"/>
      <c r="T64" s="59"/>
      <c r="U64" s="59"/>
      <c r="V64" s="59"/>
      <c r="W64" s="59"/>
      <c r="X64" s="59">
        <f>X62*4/100</f>
        <v>5774.7238891199995</v>
      </c>
      <c r="Y64" s="59"/>
      <c r="Z64" s="59"/>
      <c r="AA64" s="59"/>
      <c r="AB64" s="61"/>
      <c r="AC64" s="23"/>
      <c r="AD64" s="51"/>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row>
    <row r="65" spans="1:54" s="53" customFormat="1" ht="24.95" customHeight="1" x14ac:dyDescent="0.2">
      <c r="A65" s="44"/>
      <c r="B65" s="32"/>
      <c r="C65" s="55"/>
      <c r="D65" s="56"/>
      <c r="E65" s="57"/>
      <c r="F65" s="58"/>
      <c r="G65" s="62" t="s">
        <v>44</v>
      </c>
      <c r="H65" s="59"/>
      <c r="I65" s="60"/>
      <c r="J65" s="59">
        <f>J62-J63</f>
        <v>763793.87900687987</v>
      </c>
      <c r="K65" s="112"/>
      <c r="L65" s="59"/>
      <c r="M65" s="59"/>
      <c r="N65" s="59"/>
      <c r="O65" s="59"/>
      <c r="P65" s="59"/>
      <c r="Q65" s="59"/>
      <c r="R65" s="59"/>
      <c r="S65" s="59"/>
      <c r="T65" s="59"/>
      <c r="U65" s="59"/>
      <c r="V65" s="59"/>
      <c r="W65" s="59"/>
      <c r="X65" s="59"/>
      <c r="Y65" s="59"/>
      <c r="Z65" s="59"/>
      <c r="AA65" s="59"/>
      <c r="AB65" s="61"/>
      <c r="AC65" s="23"/>
      <c r="AD65" s="51"/>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row>
    <row r="66" spans="1:54" s="53" customFormat="1" ht="24.95" customHeight="1" x14ac:dyDescent="0.2">
      <c r="A66" s="44"/>
      <c r="B66" s="32"/>
      <c r="C66" s="55" t="s">
        <v>46</v>
      </c>
      <c r="D66" s="56"/>
      <c r="E66" s="57"/>
      <c r="F66" s="58"/>
      <c r="G66" s="58"/>
      <c r="H66" s="59">
        <f>H62</f>
        <v>925724.86610400013</v>
      </c>
      <c r="I66" s="60"/>
      <c r="J66" s="59">
        <f>H66+L66+N66+P66+R66+T66+V66+X66-AB66-Z66</f>
        <v>929300.51780388015</v>
      </c>
      <c r="K66" s="112"/>
      <c r="L66" s="59">
        <f>L62</f>
        <v>17102.320560000007</v>
      </c>
      <c r="M66" s="59"/>
      <c r="N66" s="59">
        <f>N62-N63</f>
        <v>0</v>
      </c>
      <c r="O66" s="59"/>
      <c r="P66" s="59">
        <f>P62-P64</f>
        <v>0</v>
      </c>
      <c r="Q66" s="59"/>
      <c r="R66" s="59">
        <f>R62-R64</f>
        <v>0</v>
      </c>
      <c r="S66" s="59"/>
      <c r="T66" s="59">
        <f>T62-T64</f>
        <v>0</v>
      </c>
      <c r="U66" s="59"/>
      <c r="V66" s="59">
        <f>V62</f>
        <v>84128.616036000021</v>
      </c>
      <c r="W66" s="59"/>
      <c r="X66" s="59">
        <f>X62-X64</f>
        <v>138593.37333887999</v>
      </c>
      <c r="Y66" s="59"/>
      <c r="Z66" s="59">
        <f>Z62</f>
        <v>67392.371844000008</v>
      </c>
      <c r="AA66" s="59"/>
      <c r="AB66" s="61">
        <f>AB62</f>
        <v>168856.286391</v>
      </c>
      <c r="AC66" s="23"/>
      <c r="AD66" s="51"/>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row>
    <row r="67" spans="1:54" s="38" customFormat="1" ht="25.5" customHeight="1" x14ac:dyDescent="0.2">
      <c r="A67" s="171" t="s">
        <v>208</v>
      </c>
      <c r="B67" s="171"/>
      <c r="C67" s="171"/>
      <c r="D67" s="32"/>
      <c r="E67" s="6"/>
      <c r="F67" s="33"/>
      <c r="G67" s="34"/>
      <c r="H67" s="34"/>
      <c r="I67" s="35"/>
      <c r="J67" s="34"/>
      <c r="K67" s="109"/>
      <c r="L67" s="34"/>
      <c r="M67" s="34"/>
      <c r="N67" s="34"/>
      <c r="O67" s="34"/>
      <c r="P67" s="34"/>
      <c r="Q67" s="34"/>
      <c r="R67" s="34"/>
      <c r="S67" s="34"/>
      <c r="T67" s="34"/>
      <c r="U67" s="34"/>
      <c r="V67" s="34"/>
      <c r="W67" s="34"/>
      <c r="X67" s="34"/>
      <c r="Y67" s="34"/>
      <c r="Z67" s="18"/>
      <c r="AA67" s="18"/>
      <c r="AB67" s="18"/>
      <c r="AC67" s="149"/>
      <c r="AD67" s="36"/>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row>
    <row r="68" spans="1:54" s="38" customFormat="1" ht="33" x14ac:dyDescent="0.2">
      <c r="A68" s="1">
        <v>1</v>
      </c>
      <c r="B68" s="129" t="s">
        <v>101</v>
      </c>
      <c r="C68" s="135" t="s">
        <v>102</v>
      </c>
      <c r="D68" s="39" t="s">
        <v>90</v>
      </c>
      <c r="E68" s="128" t="s">
        <v>103</v>
      </c>
      <c r="F68" s="128">
        <v>4600</v>
      </c>
      <c r="G68" s="136">
        <v>263.58</v>
      </c>
      <c r="H68" s="40">
        <f>F68*G68</f>
        <v>1212468</v>
      </c>
      <c r="I68" s="41">
        <v>222.864</v>
      </c>
      <c r="J68" s="40">
        <f>F68*I68</f>
        <v>1025174.4</v>
      </c>
      <c r="K68" s="110" t="str">
        <f>IF(D68="NF",IF(I68&gt;G68*1.25,G68*0.25,IF(I68&gt;G68,I68-G68,0)),"0")</f>
        <v>0</v>
      </c>
      <c r="L68" s="42" t="str">
        <f>IF(ISNONTEXT(K68),$F68*K68,"0")</f>
        <v>0</v>
      </c>
      <c r="M68" s="42" t="str">
        <f>IF(D68="NF",IF($K68&gt;0,IF($G68*1.25&lt;$I68,IF(($G68*1.4)&lt;$I68,$G68*0.15,$I68-($G68+$K68)),"0"),"0"),"0")</f>
        <v>0</v>
      </c>
      <c r="N68" s="42" t="str">
        <f>IF(ISNONTEXT(M68),$F68*M68,"0")</f>
        <v>0</v>
      </c>
      <c r="O68" s="42" t="str">
        <f>IF(D68="NF",IF($M68&gt;0,IF($G68*1.4&lt;$I68,IF(($G68*1.5)&lt;$I68,$G68*0.1,$I68-($G68+$K68+$M68)),"0"),"0"),"0")</f>
        <v>0</v>
      </c>
      <c r="P68" s="42" t="str">
        <f>IF(ISNONTEXT(O68),$F68*O68,"0")</f>
        <v>0</v>
      </c>
      <c r="Q68" s="42" t="str">
        <f>IF(D68="NF",IF(G68*1.5&lt;I68,I68-(G68+K68+M68+O68),"0"),"0")</f>
        <v>0</v>
      </c>
      <c r="R68" s="42" t="str">
        <f>IF(ISNONTEXT(Q68),$F68*Q68,"0")</f>
        <v>0</v>
      </c>
      <c r="S68" s="42">
        <f>IF(D68="F",IF(I68&gt;G68, I68-G68,0),"0")</f>
        <v>0</v>
      </c>
      <c r="T68" s="42">
        <f>S68*F68</f>
        <v>0</v>
      </c>
      <c r="U68" s="42" t="str">
        <f>IF(D68="m",IF(I68&gt;G68*2,G68*1,IF(I68&gt;G68,I68-G68,0)),"0")</f>
        <v>0</v>
      </c>
      <c r="V68" s="42">
        <f>U68*F68</f>
        <v>0</v>
      </c>
      <c r="W68" s="42" t="str">
        <f>IF(D68="M",IF(I68&gt;G68*2,I68-G68*2,0),"0")</f>
        <v>0</v>
      </c>
      <c r="X68" s="42">
        <f>W68*F68</f>
        <v>0</v>
      </c>
      <c r="Y68" s="42">
        <v>39.58</v>
      </c>
      <c r="Z68" s="42">
        <f>Y68*F68</f>
        <v>182068</v>
      </c>
      <c r="AA68" s="42">
        <v>0</v>
      </c>
      <c r="AB68" s="42">
        <f>AA68*F68</f>
        <v>0</v>
      </c>
      <c r="AC68" s="147" t="s">
        <v>72</v>
      </c>
      <c r="AD68" s="36"/>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row>
    <row r="69" spans="1:54" s="53" customFormat="1" ht="24.95" customHeight="1" x14ac:dyDescent="0.3">
      <c r="A69" s="44"/>
      <c r="B69" s="45"/>
      <c r="C69" s="46" t="s">
        <v>6</v>
      </c>
      <c r="D69" s="47"/>
      <c r="E69" s="48"/>
      <c r="F69" s="49"/>
      <c r="G69" s="49"/>
      <c r="H69" s="49">
        <f>SUM(H68:H68)</f>
        <v>1212468</v>
      </c>
      <c r="I69" s="50"/>
      <c r="J69" s="49">
        <f>SUM(J68:J68)</f>
        <v>1025174.4</v>
      </c>
      <c r="K69" s="111"/>
      <c r="L69" s="49">
        <f>SUM(L68:L68)</f>
        <v>0</v>
      </c>
      <c r="M69" s="49"/>
      <c r="N69" s="49">
        <f>SUM(N68:N68)</f>
        <v>0</v>
      </c>
      <c r="O69" s="49"/>
      <c r="P69" s="49">
        <f>SUM(P68:P68)</f>
        <v>0</v>
      </c>
      <c r="Q69" s="49"/>
      <c r="R69" s="49">
        <f>SUM(R68:R68)</f>
        <v>0</v>
      </c>
      <c r="S69" s="49"/>
      <c r="T69" s="49">
        <f>SUM(T68:T68)</f>
        <v>0</v>
      </c>
      <c r="U69" s="49"/>
      <c r="V69" s="49">
        <f>SUM(V68:V68)</f>
        <v>0</v>
      </c>
      <c r="W69" s="49"/>
      <c r="X69" s="49">
        <f>SUM(X68:X68)</f>
        <v>0</v>
      </c>
      <c r="Y69" s="49"/>
      <c r="Z69" s="49">
        <f>SUM(Z68:Z68)</f>
        <v>182068</v>
      </c>
      <c r="AA69" s="49"/>
      <c r="AB69" s="49">
        <f>SUM(AB68:AB68)</f>
        <v>0</v>
      </c>
      <c r="AC69" s="23"/>
      <c r="AD69" s="51"/>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row>
    <row r="70" spans="1:54" s="53" customFormat="1" ht="24.95" customHeight="1" x14ac:dyDescent="0.2">
      <c r="A70" s="44"/>
      <c r="B70" s="54"/>
      <c r="C70" s="55" t="s">
        <v>238</v>
      </c>
      <c r="D70" s="47"/>
      <c r="E70" s="48"/>
      <c r="F70" s="49"/>
      <c r="G70" s="49"/>
      <c r="H70" s="49">
        <f>H69*28/100</f>
        <v>339491.04</v>
      </c>
      <c r="I70" s="50"/>
      <c r="J70" s="49">
        <f>J69*28/100</f>
        <v>287048.83199999999</v>
      </c>
      <c r="K70" s="111"/>
      <c r="L70" s="49">
        <f>L69*26/100</f>
        <v>0</v>
      </c>
      <c r="M70" s="49"/>
      <c r="N70" s="49">
        <f>N69*26/100</f>
        <v>0</v>
      </c>
      <c r="O70" s="49"/>
      <c r="P70" s="49">
        <f>P69*26/100</f>
        <v>0</v>
      </c>
      <c r="Q70" s="49"/>
      <c r="R70" s="49">
        <f>R69*26/100</f>
        <v>0</v>
      </c>
      <c r="S70" s="49"/>
      <c r="T70" s="49">
        <f>T69*26/100</f>
        <v>0</v>
      </c>
      <c r="U70" s="49"/>
      <c r="V70" s="49">
        <f>V69*26/100</f>
        <v>0</v>
      </c>
      <c r="W70" s="49"/>
      <c r="X70" s="49">
        <f>X69*26/100</f>
        <v>0</v>
      </c>
      <c r="Y70" s="49"/>
      <c r="Z70" s="49">
        <f>Z69*28/100</f>
        <v>50979.040000000001</v>
      </c>
      <c r="AA70" s="49"/>
      <c r="AB70" s="49">
        <f>AB69*26/100</f>
        <v>0</v>
      </c>
      <c r="AC70" s="23"/>
      <c r="AD70" s="51"/>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row>
    <row r="71" spans="1:54" s="53" customFormat="1" ht="24.95" customHeight="1" x14ac:dyDescent="0.2">
      <c r="A71" s="44"/>
      <c r="B71" s="32"/>
      <c r="C71" s="55" t="s">
        <v>100</v>
      </c>
      <c r="D71" s="47"/>
      <c r="E71" s="48"/>
      <c r="F71" s="49"/>
      <c r="G71" s="49"/>
      <c r="H71" s="49">
        <f>H69+H70</f>
        <v>1551959.04</v>
      </c>
      <c r="I71" s="50"/>
      <c r="J71" s="49">
        <f>J69+J70</f>
        <v>1312223.2320000001</v>
      </c>
      <c r="K71" s="111"/>
      <c r="L71" s="49">
        <f>L69+L70</f>
        <v>0</v>
      </c>
      <c r="M71" s="49"/>
      <c r="N71" s="49">
        <f>N69+N70</f>
        <v>0</v>
      </c>
      <c r="O71" s="49"/>
      <c r="P71" s="49">
        <f>P69+P70</f>
        <v>0</v>
      </c>
      <c r="Q71" s="49"/>
      <c r="R71" s="49">
        <f>R69+R70</f>
        <v>0</v>
      </c>
      <c r="S71" s="49"/>
      <c r="T71" s="49">
        <f>T69+T70</f>
        <v>0</v>
      </c>
      <c r="U71" s="49"/>
      <c r="V71" s="49">
        <f>V69+V70</f>
        <v>0</v>
      </c>
      <c r="W71" s="49"/>
      <c r="X71" s="49">
        <f>X69+X70</f>
        <v>0</v>
      </c>
      <c r="Y71" s="49"/>
      <c r="Z71" s="49">
        <f>Z69+Z70</f>
        <v>233047.04000000001</v>
      </c>
      <c r="AA71" s="49"/>
      <c r="AB71" s="49">
        <f>AB69+AB70</f>
        <v>0</v>
      </c>
      <c r="AC71" s="23"/>
      <c r="AD71" s="51"/>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row>
    <row r="72" spans="1:54" s="53" customFormat="1" ht="24.95" customHeight="1" x14ac:dyDescent="0.2">
      <c r="A72" s="44"/>
      <c r="B72" s="32"/>
      <c r="C72" s="55" t="s">
        <v>42</v>
      </c>
      <c r="D72" s="56"/>
      <c r="E72" s="57"/>
      <c r="F72" s="58"/>
      <c r="G72" s="58"/>
      <c r="H72" s="59"/>
      <c r="I72" s="60"/>
      <c r="J72" s="59">
        <f>N72+P73+R73+X73</f>
        <v>0</v>
      </c>
      <c r="K72" s="112"/>
      <c r="L72" s="59"/>
      <c r="M72" s="59"/>
      <c r="N72" s="59">
        <f>N71*2/100</f>
        <v>0</v>
      </c>
      <c r="O72" s="59"/>
      <c r="P72" s="59"/>
      <c r="Q72" s="59"/>
      <c r="R72" s="59"/>
      <c r="S72" s="59"/>
      <c r="T72" s="59"/>
      <c r="U72" s="59"/>
      <c r="V72" s="59"/>
      <c r="W72" s="59"/>
      <c r="X72" s="59"/>
      <c r="Y72" s="59"/>
      <c r="Z72" s="59"/>
      <c r="AA72" s="59"/>
      <c r="AB72" s="61"/>
      <c r="AC72" s="23"/>
      <c r="AD72" s="51"/>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row>
    <row r="73" spans="1:54" s="53" customFormat="1" ht="24.95" customHeight="1" x14ac:dyDescent="0.2">
      <c r="A73" s="44"/>
      <c r="B73" s="32"/>
      <c r="C73" s="55" t="s">
        <v>43</v>
      </c>
      <c r="D73" s="56"/>
      <c r="E73" s="57"/>
      <c r="F73" s="58"/>
      <c r="G73" s="58"/>
      <c r="H73" s="59"/>
      <c r="I73" s="60"/>
      <c r="J73" s="59"/>
      <c r="K73" s="112"/>
      <c r="L73" s="59"/>
      <c r="M73" s="59"/>
      <c r="N73" s="59"/>
      <c r="O73" s="59"/>
      <c r="P73" s="59">
        <f>P71*4/100</f>
        <v>0</v>
      </c>
      <c r="Q73" s="59"/>
      <c r="R73" s="59">
        <f>R71*4/100</f>
        <v>0</v>
      </c>
      <c r="S73" s="59"/>
      <c r="T73" s="59"/>
      <c r="U73" s="59"/>
      <c r="V73" s="59"/>
      <c r="W73" s="59"/>
      <c r="X73" s="59">
        <f>X71*4/100</f>
        <v>0</v>
      </c>
      <c r="Y73" s="59"/>
      <c r="Z73" s="59"/>
      <c r="AA73" s="59"/>
      <c r="AB73" s="61"/>
      <c r="AC73" s="23"/>
      <c r="AD73" s="51"/>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row>
    <row r="74" spans="1:54" s="53" customFormat="1" ht="24.95" customHeight="1" x14ac:dyDescent="0.2">
      <c r="A74" s="44"/>
      <c r="B74" s="32"/>
      <c r="C74" s="55"/>
      <c r="D74" s="56"/>
      <c r="E74" s="57"/>
      <c r="F74" s="58"/>
      <c r="G74" s="62" t="s">
        <v>44</v>
      </c>
      <c r="H74" s="59"/>
      <c r="I74" s="60"/>
      <c r="J74" s="59">
        <f>J71-J72</f>
        <v>1312223.2320000001</v>
      </c>
      <c r="K74" s="112"/>
      <c r="L74" s="59"/>
      <c r="M74" s="59"/>
      <c r="N74" s="59"/>
      <c r="O74" s="59"/>
      <c r="P74" s="59"/>
      <c r="Q74" s="59"/>
      <c r="R74" s="59"/>
      <c r="S74" s="59"/>
      <c r="T74" s="59"/>
      <c r="U74" s="59"/>
      <c r="V74" s="59"/>
      <c r="W74" s="59"/>
      <c r="X74" s="59"/>
      <c r="Y74" s="59"/>
      <c r="Z74" s="59"/>
      <c r="AA74" s="59"/>
      <c r="AB74" s="61"/>
      <c r="AC74" s="23"/>
      <c r="AD74" s="51"/>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row>
    <row r="75" spans="1:54" s="53" customFormat="1" ht="24.95" customHeight="1" x14ac:dyDescent="0.2">
      <c r="A75" s="44"/>
      <c r="B75" s="32"/>
      <c r="C75" s="55" t="s">
        <v>104</v>
      </c>
      <c r="D75" s="56"/>
      <c r="E75" s="57"/>
      <c r="F75" s="58"/>
      <c r="G75" s="58"/>
      <c r="H75" s="59">
        <f>H71</f>
        <v>1551959.04</v>
      </c>
      <c r="I75" s="60"/>
      <c r="J75" s="59">
        <f>H75+L75+N75+P75+R75+T75+V75+X75-AB75-Z75</f>
        <v>1318912</v>
      </c>
      <c r="K75" s="112"/>
      <c r="L75" s="59">
        <f>L71</f>
        <v>0</v>
      </c>
      <c r="M75" s="59"/>
      <c r="N75" s="59">
        <f>N71-N72</f>
        <v>0</v>
      </c>
      <c r="O75" s="59"/>
      <c r="P75" s="59">
        <f>P71-P73</f>
        <v>0</v>
      </c>
      <c r="Q75" s="59"/>
      <c r="R75" s="59">
        <f>R71-R73</f>
        <v>0</v>
      </c>
      <c r="S75" s="59"/>
      <c r="T75" s="59">
        <f>T71-T73</f>
        <v>0</v>
      </c>
      <c r="U75" s="59"/>
      <c r="V75" s="59">
        <f>V71</f>
        <v>0</v>
      </c>
      <c r="W75" s="59"/>
      <c r="X75" s="59">
        <f>X71-X73</f>
        <v>0</v>
      </c>
      <c r="Y75" s="59"/>
      <c r="Z75" s="59">
        <f>Z71</f>
        <v>233047.04000000001</v>
      </c>
      <c r="AA75" s="59"/>
      <c r="AB75" s="61">
        <f>AB71</f>
        <v>0</v>
      </c>
      <c r="AC75" s="23"/>
      <c r="AD75" s="51"/>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row>
    <row r="76" spans="1:54" s="38" customFormat="1" ht="25.5" customHeight="1" x14ac:dyDescent="0.2">
      <c r="A76" s="171" t="s">
        <v>209</v>
      </c>
      <c r="B76" s="171"/>
      <c r="C76" s="171"/>
      <c r="D76" s="32"/>
      <c r="E76" s="6"/>
      <c r="F76" s="33"/>
      <c r="G76" s="34"/>
      <c r="H76" s="34"/>
      <c r="I76" s="35"/>
      <c r="J76" s="34"/>
      <c r="K76" s="109"/>
      <c r="L76" s="34"/>
      <c r="M76" s="34"/>
      <c r="N76" s="34"/>
      <c r="O76" s="34"/>
      <c r="P76" s="34"/>
      <c r="Q76" s="34"/>
      <c r="R76" s="34"/>
      <c r="S76" s="34"/>
      <c r="T76" s="34"/>
      <c r="U76" s="34"/>
      <c r="V76" s="34"/>
      <c r="W76" s="34"/>
      <c r="X76" s="34"/>
      <c r="Y76" s="34"/>
      <c r="Z76" s="18"/>
      <c r="AA76" s="18"/>
      <c r="AB76" s="18"/>
      <c r="AC76" s="149"/>
      <c r="AD76" s="36"/>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row>
    <row r="77" spans="1:54" s="38" customFormat="1" ht="69.75" customHeight="1" x14ac:dyDescent="0.2">
      <c r="A77" s="1">
        <v>1</v>
      </c>
      <c r="B77" s="154" t="s">
        <v>105</v>
      </c>
      <c r="C77" s="137" t="s">
        <v>106</v>
      </c>
      <c r="D77" s="39" t="s">
        <v>17</v>
      </c>
      <c r="E77" s="128" t="s">
        <v>9</v>
      </c>
      <c r="F77" s="128">
        <v>50.76</v>
      </c>
      <c r="G77" s="128">
        <v>7859.24</v>
      </c>
      <c r="H77" s="40">
        <f>F77*G77</f>
        <v>398935.02239999996</v>
      </c>
      <c r="I77" s="41">
        <v>5438.42</v>
      </c>
      <c r="J77" s="40">
        <f>F77*I77</f>
        <v>276054.19919999997</v>
      </c>
      <c r="K77" s="110">
        <f>IF(D77="NF",IF(I77&gt;G77*1.25,G77*0.25,IF(I77&gt;G77,I77-G77,0)),"0")</f>
        <v>0</v>
      </c>
      <c r="L77" s="42">
        <f>IF(ISNONTEXT(K77),$F77*K77,"0")</f>
        <v>0</v>
      </c>
      <c r="M77" s="42" t="str">
        <f>IF(D77="NF",IF($K77&gt;0,IF($G77*1.25&lt;$I77,IF(($G77*1.4)&lt;$I77,$G77*0.15,$I77-($G77+$K77)),"0"),"0"),"0")</f>
        <v>0</v>
      </c>
      <c r="N77" s="42" t="str">
        <f>IF(ISNONTEXT(M77),$F77*M77,"0")</f>
        <v>0</v>
      </c>
      <c r="O77" s="42" t="str">
        <f>IF(D77="NF",IF($M77&gt;0,IF($G77*1.4&lt;$I77,IF(($G77*1.5)&lt;$I77,$G77*0.1,$I77-($G77+$K77+$M77)),"0"),"0"),"0")</f>
        <v>0</v>
      </c>
      <c r="P77" s="42" t="str">
        <f>IF(ISNONTEXT(O77),$F77*O77,"0")</f>
        <v>0</v>
      </c>
      <c r="Q77" s="42" t="str">
        <f>IF(D77="NF",IF(G77*1.5&lt;I77,I77-(G77+K77+M77+O77),"0"),"0")</f>
        <v>0</v>
      </c>
      <c r="R77" s="42" t="str">
        <f>IF(ISNONTEXT(Q77),$F77*Q77,"0")</f>
        <v>0</v>
      </c>
      <c r="S77" s="42" t="str">
        <f>IF(D77="F",IF(I77&gt;G77, I77-G77,0),"0")</f>
        <v>0</v>
      </c>
      <c r="T77" s="42">
        <f>S77*F77</f>
        <v>0</v>
      </c>
      <c r="U77" s="42" t="str">
        <f>IF(D77="m",IF(I77&gt;G77*2,G77*1,IF(I77&gt;G77,I77-G77,0)),"0")</f>
        <v>0</v>
      </c>
      <c r="V77" s="42">
        <f>U77*F77</f>
        <v>0</v>
      </c>
      <c r="W77" s="42" t="str">
        <f>IF(D77="M",IF(I77&gt;G77*2,I77-G77*2,0),"0")</f>
        <v>0</v>
      </c>
      <c r="X77" s="42">
        <f>W77*F77</f>
        <v>0</v>
      </c>
      <c r="Y77" s="42">
        <v>1964.81</v>
      </c>
      <c r="Z77" s="42">
        <f>Y77*F77</f>
        <v>99733.755599999989</v>
      </c>
      <c r="AA77" s="42">
        <v>1456.01</v>
      </c>
      <c r="AB77" s="42">
        <f>AA77*F77</f>
        <v>73907.067599999995</v>
      </c>
      <c r="AC77" s="147" t="s">
        <v>260</v>
      </c>
      <c r="AD77" s="36"/>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row>
    <row r="78" spans="1:54" s="38" customFormat="1" ht="68.25" customHeight="1" x14ac:dyDescent="0.2">
      <c r="A78" s="1">
        <v>2</v>
      </c>
      <c r="B78" s="154" t="s">
        <v>107</v>
      </c>
      <c r="C78" s="137" t="s">
        <v>108</v>
      </c>
      <c r="D78" s="39" t="s">
        <v>17</v>
      </c>
      <c r="E78" s="128" t="s">
        <v>9</v>
      </c>
      <c r="F78" s="128">
        <v>50.76</v>
      </c>
      <c r="G78" s="128">
        <v>9451.56</v>
      </c>
      <c r="H78" s="40">
        <f>F78*G78</f>
        <v>479761.18559999997</v>
      </c>
      <c r="I78" s="41">
        <v>10184.209999999999</v>
      </c>
      <c r="J78" s="40">
        <f>F78*I78</f>
        <v>516950.49959999992</v>
      </c>
      <c r="K78" s="110">
        <f>IF(D78="NF",IF(I78&gt;G78*1.25,G78*0.25,IF(I78&gt;G78,I78-G78,0)),"0")</f>
        <v>732.64999999999964</v>
      </c>
      <c r="L78" s="42">
        <f>IF(ISNONTEXT(K78),$F78*K78,"0")</f>
        <v>37189.313999999977</v>
      </c>
      <c r="M78" s="42" t="str">
        <f>IF(D78="NF",IF($K78&gt;0,IF($G78*1.25&lt;$I78,IF(($G78*1.4)&lt;$I78,$G78*0.15,$I78-($G78+$K78)),"0"),"0"),"0")</f>
        <v>0</v>
      </c>
      <c r="N78" s="42" t="str">
        <f>IF(ISNONTEXT(M78),$F78*M78,"0")</f>
        <v>0</v>
      </c>
      <c r="O78" s="42" t="str">
        <f>IF(D78="NF",IF($M78&gt;0,IF($G78*1.4&lt;$I78,IF(($G78*1.5)&lt;$I78,$G78*0.1,$I78-($G78+$K78+$M78)),"0"),"0"),"0")</f>
        <v>0</v>
      </c>
      <c r="P78" s="42" t="str">
        <f>IF(ISNONTEXT(O78),$F78*O78,"0")</f>
        <v>0</v>
      </c>
      <c r="Q78" s="42" t="str">
        <f>IF(D78="NF",IF(G78*1.5&lt;I78,I78-(G78+K78+M78+O78),"0"),"0")</f>
        <v>0</v>
      </c>
      <c r="R78" s="42" t="str">
        <f>IF(ISNONTEXT(Q78),$F78*Q78,"0")</f>
        <v>0</v>
      </c>
      <c r="S78" s="42" t="str">
        <f>IF(D78="F",IF(I78&gt;G78, I78-G78,0),"0")</f>
        <v>0</v>
      </c>
      <c r="T78" s="42">
        <f>S78*F78</f>
        <v>0</v>
      </c>
      <c r="U78" s="42" t="str">
        <f>IF(D78="m",IF(I78&gt;G78*2,G78*1,IF(I78&gt;G78,I78-G78,0)),"0")</f>
        <v>0</v>
      </c>
      <c r="V78" s="42">
        <f>U78*F78</f>
        <v>0</v>
      </c>
      <c r="W78" s="42" t="str">
        <f>IF(D78="M",IF(I78&gt;G78*2,I78-G78*2,0),"0")</f>
        <v>0</v>
      </c>
      <c r="X78" s="42">
        <f>W78*F78</f>
        <v>0</v>
      </c>
      <c r="Y78" s="42">
        <v>0</v>
      </c>
      <c r="Z78" s="42">
        <f>Y78*F78</f>
        <v>0</v>
      </c>
      <c r="AA78" s="42">
        <v>0</v>
      </c>
      <c r="AB78" s="42">
        <f>AA78*F78</f>
        <v>0</v>
      </c>
      <c r="AC78" s="147" t="s">
        <v>259</v>
      </c>
      <c r="AD78" s="36"/>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row>
    <row r="79" spans="1:54" s="53" customFormat="1" ht="24.95" customHeight="1" x14ac:dyDescent="0.3">
      <c r="A79" s="44"/>
      <c r="B79" s="45"/>
      <c r="C79" s="46" t="s">
        <v>6</v>
      </c>
      <c r="D79" s="47"/>
      <c r="E79" s="48"/>
      <c r="F79" s="49"/>
      <c r="G79" s="49"/>
      <c r="H79" s="49">
        <f>SUM(H77:H78)</f>
        <v>878696.20799999987</v>
      </c>
      <c r="I79" s="50"/>
      <c r="J79" s="49">
        <f>SUM(J77:J78)</f>
        <v>793004.6987999999</v>
      </c>
      <c r="K79" s="111"/>
      <c r="L79" s="49">
        <f>SUM(L77:L78)</f>
        <v>37189.313999999977</v>
      </c>
      <c r="M79" s="49"/>
      <c r="N79" s="49">
        <f>SUM(N77:N78)</f>
        <v>0</v>
      </c>
      <c r="O79" s="49"/>
      <c r="P79" s="49">
        <f>SUM(P77:P78)</f>
        <v>0</v>
      </c>
      <c r="Q79" s="49"/>
      <c r="R79" s="49">
        <f>SUM(R77:R78)</f>
        <v>0</v>
      </c>
      <c r="S79" s="49"/>
      <c r="T79" s="49">
        <f>SUM(T77:T78)</f>
        <v>0</v>
      </c>
      <c r="U79" s="49"/>
      <c r="V79" s="49">
        <f>SUM(V77:V78)</f>
        <v>0</v>
      </c>
      <c r="W79" s="49"/>
      <c r="X79" s="49">
        <f>SUM(X77:X78)</f>
        <v>0</v>
      </c>
      <c r="Y79" s="49"/>
      <c r="Z79" s="49">
        <f>SUM(Z77:Z78)</f>
        <v>99733.755599999989</v>
      </c>
      <c r="AA79" s="49"/>
      <c r="AB79" s="49">
        <f>SUM(AB77:AB78)</f>
        <v>73907.067599999995</v>
      </c>
      <c r="AC79" s="23"/>
      <c r="AD79" s="51"/>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row>
    <row r="80" spans="1:54" s="53" customFormat="1" ht="24.95" customHeight="1" x14ac:dyDescent="0.2">
      <c r="A80" s="44"/>
      <c r="B80" s="54"/>
      <c r="C80" s="55" t="s">
        <v>239</v>
      </c>
      <c r="D80" s="47"/>
      <c r="E80" s="48"/>
      <c r="F80" s="49"/>
      <c r="G80" s="49"/>
      <c r="H80" s="49">
        <f>H79*16/100</f>
        <v>140591.39327999999</v>
      </c>
      <c r="I80" s="50"/>
      <c r="J80" s="49">
        <f>J79*16/100</f>
        <v>126880.75180799999</v>
      </c>
      <c r="K80" s="111"/>
      <c r="L80" s="49">
        <f>L79*16/100</f>
        <v>5950.2902399999966</v>
      </c>
      <c r="M80" s="49"/>
      <c r="N80" s="49">
        <f>N79*8/100</f>
        <v>0</v>
      </c>
      <c r="O80" s="49"/>
      <c r="P80" s="49">
        <f>P79*8/100</f>
        <v>0</v>
      </c>
      <c r="Q80" s="49"/>
      <c r="R80" s="49">
        <f>R79*8/100</f>
        <v>0</v>
      </c>
      <c r="S80" s="49"/>
      <c r="T80" s="49">
        <f>T79*8/100</f>
        <v>0</v>
      </c>
      <c r="U80" s="49"/>
      <c r="V80" s="49">
        <f>V79*8/100</f>
        <v>0</v>
      </c>
      <c r="W80" s="49"/>
      <c r="X80" s="49">
        <f>X79*8/100</f>
        <v>0</v>
      </c>
      <c r="Y80" s="49"/>
      <c r="Z80" s="49">
        <f>Z79*16/100</f>
        <v>15957.400895999999</v>
      </c>
      <c r="AA80" s="49"/>
      <c r="AB80" s="49">
        <f>AB79*8/100</f>
        <v>5912.5654079999995</v>
      </c>
      <c r="AC80" s="23"/>
      <c r="AD80" s="51"/>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row>
    <row r="81" spans="1:54" s="53" customFormat="1" ht="24.95" customHeight="1" x14ac:dyDescent="0.2">
      <c r="A81" s="44"/>
      <c r="B81" s="32"/>
      <c r="C81" s="55" t="s">
        <v>100</v>
      </c>
      <c r="D81" s="47"/>
      <c r="E81" s="48"/>
      <c r="F81" s="49"/>
      <c r="G81" s="49"/>
      <c r="H81" s="49">
        <f>H79+H80</f>
        <v>1019287.6012799998</v>
      </c>
      <c r="I81" s="50"/>
      <c r="J81" s="49">
        <f>J79+J80</f>
        <v>919885.45060799993</v>
      </c>
      <c r="K81" s="111"/>
      <c r="L81" s="49">
        <f>L79+L80</f>
        <v>43139.604239999971</v>
      </c>
      <c r="M81" s="49"/>
      <c r="N81" s="49">
        <f>N79+N80</f>
        <v>0</v>
      </c>
      <c r="O81" s="49"/>
      <c r="P81" s="49">
        <f>P79+P80</f>
        <v>0</v>
      </c>
      <c r="Q81" s="49"/>
      <c r="R81" s="49">
        <f>R79+R80</f>
        <v>0</v>
      </c>
      <c r="S81" s="49"/>
      <c r="T81" s="49">
        <f>T79+T80</f>
        <v>0</v>
      </c>
      <c r="U81" s="49"/>
      <c r="V81" s="49">
        <f>V79+V80</f>
        <v>0</v>
      </c>
      <c r="W81" s="49"/>
      <c r="X81" s="49">
        <f>X79+X80</f>
        <v>0</v>
      </c>
      <c r="Y81" s="49"/>
      <c r="Z81" s="49">
        <f>Z79+Z80</f>
        <v>115691.15649599998</v>
      </c>
      <c r="AA81" s="49"/>
      <c r="AB81" s="49">
        <f>AB79+AB80</f>
        <v>79819.63300799999</v>
      </c>
      <c r="AC81" s="23"/>
      <c r="AD81" s="51"/>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row>
    <row r="82" spans="1:54" s="53" customFormat="1" ht="24.95" customHeight="1" x14ac:dyDescent="0.2">
      <c r="A82" s="44"/>
      <c r="B82" s="32"/>
      <c r="C82" s="55" t="s">
        <v>42</v>
      </c>
      <c r="D82" s="56"/>
      <c r="E82" s="57"/>
      <c r="F82" s="58"/>
      <c r="G82" s="58"/>
      <c r="H82" s="59"/>
      <c r="I82" s="60"/>
      <c r="J82" s="59">
        <f>N82+P83+R83+X83</f>
        <v>0</v>
      </c>
      <c r="K82" s="112"/>
      <c r="L82" s="59"/>
      <c r="M82" s="59"/>
      <c r="N82" s="59">
        <f>N81*2/100</f>
        <v>0</v>
      </c>
      <c r="O82" s="59"/>
      <c r="P82" s="59"/>
      <c r="Q82" s="59"/>
      <c r="R82" s="59"/>
      <c r="S82" s="59"/>
      <c r="T82" s="59"/>
      <c r="U82" s="59"/>
      <c r="V82" s="59"/>
      <c r="W82" s="59"/>
      <c r="X82" s="59"/>
      <c r="Y82" s="59"/>
      <c r="Z82" s="59"/>
      <c r="AA82" s="59"/>
      <c r="AB82" s="61"/>
      <c r="AC82" s="23"/>
      <c r="AD82" s="51"/>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row>
    <row r="83" spans="1:54" s="53" customFormat="1" ht="24.95" customHeight="1" x14ac:dyDescent="0.2">
      <c r="A83" s="44"/>
      <c r="B83" s="32"/>
      <c r="C83" s="55" t="s">
        <v>43</v>
      </c>
      <c r="D83" s="56"/>
      <c r="E83" s="57"/>
      <c r="F83" s="58"/>
      <c r="G83" s="58"/>
      <c r="H83" s="59"/>
      <c r="I83" s="60"/>
      <c r="J83" s="59"/>
      <c r="K83" s="112"/>
      <c r="L83" s="59"/>
      <c r="M83" s="59"/>
      <c r="N83" s="59"/>
      <c r="O83" s="59"/>
      <c r="P83" s="59">
        <f>P81*4/100</f>
        <v>0</v>
      </c>
      <c r="Q83" s="59"/>
      <c r="R83" s="59">
        <f>R81*4/100</f>
        <v>0</v>
      </c>
      <c r="S83" s="59"/>
      <c r="T83" s="59"/>
      <c r="U83" s="59"/>
      <c r="V83" s="59"/>
      <c r="W83" s="59"/>
      <c r="X83" s="59">
        <f>X81*4/100</f>
        <v>0</v>
      </c>
      <c r="Y83" s="59"/>
      <c r="Z83" s="59"/>
      <c r="AA83" s="59"/>
      <c r="AB83" s="61"/>
      <c r="AC83" s="23"/>
      <c r="AD83" s="51"/>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row>
    <row r="84" spans="1:54" s="53" customFormat="1" ht="24.95" customHeight="1" x14ac:dyDescent="0.2">
      <c r="A84" s="44"/>
      <c r="B84" s="32"/>
      <c r="C84" s="55"/>
      <c r="D84" s="56"/>
      <c r="E84" s="57"/>
      <c r="F84" s="58"/>
      <c r="G84" s="62" t="s">
        <v>44</v>
      </c>
      <c r="H84" s="59"/>
      <c r="I84" s="60"/>
      <c r="J84" s="59">
        <f>J81-J82</f>
        <v>919885.45060799993</v>
      </c>
      <c r="K84" s="112"/>
      <c r="L84" s="59"/>
      <c r="M84" s="59"/>
      <c r="N84" s="59"/>
      <c r="O84" s="59"/>
      <c r="P84" s="59"/>
      <c r="Q84" s="59"/>
      <c r="R84" s="59"/>
      <c r="S84" s="59"/>
      <c r="T84" s="59"/>
      <c r="U84" s="59"/>
      <c r="V84" s="59"/>
      <c r="W84" s="59"/>
      <c r="X84" s="59"/>
      <c r="Y84" s="59"/>
      <c r="Z84" s="59"/>
      <c r="AA84" s="59"/>
      <c r="AB84" s="61"/>
      <c r="AC84" s="23"/>
      <c r="AD84" s="51"/>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row>
    <row r="85" spans="1:54" s="53" customFormat="1" ht="24.95" customHeight="1" x14ac:dyDescent="0.2">
      <c r="A85" s="44"/>
      <c r="B85" s="32"/>
      <c r="C85" s="55" t="s">
        <v>110</v>
      </c>
      <c r="D85" s="56"/>
      <c r="E85" s="57"/>
      <c r="F85" s="58"/>
      <c r="G85" s="58"/>
      <c r="H85" s="59">
        <f>H81</f>
        <v>1019287.6012799998</v>
      </c>
      <c r="I85" s="60"/>
      <c r="J85" s="59">
        <f>H85+L85+N85+P85+R85+T85+V85+X85-AB85-Z85</f>
        <v>866916.41601599986</v>
      </c>
      <c r="K85" s="112"/>
      <c r="L85" s="59">
        <f>L81</f>
        <v>43139.604239999971</v>
      </c>
      <c r="M85" s="59"/>
      <c r="N85" s="59">
        <f>N81-N82</f>
        <v>0</v>
      </c>
      <c r="O85" s="59"/>
      <c r="P85" s="59">
        <f>P81-P83</f>
        <v>0</v>
      </c>
      <c r="Q85" s="59"/>
      <c r="R85" s="59">
        <f>R81-R83</f>
        <v>0</v>
      </c>
      <c r="S85" s="59"/>
      <c r="T85" s="59">
        <f>T81-T83</f>
        <v>0</v>
      </c>
      <c r="U85" s="59"/>
      <c r="V85" s="59">
        <f>V81</f>
        <v>0</v>
      </c>
      <c r="W85" s="59"/>
      <c r="X85" s="59">
        <f>X81-X83</f>
        <v>0</v>
      </c>
      <c r="Y85" s="59"/>
      <c r="Z85" s="59">
        <f>Z81</f>
        <v>115691.15649599998</v>
      </c>
      <c r="AA85" s="59"/>
      <c r="AB85" s="61">
        <f>AB81</f>
        <v>79819.63300799999</v>
      </c>
      <c r="AC85" s="23"/>
      <c r="AD85" s="51"/>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row>
    <row r="86" spans="1:54" s="38" customFormat="1" ht="25.5" customHeight="1" x14ac:dyDescent="0.2">
      <c r="A86" s="171" t="s">
        <v>210</v>
      </c>
      <c r="B86" s="171"/>
      <c r="C86" s="171"/>
      <c r="D86" s="32"/>
      <c r="E86" s="6"/>
      <c r="F86" s="33"/>
      <c r="G86" s="34"/>
      <c r="H86" s="34"/>
      <c r="I86" s="35"/>
      <c r="J86" s="34"/>
      <c r="K86" s="109"/>
      <c r="L86" s="34"/>
      <c r="M86" s="34"/>
      <c r="N86" s="34"/>
      <c r="O86" s="34"/>
      <c r="P86" s="34"/>
      <c r="Q86" s="34"/>
      <c r="R86" s="34"/>
      <c r="S86" s="34"/>
      <c r="T86" s="34"/>
      <c r="U86" s="34"/>
      <c r="V86" s="34"/>
      <c r="W86" s="34"/>
      <c r="X86" s="34"/>
      <c r="Y86" s="34"/>
      <c r="Z86" s="18"/>
      <c r="AA86" s="18"/>
      <c r="AB86" s="18"/>
      <c r="AC86" s="149"/>
      <c r="AD86" s="36"/>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row>
    <row r="87" spans="1:54" s="38" customFormat="1" ht="69.75" customHeight="1" x14ac:dyDescent="0.2">
      <c r="A87" s="1">
        <v>1</v>
      </c>
      <c r="B87" s="138" t="s">
        <v>111</v>
      </c>
      <c r="C87" s="140" t="s">
        <v>112</v>
      </c>
      <c r="D87" s="39" t="s">
        <v>17</v>
      </c>
      <c r="E87" s="128" t="s">
        <v>11</v>
      </c>
      <c r="F87" s="128">
        <v>80</v>
      </c>
      <c r="G87" s="128">
        <v>13066.72</v>
      </c>
      <c r="H87" s="40">
        <f>F87*G87</f>
        <v>1045337.6</v>
      </c>
      <c r="I87" s="41">
        <v>10801.82</v>
      </c>
      <c r="J87" s="40">
        <f>F87*I87</f>
        <v>864145.6</v>
      </c>
      <c r="K87" s="110">
        <f>IF(D87="NF",IF(I87&gt;G87*1.25,G87*0.25,IF(I87&gt;G87,I87-G87,0)),"0")</f>
        <v>0</v>
      </c>
      <c r="L87" s="42">
        <f>IF(ISNONTEXT(K87),$F87*K87,"0")</f>
        <v>0</v>
      </c>
      <c r="M87" s="42" t="str">
        <f>IF(D87="NF",IF($K87&gt;0,IF($G87*1.25&lt;$I87,IF(($G87*1.4)&lt;$I87,$G87*0.15,$I87-($G87+$K87)),"0"),"0"),"0")</f>
        <v>0</v>
      </c>
      <c r="N87" s="42" t="str">
        <f>IF(ISNONTEXT(M87),$F87*M87,"0")</f>
        <v>0</v>
      </c>
      <c r="O87" s="42" t="str">
        <f>IF(D87="NF",IF($M87&gt;0,IF($G87*1.4&lt;$I87,IF(($G87*1.5)&lt;$I87,$G87*0.1,$I87-($G87+$K87+$M87)),"0"),"0"),"0")</f>
        <v>0</v>
      </c>
      <c r="P87" s="42" t="str">
        <f>IF(ISNONTEXT(O87),$F87*O87,"0")</f>
        <v>0</v>
      </c>
      <c r="Q87" s="42" t="str">
        <f>IF(D87="NF",IF(G87*1.5&lt;I87,I87-(G87+K87+M87+O87),"0"),"0")</f>
        <v>0</v>
      </c>
      <c r="R87" s="42" t="str">
        <f>IF(ISNONTEXT(Q87),$F87*Q87,"0")</f>
        <v>0</v>
      </c>
      <c r="S87" s="42" t="str">
        <f>IF(D87="F",IF(I87&gt;G87, I87-G87,0),"0")</f>
        <v>0</v>
      </c>
      <c r="T87" s="42">
        <f>S87*F87</f>
        <v>0</v>
      </c>
      <c r="U87" s="42" t="str">
        <f>IF(D87="m",IF(I87&gt;G87*2,G87*1,IF(I87&gt;G87,I87-G87,0)),"0")</f>
        <v>0</v>
      </c>
      <c r="V87" s="42">
        <f>U87*F87</f>
        <v>0</v>
      </c>
      <c r="W87" s="42" t="str">
        <f>IF(D87="M",IF(I87&gt;G87*2,I87-G87*2,0),"0")</f>
        <v>0</v>
      </c>
      <c r="X87" s="42">
        <f>W87*F87</f>
        <v>0</v>
      </c>
      <c r="Y87" s="42">
        <v>2264.9</v>
      </c>
      <c r="Z87" s="42">
        <f>Y87*F87</f>
        <v>181192</v>
      </c>
      <c r="AA87" s="42">
        <v>0</v>
      </c>
      <c r="AB87" s="42">
        <f>AA87*F87</f>
        <v>0</v>
      </c>
      <c r="AC87" s="147" t="s">
        <v>136</v>
      </c>
      <c r="AD87" s="36"/>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row>
    <row r="88" spans="1:54" s="38" customFormat="1" ht="69.75" customHeight="1" x14ac:dyDescent="0.2">
      <c r="A88" s="1">
        <v>2</v>
      </c>
      <c r="B88" s="138" t="s">
        <v>211</v>
      </c>
      <c r="C88" s="140" t="s">
        <v>212</v>
      </c>
      <c r="D88" s="39" t="s">
        <v>12</v>
      </c>
      <c r="E88" s="128" t="s">
        <v>11</v>
      </c>
      <c r="F88" s="128">
        <v>78.400000000000006</v>
      </c>
      <c r="G88" s="128">
        <v>2147.46</v>
      </c>
      <c r="H88" s="40">
        <f>F88*G88</f>
        <v>168360.864</v>
      </c>
      <c r="I88" s="41">
        <v>248.21</v>
      </c>
      <c r="J88" s="40">
        <f>F88*I88</f>
        <v>19459.664000000001</v>
      </c>
      <c r="K88" s="110" t="str">
        <f>IF(D88="NF",IF(I88&gt;G88*1.25,G88*0.25,IF(I88&gt;G88,I88-G88,0)),"0")</f>
        <v>0</v>
      </c>
      <c r="L88" s="42" t="str">
        <f>IF(ISNONTEXT(K88),$F88*K88,"0")</f>
        <v>0</v>
      </c>
      <c r="M88" s="42" t="str">
        <f>IF(D88="NF",IF($K88&gt;0,IF($G88*1.25&lt;$I88,IF(($G88*1.4)&lt;$I88,$G88*0.15,$I88-($G88+$K88)),"0"),"0"),"0")</f>
        <v>0</v>
      </c>
      <c r="N88" s="42" t="str">
        <f>IF(ISNONTEXT(M88),$F88*M88,"0")</f>
        <v>0</v>
      </c>
      <c r="O88" s="42" t="str">
        <f>IF(D88="NF",IF($M88&gt;0,IF($G88*1.4&lt;$I88,IF(($G88*1.5)&lt;$I88,$G88*0.1,$I88-($G88+$K88+$M88)),"0"),"0"),"0")</f>
        <v>0</v>
      </c>
      <c r="P88" s="42" t="str">
        <f>IF(ISNONTEXT(O88),$F88*O88,"0")</f>
        <v>0</v>
      </c>
      <c r="Q88" s="42" t="str">
        <f>IF(D88="NF",IF(G88*1.5&lt;I88,I88-(G88+K88+M88+O88),"0"),"0")</f>
        <v>0</v>
      </c>
      <c r="R88" s="42" t="str">
        <f>IF(ISNONTEXT(Q88),$F88*Q88,"0")</f>
        <v>0</v>
      </c>
      <c r="S88" s="42" t="str">
        <f>IF(D88="F",IF(I88&gt;G88, I88-G88,0),"0")</f>
        <v>0</v>
      </c>
      <c r="T88" s="42">
        <f>S88*F88</f>
        <v>0</v>
      </c>
      <c r="U88" s="42">
        <f>IF(D88="m",IF(I88&gt;G88*2,G88*1,IF(I88&gt;G88,I88-G88,0)),"0")</f>
        <v>0</v>
      </c>
      <c r="V88" s="42">
        <f>U88*F88</f>
        <v>0</v>
      </c>
      <c r="W88" s="42">
        <f>IF(D88="M",IF(I88&gt;G88*2,I88-G88*2,0),"0")</f>
        <v>0</v>
      </c>
      <c r="X88" s="42">
        <f>W88*F88</f>
        <v>0</v>
      </c>
      <c r="Y88" s="42">
        <v>536.86</v>
      </c>
      <c r="Z88" s="42">
        <f>Y88*F88</f>
        <v>42089.824000000001</v>
      </c>
      <c r="AA88" s="42">
        <v>1110.5999999999999</v>
      </c>
      <c r="AB88" s="42">
        <f>AA88*F88</f>
        <v>87071.039999999994</v>
      </c>
      <c r="AC88" s="147" t="s">
        <v>71</v>
      </c>
      <c r="AD88" s="36"/>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row>
    <row r="89" spans="1:54" s="53" customFormat="1" ht="24.95" customHeight="1" x14ac:dyDescent="0.3">
      <c r="A89" s="44"/>
      <c r="B89" s="45"/>
      <c r="C89" s="46" t="s">
        <v>6</v>
      </c>
      <c r="D89" s="47"/>
      <c r="E89" s="48"/>
      <c r="F89" s="49"/>
      <c r="G89" s="49"/>
      <c r="H89" s="49">
        <f>SUM(H87:H88)</f>
        <v>1213698.4639999999</v>
      </c>
      <c r="I89" s="50"/>
      <c r="J89" s="49">
        <f>SUM(J87:J88)</f>
        <v>883605.26399999997</v>
      </c>
      <c r="K89" s="111"/>
      <c r="L89" s="49">
        <f>SUM(L87:L88)</f>
        <v>0</v>
      </c>
      <c r="M89" s="49"/>
      <c r="N89" s="49">
        <f>SUM(N87:N88)</f>
        <v>0</v>
      </c>
      <c r="O89" s="49"/>
      <c r="P89" s="49">
        <f>SUM(P87:P88)</f>
        <v>0</v>
      </c>
      <c r="Q89" s="49"/>
      <c r="R89" s="49">
        <f>SUM(R87:R88)</f>
        <v>0</v>
      </c>
      <c r="S89" s="49"/>
      <c r="T89" s="49">
        <f>SUM(T87:T88)</f>
        <v>0</v>
      </c>
      <c r="U89" s="49"/>
      <c r="V89" s="49">
        <f>SUM(V87:V88)</f>
        <v>0</v>
      </c>
      <c r="W89" s="49"/>
      <c r="X89" s="49">
        <f>SUM(X87:X88)</f>
        <v>0</v>
      </c>
      <c r="Y89" s="49"/>
      <c r="Z89" s="49">
        <f>SUM(Z87:Z88)</f>
        <v>223281.82399999999</v>
      </c>
      <c r="AA89" s="49"/>
      <c r="AB89" s="49">
        <f>SUM(AB87:AB88)</f>
        <v>87071.039999999994</v>
      </c>
      <c r="AC89" s="23"/>
      <c r="AD89" s="51"/>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row>
    <row r="90" spans="1:54" s="53" customFormat="1" ht="24.95" customHeight="1" x14ac:dyDescent="0.2">
      <c r="A90" s="44"/>
      <c r="B90" s="54"/>
      <c r="C90" s="55" t="s">
        <v>240</v>
      </c>
      <c r="D90" s="47"/>
      <c r="E90" s="48"/>
      <c r="F90" s="49"/>
      <c r="G90" s="49"/>
      <c r="H90" s="49">
        <f>H89*14/100</f>
        <v>169917.78495999999</v>
      </c>
      <c r="I90" s="50"/>
      <c r="J90" s="49">
        <f>J89*14/100</f>
        <v>123704.73695999998</v>
      </c>
      <c r="K90" s="111"/>
      <c r="L90" s="49">
        <f>L89*17/100</f>
        <v>0</v>
      </c>
      <c r="M90" s="49"/>
      <c r="N90" s="49">
        <f>N89*17/100</f>
        <v>0</v>
      </c>
      <c r="O90" s="49"/>
      <c r="P90" s="49">
        <f>P89*17/100</f>
        <v>0</v>
      </c>
      <c r="Q90" s="49"/>
      <c r="R90" s="49">
        <f>R89*17/100</f>
        <v>0</v>
      </c>
      <c r="S90" s="49"/>
      <c r="T90" s="49">
        <f>T89*17/100</f>
        <v>0</v>
      </c>
      <c r="U90" s="49"/>
      <c r="V90" s="49">
        <f>V89*17/100</f>
        <v>0</v>
      </c>
      <c r="W90" s="49"/>
      <c r="X90" s="49">
        <f>X89*17/100</f>
        <v>0</v>
      </c>
      <c r="Y90" s="49"/>
      <c r="Z90" s="49">
        <f>Z89*14/100</f>
        <v>31259.45536</v>
      </c>
      <c r="AA90" s="49"/>
      <c r="AB90" s="49">
        <f>AB89*14/100</f>
        <v>12189.945599999999</v>
      </c>
      <c r="AC90" s="23"/>
      <c r="AD90" s="51"/>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row>
    <row r="91" spans="1:54" s="53" customFormat="1" ht="24.95" customHeight="1" x14ac:dyDescent="0.2">
      <c r="A91" s="44"/>
      <c r="B91" s="32"/>
      <c r="C91" s="55" t="s">
        <v>100</v>
      </c>
      <c r="D91" s="47"/>
      <c r="E91" s="48"/>
      <c r="F91" s="49"/>
      <c r="G91" s="49"/>
      <c r="H91" s="49">
        <f>H89+H90</f>
        <v>1383616.24896</v>
      </c>
      <c r="I91" s="50"/>
      <c r="J91" s="49">
        <f>J89+J90</f>
        <v>1007310.00096</v>
      </c>
      <c r="K91" s="111"/>
      <c r="L91" s="49">
        <f>L89+L90</f>
        <v>0</v>
      </c>
      <c r="M91" s="49"/>
      <c r="N91" s="49">
        <f>N89+N90</f>
        <v>0</v>
      </c>
      <c r="O91" s="49"/>
      <c r="P91" s="49">
        <f>P89+P90</f>
        <v>0</v>
      </c>
      <c r="Q91" s="49"/>
      <c r="R91" s="49">
        <f>R89+R90</f>
        <v>0</v>
      </c>
      <c r="S91" s="49"/>
      <c r="T91" s="49">
        <f>T89+T90</f>
        <v>0</v>
      </c>
      <c r="U91" s="49"/>
      <c r="V91" s="49">
        <f>V89+V90</f>
        <v>0</v>
      </c>
      <c r="W91" s="49"/>
      <c r="X91" s="49">
        <f>X89+X90</f>
        <v>0</v>
      </c>
      <c r="Y91" s="49"/>
      <c r="Z91" s="49">
        <f>Z89+Z90</f>
        <v>254541.27935999999</v>
      </c>
      <c r="AA91" s="49"/>
      <c r="AB91" s="49">
        <f>AB89+AB90</f>
        <v>99260.985599999985</v>
      </c>
      <c r="AC91" s="23"/>
      <c r="AD91" s="51"/>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row>
    <row r="92" spans="1:54" s="53" customFormat="1" ht="24.95" customHeight="1" x14ac:dyDescent="0.2">
      <c r="A92" s="44"/>
      <c r="B92" s="32"/>
      <c r="C92" s="55" t="s">
        <v>42</v>
      </c>
      <c r="D92" s="56"/>
      <c r="E92" s="57"/>
      <c r="F92" s="58"/>
      <c r="G92" s="58"/>
      <c r="H92" s="59"/>
      <c r="I92" s="60"/>
      <c r="J92" s="59">
        <f>N92+P93+R93+X93</f>
        <v>0</v>
      </c>
      <c r="K92" s="112"/>
      <c r="L92" s="59"/>
      <c r="M92" s="59"/>
      <c r="N92" s="59">
        <f>N91*2/100</f>
        <v>0</v>
      </c>
      <c r="O92" s="59"/>
      <c r="P92" s="59"/>
      <c r="Q92" s="59"/>
      <c r="R92" s="59"/>
      <c r="S92" s="59"/>
      <c r="T92" s="59"/>
      <c r="U92" s="59"/>
      <c r="V92" s="59"/>
      <c r="W92" s="59"/>
      <c r="X92" s="59"/>
      <c r="Y92" s="59"/>
      <c r="Z92" s="59"/>
      <c r="AA92" s="59"/>
      <c r="AB92" s="61"/>
      <c r="AC92" s="23"/>
      <c r="AD92" s="51"/>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row>
    <row r="93" spans="1:54" s="53" customFormat="1" ht="24.95" customHeight="1" x14ac:dyDescent="0.2">
      <c r="A93" s="44"/>
      <c r="B93" s="32"/>
      <c r="C93" s="55" t="s">
        <v>43</v>
      </c>
      <c r="D93" s="56"/>
      <c r="E93" s="57"/>
      <c r="F93" s="58"/>
      <c r="G93" s="58"/>
      <c r="H93" s="59"/>
      <c r="I93" s="60"/>
      <c r="J93" s="59"/>
      <c r="K93" s="112"/>
      <c r="L93" s="59"/>
      <c r="M93" s="59"/>
      <c r="N93" s="59"/>
      <c r="O93" s="59"/>
      <c r="P93" s="59">
        <f>P91*4/100</f>
        <v>0</v>
      </c>
      <c r="Q93" s="59"/>
      <c r="R93" s="59">
        <f>R91*4/100</f>
        <v>0</v>
      </c>
      <c r="S93" s="59"/>
      <c r="T93" s="59"/>
      <c r="U93" s="59"/>
      <c r="V93" s="59"/>
      <c r="W93" s="59"/>
      <c r="X93" s="59">
        <f>X91*4/100</f>
        <v>0</v>
      </c>
      <c r="Y93" s="59"/>
      <c r="Z93" s="59"/>
      <c r="AA93" s="59"/>
      <c r="AB93" s="61"/>
      <c r="AC93" s="23"/>
      <c r="AD93" s="51"/>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row>
    <row r="94" spans="1:54" s="53" customFormat="1" ht="24.95" customHeight="1" x14ac:dyDescent="0.2">
      <c r="A94" s="44"/>
      <c r="B94" s="32"/>
      <c r="C94" s="55"/>
      <c r="D94" s="56"/>
      <c r="E94" s="57"/>
      <c r="F94" s="58"/>
      <c r="G94" s="62" t="s">
        <v>44</v>
      </c>
      <c r="H94" s="59"/>
      <c r="I94" s="60"/>
      <c r="J94" s="59">
        <f>J91-J92</f>
        <v>1007310.00096</v>
      </c>
      <c r="K94" s="112"/>
      <c r="L94" s="59"/>
      <c r="M94" s="59"/>
      <c r="N94" s="59"/>
      <c r="O94" s="59"/>
      <c r="P94" s="59"/>
      <c r="Q94" s="59"/>
      <c r="R94" s="59"/>
      <c r="S94" s="59"/>
      <c r="T94" s="59"/>
      <c r="U94" s="59"/>
      <c r="V94" s="59"/>
      <c r="W94" s="59"/>
      <c r="X94" s="59"/>
      <c r="Y94" s="59"/>
      <c r="Z94" s="59"/>
      <c r="AA94" s="59"/>
      <c r="AB94" s="61"/>
      <c r="AC94" s="23"/>
      <c r="AD94" s="51"/>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row>
    <row r="95" spans="1:54" s="53" customFormat="1" ht="24.95" customHeight="1" x14ac:dyDescent="0.2">
      <c r="A95" s="44"/>
      <c r="B95" s="32"/>
      <c r="C95" s="55" t="s">
        <v>113</v>
      </c>
      <c r="D95" s="56"/>
      <c r="E95" s="57"/>
      <c r="F95" s="58"/>
      <c r="G95" s="58"/>
      <c r="H95" s="59">
        <f>H91</f>
        <v>1383616.24896</v>
      </c>
      <c r="I95" s="60"/>
      <c r="J95" s="59">
        <f>H95+L95+N95+P95+R95+T95+V95+X95-AB95-Z95</f>
        <v>1029813.9839999999</v>
      </c>
      <c r="K95" s="112"/>
      <c r="L95" s="59">
        <f>L91</f>
        <v>0</v>
      </c>
      <c r="M95" s="59"/>
      <c r="N95" s="59">
        <f>N91-N92</f>
        <v>0</v>
      </c>
      <c r="O95" s="59"/>
      <c r="P95" s="59">
        <f>P91-P93</f>
        <v>0</v>
      </c>
      <c r="Q95" s="59"/>
      <c r="R95" s="59">
        <f>R91-R93</f>
        <v>0</v>
      </c>
      <c r="S95" s="59"/>
      <c r="T95" s="59">
        <f>T91-T93</f>
        <v>0</v>
      </c>
      <c r="U95" s="59"/>
      <c r="V95" s="59">
        <f>V91</f>
        <v>0</v>
      </c>
      <c r="W95" s="59"/>
      <c r="X95" s="59">
        <f>X91-X93</f>
        <v>0</v>
      </c>
      <c r="Y95" s="59"/>
      <c r="Z95" s="59">
        <f>Z91</f>
        <v>254541.27935999999</v>
      </c>
      <c r="AA95" s="59"/>
      <c r="AB95" s="61">
        <f>AB91</f>
        <v>99260.985599999985</v>
      </c>
      <c r="AC95" s="23"/>
      <c r="AD95" s="51"/>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row>
    <row r="96" spans="1:54" s="38" customFormat="1" ht="25.5" customHeight="1" x14ac:dyDescent="0.2">
      <c r="A96" s="171" t="s">
        <v>241</v>
      </c>
      <c r="B96" s="171"/>
      <c r="C96" s="171"/>
      <c r="D96" s="32"/>
      <c r="E96" s="6"/>
      <c r="F96" s="33"/>
      <c r="G96" s="34"/>
      <c r="H96" s="34"/>
      <c r="I96" s="35"/>
      <c r="J96" s="34"/>
      <c r="K96" s="109"/>
      <c r="L96" s="34"/>
      <c r="M96" s="34"/>
      <c r="N96" s="34"/>
      <c r="O96" s="34"/>
      <c r="P96" s="34"/>
      <c r="Q96" s="34"/>
      <c r="R96" s="34"/>
      <c r="S96" s="34"/>
      <c r="T96" s="34"/>
      <c r="U96" s="34"/>
      <c r="V96" s="34"/>
      <c r="W96" s="34"/>
      <c r="X96" s="34"/>
      <c r="Y96" s="34"/>
      <c r="Z96" s="18"/>
      <c r="AA96" s="18"/>
      <c r="AB96" s="18"/>
      <c r="AC96" s="149"/>
      <c r="AD96" s="36"/>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row>
    <row r="97" spans="1:54" s="38" customFormat="1" ht="69.75" customHeight="1" x14ac:dyDescent="0.2">
      <c r="A97" s="1">
        <v>1</v>
      </c>
      <c r="B97" s="155">
        <v>171410</v>
      </c>
      <c r="C97" s="140" t="s">
        <v>213</v>
      </c>
      <c r="D97" s="39" t="s">
        <v>12</v>
      </c>
      <c r="E97" s="128" t="s">
        <v>10</v>
      </c>
      <c r="F97" s="128">
        <v>871.13</v>
      </c>
      <c r="G97" s="128">
        <v>3</v>
      </c>
      <c r="H97" s="40">
        <f>F97*G97</f>
        <v>2613.39</v>
      </c>
      <c r="I97" s="41">
        <v>3</v>
      </c>
      <c r="J97" s="40">
        <f>F97*I97</f>
        <v>2613.39</v>
      </c>
      <c r="K97" s="110" t="str">
        <f>IF(D97="NF",IF(I97&gt;G97*1.25,G97*0.25,IF(I97&gt;G97,I97-G97,0)),"0")</f>
        <v>0</v>
      </c>
      <c r="L97" s="42" t="str">
        <f>IF(ISNONTEXT(K97),$F97*K97,"0")</f>
        <v>0</v>
      </c>
      <c r="M97" s="42" t="str">
        <f>IF(D97="NF",IF($K97&gt;0,IF($G97*1.25&lt;$I97,IF(($G97*1.4)&lt;$I97,$G97*0.15,$I97-($G97+$K97)),"0"),"0"),"0")</f>
        <v>0</v>
      </c>
      <c r="N97" s="42" t="str">
        <f>IF(ISNONTEXT(M97),$F97*M97,"0")</f>
        <v>0</v>
      </c>
      <c r="O97" s="42" t="str">
        <f>IF(D97="NF",IF($M97&gt;0,IF($G97*1.4&lt;$I97,IF(($G97*1.5)&lt;$I97,$G97*0.1,$I97-($G97+$K97+$M97)),"0"),"0"),"0")</f>
        <v>0</v>
      </c>
      <c r="P97" s="42" t="str">
        <f>IF(ISNONTEXT(O97),$F97*O97,"0")</f>
        <v>0</v>
      </c>
      <c r="Q97" s="42" t="str">
        <f>IF(D97="NF",IF(G97*1.5&lt;I97,I97-(G97+K97+M97+O97),"0"),"0")</f>
        <v>0</v>
      </c>
      <c r="R97" s="42" t="str">
        <f>IF(ISNONTEXT(Q97),$F97*Q97,"0")</f>
        <v>0</v>
      </c>
      <c r="S97" s="42" t="str">
        <f>IF(D97="F",IF(I97&gt;G97, I97-G97,0),"0")</f>
        <v>0</v>
      </c>
      <c r="T97" s="42">
        <f>S97*F97</f>
        <v>0</v>
      </c>
      <c r="U97" s="42">
        <f>IF(D97="m",IF(I97&gt;G97*2,G97*1,IF(I97&gt;G97,I97-G97,0)),"0")</f>
        <v>0</v>
      </c>
      <c r="V97" s="42">
        <f>U97*F97</f>
        <v>0</v>
      </c>
      <c r="W97" s="42">
        <f>IF(D97="M",IF(I97&gt;G97*2,I97-G97*2,0),"0")</f>
        <v>0</v>
      </c>
      <c r="X97" s="42">
        <f>W97*F97</f>
        <v>0</v>
      </c>
      <c r="Y97" s="42">
        <v>0</v>
      </c>
      <c r="Z97" s="42">
        <f>Y97*F97</f>
        <v>0</v>
      </c>
      <c r="AA97" s="42">
        <v>0</v>
      </c>
      <c r="AB97" s="42">
        <f>AA97*F97</f>
        <v>0</v>
      </c>
      <c r="AC97" s="147" t="s">
        <v>136</v>
      </c>
      <c r="AD97" s="36"/>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row>
    <row r="98" spans="1:54" s="38" customFormat="1" ht="69.75" customHeight="1" x14ac:dyDescent="0.2">
      <c r="A98" s="1">
        <v>2</v>
      </c>
      <c r="B98" s="155">
        <v>171521</v>
      </c>
      <c r="C98" s="139" t="s">
        <v>214</v>
      </c>
      <c r="D98" s="39" t="s">
        <v>12</v>
      </c>
      <c r="E98" s="128" t="s">
        <v>242</v>
      </c>
      <c r="F98" s="128">
        <v>207.7</v>
      </c>
      <c r="G98" s="128">
        <v>375</v>
      </c>
      <c r="H98" s="40">
        <f>F98*G98</f>
        <v>77887.5</v>
      </c>
      <c r="I98" s="41">
        <v>357.2</v>
      </c>
      <c r="J98" s="40">
        <f>F98*I98</f>
        <v>74190.439999999988</v>
      </c>
      <c r="K98" s="110" t="str">
        <f>IF(D98="NF",IF(I98&gt;G98*1.25,G98*0.25,IF(I98&gt;G98,I98-G98,0)),"0")</f>
        <v>0</v>
      </c>
      <c r="L98" s="42" t="str">
        <f>IF(ISNONTEXT(K98),$F98*K98,"0")</f>
        <v>0</v>
      </c>
      <c r="M98" s="42" t="str">
        <f>IF(D98="NF",IF($K98&gt;0,IF($G98*1.25&lt;$I98,IF(($G98*1.4)&lt;$I98,$G98*0.15,$I98-($G98+$K98)),"0"),"0"),"0")</f>
        <v>0</v>
      </c>
      <c r="N98" s="42" t="str">
        <f>IF(ISNONTEXT(M98),$F98*M98,"0")</f>
        <v>0</v>
      </c>
      <c r="O98" s="42" t="str">
        <f>IF(D98="NF",IF($M98&gt;0,IF($G98*1.4&lt;$I98,IF(($G98*1.5)&lt;$I98,$G98*0.1,$I98-($G98+$K98+$M98)),"0"),"0"),"0")</f>
        <v>0</v>
      </c>
      <c r="P98" s="42" t="str">
        <f>IF(ISNONTEXT(O98),$F98*O98,"0")</f>
        <v>0</v>
      </c>
      <c r="Q98" s="42" t="str">
        <f>IF(D98="NF",IF(G98*1.5&lt;I98,I98-(G98+K98+M98+O98),"0"),"0")</f>
        <v>0</v>
      </c>
      <c r="R98" s="42" t="str">
        <f>IF(ISNONTEXT(Q98),$F98*Q98,"0")</f>
        <v>0</v>
      </c>
      <c r="S98" s="42" t="str">
        <f>IF(D98="F",IF(I98&gt;G98, I98-G98,0),"0")</f>
        <v>0</v>
      </c>
      <c r="T98" s="42">
        <f>S98*F98</f>
        <v>0</v>
      </c>
      <c r="U98" s="42">
        <f>IF(D98="m",IF(I98&gt;G98*2,G98*1,IF(I98&gt;G98,I98-G98,0)),"0")</f>
        <v>0</v>
      </c>
      <c r="V98" s="42">
        <f>U98*F98</f>
        <v>0</v>
      </c>
      <c r="W98" s="42">
        <f>IF(D98="M",IF(I98&gt;G98*2,I98-G98*2,0),"0")</f>
        <v>0</v>
      </c>
      <c r="X98" s="42">
        <f>W98*F98</f>
        <v>0</v>
      </c>
      <c r="Y98" s="42">
        <v>17.8</v>
      </c>
      <c r="Z98" s="42">
        <f>Y98*F98</f>
        <v>3697.06</v>
      </c>
      <c r="AA98" s="42">
        <v>0</v>
      </c>
      <c r="AB98" s="42">
        <f>AA98*F98</f>
        <v>0</v>
      </c>
      <c r="AC98" s="147" t="s">
        <v>136</v>
      </c>
      <c r="AD98" s="36"/>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row>
    <row r="99" spans="1:54" s="38" customFormat="1" ht="69.75" customHeight="1" x14ac:dyDescent="0.2">
      <c r="A99" s="1">
        <v>3</v>
      </c>
      <c r="B99" s="155">
        <v>171524</v>
      </c>
      <c r="C99" s="139" t="s">
        <v>215</v>
      </c>
      <c r="D99" s="39" t="s">
        <v>12</v>
      </c>
      <c r="E99" s="128" t="s">
        <v>243</v>
      </c>
      <c r="F99" s="128">
        <v>41.54</v>
      </c>
      <c r="G99" s="128">
        <v>150</v>
      </c>
      <c r="H99" s="40">
        <f>F99*G99</f>
        <v>6231</v>
      </c>
      <c r="I99" s="41">
        <v>132.19999999999999</v>
      </c>
      <c r="J99" s="40">
        <f>F99*I99</f>
        <v>5491.5879999999997</v>
      </c>
      <c r="K99" s="110" t="str">
        <f>IF(D99="NF",IF(I99&gt;G99*1.25,G99*0.25,IF(I99&gt;G99,I99-G99,0)),"0")</f>
        <v>0</v>
      </c>
      <c r="L99" s="42" t="str">
        <f>IF(ISNONTEXT(K99),$F99*K99,"0")</f>
        <v>0</v>
      </c>
      <c r="M99" s="42" t="str">
        <f>IF(D99="NF",IF($K99&gt;0,IF($G99*1.25&lt;$I99,IF(($G99*1.4)&lt;$I99,$G99*0.15,$I99-($G99+$K99)),"0"),"0"),"0")</f>
        <v>0</v>
      </c>
      <c r="N99" s="42" t="str">
        <f>IF(ISNONTEXT(M99),$F99*M99,"0")</f>
        <v>0</v>
      </c>
      <c r="O99" s="42" t="str">
        <f>IF(D99="NF",IF($M99&gt;0,IF($G99*1.4&lt;$I99,IF(($G99*1.5)&lt;$I99,$G99*0.1,$I99-($G99+$K99+$M99)),"0"),"0"),"0")</f>
        <v>0</v>
      </c>
      <c r="P99" s="42" t="str">
        <f>IF(ISNONTEXT(O99),$F99*O99,"0")</f>
        <v>0</v>
      </c>
      <c r="Q99" s="42" t="str">
        <f>IF(D99="NF",IF(G99*1.5&lt;I99,I99-(G99+K99+M99+O99),"0"),"0")</f>
        <v>0</v>
      </c>
      <c r="R99" s="42" t="str">
        <f>IF(ISNONTEXT(Q99),$F99*Q99,"0")</f>
        <v>0</v>
      </c>
      <c r="S99" s="42" t="str">
        <f>IF(D99="F",IF(I99&gt;G99, I99-G99,0),"0")</f>
        <v>0</v>
      </c>
      <c r="T99" s="42">
        <f>S99*F99</f>
        <v>0</v>
      </c>
      <c r="U99" s="42">
        <f>IF(D99="m",IF(I99&gt;G99*2,G99*1,IF(I99&gt;G99,I99-G99,0)),"0")</f>
        <v>0</v>
      </c>
      <c r="V99" s="42">
        <f>U99*F99</f>
        <v>0</v>
      </c>
      <c r="W99" s="42">
        <f>IF(D99="M",IF(I99&gt;G99*2,I99-G99*2,0),"0")</f>
        <v>0</v>
      </c>
      <c r="X99" s="42">
        <f>W99*F99</f>
        <v>0</v>
      </c>
      <c r="Y99" s="42">
        <v>17.8</v>
      </c>
      <c r="Z99" s="42">
        <f>Y99*F99</f>
        <v>739.41200000000003</v>
      </c>
      <c r="AA99" s="42">
        <v>0</v>
      </c>
      <c r="AB99" s="42">
        <f>AA99*F99</f>
        <v>0</v>
      </c>
      <c r="AC99" s="147" t="s">
        <v>136</v>
      </c>
      <c r="AD99" s="36"/>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row>
    <row r="100" spans="1:54" s="38" customFormat="1" ht="69.75" customHeight="1" x14ac:dyDescent="0.2">
      <c r="A100" s="1">
        <v>4</v>
      </c>
      <c r="B100" s="155">
        <v>171562</v>
      </c>
      <c r="C100" s="139" t="s">
        <v>216</v>
      </c>
      <c r="D100" s="39" t="s">
        <v>12</v>
      </c>
      <c r="E100" s="128" t="s">
        <v>10</v>
      </c>
      <c r="F100" s="128">
        <v>118.26</v>
      </c>
      <c r="G100" s="128">
        <v>3</v>
      </c>
      <c r="H100" s="40">
        <f>F100*G100</f>
        <v>354.78000000000003</v>
      </c>
      <c r="I100" s="41">
        <v>3</v>
      </c>
      <c r="J100" s="40">
        <f>F100*I100</f>
        <v>354.78000000000003</v>
      </c>
      <c r="K100" s="110" t="str">
        <f>IF(D100="NF",IF(I100&gt;G100*1.25,G100*0.25,IF(I100&gt;G100,I100-G100,0)),"0")</f>
        <v>0</v>
      </c>
      <c r="L100" s="42" t="str">
        <f>IF(ISNONTEXT(K100),$F100*K100,"0")</f>
        <v>0</v>
      </c>
      <c r="M100" s="42" t="str">
        <f>IF(D100="NF",IF($K100&gt;0,IF($G100*1.25&lt;$I100,IF(($G100*1.4)&lt;$I100,$G100*0.15,$I100-($G100+$K100)),"0"),"0"),"0")</f>
        <v>0</v>
      </c>
      <c r="N100" s="42" t="str">
        <f>IF(ISNONTEXT(M100),$F100*M100,"0")</f>
        <v>0</v>
      </c>
      <c r="O100" s="42" t="str">
        <f>IF(D100="NF",IF($M100&gt;0,IF($G100*1.4&lt;$I100,IF(($G100*1.5)&lt;$I100,$G100*0.1,$I100-($G100+$K100+$M100)),"0"),"0"),"0")</f>
        <v>0</v>
      </c>
      <c r="P100" s="42" t="str">
        <f>IF(ISNONTEXT(O100),$F100*O100,"0")</f>
        <v>0</v>
      </c>
      <c r="Q100" s="42" t="str">
        <f>IF(D100="NF",IF(G100*1.5&lt;I100,I100-(G100+K100+M100+O100),"0"),"0")</f>
        <v>0</v>
      </c>
      <c r="R100" s="42" t="str">
        <f>IF(ISNONTEXT(Q100),$F100*Q100,"0")</f>
        <v>0</v>
      </c>
      <c r="S100" s="42" t="str">
        <f>IF(D100="F",IF(I100&gt;G100, I100-G100,0),"0")</f>
        <v>0</v>
      </c>
      <c r="T100" s="42">
        <f>S100*F100</f>
        <v>0</v>
      </c>
      <c r="U100" s="42">
        <f>IF(D100="m",IF(I100&gt;G100*2,G100*1,IF(I100&gt;G100,I100-G100,0)),"0")</f>
        <v>0</v>
      </c>
      <c r="V100" s="42">
        <f>U100*F100</f>
        <v>0</v>
      </c>
      <c r="W100" s="42">
        <f>IF(D100="M",IF(I100&gt;G100*2,I100-G100*2,0),"0")</f>
        <v>0</v>
      </c>
      <c r="X100" s="42">
        <f>W100*F100</f>
        <v>0</v>
      </c>
      <c r="Y100" s="42">
        <v>0</v>
      </c>
      <c r="Z100" s="42">
        <f>Y100*F100</f>
        <v>0</v>
      </c>
      <c r="AA100" s="42">
        <v>0</v>
      </c>
      <c r="AB100" s="42">
        <f>AA100*F100</f>
        <v>0</v>
      </c>
      <c r="AC100" s="147" t="s">
        <v>136</v>
      </c>
      <c r="AD100" s="36"/>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row>
    <row r="101" spans="1:54" s="53" customFormat="1" ht="24.95" customHeight="1" x14ac:dyDescent="0.3">
      <c r="A101" s="44"/>
      <c r="B101" s="45"/>
      <c r="C101" s="46" t="s">
        <v>6</v>
      </c>
      <c r="D101" s="47"/>
      <c r="E101" s="48"/>
      <c r="F101" s="49"/>
      <c r="G101" s="49"/>
      <c r="H101" s="49">
        <f>SUM(H97:H100)</f>
        <v>87086.67</v>
      </c>
      <c r="I101" s="50"/>
      <c r="J101" s="49">
        <f>SUM(J97:J100)</f>
        <v>82650.197999999989</v>
      </c>
      <c r="K101" s="111"/>
      <c r="L101" s="49">
        <f>SUM(L97:L100)</f>
        <v>0</v>
      </c>
      <c r="M101" s="49"/>
      <c r="N101" s="49">
        <f>SUM(N97:N100)</f>
        <v>0</v>
      </c>
      <c r="O101" s="49"/>
      <c r="P101" s="49">
        <f>SUM(P97:P100)</f>
        <v>0</v>
      </c>
      <c r="Q101" s="49"/>
      <c r="R101" s="49">
        <f>SUM(R97:R100)</f>
        <v>0</v>
      </c>
      <c r="S101" s="49"/>
      <c r="T101" s="49">
        <f>SUM(T97:T100)</f>
        <v>0</v>
      </c>
      <c r="U101" s="49"/>
      <c r="V101" s="49">
        <f>SUM(V97:V100)</f>
        <v>0</v>
      </c>
      <c r="W101" s="49"/>
      <c r="X101" s="49">
        <f>SUM(X97:X100)</f>
        <v>0</v>
      </c>
      <c r="Y101" s="49"/>
      <c r="Z101" s="49">
        <f>SUM(Z97:Z100)</f>
        <v>4436.4719999999998</v>
      </c>
      <c r="AA101" s="49"/>
      <c r="AB101" s="49">
        <f>SUM(AB97:AB100)</f>
        <v>0</v>
      </c>
      <c r="AC101" s="23"/>
      <c r="AD101" s="51"/>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row>
    <row r="102" spans="1:54" s="53" customFormat="1" ht="24.95" customHeight="1" x14ac:dyDescent="0.2">
      <c r="A102" s="44"/>
      <c r="B102" s="54"/>
      <c r="C102" s="55" t="s">
        <v>244</v>
      </c>
      <c r="D102" s="47"/>
      <c r="E102" s="48"/>
      <c r="F102" s="49"/>
      <c r="G102" s="49"/>
      <c r="H102" s="49">
        <f>H101*25/100</f>
        <v>21771.6675</v>
      </c>
      <c r="I102" s="50"/>
      <c r="J102" s="49">
        <f>J101*25/100</f>
        <v>20662.549499999997</v>
      </c>
      <c r="K102" s="111"/>
      <c r="L102" s="49">
        <f>L101*26/100</f>
        <v>0</v>
      </c>
      <c r="M102" s="49"/>
      <c r="N102" s="49">
        <f>N101*26/100</f>
        <v>0</v>
      </c>
      <c r="O102" s="49"/>
      <c r="P102" s="49">
        <f>P101*26/100</f>
        <v>0</v>
      </c>
      <c r="Q102" s="49"/>
      <c r="R102" s="49">
        <f>R101*26/100</f>
        <v>0</v>
      </c>
      <c r="S102" s="49"/>
      <c r="T102" s="49">
        <f>T101*26/100</f>
        <v>0</v>
      </c>
      <c r="U102" s="49"/>
      <c r="V102" s="49">
        <f>V101*26/100</f>
        <v>0</v>
      </c>
      <c r="W102" s="49"/>
      <c r="X102" s="49">
        <f>X101*26/100</f>
        <v>0</v>
      </c>
      <c r="Y102" s="49"/>
      <c r="Z102" s="49">
        <f>Z101*25/100</f>
        <v>1109.1179999999999</v>
      </c>
      <c r="AA102" s="49"/>
      <c r="AB102" s="49">
        <f>AB101*26/100</f>
        <v>0</v>
      </c>
      <c r="AC102" s="23"/>
      <c r="AD102" s="51"/>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row>
    <row r="103" spans="1:54" s="53" customFormat="1" ht="24.95" customHeight="1" x14ac:dyDescent="0.2">
      <c r="A103" s="44"/>
      <c r="B103" s="32"/>
      <c r="C103" s="55" t="s">
        <v>100</v>
      </c>
      <c r="D103" s="47"/>
      <c r="E103" s="48"/>
      <c r="F103" s="49"/>
      <c r="G103" s="49"/>
      <c r="H103" s="49">
        <f>H101+H102</f>
        <v>108858.33749999999</v>
      </c>
      <c r="I103" s="50"/>
      <c r="J103" s="49">
        <f>J101+J102</f>
        <v>103312.74749999998</v>
      </c>
      <c r="K103" s="111"/>
      <c r="L103" s="49">
        <f>L101+L102</f>
        <v>0</v>
      </c>
      <c r="M103" s="49"/>
      <c r="N103" s="49">
        <f>N101+N102</f>
        <v>0</v>
      </c>
      <c r="O103" s="49"/>
      <c r="P103" s="49">
        <f>P101+P102</f>
        <v>0</v>
      </c>
      <c r="Q103" s="49"/>
      <c r="R103" s="49">
        <f>R101+R102</f>
        <v>0</v>
      </c>
      <c r="S103" s="49"/>
      <c r="T103" s="49">
        <f>T101+T102</f>
        <v>0</v>
      </c>
      <c r="U103" s="49"/>
      <c r="V103" s="49">
        <f>V101+V102</f>
        <v>0</v>
      </c>
      <c r="W103" s="49"/>
      <c r="X103" s="49">
        <f>X101+X102</f>
        <v>0</v>
      </c>
      <c r="Y103" s="49"/>
      <c r="Z103" s="49">
        <f>Z101+Z102</f>
        <v>5545.59</v>
      </c>
      <c r="AA103" s="49"/>
      <c r="AB103" s="49">
        <f>AB101+AB102</f>
        <v>0</v>
      </c>
      <c r="AC103" s="23"/>
      <c r="AD103" s="51"/>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row>
    <row r="104" spans="1:54" s="53" customFormat="1" ht="24.95" customHeight="1" x14ac:dyDescent="0.2">
      <c r="A104" s="44"/>
      <c r="B104" s="32"/>
      <c r="C104" s="55" t="s">
        <v>42</v>
      </c>
      <c r="D104" s="56"/>
      <c r="E104" s="57"/>
      <c r="F104" s="58"/>
      <c r="G104" s="58"/>
      <c r="H104" s="59"/>
      <c r="I104" s="60"/>
      <c r="J104" s="59">
        <f>N104+P105+R105+X105</f>
        <v>0</v>
      </c>
      <c r="K104" s="112"/>
      <c r="L104" s="59"/>
      <c r="M104" s="59"/>
      <c r="N104" s="59">
        <f>N103*2/100</f>
        <v>0</v>
      </c>
      <c r="O104" s="59"/>
      <c r="P104" s="59"/>
      <c r="Q104" s="59"/>
      <c r="R104" s="59"/>
      <c r="S104" s="59"/>
      <c r="T104" s="59"/>
      <c r="U104" s="59"/>
      <c r="V104" s="59"/>
      <c r="W104" s="59"/>
      <c r="X104" s="59"/>
      <c r="Y104" s="59"/>
      <c r="Z104" s="59"/>
      <c r="AA104" s="59"/>
      <c r="AB104" s="61"/>
      <c r="AC104" s="23"/>
      <c r="AD104" s="51"/>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row>
    <row r="105" spans="1:54" s="53" customFormat="1" ht="24.95" customHeight="1" x14ac:dyDescent="0.2">
      <c r="A105" s="44"/>
      <c r="B105" s="32"/>
      <c r="C105" s="55" t="s">
        <v>43</v>
      </c>
      <c r="D105" s="56"/>
      <c r="E105" s="57"/>
      <c r="F105" s="58"/>
      <c r="G105" s="58"/>
      <c r="H105" s="59"/>
      <c r="I105" s="60"/>
      <c r="J105" s="59"/>
      <c r="K105" s="112"/>
      <c r="L105" s="59"/>
      <c r="M105" s="59"/>
      <c r="N105" s="59"/>
      <c r="O105" s="59"/>
      <c r="P105" s="59">
        <f>P103*4/100</f>
        <v>0</v>
      </c>
      <c r="Q105" s="59"/>
      <c r="R105" s="59">
        <f>R103*4/100</f>
        <v>0</v>
      </c>
      <c r="S105" s="59"/>
      <c r="T105" s="59"/>
      <c r="U105" s="59"/>
      <c r="V105" s="59"/>
      <c r="W105" s="59"/>
      <c r="X105" s="59">
        <f>X103*4/100</f>
        <v>0</v>
      </c>
      <c r="Y105" s="59"/>
      <c r="Z105" s="59"/>
      <c r="AA105" s="59"/>
      <c r="AB105" s="61"/>
      <c r="AC105" s="23"/>
      <c r="AD105" s="51"/>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row>
    <row r="106" spans="1:54" s="53" customFormat="1" ht="24.95" customHeight="1" x14ac:dyDescent="0.2">
      <c r="A106" s="44"/>
      <c r="B106" s="32"/>
      <c r="C106" s="55"/>
      <c r="D106" s="56"/>
      <c r="E106" s="57"/>
      <c r="F106" s="58"/>
      <c r="G106" s="62" t="s">
        <v>44</v>
      </c>
      <c r="H106" s="59"/>
      <c r="I106" s="60"/>
      <c r="J106" s="59">
        <f>J103-J104</f>
        <v>103312.74749999998</v>
      </c>
      <c r="K106" s="112"/>
      <c r="L106" s="59"/>
      <c r="M106" s="59"/>
      <c r="N106" s="59"/>
      <c r="O106" s="59"/>
      <c r="P106" s="59"/>
      <c r="Q106" s="59"/>
      <c r="R106" s="59"/>
      <c r="S106" s="59"/>
      <c r="T106" s="59"/>
      <c r="U106" s="59"/>
      <c r="V106" s="59"/>
      <c r="W106" s="59"/>
      <c r="X106" s="59"/>
      <c r="Y106" s="59"/>
      <c r="Z106" s="59"/>
      <c r="AA106" s="59"/>
      <c r="AB106" s="61"/>
      <c r="AC106" s="23"/>
      <c r="AD106" s="51"/>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row>
    <row r="107" spans="1:54" s="53" customFormat="1" ht="24.95" customHeight="1" x14ac:dyDescent="0.2">
      <c r="A107" s="44"/>
      <c r="B107" s="32"/>
      <c r="C107" s="55" t="s">
        <v>114</v>
      </c>
      <c r="D107" s="56"/>
      <c r="E107" s="57"/>
      <c r="F107" s="58"/>
      <c r="G107" s="58"/>
      <c r="H107" s="59">
        <f>H103</f>
        <v>108858.33749999999</v>
      </c>
      <c r="I107" s="60"/>
      <c r="J107" s="59">
        <f>H107+L107+N107+P107+R107+T107+V107+X107-AB107-Z107</f>
        <v>103312.7475</v>
      </c>
      <c r="K107" s="112"/>
      <c r="L107" s="59">
        <f>L103</f>
        <v>0</v>
      </c>
      <c r="M107" s="59"/>
      <c r="N107" s="59">
        <f>N103-N104</f>
        <v>0</v>
      </c>
      <c r="O107" s="59"/>
      <c r="P107" s="59">
        <f>P103-P105</f>
        <v>0</v>
      </c>
      <c r="Q107" s="59"/>
      <c r="R107" s="59">
        <f>R103-R105</f>
        <v>0</v>
      </c>
      <c r="S107" s="59"/>
      <c r="T107" s="59">
        <f>T103-T105</f>
        <v>0</v>
      </c>
      <c r="U107" s="59"/>
      <c r="V107" s="59">
        <f>V103</f>
        <v>0</v>
      </c>
      <c r="W107" s="59"/>
      <c r="X107" s="59">
        <f>X103-X105</f>
        <v>0</v>
      </c>
      <c r="Y107" s="59"/>
      <c r="Z107" s="59">
        <f>Z103</f>
        <v>5545.59</v>
      </c>
      <c r="AA107" s="59"/>
      <c r="AB107" s="61">
        <f>AB103</f>
        <v>0</v>
      </c>
      <c r="AC107" s="23"/>
      <c r="AD107" s="51"/>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row>
    <row r="108" spans="1:54" s="38" customFormat="1" ht="25.5" customHeight="1" x14ac:dyDescent="0.2">
      <c r="A108" s="171" t="s">
        <v>217</v>
      </c>
      <c r="B108" s="171"/>
      <c r="C108" s="171"/>
      <c r="D108" s="32"/>
      <c r="E108" s="6"/>
      <c r="F108" s="33"/>
      <c r="G108" s="34"/>
      <c r="H108" s="34"/>
      <c r="I108" s="35"/>
      <c r="J108" s="34"/>
      <c r="K108" s="109"/>
      <c r="L108" s="34"/>
      <c r="M108" s="34"/>
      <c r="N108" s="34"/>
      <c r="O108" s="34"/>
      <c r="P108" s="34"/>
      <c r="Q108" s="34"/>
      <c r="R108" s="34"/>
      <c r="S108" s="34"/>
      <c r="T108" s="34"/>
      <c r="U108" s="34"/>
      <c r="V108" s="34"/>
      <c r="W108" s="34"/>
      <c r="X108" s="34"/>
      <c r="Y108" s="34"/>
      <c r="Z108" s="18"/>
      <c r="AA108" s="18"/>
      <c r="AB108" s="18"/>
      <c r="AC108" s="149"/>
      <c r="AD108" s="36"/>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row>
    <row r="109" spans="1:54" s="38" customFormat="1" ht="69.75" customHeight="1" x14ac:dyDescent="0.2">
      <c r="A109" s="1">
        <v>1</v>
      </c>
      <c r="B109" s="155">
        <v>131156</v>
      </c>
      <c r="C109" s="141" t="s">
        <v>218</v>
      </c>
      <c r="D109" s="39" t="s">
        <v>17</v>
      </c>
      <c r="E109" s="128" t="s">
        <v>242</v>
      </c>
      <c r="F109" s="128">
        <v>335.65</v>
      </c>
      <c r="G109" s="128">
        <v>1200</v>
      </c>
      <c r="H109" s="40">
        <f>F109*G109</f>
        <v>402780</v>
      </c>
      <c r="I109" s="41">
        <v>31.62</v>
      </c>
      <c r="J109" s="40">
        <f>F109*I109</f>
        <v>10613.252999999999</v>
      </c>
      <c r="K109" s="110">
        <f>IF(D109="NF",IF(I109&gt;G109*1.25,G109*0.25,IF(I109&gt;G109,I109-G109,0)),"0")</f>
        <v>0</v>
      </c>
      <c r="L109" s="42">
        <f>IF(ISNONTEXT(K109),$F109*K109,"0")</f>
        <v>0</v>
      </c>
      <c r="M109" s="42" t="str">
        <f>IF(D109="NF",IF($K109&gt;0,IF($G109*1.25&lt;$I109,IF(($G109*1.4)&lt;$I109,$G109*0.15,$I109-($G109+$K109)),"0"),"0"),"0")</f>
        <v>0</v>
      </c>
      <c r="N109" s="42" t="str">
        <f>IF(ISNONTEXT(M109),$F109*M109,"0")</f>
        <v>0</v>
      </c>
      <c r="O109" s="42" t="str">
        <f>IF(D109="NF",IF($M109&gt;0,IF($G109*1.4&lt;$I109,IF(($G109*1.5)&lt;$I109,$G109*0.1,$I109-($G109+$K109+$M109)),"0"),"0"),"0")</f>
        <v>0</v>
      </c>
      <c r="P109" s="42" t="str">
        <f>IF(ISNONTEXT(O109),$F109*O109,"0")</f>
        <v>0</v>
      </c>
      <c r="Q109" s="42" t="str">
        <f>IF(D109="NF",IF(G109*1.5&lt;I109,I109-(G109+K109+M109+O109),"0"),"0")</f>
        <v>0</v>
      </c>
      <c r="R109" s="42" t="str">
        <f>IF(ISNONTEXT(Q109),$F109*Q109,"0")</f>
        <v>0</v>
      </c>
      <c r="S109" s="42" t="str">
        <f>IF(D109="F",IF(I109&gt;G109, I109-G109,0),"0")</f>
        <v>0</v>
      </c>
      <c r="T109" s="42">
        <f>S109*F109</f>
        <v>0</v>
      </c>
      <c r="U109" s="42" t="str">
        <f>IF(D109="m",IF(I109&gt;G109*2,G109*1,IF(I109&gt;G109,I109-G109,0)),"0")</f>
        <v>0</v>
      </c>
      <c r="V109" s="42">
        <f>U109*F109</f>
        <v>0</v>
      </c>
      <c r="W109" s="42" t="str">
        <f>IF(D109="M",IF(I109&gt;G109*2,I109-G109*2,0),"0")</f>
        <v>0</v>
      </c>
      <c r="X109" s="42">
        <f>W109*F109</f>
        <v>0</v>
      </c>
      <c r="Y109" s="42">
        <v>300</v>
      </c>
      <c r="Z109" s="42">
        <f>Y109*F109</f>
        <v>100695</v>
      </c>
      <c r="AA109" s="42">
        <v>868.38</v>
      </c>
      <c r="AB109" s="42">
        <f>AA109*F109</f>
        <v>291471.74699999997</v>
      </c>
      <c r="AC109" s="147" t="s">
        <v>72</v>
      </c>
      <c r="AD109" s="36"/>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row>
    <row r="110" spans="1:54" s="38" customFormat="1" ht="69.75" customHeight="1" x14ac:dyDescent="0.2">
      <c r="A110" s="1">
        <v>2</v>
      </c>
      <c r="B110" s="155">
        <v>131158</v>
      </c>
      <c r="C110" s="141" t="s">
        <v>219</v>
      </c>
      <c r="D110" s="39" t="s">
        <v>17</v>
      </c>
      <c r="E110" s="128" t="s">
        <v>245</v>
      </c>
      <c r="F110" s="128">
        <v>550.29</v>
      </c>
      <c r="G110" s="128">
        <v>280</v>
      </c>
      <c r="H110" s="40">
        <v>154081.20000000001</v>
      </c>
      <c r="I110" s="41">
        <v>0</v>
      </c>
      <c r="J110" s="40">
        <v>0</v>
      </c>
      <c r="K110" s="110"/>
      <c r="L110" s="42"/>
      <c r="M110" s="42"/>
      <c r="N110" s="42"/>
      <c r="O110" s="42"/>
      <c r="P110" s="42"/>
      <c r="Q110" s="42"/>
      <c r="R110" s="42"/>
      <c r="S110" s="42"/>
      <c r="T110" s="42"/>
      <c r="U110" s="42"/>
      <c r="V110" s="42"/>
      <c r="W110" s="42"/>
      <c r="X110" s="42"/>
      <c r="Y110" s="42">
        <v>70</v>
      </c>
      <c r="Z110" s="42">
        <v>154081.20000000001</v>
      </c>
      <c r="AA110" s="42">
        <v>210</v>
      </c>
      <c r="AB110" s="42">
        <v>115560.9</v>
      </c>
      <c r="AC110" s="147" t="s">
        <v>261</v>
      </c>
      <c r="AD110" s="36"/>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row>
    <row r="111" spans="1:54" s="38" customFormat="1" ht="69.75" customHeight="1" x14ac:dyDescent="0.2">
      <c r="A111" s="1">
        <v>3</v>
      </c>
      <c r="B111" s="155">
        <v>131163</v>
      </c>
      <c r="C111" s="141" t="s">
        <v>220</v>
      </c>
      <c r="D111" s="39" t="s">
        <v>12</v>
      </c>
      <c r="E111" s="128" t="s">
        <v>10</v>
      </c>
      <c r="F111" s="128">
        <v>978.24</v>
      </c>
      <c r="G111" s="128">
        <v>10</v>
      </c>
      <c r="H111" s="40">
        <v>97824</v>
      </c>
      <c r="I111" s="41">
        <v>0</v>
      </c>
      <c r="J111" s="40">
        <v>0</v>
      </c>
      <c r="K111" s="110"/>
      <c r="L111" s="42"/>
      <c r="M111" s="42"/>
      <c r="N111" s="42"/>
      <c r="O111" s="42"/>
      <c r="P111" s="42"/>
      <c r="Q111" s="42"/>
      <c r="R111" s="42"/>
      <c r="S111" s="42"/>
      <c r="T111" s="42"/>
      <c r="U111" s="42"/>
      <c r="V111" s="42"/>
      <c r="W111" s="42"/>
      <c r="X111" s="42"/>
      <c r="Y111" s="42"/>
      <c r="Z111" s="42"/>
      <c r="AA111" s="42"/>
      <c r="AB111" s="42"/>
      <c r="AC111" s="147"/>
      <c r="AD111" s="36"/>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row>
    <row r="112" spans="1:54" s="38" customFormat="1" ht="69.75" customHeight="1" x14ac:dyDescent="0.2">
      <c r="A112" s="1">
        <v>4</v>
      </c>
      <c r="B112" s="155">
        <v>132081</v>
      </c>
      <c r="C112" s="141" t="s">
        <v>221</v>
      </c>
      <c r="D112" s="39" t="s">
        <v>171</v>
      </c>
      <c r="E112" s="128" t="s">
        <v>10</v>
      </c>
      <c r="F112" s="128">
        <v>732.27</v>
      </c>
      <c r="G112" s="128">
        <v>3</v>
      </c>
      <c r="H112" s="40">
        <v>2196.81</v>
      </c>
      <c r="I112" s="41">
        <v>2</v>
      </c>
      <c r="J112" s="40"/>
      <c r="K112" s="110"/>
      <c r="L112" s="42"/>
      <c r="M112" s="42"/>
      <c r="N112" s="42"/>
      <c r="O112" s="42"/>
      <c r="P112" s="42"/>
      <c r="Q112" s="42"/>
      <c r="R112" s="42"/>
      <c r="S112" s="42"/>
      <c r="T112" s="42"/>
      <c r="U112" s="42"/>
      <c r="V112" s="42"/>
      <c r="W112" s="42"/>
      <c r="X112" s="42"/>
      <c r="Y112" s="42"/>
      <c r="Z112" s="42"/>
      <c r="AA112" s="42"/>
      <c r="AB112" s="42"/>
      <c r="AC112" s="147"/>
      <c r="AD112" s="36"/>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row>
    <row r="113" spans="1:54" s="38" customFormat="1" ht="69.75" customHeight="1" x14ac:dyDescent="0.2">
      <c r="A113" s="1">
        <v>5</v>
      </c>
      <c r="B113" s="155">
        <v>133082</v>
      </c>
      <c r="C113" s="141" t="s">
        <v>222</v>
      </c>
      <c r="D113" s="39" t="s">
        <v>17</v>
      </c>
      <c r="E113" s="128" t="s">
        <v>242</v>
      </c>
      <c r="F113" s="128">
        <v>1476.57</v>
      </c>
      <c r="G113" s="128">
        <v>120</v>
      </c>
      <c r="H113" s="40">
        <v>177188.4</v>
      </c>
      <c r="I113" s="41">
        <v>0</v>
      </c>
      <c r="J113" s="40"/>
      <c r="K113" s="110"/>
      <c r="L113" s="42"/>
      <c r="M113" s="42"/>
      <c r="N113" s="42"/>
      <c r="O113" s="42"/>
      <c r="P113" s="42"/>
      <c r="Q113" s="42"/>
      <c r="R113" s="42"/>
      <c r="S113" s="42"/>
      <c r="T113" s="42"/>
      <c r="U113" s="42"/>
      <c r="V113" s="42"/>
      <c r="W113" s="42"/>
      <c r="X113" s="42"/>
      <c r="Y113" s="42"/>
      <c r="Z113" s="42"/>
      <c r="AA113" s="42"/>
      <c r="AB113" s="42"/>
      <c r="AC113" s="147"/>
      <c r="AD113" s="36"/>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row>
    <row r="114" spans="1:54" s="38" customFormat="1" ht="69.75" customHeight="1" x14ac:dyDescent="0.2">
      <c r="A114" s="1">
        <v>6</v>
      </c>
      <c r="B114" s="155">
        <v>133174</v>
      </c>
      <c r="C114" s="141" t="s">
        <v>223</v>
      </c>
      <c r="D114" s="39" t="s">
        <v>171</v>
      </c>
      <c r="E114" s="128" t="s">
        <v>10</v>
      </c>
      <c r="F114" s="128">
        <v>205.66</v>
      </c>
      <c r="G114" s="128">
        <v>60</v>
      </c>
      <c r="H114" s="40">
        <v>12339.6</v>
      </c>
      <c r="I114" s="41">
        <v>0</v>
      </c>
      <c r="J114" s="40"/>
      <c r="K114" s="110"/>
      <c r="L114" s="42"/>
      <c r="M114" s="42"/>
      <c r="N114" s="42"/>
      <c r="O114" s="42"/>
      <c r="P114" s="42"/>
      <c r="Q114" s="42"/>
      <c r="R114" s="42"/>
      <c r="S114" s="42"/>
      <c r="T114" s="42"/>
      <c r="U114" s="42"/>
      <c r="V114" s="42"/>
      <c r="W114" s="42"/>
      <c r="X114" s="42"/>
      <c r="Y114" s="42"/>
      <c r="Z114" s="42"/>
      <c r="AA114" s="42"/>
      <c r="AB114" s="42"/>
      <c r="AC114" s="147"/>
      <c r="AD114" s="36"/>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row>
    <row r="115" spans="1:54" s="38" customFormat="1" ht="69.75" customHeight="1" x14ac:dyDescent="0.2">
      <c r="A115" s="1">
        <v>7</v>
      </c>
      <c r="B115" s="155">
        <v>133191</v>
      </c>
      <c r="C115" s="141" t="s">
        <v>225</v>
      </c>
      <c r="D115" s="39" t="s">
        <v>171</v>
      </c>
      <c r="E115" s="128" t="s">
        <v>10</v>
      </c>
      <c r="F115" s="128">
        <v>2561.1</v>
      </c>
      <c r="G115" s="128">
        <v>3</v>
      </c>
      <c r="H115" s="40">
        <v>7683.3</v>
      </c>
      <c r="I115" s="41">
        <v>0</v>
      </c>
      <c r="J115" s="40"/>
      <c r="K115" s="110"/>
      <c r="L115" s="42"/>
      <c r="M115" s="42"/>
      <c r="N115" s="42"/>
      <c r="O115" s="42"/>
      <c r="P115" s="42"/>
      <c r="Q115" s="42"/>
      <c r="R115" s="42"/>
      <c r="S115" s="42"/>
      <c r="T115" s="42"/>
      <c r="U115" s="42"/>
      <c r="V115" s="42"/>
      <c r="W115" s="42"/>
      <c r="X115" s="42"/>
      <c r="Y115" s="42"/>
      <c r="Z115" s="42"/>
      <c r="AA115" s="42"/>
      <c r="AB115" s="42"/>
      <c r="AC115" s="147"/>
      <c r="AD115" s="36"/>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row>
    <row r="116" spans="1:54" s="38" customFormat="1" ht="69.75" customHeight="1" x14ac:dyDescent="0.2">
      <c r="A116" s="1">
        <v>8</v>
      </c>
      <c r="B116" s="155">
        <v>133222</v>
      </c>
      <c r="C116" s="141" t="s">
        <v>224</v>
      </c>
      <c r="D116" s="39" t="s">
        <v>171</v>
      </c>
      <c r="E116" s="128" t="s">
        <v>10</v>
      </c>
      <c r="F116" s="128">
        <v>7007.32</v>
      </c>
      <c r="G116" s="128">
        <v>9</v>
      </c>
      <c r="H116" s="40">
        <v>63065.88</v>
      </c>
      <c r="I116" s="41">
        <v>3</v>
      </c>
      <c r="J116" s="40">
        <v>21021.96</v>
      </c>
      <c r="K116" s="110"/>
      <c r="L116" s="42"/>
      <c r="M116" s="42"/>
      <c r="N116" s="42"/>
      <c r="O116" s="42"/>
      <c r="P116" s="42"/>
      <c r="Q116" s="42"/>
      <c r="R116" s="42"/>
      <c r="S116" s="42"/>
      <c r="T116" s="42"/>
      <c r="U116" s="42"/>
      <c r="V116" s="42"/>
      <c r="W116" s="42"/>
      <c r="X116" s="42"/>
      <c r="Y116" s="42"/>
      <c r="Z116" s="42"/>
      <c r="AA116" s="42"/>
      <c r="AB116" s="42"/>
      <c r="AC116" s="147"/>
      <c r="AD116" s="36"/>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row>
    <row r="117" spans="1:54" s="38" customFormat="1" ht="69.75" customHeight="1" x14ac:dyDescent="0.2">
      <c r="A117" s="1">
        <v>9</v>
      </c>
      <c r="B117" s="155">
        <v>133232</v>
      </c>
      <c r="C117" s="141" t="s">
        <v>226</v>
      </c>
      <c r="D117" s="39" t="s">
        <v>171</v>
      </c>
      <c r="E117" s="128" t="s">
        <v>10</v>
      </c>
      <c r="F117" s="128">
        <v>12742.51</v>
      </c>
      <c r="G117" s="128">
        <v>4</v>
      </c>
      <c r="H117" s="40">
        <v>50970.04</v>
      </c>
      <c r="I117" s="41">
        <v>0</v>
      </c>
      <c r="J117" s="40"/>
      <c r="K117" s="110"/>
      <c r="L117" s="42"/>
      <c r="M117" s="42"/>
      <c r="N117" s="42"/>
      <c r="O117" s="42"/>
      <c r="P117" s="42"/>
      <c r="Q117" s="42"/>
      <c r="R117" s="42"/>
      <c r="S117" s="42"/>
      <c r="T117" s="42"/>
      <c r="U117" s="42"/>
      <c r="V117" s="42"/>
      <c r="W117" s="42"/>
      <c r="X117" s="42"/>
      <c r="Y117" s="42"/>
      <c r="Z117" s="42"/>
      <c r="AA117" s="42"/>
      <c r="AB117" s="42"/>
      <c r="AC117" s="147"/>
      <c r="AD117" s="36"/>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row>
    <row r="118" spans="1:54" s="38" customFormat="1" ht="69.75" customHeight="1" x14ac:dyDescent="0.2">
      <c r="A118" s="1">
        <v>10</v>
      </c>
      <c r="B118" s="155">
        <v>136136</v>
      </c>
      <c r="C118" s="141" t="s">
        <v>227</v>
      </c>
      <c r="D118" s="39" t="s">
        <v>171</v>
      </c>
      <c r="E118" s="128" t="s">
        <v>10</v>
      </c>
      <c r="F118" s="128">
        <v>350.11</v>
      </c>
      <c r="G118" s="128">
        <v>3</v>
      </c>
      <c r="H118" s="40">
        <v>1050.33</v>
      </c>
      <c r="I118" s="41">
        <v>0</v>
      </c>
      <c r="J118" s="40"/>
      <c r="K118" s="110"/>
      <c r="L118" s="42"/>
      <c r="M118" s="42"/>
      <c r="N118" s="42"/>
      <c r="O118" s="42"/>
      <c r="P118" s="42"/>
      <c r="Q118" s="42"/>
      <c r="R118" s="42"/>
      <c r="S118" s="42"/>
      <c r="T118" s="42"/>
      <c r="U118" s="42"/>
      <c r="V118" s="42"/>
      <c r="W118" s="42"/>
      <c r="X118" s="42"/>
      <c r="Y118" s="42"/>
      <c r="Z118" s="42"/>
      <c r="AA118" s="42"/>
      <c r="AB118" s="42"/>
      <c r="AC118" s="147"/>
      <c r="AD118" s="36"/>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row>
    <row r="119" spans="1:54" s="53" customFormat="1" ht="24.95" customHeight="1" x14ac:dyDescent="0.3">
      <c r="A119" s="44"/>
      <c r="B119" s="156"/>
      <c r="C119" s="46" t="s">
        <v>6</v>
      </c>
      <c r="D119" s="47"/>
      <c r="E119" s="48"/>
      <c r="F119" s="49"/>
      <c r="G119" s="49"/>
      <c r="H119" s="49">
        <f>SUM(H109:H109)</f>
        <v>402780</v>
      </c>
      <c r="I119" s="50"/>
      <c r="J119" s="49">
        <f>SUM(J109:J109)</f>
        <v>10613.252999999999</v>
      </c>
      <c r="K119" s="111"/>
      <c r="L119" s="49">
        <f>SUM(L109:L109)</f>
        <v>0</v>
      </c>
      <c r="M119" s="49"/>
      <c r="N119" s="49">
        <f>SUM(N109:N109)</f>
        <v>0</v>
      </c>
      <c r="O119" s="49"/>
      <c r="P119" s="49">
        <f>SUM(P109:P109)</f>
        <v>0</v>
      </c>
      <c r="Q119" s="49"/>
      <c r="R119" s="49">
        <f>SUM(R109:R109)</f>
        <v>0</v>
      </c>
      <c r="S119" s="49"/>
      <c r="T119" s="49">
        <f>SUM(T109:T109)</f>
        <v>0</v>
      </c>
      <c r="U119" s="49"/>
      <c r="V119" s="49">
        <f>SUM(V109:V109)</f>
        <v>0</v>
      </c>
      <c r="W119" s="49"/>
      <c r="X119" s="49">
        <f>SUM(X109:X109)</f>
        <v>0</v>
      </c>
      <c r="Y119" s="49"/>
      <c r="Z119" s="49">
        <f>SUM(Z109:Z109)</f>
        <v>100695</v>
      </c>
      <c r="AA119" s="49"/>
      <c r="AB119" s="49">
        <f>SUM(AB109:AB109)</f>
        <v>291471.74699999997</v>
      </c>
      <c r="AC119" s="23"/>
      <c r="AD119" s="51"/>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row>
    <row r="120" spans="1:54" s="53" customFormat="1" ht="24.95" customHeight="1" x14ac:dyDescent="0.2">
      <c r="A120" s="44"/>
      <c r="B120" s="54"/>
      <c r="C120" s="55" t="s">
        <v>99</v>
      </c>
      <c r="D120" s="47"/>
      <c r="E120" s="48"/>
      <c r="F120" s="49"/>
      <c r="G120" s="49"/>
      <c r="H120" s="49">
        <f>H119*15.2/100</f>
        <v>61222.559999999998</v>
      </c>
      <c r="I120" s="50"/>
      <c r="J120" s="49">
        <f>J119*15.2/100</f>
        <v>1613.2144559999997</v>
      </c>
      <c r="K120" s="111"/>
      <c r="L120" s="49">
        <f>L119*15.2/100</f>
        <v>0</v>
      </c>
      <c r="M120" s="49"/>
      <c r="N120" s="49">
        <f>N119*15.2/100</f>
        <v>0</v>
      </c>
      <c r="O120" s="49"/>
      <c r="P120" s="49">
        <f>P119*15.2/100</f>
        <v>0</v>
      </c>
      <c r="Q120" s="49"/>
      <c r="R120" s="49">
        <f>R119*15.2/100</f>
        <v>0</v>
      </c>
      <c r="S120" s="49"/>
      <c r="T120" s="49">
        <f>T119*15.2/100</f>
        <v>0</v>
      </c>
      <c r="U120" s="49"/>
      <c r="V120" s="49">
        <f>V119*15.2/100</f>
        <v>0</v>
      </c>
      <c r="W120" s="49"/>
      <c r="X120" s="49">
        <f>X119*15.2/100</f>
        <v>0</v>
      </c>
      <c r="Y120" s="49"/>
      <c r="Z120" s="49">
        <f>Z119*15.2/100</f>
        <v>15305.64</v>
      </c>
      <c r="AA120" s="49"/>
      <c r="AB120" s="49">
        <f>AB119*15.2/100</f>
        <v>44303.705543999997</v>
      </c>
      <c r="AC120" s="23"/>
      <c r="AD120" s="51"/>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row>
    <row r="121" spans="1:54" s="53" customFormat="1" ht="24.95" customHeight="1" x14ac:dyDescent="0.2">
      <c r="A121" s="44"/>
      <c r="B121" s="32"/>
      <c r="C121" s="55" t="s">
        <v>100</v>
      </c>
      <c r="D121" s="47"/>
      <c r="E121" s="48"/>
      <c r="F121" s="49"/>
      <c r="G121" s="49"/>
      <c r="H121" s="49">
        <f>H119+H120</f>
        <v>464002.56</v>
      </c>
      <c r="I121" s="50"/>
      <c r="J121" s="49">
        <f>J119+J120</f>
        <v>12226.467455999998</v>
      </c>
      <c r="K121" s="111"/>
      <c r="L121" s="49">
        <f>L119+L120</f>
        <v>0</v>
      </c>
      <c r="M121" s="49"/>
      <c r="N121" s="49">
        <f>N119+N120</f>
        <v>0</v>
      </c>
      <c r="O121" s="49"/>
      <c r="P121" s="49">
        <f>P119+P120</f>
        <v>0</v>
      </c>
      <c r="Q121" s="49"/>
      <c r="R121" s="49">
        <f>R119+R120</f>
        <v>0</v>
      </c>
      <c r="S121" s="49"/>
      <c r="T121" s="49">
        <f>T119+T120</f>
        <v>0</v>
      </c>
      <c r="U121" s="49"/>
      <c r="V121" s="49">
        <f>V119+V120</f>
        <v>0</v>
      </c>
      <c r="W121" s="49"/>
      <c r="X121" s="49">
        <f>X119+X120</f>
        <v>0</v>
      </c>
      <c r="Y121" s="49"/>
      <c r="Z121" s="49">
        <f>Z119+Z120</f>
        <v>116000.64</v>
      </c>
      <c r="AA121" s="49"/>
      <c r="AB121" s="49">
        <f>AB119+AB120</f>
        <v>335775.452544</v>
      </c>
      <c r="AC121" s="23"/>
      <c r="AD121" s="51"/>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c r="BA121" s="52"/>
      <c r="BB121" s="52"/>
    </row>
    <row r="122" spans="1:54" s="53" customFormat="1" ht="24.95" customHeight="1" x14ac:dyDescent="0.2">
      <c r="A122" s="44"/>
      <c r="B122" s="32"/>
      <c r="C122" s="55" t="s">
        <v>42</v>
      </c>
      <c r="D122" s="56"/>
      <c r="E122" s="57"/>
      <c r="F122" s="58"/>
      <c r="G122" s="58"/>
      <c r="H122" s="59"/>
      <c r="I122" s="60"/>
      <c r="J122" s="59">
        <f>N122+P123+R123+X123</f>
        <v>0</v>
      </c>
      <c r="K122" s="112"/>
      <c r="L122" s="59"/>
      <c r="M122" s="59"/>
      <c r="N122" s="59">
        <f>N121*2/100</f>
        <v>0</v>
      </c>
      <c r="O122" s="59"/>
      <c r="P122" s="59"/>
      <c r="Q122" s="59"/>
      <c r="R122" s="59"/>
      <c r="S122" s="59"/>
      <c r="T122" s="59"/>
      <c r="U122" s="59"/>
      <c r="V122" s="59"/>
      <c r="W122" s="59"/>
      <c r="X122" s="59"/>
      <c r="Y122" s="59"/>
      <c r="Z122" s="59"/>
      <c r="AA122" s="59"/>
      <c r="AB122" s="61"/>
      <c r="AC122" s="23"/>
      <c r="AD122" s="51"/>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row>
    <row r="123" spans="1:54" s="53" customFormat="1" ht="24.95" customHeight="1" x14ac:dyDescent="0.2">
      <c r="A123" s="44"/>
      <c r="B123" s="32"/>
      <c r="C123" s="55" t="s">
        <v>43</v>
      </c>
      <c r="D123" s="56"/>
      <c r="E123" s="57"/>
      <c r="F123" s="58"/>
      <c r="G123" s="58"/>
      <c r="H123" s="59"/>
      <c r="I123" s="60"/>
      <c r="J123" s="59"/>
      <c r="K123" s="112"/>
      <c r="L123" s="59"/>
      <c r="M123" s="59"/>
      <c r="N123" s="59"/>
      <c r="O123" s="59"/>
      <c r="P123" s="59">
        <f>P121*4/100</f>
        <v>0</v>
      </c>
      <c r="Q123" s="59"/>
      <c r="R123" s="59">
        <f>R121*4/100</f>
        <v>0</v>
      </c>
      <c r="S123" s="59"/>
      <c r="T123" s="59"/>
      <c r="U123" s="59"/>
      <c r="V123" s="59"/>
      <c r="W123" s="59"/>
      <c r="X123" s="59">
        <f>X121*4/100</f>
        <v>0</v>
      </c>
      <c r="Y123" s="59"/>
      <c r="Z123" s="59"/>
      <c r="AA123" s="59"/>
      <c r="AB123" s="61"/>
      <c r="AC123" s="23"/>
      <c r="AD123" s="51"/>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row>
    <row r="124" spans="1:54" s="53" customFormat="1" ht="24.95" customHeight="1" x14ac:dyDescent="0.2">
      <c r="A124" s="44"/>
      <c r="B124" s="32"/>
      <c r="C124" s="55"/>
      <c r="D124" s="56"/>
      <c r="E124" s="57"/>
      <c r="F124" s="58"/>
      <c r="G124" s="62" t="s">
        <v>44</v>
      </c>
      <c r="H124" s="59"/>
      <c r="I124" s="60"/>
      <c r="J124" s="59">
        <f>J121-J122</f>
        <v>12226.467455999998</v>
      </c>
      <c r="K124" s="112"/>
      <c r="L124" s="59"/>
      <c r="M124" s="59"/>
      <c r="N124" s="59"/>
      <c r="O124" s="59"/>
      <c r="P124" s="59"/>
      <c r="Q124" s="59"/>
      <c r="R124" s="59"/>
      <c r="S124" s="59"/>
      <c r="T124" s="59"/>
      <c r="U124" s="59"/>
      <c r="V124" s="59"/>
      <c r="W124" s="59"/>
      <c r="X124" s="59"/>
      <c r="Y124" s="59"/>
      <c r="Z124" s="59"/>
      <c r="AA124" s="59"/>
      <c r="AB124" s="61"/>
      <c r="AC124" s="23"/>
      <c r="AD124" s="51"/>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row>
    <row r="125" spans="1:54" s="53" customFormat="1" ht="24.95" customHeight="1" x14ac:dyDescent="0.2">
      <c r="A125" s="44"/>
      <c r="B125" s="32"/>
      <c r="C125" s="55" t="s">
        <v>115</v>
      </c>
      <c r="D125" s="56"/>
      <c r="E125" s="57"/>
      <c r="F125" s="58"/>
      <c r="G125" s="58"/>
      <c r="H125" s="59">
        <f>H121</f>
        <v>464002.56</v>
      </c>
      <c r="I125" s="60"/>
      <c r="J125" s="59">
        <f>H125+L125+N125+P125+R125+T125+V125+X125-AB125-Z125</f>
        <v>12226.467455999998</v>
      </c>
      <c r="K125" s="112"/>
      <c r="L125" s="59">
        <f>L121</f>
        <v>0</v>
      </c>
      <c r="M125" s="59"/>
      <c r="N125" s="59">
        <f>N121-N122</f>
        <v>0</v>
      </c>
      <c r="O125" s="59"/>
      <c r="P125" s="59">
        <f>P121-P123</f>
        <v>0</v>
      </c>
      <c r="Q125" s="59"/>
      <c r="R125" s="59">
        <f>R121-R123</f>
        <v>0</v>
      </c>
      <c r="S125" s="59"/>
      <c r="T125" s="59">
        <f>T121-T123</f>
        <v>0</v>
      </c>
      <c r="U125" s="59"/>
      <c r="V125" s="59">
        <f>V121</f>
        <v>0</v>
      </c>
      <c r="W125" s="59"/>
      <c r="X125" s="59">
        <f>X121-X123</f>
        <v>0</v>
      </c>
      <c r="Y125" s="59"/>
      <c r="Z125" s="59">
        <f>Z121</f>
        <v>116000.64</v>
      </c>
      <c r="AA125" s="59"/>
      <c r="AB125" s="61">
        <f>AB121</f>
        <v>335775.452544</v>
      </c>
      <c r="AC125" s="23"/>
      <c r="AD125" s="51"/>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row>
    <row r="126" spans="1:54" s="38" customFormat="1" ht="25.5" customHeight="1" x14ac:dyDescent="0.2">
      <c r="A126" s="171" t="s">
        <v>228</v>
      </c>
      <c r="B126" s="171"/>
      <c r="C126" s="171"/>
      <c r="D126" s="32"/>
      <c r="E126" s="6"/>
      <c r="F126" s="33"/>
      <c r="G126" s="34"/>
      <c r="H126" s="34"/>
      <c r="I126" s="35"/>
      <c r="J126" s="34"/>
      <c r="K126" s="109"/>
      <c r="L126" s="34"/>
      <c r="M126" s="34"/>
      <c r="N126" s="34"/>
      <c r="O126" s="34"/>
      <c r="P126" s="34"/>
      <c r="Q126" s="34"/>
      <c r="R126" s="34"/>
      <c r="S126" s="34"/>
      <c r="T126" s="34"/>
      <c r="U126" s="34"/>
      <c r="V126" s="34"/>
      <c r="W126" s="34"/>
      <c r="X126" s="34"/>
      <c r="Y126" s="34"/>
      <c r="Z126" s="18"/>
      <c r="AA126" s="18"/>
      <c r="AB126" s="18"/>
      <c r="AC126" s="149"/>
      <c r="AD126" s="36"/>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row>
    <row r="127" spans="1:54" s="38" customFormat="1" ht="69.75" customHeight="1" x14ac:dyDescent="0.2">
      <c r="A127" s="1">
        <v>1</v>
      </c>
      <c r="B127" s="142">
        <v>109230</v>
      </c>
      <c r="C127" s="143" t="s">
        <v>229</v>
      </c>
      <c r="D127" s="39" t="s">
        <v>171</v>
      </c>
      <c r="E127" s="128" t="s">
        <v>1</v>
      </c>
      <c r="F127" s="128">
        <v>543.1</v>
      </c>
      <c r="G127" s="128">
        <v>38.76</v>
      </c>
      <c r="H127" s="40">
        <f>F127*G127</f>
        <v>21050.556</v>
      </c>
      <c r="I127" s="41">
        <v>23.27</v>
      </c>
      <c r="J127" s="40">
        <f>F127*I127</f>
        <v>12637.937</v>
      </c>
      <c r="K127" s="110" t="str">
        <f>IF(D127="NF",IF(I127&gt;G127*1.25,G127*0.25,IF(I127&gt;G127,I127-G127,0)),"0")</f>
        <v>0</v>
      </c>
      <c r="L127" s="42" t="str">
        <f>IF(ISNONTEXT(K127),$F127*K127,"0")</f>
        <v>0</v>
      </c>
      <c r="M127" s="42" t="str">
        <f>IF(D127="NF",IF($K127&gt;0,IF($G127*1.25&lt;$I127,IF(($G127*1.4)&lt;$I127,$G127*0.15,$I127-($G127+$K127)),"0"),"0"),"0")</f>
        <v>0</v>
      </c>
      <c r="N127" s="42" t="str">
        <f>IF(ISNONTEXT(M127),$F127*M127,"0")</f>
        <v>0</v>
      </c>
      <c r="O127" s="42" t="str">
        <f>IF(D127="NF",IF($M127&gt;0,IF($G127*1.4&lt;$I127,IF(($G127*1.5)&lt;$I127,$G127*0.1,$I127-($G127+$K127+$M127)),"0"),"0"),"0")</f>
        <v>0</v>
      </c>
      <c r="P127" s="42" t="str">
        <f>IF(ISNONTEXT(O127),$F127*O127,"0")</f>
        <v>0</v>
      </c>
      <c r="Q127" s="42" t="str">
        <f>IF(D127="NF",IF(G127*1.5&lt;I127,I127-(G127+K127+M127+O127),"0"),"0")</f>
        <v>0</v>
      </c>
      <c r="R127" s="42" t="str">
        <f>IF(ISNONTEXT(Q127),$F127*Q127,"0")</f>
        <v>0</v>
      </c>
      <c r="S127" s="42" t="str">
        <f>IF(D127="F",IF(I127&gt;G127, I127-G127,0),"0")</f>
        <v>0</v>
      </c>
      <c r="T127" s="42">
        <f>S127*F127</f>
        <v>0</v>
      </c>
      <c r="U127" s="42">
        <f>IF(D127="m",IF(I127&gt;G127*2,G127*1,IF(I127&gt;G127,I127-G127,0)),"0")</f>
        <v>0</v>
      </c>
      <c r="V127" s="42">
        <f>U127*F127</f>
        <v>0</v>
      </c>
      <c r="W127" s="42">
        <f>IF(D127="M",IF(I127&gt;G127*2,I127-G127*2,0),"0")</f>
        <v>0</v>
      </c>
      <c r="X127" s="42">
        <f>W127*F127</f>
        <v>0</v>
      </c>
      <c r="Y127" s="42">
        <v>9.69</v>
      </c>
      <c r="Z127" s="42">
        <f>Y127*F127</f>
        <v>5262.6390000000001</v>
      </c>
      <c r="AA127" s="42">
        <v>6.04</v>
      </c>
      <c r="AB127" s="42">
        <f>AA127*F127</f>
        <v>3280.3240000000001</v>
      </c>
      <c r="AC127" s="147" t="s">
        <v>262</v>
      </c>
      <c r="AD127" s="36"/>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row>
    <row r="128" spans="1:54" s="53" customFormat="1" ht="24.95" customHeight="1" x14ac:dyDescent="0.3">
      <c r="A128" s="44"/>
      <c r="B128" s="45"/>
      <c r="C128" s="46" t="s">
        <v>6</v>
      </c>
      <c r="D128" s="47"/>
      <c r="E128" s="48"/>
      <c r="F128" s="49"/>
      <c r="G128" s="49"/>
      <c r="H128" s="49">
        <f>SUM(H127:H127)</f>
        <v>21050.556</v>
      </c>
      <c r="I128" s="50"/>
      <c r="J128" s="49">
        <f>SUM(J127:J127)</f>
        <v>12637.937</v>
      </c>
      <c r="K128" s="111"/>
      <c r="L128" s="49">
        <f>SUM(L127:L127)</f>
        <v>0</v>
      </c>
      <c r="M128" s="49"/>
      <c r="N128" s="49">
        <f>SUM(N127:N127)</f>
        <v>0</v>
      </c>
      <c r="O128" s="49"/>
      <c r="P128" s="49">
        <f>SUM(P127:P127)</f>
        <v>0</v>
      </c>
      <c r="Q128" s="49"/>
      <c r="R128" s="49">
        <f>SUM(R127:R127)</f>
        <v>0</v>
      </c>
      <c r="S128" s="49"/>
      <c r="T128" s="49">
        <f>SUM(T127:T127)</f>
        <v>0</v>
      </c>
      <c r="U128" s="49"/>
      <c r="V128" s="49">
        <f>SUM(V127:V127)</f>
        <v>0</v>
      </c>
      <c r="W128" s="49"/>
      <c r="X128" s="49">
        <f>SUM(X127:X127)</f>
        <v>0</v>
      </c>
      <c r="Y128" s="49"/>
      <c r="Z128" s="49">
        <f>SUM(Z127:Z127)</f>
        <v>5262.6390000000001</v>
      </c>
      <c r="AA128" s="49"/>
      <c r="AB128" s="49">
        <f>SUM(AB127:AB127)</f>
        <v>3280.3240000000001</v>
      </c>
      <c r="AC128" s="23"/>
      <c r="AD128" s="51"/>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row>
    <row r="129" spans="1:54" s="53" customFormat="1" ht="24.95" customHeight="1" x14ac:dyDescent="0.2">
      <c r="A129" s="44"/>
      <c r="B129" s="54"/>
      <c r="C129" s="55" t="s">
        <v>263</v>
      </c>
      <c r="D129" s="47"/>
      <c r="E129" s="48"/>
      <c r="F129" s="49"/>
      <c r="G129" s="49"/>
      <c r="H129" s="49">
        <f>H128*25/100</f>
        <v>5262.6390000000001</v>
      </c>
      <c r="I129" s="50"/>
      <c r="J129" s="49">
        <f>J128*25/100</f>
        <v>3159.48425</v>
      </c>
      <c r="K129" s="111"/>
      <c r="L129" s="49">
        <f>L128*8/100</f>
        <v>0</v>
      </c>
      <c r="M129" s="49"/>
      <c r="N129" s="49">
        <f>N128*8/100</f>
        <v>0</v>
      </c>
      <c r="O129" s="49"/>
      <c r="P129" s="49">
        <f>P128*8/100</f>
        <v>0</v>
      </c>
      <c r="Q129" s="49"/>
      <c r="R129" s="49">
        <f>R128*8/100</f>
        <v>0</v>
      </c>
      <c r="S129" s="49"/>
      <c r="T129" s="49">
        <f>T128*8/100</f>
        <v>0</v>
      </c>
      <c r="U129" s="49"/>
      <c r="V129" s="49">
        <f>V128*8/100</f>
        <v>0</v>
      </c>
      <c r="W129" s="49"/>
      <c r="X129" s="49">
        <f>X128*8/100</f>
        <v>0</v>
      </c>
      <c r="Y129" s="49"/>
      <c r="Z129" s="49">
        <f>Z128*25/100</f>
        <v>1315.65975</v>
      </c>
      <c r="AA129" s="49"/>
      <c r="AB129" s="49">
        <f>AB128*25/100</f>
        <v>820.08100000000002</v>
      </c>
      <c r="AC129" s="23"/>
      <c r="AD129" s="51"/>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row>
    <row r="130" spans="1:54" s="53" customFormat="1" ht="24.95" customHeight="1" x14ac:dyDescent="0.2">
      <c r="A130" s="44"/>
      <c r="B130" s="32"/>
      <c r="C130" s="55" t="s">
        <v>100</v>
      </c>
      <c r="D130" s="47"/>
      <c r="E130" s="48"/>
      <c r="F130" s="49"/>
      <c r="G130" s="49"/>
      <c r="H130" s="49">
        <f>H128+H129</f>
        <v>26313.195</v>
      </c>
      <c r="I130" s="50"/>
      <c r="J130" s="49">
        <f>J128+J129</f>
        <v>15797.421249999999</v>
      </c>
      <c r="K130" s="111"/>
      <c r="L130" s="49">
        <f>L128+L129</f>
        <v>0</v>
      </c>
      <c r="M130" s="49"/>
      <c r="N130" s="49">
        <f>N128+N129</f>
        <v>0</v>
      </c>
      <c r="O130" s="49"/>
      <c r="P130" s="49">
        <f>P128+P129</f>
        <v>0</v>
      </c>
      <c r="Q130" s="49"/>
      <c r="R130" s="49">
        <f>R128+R129</f>
        <v>0</v>
      </c>
      <c r="S130" s="49"/>
      <c r="T130" s="49">
        <f>T128+T129</f>
        <v>0</v>
      </c>
      <c r="U130" s="49"/>
      <c r="V130" s="49">
        <f>V128+V129</f>
        <v>0</v>
      </c>
      <c r="W130" s="49"/>
      <c r="X130" s="49">
        <f>X128+X129</f>
        <v>0</v>
      </c>
      <c r="Y130" s="49"/>
      <c r="Z130" s="49">
        <f>Z128+Z129</f>
        <v>6578.2987499999999</v>
      </c>
      <c r="AA130" s="49"/>
      <c r="AB130" s="49">
        <f>AB128+AB129</f>
        <v>4100.4049999999997</v>
      </c>
      <c r="AC130" s="23"/>
      <c r="AD130" s="51"/>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row>
    <row r="131" spans="1:54" s="53" customFormat="1" ht="24.95" customHeight="1" x14ac:dyDescent="0.2">
      <c r="A131" s="44"/>
      <c r="B131" s="32"/>
      <c r="C131" s="55" t="s">
        <v>42</v>
      </c>
      <c r="D131" s="56"/>
      <c r="E131" s="57"/>
      <c r="F131" s="58"/>
      <c r="G131" s="58"/>
      <c r="H131" s="59"/>
      <c r="I131" s="60"/>
      <c r="J131" s="59">
        <f>N131+P132+R132+X132</f>
        <v>0</v>
      </c>
      <c r="K131" s="112"/>
      <c r="L131" s="59"/>
      <c r="M131" s="59"/>
      <c r="N131" s="59">
        <f>N130*2/100</f>
        <v>0</v>
      </c>
      <c r="O131" s="59"/>
      <c r="P131" s="59"/>
      <c r="Q131" s="59"/>
      <c r="R131" s="59"/>
      <c r="S131" s="59"/>
      <c r="T131" s="59"/>
      <c r="U131" s="59"/>
      <c r="V131" s="59"/>
      <c r="W131" s="59"/>
      <c r="X131" s="59"/>
      <c r="Y131" s="59"/>
      <c r="Z131" s="59"/>
      <c r="AA131" s="59"/>
      <c r="AB131" s="61"/>
      <c r="AC131" s="23"/>
      <c r="AD131" s="51"/>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row>
    <row r="132" spans="1:54" s="53" customFormat="1" ht="24.95" customHeight="1" x14ac:dyDescent="0.2">
      <c r="A132" s="44"/>
      <c r="B132" s="32"/>
      <c r="C132" s="55" t="s">
        <v>43</v>
      </c>
      <c r="D132" s="56"/>
      <c r="E132" s="57"/>
      <c r="F132" s="58"/>
      <c r="G132" s="58"/>
      <c r="H132" s="59"/>
      <c r="I132" s="60"/>
      <c r="J132" s="59"/>
      <c r="K132" s="112"/>
      <c r="L132" s="59"/>
      <c r="M132" s="59"/>
      <c r="N132" s="59"/>
      <c r="O132" s="59"/>
      <c r="P132" s="59">
        <f>P130*4/100</f>
        <v>0</v>
      </c>
      <c r="Q132" s="59"/>
      <c r="R132" s="59">
        <f>R130*4/100</f>
        <v>0</v>
      </c>
      <c r="S132" s="59"/>
      <c r="T132" s="59"/>
      <c r="U132" s="59"/>
      <c r="V132" s="59"/>
      <c r="W132" s="59"/>
      <c r="X132" s="59">
        <f>X130*4/100</f>
        <v>0</v>
      </c>
      <c r="Y132" s="59"/>
      <c r="Z132" s="59"/>
      <c r="AA132" s="59"/>
      <c r="AB132" s="61"/>
      <c r="AC132" s="23"/>
      <c r="AD132" s="51"/>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row>
    <row r="133" spans="1:54" s="53" customFormat="1" ht="24.95" customHeight="1" x14ac:dyDescent="0.2">
      <c r="A133" s="44"/>
      <c r="B133" s="32"/>
      <c r="C133" s="55"/>
      <c r="D133" s="56"/>
      <c r="E133" s="57"/>
      <c r="F133" s="58"/>
      <c r="G133" s="62" t="s">
        <v>44</v>
      </c>
      <c r="H133" s="59"/>
      <c r="I133" s="60"/>
      <c r="J133" s="59">
        <f>J130-J131</f>
        <v>15797.421249999999</v>
      </c>
      <c r="K133" s="112"/>
      <c r="L133" s="59"/>
      <c r="M133" s="59"/>
      <c r="N133" s="59"/>
      <c r="O133" s="59"/>
      <c r="P133" s="59"/>
      <c r="Q133" s="59"/>
      <c r="R133" s="59"/>
      <c r="S133" s="59"/>
      <c r="T133" s="59"/>
      <c r="U133" s="59"/>
      <c r="V133" s="59"/>
      <c r="W133" s="59"/>
      <c r="X133" s="59"/>
      <c r="Y133" s="59"/>
      <c r="Z133" s="59"/>
      <c r="AA133" s="59"/>
      <c r="AB133" s="61"/>
      <c r="AC133" s="23"/>
      <c r="AD133" s="51"/>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row>
    <row r="134" spans="1:54" s="53" customFormat="1" ht="24.95" customHeight="1" x14ac:dyDescent="0.2">
      <c r="A134" s="44"/>
      <c r="B134" s="32"/>
      <c r="C134" s="55" t="s">
        <v>116</v>
      </c>
      <c r="D134" s="56"/>
      <c r="E134" s="57"/>
      <c r="F134" s="58"/>
      <c r="G134" s="58"/>
      <c r="H134" s="59">
        <f>H130</f>
        <v>26313.195</v>
      </c>
      <c r="I134" s="60"/>
      <c r="J134" s="59">
        <f>H134+L134+N134+P134+R134+T134+V134+X134-AB134-Z134</f>
        <v>15634.491250000001</v>
      </c>
      <c r="K134" s="112"/>
      <c r="L134" s="59">
        <f>L130</f>
        <v>0</v>
      </c>
      <c r="M134" s="59"/>
      <c r="N134" s="59">
        <f>N130-N131</f>
        <v>0</v>
      </c>
      <c r="O134" s="59"/>
      <c r="P134" s="59">
        <f>P130-P132</f>
        <v>0</v>
      </c>
      <c r="Q134" s="59"/>
      <c r="R134" s="59">
        <f>R130-R132</f>
        <v>0</v>
      </c>
      <c r="S134" s="59"/>
      <c r="T134" s="59">
        <f>T130-T132</f>
        <v>0</v>
      </c>
      <c r="U134" s="59"/>
      <c r="V134" s="59">
        <f>V130</f>
        <v>0</v>
      </c>
      <c r="W134" s="59"/>
      <c r="X134" s="59">
        <f>X130-X132</f>
        <v>0</v>
      </c>
      <c r="Y134" s="59"/>
      <c r="Z134" s="59">
        <f>Z130</f>
        <v>6578.2987499999999</v>
      </c>
      <c r="AA134" s="59"/>
      <c r="AB134" s="61">
        <f>AB130</f>
        <v>4100.4049999999997</v>
      </c>
      <c r="AC134" s="23"/>
      <c r="AD134" s="51"/>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row>
    <row r="135" spans="1:54" s="38" customFormat="1" ht="25.5" customHeight="1" x14ac:dyDescent="0.2">
      <c r="A135" s="171" t="s">
        <v>230</v>
      </c>
      <c r="B135" s="171"/>
      <c r="C135" s="171"/>
      <c r="D135" s="32"/>
      <c r="E135" s="6"/>
      <c r="F135" s="33"/>
      <c r="G135" s="34"/>
      <c r="H135" s="34"/>
      <c r="I135" s="35"/>
      <c r="J135" s="34"/>
      <c r="K135" s="109"/>
      <c r="L135" s="34"/>
      <c r="M135" s="34"/>
      <c r="N135" s="34"/>
      <c r="O135" s="34"/>
      <c r="P135" s="34"/>
      <c r="Q135" s="34"/>
      <c r="R135" s="34"/>
      <c r="S135" s="34"/>
      <c r="T135" s="34"/>
      <c r="U135" s="34"/>
      <c r="V135" s="34"/>
      <c r="W135" s="34"/>
      <c r="X135" s="34"/>
      <c r="Y135" s="34"/>
      <c r="Z135" s="18"/>
      <c r="AA135" s="18"/>
      <c r="AB135" s="18"/>
      <c r="AC135" s="149"/>
      <c r="AD135" s="36"/>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row>
    <row r="136" spans="1:54" s="38" customFormat="1" ht="82.5" x14ac:dyDescent="0.2">
      <c r="A136" s="1">
        <v>1</v>
      </c>
      <c r="B136" s="144">
        <v>171731</v>
      </c>
      <c r="C136" s="159" t="s">
        <v>231</v>
      </c>
      <c r="D136" s="39" t="s">
        <v>171</v>
      </c>
      <c r="E136" s="128" t="s">
        <v>243</v>
      </c>
      <c r="F136" s="128">
        <v>379.9</v>
      </c>
      <c r="G136" s="128">
        <v>60</v>
      </c>
      <c r="H136" s="40">
        <f>F136*G136</f>
        <v>22794</v>
      </c>
      <c r="I136" s="41">
        <v>91</v>
      </c>
      <c r="J136" s="40">
        <f>F136*I136</f>
        <v>34570.9</v>
      </c>
      <c r="K136" s="110" t="str">
        <f>IF(D136="NF",IF(I136&gt;G136*1.25,G136*0.25,IF(I136&gt;G136,I136-G136,0)),"0")</f>
        <v>0</v>
      </c>
      <c r="L136" s="42" t="str">
        <f>IF(ISNONTEXT(K136),$F136*K136,"0")</f>
        <v>0</v>
      </c>
      <c r="M136" s="42" t="str">
        <f>IF(D136="NF",IF($K136&gt;0,IF($G136*1.25&lt;$I136,IF(($G136*1.4)&lt;$I136,$G136*0.15,$I136-($G136+$K136)),"0"),"0"),"0")</f>
        <v>0</v>
      </c>
      <c r="N136" s="42" t="str">
        <f>IF(ISNONTEXT(M136),$F136*M136,"0")</f>
        <v>0</v>
      </c>
      <c r="O136" s="42" t="str">
        <f>IF(D136="NF",IF($M136&gt;0,IF($G136*1.4&lt;$I136,IF(($G136*1.5)&lt;$I136,$G136*0.1,$I136-($G136+$K136+$M136)),"0"),"0"),"0")</f>
        <v>0</v>
      </c>
      <c r="P136" s="42" t="str">
        <f>IF(ISNONTEXT(O136),$F136*O136,"0")</f>
        <v>0</v>
      </c>
      <c r="Q136" s="42" t="str">
        <f>IF(D136="NF",IF(G136*1.5&lt;I136,I136-(G136+K136+M136+O136),"0"),"0")</f>
        <v>0</v>
      </c>
      <c r="R136" s="42" t="str">
        <f>IF(ISNONTEXT(Q136),$F136*Q136,"0")</f>
        <v>0</v>
      </c>
      <c r="S136" s="42" t="str">
        <f>IF(D136="F",IF(I136&gt;G136, I136-G136,0),"0")</f>
        <v>0</v>
      </c>
      <c r="T136" s="42">
        <f>S136*F136</f>
        <v>0</v>
      </c>
      <c r="U136" s="42">
        <f>IF(D136="m",IF(I136&gt;G136*2,G136*1,IF(I136&gt;G136,I136-G136,0)),"0")</f>
        <v>31</v>
      </c>
      <c r="V136" s="42">
        <f>U136*F136</f>
        <v>11776.9</v>
      </c>
      <c r="W136" s="42">
        <f>IF(D136="M",IF(I136&gt;G136*2,I136-G136*2,0),"0")</f>
        <v>0</v>
      </c>
      <c r="X136" s="42">
        <f>W136*F136</f>
        <v>0</v>
      </c>
      <c r="Y136" s="42">
        <v>0</v>
      </c>
      <c r="Z136" s="42">
        <f>Y136*F136</f>
        <v>0</v>
      </c>
      <c r="AA136" s="42">
        <v>0</v>
      </c>
      <c r="AB136" s="42">
        <f>AA136*F136</f>
        <v>0</v>
      </c>
      <c r="AC136" s="147" t="s">
        <v>137</v>
      </c>
      <c r="AD136" s="36"/>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row>
    <row r="137" spans="1:54" s="38" customFormat="1" ht="65.25" customHeight="1" x14ac:dyDescent="0.2">
      <c r="A137" s="1">
        <v>2</v>
      </c>
      <c r="B137" s="144">
        <v>135052</v>
      </c>
      <c r="C137" s="159" t="s">
        <v>232</v>
      </c>
      <c r="D137" s="39" t="s">
        <v>17</v>
      </c>
      <c r="E137" s="128" t="s">
        <v>242</v>
      </c>
      <c r="F137" s="128">
        <v>1223.33</v>
      </c>
      <c r="G137" s="128">
        <v>782</v>
      </c>
      <c r="H137" s="40">
        <f>F137*G137</f>
        <v>956644.05999999994</v>
      </c>
      <c r="I137" s="41">
        <v>783.95</v>
      </c>
      <c r="J137" s="40">
        <f>F137*I137</f>
        <v>959029.55350000004</v>
      </c>
      <c r="K137" s="110">
        <f>IF(D137="NF",IF(I137&gt;G137*1.25,G137*0.25,IF(I137&gt;G137,I137-G137,0)),"0")</f>
        <v>1.9500000000000455</v>
      </c>
      <c r="L137" s="42">
        <f>IF(ISNONTEXT(K137),$F137*K137,"0")</f>
        <v>2385.4935000000555</v>
      </c>
      <c r="M137" s="42" t="str">
        <f>IF(D137="NF",IF($K137&gt;0,IF($G137*1.25&lt;$I137,IF(($G137*1.4)&lt;$I137,$G137*0.15,$I137-($G137+$K137)),"0"),"0"),"0")</f>
        <v>0</v>
      </c>
      <c r="N137" s="42" t="str">
        <f>IF(ISNONTEXT(M137),$F137*M137,"0")</f>
        <v>0</v>
      </c>
      <c r="O137" s="42" t="str">
        <f>IF(D137="NF",IF($M137&gt;0,IF($G137*1.4&lt;$I137,IF(($G137*1.5)&lt;$I137,$G137*0.1,$I137-($G137+$K137+$M137)),"0"),"0"),"0")</f>
        <v>0</v>
      </c>
      <c r="P137" s="42" t="str">
        <f>IF(ISNONTEXT(O137),$F137*O137,"0")</f>
        <v>0</v>
      </c>
      <c r="Q137" s="42" t="str">
        <f>IF(D137="NF",IF(G137*1.5&lt;I137,I137-(G137+K137+M137+O137),"0"),"0")</f>
        <v>0</v>
      </c>
      <c r="R137" s="42" t="str">
        <f>IF(ISNONTEXT(Q137),$F137*Q137,"0")</f>
        <v>0</v>
      </c>
      <c r="S137" s="42" t="str">
        <f>IF(D137="F",IF(I137&gt;G137, I137-G137,0),"0")</f>
        <v>0</v>
      </c>
      <c r="T137" s="42">
        <f>S137*F137</f>
        <v>0</v>
      </c>
      <c r="U137" s="42" t="str">
        <f>IF(D137="m",IF(I137&gt;G137*2,G137*1,IF(I137&gt;G137,I137-G137,0)),"0")</f>
        <v>0</v>
      </c>
      <c r="V137" s="42">
        <f>U137*F137</f>
        <v>0</v>
      </c>
      <c r="W137" s="42" t="str">
        <f>IF(D137="M",IF(I137&gt;G137*2,I137-G137*2,0),"0")</f>
        <v>0</v>
      </c>
      <c r="X137" s="42">
        <f>W137*F137</f>
        <v>0</v>
      </c>
      <c r="Y137" s="42">
        <v>0</v>
      </c>
      <c r="Z137" s="42">
        <f>Y137*F137</f>
        <v>0</v>
      </c>
      <c r="AA137" s="42">
        <v>0</v>
      </c>
      <c r="AB137" s="42">
        <f>AA137*F137</f>
        <v>0</v>
      </c>
      <c r="AC137" s="147" t="s">
        <v>137</v>
      </c>
      <c r="AD137" s="36"/>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row>
    <row r="138" spans="1:54" s="38" customFormat="1" ht="63" customHeight="1" x14ac:dyDescent="0.2">
      <c r="A138" s="1">
        <v>3</v>
      </c>
      <c r="B138" s="145">
        <v>135072</v>
      </c>
      <c r="C138" s="160" t="s">
        <v>233</v>
      </c>
      <c r="D138" s="39" t="s">
        <v>17</v>
      </c>
      <c r="E138" s="128" t="s">
        <v>10</v>
      </c>
      <c r="F138" s="128">
        <v>2580.3200000000002</v>
      </c>
      <c r="G138" s="128">
        <v>350</v>
      </c>
      <c r="H138" s="40">
        <f>F138*G138</f>
        <v>903112</v>
      </c>
      <c r="I138" s="41">
        <v>350</v>
      </c>
      <c r="J138" s="40">
        <f>F138*I138</f>
        <v>903112</v>
      </c>
      <c r="K138" s="110">
        <f>IF(D138="NF",IF(I138&gt;G138*1.25,G138*0.25,IF(I138&gt;G138,I138-G138,0)),"0")</f>
        <v>0</v>
      </c>
      <c r="L138" s="42">
        <f>IF(ISNONTEXT(K138),$F138*K138,"0")</f>
        <v>0</v>
      </c>
      <c r="M138" s="42" t="str">
        <f>IF(D138="NF",IF($K138&gt;0,IF($G138*1.25&lt;$I138,IF(($G138*1.4)&lt;$I138,$G138*0.15,$I138-($G138+$K138)),"0"),"0"),"0")</f>
        <v>0</v>
      </c>
      <c r="N138" s="42" t="str">
        <f>IF(ISNONTEXT(M138),$F138*M138,"0")</f>
        <v>0</v>
      </c>
      <c r="O138" s="42" t="str">
        <f>IF(D138="NF",IF($M138&gt;0,IF($G138*1.4&lt;$I138,IF(($G138*1.5)&lt;$I138,$G138*0.1,$I138-($G138+$K138+$M138)),"0"),"0"),"0")</f>
        <v>0</v>
      </c>
      <c r="P138" s="42" t="str">
        <f>IF(ISNONTEXT(O138),$F138*O138,"0")</f>
        <v>0</v>
      </c>
      <c r="Q138" s="42" t="str">
        <f>IF(D138="NF",IF(G138*1.5&lt;I138,I138-(G138+K138+M138+O138),"0"),"0")</f>
        <v>0</v>
      </c>
      <c r="R138" s="42" t="str">
        <f>IF(ISNONTEXT(Q138),$F138*Q138,"0")</f>
        <v>0</v>
      </c>
      <c r="S138" s="42" t="str">
        <f>IF(D138="F",IF(I138&gt;G138, I138-G138,0),"0")</f>
        <v>0</v>
      </c>
      <c r="T138" s="42">
        <f>S138*F138</f>
        <v>0</v>
      </c>
      <c r="U138" s="42" t="str">
        <f>IF(D138="m",IF(I138&gt;G138*2,G138*1,IF(I138&gt;G138,I138-G138,0)),"0")</f>
        <v>0</v>
      </c>
      <c r="V138" s="42">
        <f>U138*F138</f>
        <v>0</v>
      </c>
      <c r="W138" s="42" t="str">
        <f>IF(D138="M",IF(I138&gt;G138*2,I138-G138*2,0),"0")</f>
        <v>0</v>
      </c>
      <c r="X138" s="42">
        <f>W138*F138</f>
        <v>0</v>
      </c>
      <c r="Y138" s="42">
        <v>0</v>
      </c>
      <c r="Z138" s="42">
        <f>Y138*F138</f>
        <v>0</v>
      </c>
      <c r="AA138" s="42">
        <v>0</v>
      </c>
      <c r="AB138" s="42">
        <f>AA138*F138</f>
        <v>0</v>
      </c>
      <c r="AC138" s="147" t="s">
        <v>137</v>
      </c>
      <c r="AD138" s="36"/>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row>
    <row r="139" spans="1:54" s="38" customFormat="1" ht="63" customHeight="1" x14ac:dyDescent="0.2">
      <c r="A139" s="1">
        <v>4</v>
      </c>
      <c r="B139" s="145">
        <v>135082</v>
      </c>
      <c r="C139" s="159" t="s">
        <v>234</v>
      </c>
      <c r="D139" s="39" t="s">
        <v>171</v>
      </c>
      <c r="E139" s="128" t="s">
        <v>10</v>
      </c>
      <c r="F139" s="128">
        <v>330</v>
      </c>
      <c r="G139" s="128">
        <v>50</v>
      </c>
      <c r="H139" s="40">
        <f>F139*G139</f>
        <v>16500</v>
      </c>
      <c r="I139" s="41">
        <v>96</v>
      </c>
      <c r="J139" s="40">
        <f>F139*I139</f>
        <v>31680</v>
      </c>
      <c r="K139" s="110" t="str">
        <f>IF(D139="NF",IF(I139&gt;G139*1.25,G139*0.25,IF(I139&gt;G139,I139-G139,0)),"0")</f>
        <v>0</v>
      </c>
      <c r="L139" s="42" t="str">
        <f>IF(ISNONTEXT(K139),$F139*K139,"0")</f>
        <v>0</v>
      </c>
      <c r="M139" s="42" t="str">
        <f>IF(D139="NF",IF($K139&gt;0,IF($G139*1.25&lt;$I139,IF(($G139*1.4)&lt;$I139,$G139*0.15,$I139-($G139+$K139)),"0"),"0"),"0")</f>
        <v>0</v>
      </c>
      <c r="N139" s="42" t="str">
        <f>IF(ISNONTEXT(M139),$F139*M139,"0")</f>
        <v>0</v>
      </c>
      <c r="O139" s="42" t="str">
        <f>IF(D139="NF",IF($M139&gt;0,IF($G139*1.4&lt;$I139,IF(($G139*1.5)&lt;$I139,$G139*0.1,$I139-($G139+$K139+$M139)),"0"),"0"),"0")</f>
        <v>0</v>
      </c>
      <c r="P139" s="42" t="str">
        <f>IF(ISNONTEXT(O139),$F139*O139,"0")</f>
        <v>0</v>
      </c>
      <c r="Q139" s="42" t="str">
        <f>IF(D139="NF",IF(G139*1.5&lt;I139,I139-(G139+K139+M139+O139),"0"),"0")</f>
        <v>0</v>
      </c>
      <c r="R139" s="42" t="str">
        <f>IF(ISNONTEXT(Q139),$F139*Q139,"0")</f>
        <v>0</v>
      </c>
      <c r="S139" s="42" t="str">
        <f>IF(D139="F",IF(I139&gt;G139, I139-G139,0),"0")</f>
        <v>0</v>
      </c>
      <c r="T139" s="42">
        <f>S139*F139</f>
        <v>0</v>
      </c>
      <c r="U139" s="42">
        <f>IF(D139="m",IF(I139&gt;G139*2,G139*1,IF(I139&gt;G139,I139-G139,0)),"0")</f>
        <v>46</v>
      </c>
      <c r="V139" s="42">
        <f>U139*F139</f>
        <v>15180</v>
      </c>
      <c r="W139" s="42">
        <f>IF(D139="M",IF(I139&gt;G139*2,I139-G139*2,0),"0")</f>
        <v>0</v>
      </c>
      <c r="X139" s="42">
        <f>W139*F139</f>
        <v>0</v>
      </c>
      <c r="Y139" s="42">
        <v>0</v>
      </c>
      <c r="Z139" s="42">
        <f>Y139*F139</f>
        <v>0</v>
      </c>
      <c r="AA139" s="42">
        <v>0</v>
      </c>
      <c r="AB139" s="42">
        <f>AA139*F139</f>
        <v>0</v>
      </c>
      <c r="AC139" s="147" t="s">
        <v>138</v>
      </c>
      <c r="AD139" s="36"/>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row>
    <row r="140" spans="1:54" s="53" customFormat="1" ht="24.95" customHeight="1" x14ac:dyDescent="0.3">
      <c r="A140" s="44"/>
      <c r="B140" s="45"/>
      <c r="C140" s="46" t="s">
        <v>6</v>
      </c>
      <c r="D140" s="47"/>
      <c r="E140" s="48"/>
      <c r="F140" s="49"/>
      <c r="G140" s="49"/>
      <c r="H140" s="49">
        <f>SUM(H136:H139)</f>
        <v>1899050.06</v>
      </c>
      <c r="I140" s="50"/>
      <c r="J140" s="49">
        <f>SUM(J136:J139)</f>
        <v>1928392.4535000001</v>
      </c>
      <c r="K140" s="111"/>
      <c r="L140" s="49">
        <f>SUM(L136:L139)</f>
        <v>2385.4935000000555</v>
      </c>
      <c r="M140" s="49"/>
      <c r="N140" s="49">
        <f>SUM(N136:N139)</f>
        <v>0</v>
      </c>
      <c r="O140" s="49"/>
      <c r="P140" s="49">
        <f>SUM(P136:P139)</f>
        <v>0</v>
      </c>
      <c r="Q140" s="49"/>
      <c r="R140" s="49">
        <f>SUM(R136:R139)</f>
        <v>0</v>
      </c>
      <c r="S140" s="49"/>
      <c r="T140" s="49">
        <f>SUM(T136:T139)</f>
        <v>0</v>
      </c>
      <c r="U140" s="49"/>
      <c r="V140" s="49">
        <f>SUM(V136:V139)</f>
        <v>26956.9</v>
      </c>
      <c r="W140" s="49"/>
      <c r="X140" s="49">
        <f>SUM(X136:X139)</f>
        <v>0</v>
      </c>
      <c r="Y140" s="49"/>
      <c r="Z140" s="49">
        <f>SUM(Z136:Z139)</f>
        <v>0</v>
      </c>
      <c r="AA140" s="49"/>
      <c r="AB140" s="49">
        <f>SUM(AB136:AB139)</f>
        <v>0</v>
      </c>
      <c r="AC140" s="23"/>
      <c r="AD140" s="51"/>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row>
    <row r="141" spans="1:54" s="53" customFormat="1" ht="24.95" customHeight="1" x14ac:dyDescent="0.2">
      <c r="A141" s="44"/>
      <c r="B141" s="54"/>
      <c r="C141" s="55" t="s">
        <v>264</v>
      </c>
      <c r="D141" s="47"/>
      <c r="E141" s="48"/>
      <c r="F141" s="49"/>
      <c r="G141" s="49"/>
      <c r="H141" s="49">
        <f>H140*18/100</f>
        <v>341829.01079999999</v>
      </c>
      <c r="I141" s="50"/>
      <c r="J141" s="49">
        <f>J140*18/100</f>
        <v>347110.64163000003</v>
      </c>
      <c r="K141" s="111"/>
      <c r="L141" s="49">
        <f>L140*18/100</f>
        <v>429.38883000000999</v>
      </c>
      <c r="M141" s="49"/>
      <c r="N141" s="49">
        <f>N140*17/100</f>
        <v>0</v>
      </c>
      <c r="O141" s="49"/>
      <c r="P141" s="49">
        <f>P140*17/100</f>
        <v>0</v>
      </c>
      <c r="Q141" s="49"/>
      <c r="R141" s="49">
        <f>R140*17/100</f>
        <v>0</v>
      </c>
      <c r="S141" s="49"/>
      <c r="T141" s="49">
        <f>T140*17/100</f>
        <v>0</v>
      </c>
      <c r="U141" s="49"/>
      <c r="V141" s="49">
        <f>V140*18/100</f>
        <v>4852.2420000000002</v>
      </c>
      <c r="W141" s="49"/>
      <c r="X141" s="49">
        <f>X140*17/100</f>
        <v>0</v>
      </c>
      <c r="Y141" s="49"/>
      <c r="Z141" s="49">
        <f>Z140*17/100</f>
        <v>0</v>
      </c>
      <c r="AA141" s="49"/>
      <c r="AB141" s="49">
        <f>AB140*17/100</f>
        <v>0</v>
      </c>
      <c r="AC141" s="23"/>
      <c r="AD141" s="51"/>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row>
    <row r="142" spans="1:54" s="53" customFormat="1" ht="24.95" customHeight="1" x14ac:dyDescent="0.2">
      <c r="A142" s="44"/>
      <c r="B142" s="32"/>
      <c r="C142" s="55" t="s">
        <v>100</v>
      </c>
      <c r="D142" s="47"/>
      <c r="E142" s="48"/>
      <c r="F142" s="49"/>
      <c r="G142" s="49"/>
      <c r="H142" s="49">
        <f>H140+H141</f>
        <v>2240879.0707999999</v>
      </c>
      <c r="I142" s="50"/>
      <c r="J142" s="49">
        <f>J140+J141</f>
        <v>2275503.0951300003</v>
      </c>
      <c r="K142" s="111"/>
      <c r="L142" s="49">
        <f>L140+L141</f>
        <v>2814.8823300000654</v>
      </c>
      <c r="M142" s="49"/>
      <c r="N142" s="49">
        <f>N140+N141</f>
        <v>0</v>
      </c>
      <c r="O142" s="49"/>
      <c r="P142" s="49">
        <f>P140+P141</f>
        <v>0</v>
      </c>
      <c r="Q142" s="49"/>
      <c r="R142" s="49">
        <f>R140+R141</f>
        <v>0</v>
      </c>
      <c r="S142" s="49"/>
      <c r="T142" s="49">
        <f>T140+T141</f>
        <v>0</v>
      </c>
      <c r="U142" s="49"/>
      <c r="V142" s="49">
        <f>V140+V141</f>
        <v>31809.142</v>
      </c>
      <c r="W142" s="49"/>
      <c r="X142" s="49">
        <f>X140+X141</f>
        <v>0</v>
      </c>
      <c r="Y142" s="49"/>
      <c r="Z142" s="49">
        <f>Z140+Z141</f>
        <v>0</v>
      </c>
      <c r="AA142" s="49"/>
      <c r="AB142" s="49">
        <f>AB140+AB141</f>
        <v>0</v>
      </c>
      <c r="AC142" s="23"/>
      <c r="AD142" s="51"/>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row>
    <row r="143" spans="1:54" s="53" customFormat="1" ht="24.95" customHeight="1" x14ac:dyDescent="0.2">
      <c r="A143" s="44"/>
      <c r="B143" s="32"/>
      <c r="C143" s="55" t="s">
        <v>42</v>
      </c>
      <c r="D143" s="56"/>
      <c r="E143" s="57"/>
      <c r="F143" s="58"/>
      <c r="G143" s="58"/>
      <c r="H143" s="59"/>
      <c r="I143" s="60"/>
      <c r="J143" s="59">
        <f>N143+P144+R144+X144</f>
        <v>0</v>
      </c>
      <c r="K143" s="112"/>
      <c r="L143" s="59"/>
      <c r="M143" s="59"/>
      <c r="N143" s="59">
        <f>N142*2/100</f>
        <v>0</v>
      </c>
      <c r="O143" s="59"/>
      <c r="P143" s="59"/>
      <c r="Q143" s="59"/>
      <c r="R143" s="59"/>
      <c r="S143" s="59"/>
      <c r="T143" s="59"/>
      <c r="U143" s="59"/>
      <c r="V143" s="59"/>
      <c r="W143" s="59"/>
      <c r="X143" s="59"/>
      <c r="Y143" s="59"/>
      <c r="Z143" s="59"/>
      <c r="AA143" s="59"/>
      <c r="AB143" s="61"/>
      <c r="AC143" s="23"/>
      <c r="AD143" s="51"/>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row>
    <row r="144" spans="1:54" s="53" customFormat="1" ht="24.95" customHeight="1" x14ac:dyDescent="0.2">
      <c r="A144" s="44"/>
      <c r="B144" s="32"/>
      <c r="C144" s="55" t="s">
        <v>43</v>
      </c>
      <c r="D144" s="56"/>
      <c r="E144" s="57"/>
      <c r="F144" s="58"/>
      <c r="G144" s="58"/>
      <c r="H144" s="59"/>
      <c r="I144" s="60"/>
      <c r="J144" s="59"/>
      <c r="K144" s="112"/>
      <c r="L144" s="59"/>
      <c r="M144" s="59"/>
      <c r="N144" s="59"/>
      <c r="O144" s="59"/>
      <c r="P144" s="59">
        <f>P142*4/100</f>
        <v>0</v>
      </c>
      <c r="Q144" s="59"/>
      <c r="R144" s="59">
        <f>R142*4/100</f>
        <v>0</v>
      </c>
      <c r="S144" s="59"/>
      <c r="T144" s="59"/>
      <c r="U144" s="59"/>
      <c r="V144" s="59"/>
      <c r="W144" s="59"/>
      <c r="X144" s="59">
        <f>X142*4/100</f>
        <v>0</v>
      </c>
      <c r="Y144" s="59"/>
      <c r="Z144" s="59"/>
      <c r="AA144" s="59"/>
      <c r="AB144" s="61"/>
      <c r="AC144" s="23"/>
      <c r="AD144" s="51"/>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row>
    <row r="145" spans="1:54" s="53" customFormat="1" ht="24.95" customHeight="1" x14ac:dyDescent="0.2">
      <c r="A145" s="44"/>
      <c r="B145" s="32"/>
      <c r="C145" s="55"/>
      <c r="D145" s="56"/>
      <c r="E145" s="57"/>
      <c r="F145" s="58"/>
      <c r="G145" s="62" t="s">
        <v>44</v>
      </c>
      <c r="H145" s="59"/>
      <c r="I145" s="60"/>
      <c r="J145" s="59">
        <f>J142-J143</f>
        <v>2275503.0951300003</v>
      </c>
      <c r="K145" s="112"/>
      <c r="L145" s="59"/>
      <c r="M145" s="59"/>
      <c r="N145" s="59"/>
      <c r="O145" s="59"/>
      <c r="P145" s="59"/>
      <c r="Q145" s="59"/>
      <c r="R145" s="59"/>
      <c r="S145" s="59"/>
      <c r="T145" s="59"/>
      <c r="U145" s="59"/>
      <c r="V145" s="59"/>
      <c r="W145" s="59"/>
      <c r="X145" s="59"/>
      <c r="Y145" s="59"/>
      <c r="Z145" s="59"/>
      <c r="AA145" s="59"/>
      <c r="AB145" s="61"/>
      <c r="AC145" s="23"/>
      <c r="AD145" s="51"/>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row>
    <row r="146" spans="1:54" s="53" customFormat="1" ht="24.95" customHeight="1" x14ac:dyDescent="0.2">
      <c r="A146" s="44"/>
      <c r="B146" s="32"/>
      <c r="C146" s="55" t="s">
        <v>117</v>
      </c>
      <c r="D146" s="56"/>
      <c r="E146" s="57"/>
      <c r="F146" s="58"/>
      <c r="G146" s="58"/>
      <c r="H146" s="59">
        <f>H142</f>
        <v>2240879.0707999999</v>
      </c>
      <c r="I146" s="60"/>
      <c r="J146" s="59">
        <f>H146+L146+N146+P146+R146+T146+V146+X146-AB146-Z146</f>
        <v>2275503.0951299998</v>
      </c>
      <c r="K146" s="112"/>
      <c r="L146" s="59">
        <f>L142</f>
        <v>2814.8823300000654</v>
      </c>
      <c r="M146" s="59"/>
      <c r="N146" s="59">
        <f>N142-N143</f>
        <v>0</v>
      </c>
      <c r="O146" s="59"/>
      <c r="P146" s="59">
        <f>P142-P144</f>
        <v>0</v>
      </c>
      <c r="Q146" s="59"/>
      <c r="R146" s="59">
        <f>R142-R144</f>
        <v>0</v>
      </c>
      <c r="S146" s="59"/>
      <c r="T146" s="59">
        <f>T142-T144</f>
        <v>0</v>
      </c>
      <c r="U146" s="59"/>
      <c r="V146" s="59">
        <f>V142</f>
        <v>31809.142</v>
      </c>
      <c r="W146" s="59"/>
      <c r="X146" s="59">
        <f>X142-X144</f>
        <v>0</v>
      </c>
      <c r="Y146" s="59"/>
      <c r="Z146" s="59">
        <f>Z142</f>
        <v>0</v>
      </c>
      <c r="AA146" s="59"/>
      <c r="AB146" s="61">
        <f>AB142</f>
        <v>0</v>
      </c>
      <c r="AC146" s="23"/>
      <c r="AD146" s="51"/>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row>
    <row r="147" spans="1:54" s="53" customFormat="1" ht="24.95" customHeight="1" x14ac:dyDescent="0.2">
      <c r="A147" s="44"/>
      <c r="B147" s="32"/>
      <c r="C147" s="55"/>
      <c r="D147" s="56"/>
      <c r="E147" s="57"/>
      <c r="F147" s="58"/>
      <c r="G147" s="58"/>
      <c r="H147" s="59"/>
      <c r="I147" s="60"/>
      <c r="J147" s="59"/>
      <c r="K147" s="112"/>
      <c r="L147" s="59"/>
      <c r="M147" s="59"/>
      <c r="N147" s="59"/>
      <c r="O147" s="59"/>
      <c r="P147" s="59"/>
      <c r="Q147" s="59"/>
      <c r="R147" s="59"/>
      <c r="S147" s="59"/>
      <c r="T147" s="59"/>
      <c r="U147" s="59"/>
      <c r="V147" s="59"/>
      <c r="W147" s="59"/>
      <c r="X147" s="59"/>
      <c r="Y147" s="59"/>
      <c r="Z147" s="59"/>
      <c r="AA147" s="59"/>
      <c r="AB147" s="61"/>
      <c r="AC147" s="23"/>
      <c r="AD147" s="51"/>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row>
    <row r="148" spans="1:54" s="53" customFormat="1" ht="24.95" customHeight="1" x14ac:dyDescent="0.2">
      <c r="A148" s="171" t="s">
        <v>235</v>
      </c>
      <c r="B148" s="171"/>
      <c r="C148" s="171"/>
      <c r="D148" s="32"/>
      <c r="E148" s="6"/>
      <c r="F148" s="33"/>
      <c r="G148" s="34"/>
      <c r="H148" s="34"/>
      <c r="I148" s="35"/>
      <c r="J148" s="34"/>
      <c r="K148" s="109"/>
      <c r="L148" s="34"/>
      <c r="M148" s="34"/>
      <c r="N148" s="34"/>
      <c r="O148" s="34"/>
      <c r="P148" s="34"/>
      <c r="Q148" s="34"/>
      <c r="R148" s="34"/>
      <c r="S148" s="34"/>
      <c r="T148" s="34"/>
      <c r="U148" s="34"/>
      <c r="V148" s="34"/>
      <c r="W148" s="34"/>
      <c r="X148" s="34"/>
      <c r="Y148" s="34"/>
      <c r="Z148" s="157"/>
      <c r="AA148" s="157"/>
      <c r="AB148" s="157"/>
      <c r="AC148" s="149"/>
      <c r="AD148" s="51"/>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row>
    <row r="149" spans="1:54" s="53" customFormat="1" ht="103.5" customHeight="1" x14ac:dyDescent="0.2">
      <c r="A149" s="1">
        <v>1</v>
      </c>
      <c r="B149" s="142" t="s">
        <v>236</v>
      </c>
      <c r="C149" s="143" t="s">
        <v>237</v>
      </c>
      <c r="D149" s="39" t="s">
        <v>171</v>
      </c>
      <c r="E149" s="128" t="s">
        <v>0</v>
      </c>
      <c r="F149" s="128">
        <v>370.1</v>
      </c>
      <c r="G149" s="128">
        <v>0</v>
      </c>
      <c r="H149" s="40">
        <f>F149*G149</f>
        <v>0</v>
      </c>
      <c r="I149" s="41">
        <v>204.6</v>
      </c>
      <c r="J149" s="40">
        <f>F149*I149</f>
        <v>75722.460000000006</v>
      </c>
      <c r="K149" s="110" t="str">
        <f>IF(D149="NF",IF(I149&gt;G149*1.25,G149*0.25,IF(I149&gt;G149,I149-G149,0)),"0")</f>
        <v>0</v>
      </c>
      <c r="L149" s="42" t="str">
        <f>IF(ISNONTEXT(K149),$F149*K149,"0")</f>
        <v>0</v>
      </c>
      <c r="M149" s="42" t="str">
        <f>IF(D149="NF",IF($K149&gt;0,IF($G149*1.25&lt;$I149,IF(($G149*1.4)&lt;$I149,$G149*0.15,$I149-($G149+$K149)),"0"),"0"),"0")</f>
        <v>0</v>
      </c>
      <c r="N149" s="42" t="str">
        <f>IF(ISNONTEXT(M149),$F149*M149,"0")</f>
        <v>0</v>
      </c>
      <c r="O149" s="42" t="str">
        <f>IF(D149="NF",IF($M149&gt;0,IF($G149*1.4&lt;$I149,IF(($G149*1.5)&lt;$I149,$G149*0.1,$I149-($G149+$K149+$M149)),"0"),"0"),"0")</f>
        <v>0</v>
      </c>
      <c r="P149" s="42" t="str">
        <f>IF(ISNONTEXT(O149),$F149*O149,"0")</f>
        <v>0</v>
      </c>
      <c r="Q149" s="42" t="str">
        <f>IF(D149="NF",IF(G149*1.5&lt;I149,I149-(G149+K149+M149+O149),"0"),"0")</f>
        <v>0</v>
      </c>
      <c r="R149" s="42" t="str">
        <f>IF(ISNONTEXT(Q149),$F149*Q149,"0")</f>
        <v>0</v>
      </c>
      <c r="S149" s="42" t="str">
        <f>IF(D149="F",IF(I149&gt;G149, I149-G149,0),"0")</f>
        <v>0</v>
      </c>
      <c r="T149" s="42">
        <f>S149*F149</f>
        <v>0</v>
      </c>
      <c r="U149" s="42">
        <f>IF(D149="m",IF(I149&gt;G149*2,G149*1,IF(I149&gt;G149,I149-G149,0)),"0")</f>
        <v>0</v>
      </c>
      <c r="V149" s="42">
        <f>U149*F149</f>
        <v>0</v>
      </c>
      <c r="W149" s="42">
        <f>IF(D149="M",IF(I149&gt;G149*2,I149-G149*2,0),"0")</f>
        <v>204.6</v>
      </c>
      <c r="X149" s="42">
        <f>W149*F149</f>
        <v>75722.460000000006</v>
      </c>
      <c r="Y149" s="42">
        <v>0</v>
      </c>
      <c r="Z149" s="42">
        <f>Y149*F149</f>
        <v>0</v>
      </c>
      <c r="AA149" s="42">
        <v>0</v>
      </c>
      <c r="AB149" s="42">
        <f>AA149*F149</f>
        <v>0</v>
      </c>
      <c r="AC149" s="147" t="s">
        <v>72</v>
      </c>
      <c r="AD149" s="51"/>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row>
    <row r="150" spans="1:54" s="53" customFormat="1" ht="72.75" customHeight="1" x14ac:dyDescent="0.2">
      <c r="A150" s="1">
        <v>2</v>
      </c>
      <c r="B150" s="142">
        <v>133261</v>
      </c>
      <c r="C150" s="143"/>
      <c r="D150" s="39"/>
      <c r="E150" s="128"/>
      <c r="F150" s="128"/>
      <c r="G150" s="128"/>
      <c r="H150" s="40"/>
      <c r="I150" s="41"/>
      <c r="J150" s="40"/>
      <c r="K150" s="110"/>
      <c r="L150" s="42"/>
      <c r="M150" s="42"/>
      <c r="N150" s="42"/>
      <c r="O150" s="42"/>
      <c r="P150" s="42"/>
      <c r="Q150" s="42"/>
      <c r="R150" s="42"/>
      <c r="S150" s="42"/>
      <c r="T150" s="42"/>
      <c r="U150" s="42"/>
      <c r="V150" s="42"/>
      <c r="W150" s="42"/>
      <c r="X150" s="42"/>
      <c r="Y150" s="42"/>
      <c r="Z150" s="42"/>
      <c r="AA150" s="42"/>
      <c r="AB150" s="42"/>
      <c r="AC150" s="147"/>
      <c r="AD150" s="51"/>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row>
    <row r="151" spans="1:54" s="53" customFormat="1" ht="24.95" customHeight="1" x14ac:dyDescent="0.3">
      <c r="A151" s="44"/>
      <c r="B151" s="45"/>
      <c r="C151" s="46" t="s">
        <v>6</v>
      </c>
      <c r="D151" s="47"/>
      <c r="E151" s="48"/>
      <c r="F151" s="49"/>
      <c r="G151" s="49"/>
      <c r="H151" s="49">
        <f>SUM(H149:H149)</f>
        <v>0</v>
      </c>
      <c r="I151" s="50"/>
      <c r="J151" s="49">
        <f>SUM(J149:J149)</f>
        <v>75722.460000000006</v>
      </c>
      <c r="K151" s="111"/>
      <c r="L151" s="49">
        <f>SUM(L149:L149)</f>
        <v>0</v>
      </c>
      <c r="M151" s="49"/>
      <c r="N151" s="49">
        <f>SUM(N149:N149)</f>
        <v>0</v>
      </c>
      <c r="O151" s="49"/>
      <c r="P151" s="49">
        <f>SUM(P149:P149)</f>
        <v>0</v>
      </c>
      <c r="Q151" s="49"/>
      <c r="R151" s="49">
        <f>SUM(R149:R149)</f>
        <v>0</v>
      </c>
      <c r="S151" s="49"/>
      <c r="T151" s="49">
        <f>SUM(T149:T149)</f>
        <v>0</v>
      </c>
      <c r="U151" s="49"/>
      <c r="V151" s="49">
        <f>SUM(V149:V149)</f>
        <v>0</v>
      </c>
      <c r="W151" s="49"/>
      <c r="X151" s="49">
        <f>SUM(X149:X149)</f>
        <v>75722.460000000006</v>
      </c>
      <c r="Y151" s="49"/>
      <c r="Z151" s="49">
        <f>SUM(Z149:Z149)</f>
        <v>0</v>
      </c>
      <c r="AA151" s="49"/>
      <c r="AB151" s="49">
        <f>SUM(AB149:AB149)</f>
        <v>0</v>
      </c>
      <c r="AC151" s="23"/>
      <c r="AD151" s="51"/>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row>
    <row r="152" spans="1:54" s="53" customFormat="1" ht="24.95" customHeight="1" x14ac:dyDescent="0.2">
      <c r="A152" s="44"/>
      <c r="B152" s="54"/>
      <c r="C152" s="55" t="s">
        <v>109</v>
      </c>
      <c r="D152" s="47"/>
      <c r="E152" s="48"/>
      <c r="F152" s="49"/>
      <c r="G152" s="49"/>
      <c r="H152" s="49">
        <f>H151*8/100</f>
        <v>0</v>
      </c>
      <c r="I152" s="50"/>
      <c r="J152" s="49">
        <f>J151*8/100</f>
        <v>6057.7968000000001</v>
      </c>
      <c r="K152" s="111"/>
      <c r="L152" s="49">
        <f>L151*8/100</f>
        <v>0</v>
      </c>
      <c r="M152" s="49"/>
      <c r="N152" s="49">
        <f>N151*8/100</f>
        <v>0</v>
      </c>
      <c r="O152" s="49"/>
      <c r="P152" s="49">
        <f>P151*8/100</f>
        <v>0</v>
      </c>
      <c r="Q152" s="49"/>
      <c r="R152" s="49">
        <f>R151*8/100</f>
        <v>0</v>
      </c>
      <c r="S152" s="49"/>
      <c r="T152" s="49">
        <f>T151*8/100</f>
        <v>0</v>
      </c>
      <c r="U152" s="49"/>
      <c r="V152" s="49">
        <f>V151*8/100</f>
        <v>0</v>
      </c>
      <c r="W152" s="49"/>
      <c r="X152" s="49">
        <f>X151*8/100</f>
        <v>6057.7968000000001</v>
      </c>
      <c r="Y152" s="49"/>
      <c r="Z152" s="49">
        <f>Z151*8/100</f>
        <v>0</v>
      </c>
      <c r="AA152" s="49"/>
      <c r="AB152" s="49">
        <f>AB151*8/100</f>
        <v>0</v>
      </c>
      <c r="AC152" s="23"/>
      <c r="AD152" s="51"/>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row>
    <row r="153" spans="1:54" s="53" customFormat="1" ht="24.95" customHeight="1" x14ac:dyDescent="0.2">
      <c r="A153" s="44"/>
      <c r="B153" s="32"/>
      <c r="C153" s="55" t="s">
        <v>100</v>
      </c>
      <c r="D153" s="47"/>
      <c r="E153" s="48"/>
      <c r="F153" s="49"/>
      <c r="G153" s="49"/>
      <c r="H153" s="49">
        <f>H151+H152</f>
        <v>0</v>
      </c>
      <c r="I153" s="50"/>
      <c r="J153" s="49">
        <f>J151+J152</f>
        <v>81780.256800000003</v>
      </c>
      <c r="K153" s="111"/>
      <c r="L153" s="49">
        <f>L151+L152</f>
        <v>0</v>
      </c>
      <c r="M153" s="49"/>
      <c r="N153" s="49">
        <f>N151+N152</f>
        <v>0</v>
      </c>
      <c r="O153" s="49"/>
      <c r="P153" s="49">
        <f>P151+P152</f>
        <v>0</v>
      </c>
      <c r="Q153" s="49"/>
      <c r="R153" s="49">
        <f>R151+R152</f>
        <v>0</v>
      </c>
      <c r="S153" s="49"/>
      <c r="T153" s="49">
        <f>T151+T152</f>
        <v>0</v>
      </c>
      <c r="U153" s="49"/>
      <c r="V153" s="49">
        <f>V151+V152</f>
        <v>0</v>
      </c>
      <c r="W153" s="49"/>
      <c r="X153" s="49">
        <f>X151+X152</f>
        <v>81780.256800000003</v>
      </c>
      <c r="Y153" s="49"/>
      <c r="Z153" s="49">
        <f>Z151+Z152</f>
        <v>0</v>
      </c>
      <c r="AA153" s="49"/>
      <c r="AB153" s="49">
        <f>AB151+AB152</f>
        <v>0</v>
      </c>
      <c r="AC153" s="23"/>
      <c r="AD153" s="51"/>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row>
    <row r="154" spans="1:54" s="53" customFormat="1" ht="24.95" customHeight="1" x14ac:dyDescent="0.2">
      <c r="A154" s="44"/>
      <c r="B154" s="32"/>
      <c r="C154" s="55" t="s">
        <v>42</v>
      </c>
      <c r="D154" s="56"/>
      <c r="E154" s="57"/>
      <c r="F154" s="58"/>
      <c r="G154" s="58"/>
      <c r="H154" s="59"/>
      <c r="I154" s="60"/>
      <c r="J154" s="59">
        <f>N154+P155+R155+X155</f>
        <v>3271.2102720000003</v>
      </c>
      <c r="K154" s="112"/>
      <c r="L154" s="59"/>
      <c r="M154" s="59"/>
      <c r="N154" s="59">
        <f>N153*2/100</f>
        <v>0</v>
      </c>
      <c r="O154" s="59"/>
      <c r="P154" s="59"/>
      <c r="Q154" s="59"/>
      <c r="R154" s="59"/>
      <c r="S154" s="59"/>
      <c r="T154" s="59"/>
      <c r="U154" s="59"/>
      <c r="V154" s="59"/>
      <c r="W154" s="59"/>
      <c r="X154" s="59"/>
      <c r="Y154" s="59"/>
      <c r="Z154" s="59"/>
      <c r="AA154" s="59"/>
      <c r="AB154" s="61"/>
      <c r="AC154" s="23"/>
      <c r="AD154" s="51"/>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row>
    <row r="155" spans="1:54" s="53" customFormat="1" ht="24.95" customHeight="1" x14ac:dyDescent="0.2">
      <c r="A155" s="44"/>
      <c r="B155" s="32"/>
      <c r="C155" s="55" t="s">
        <v>43</v>
      </c>
      <c r="D155" s="56"/>
      <c r="E155" s="57"/>
      <c r="F155" s="58"/>
      <c r="G155" s="58"/>
      <c r="H155" s="59"/>
      <c r="I155" s="60"/>
      <c r="J155" s="59"/>
      <c r="K155" s="112"/>
      <c r="L155" s="59"/>
      <c r="M155" s="59"/>
      <c r="N155" s="59"/>
      <c r="O155" s="59"/>
      <c r="P155" s="59">
        <f>P153*4/100</f>
        <v>0</v>
      </c>
      <c r="Q155" s="59"/>
      <c r="R155" s="59">
        <f>R153*4/100</f>
        <v>0</v>
      </c>
      <c r="S155" s="59"/>
      <c r="T155" s="59"/>
      <c r="U155" s="59"/>
      <c r="V155" s="59"/>
      <c r="W155" s="59"/>
      <c r="X155" s="59">
        <f>X153*4/100</f>
        <v>3271.2102720000003</v>
      </c>
      <c r="Y155" s="59"/>
      <c r="Z155" s="59"/>
      <c r="AA155" s="59"/>
      <c r="AB155" s="61"/>
      <c r="AC155" s="23"/>
      <c r="AD155" s="51"/>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row>
    <row r="156" spans="1:54" s="53" customFormat="1" ht="24.95" customHeight="1" x14ac:dyDescent="0.2">
      <c r="A156" s="44"/>
      <c r="B156" s="32"/>
      <c r="C156" s="55"/>
      <c r="D156" s="56"/>
      <c r="E156" s="57"/>
      <c r="F156" s="58"/>
      <c r="G156" s="62" t="s">
        <v>44</v>
      </c>
      <c r="H156" s="59"/>
      <c r="I156" s="60"/>
      <c r="J156" s="59">
        <f>J153-J154</f>
        <v>78509.046528000006</v>
      </c>
      <c r="K156" s="112"/>
      <c r="L156" s="59"/>
      <c r="M156" s="59"/>
      <c r="N156" s="59"/>
      <c r="O156" s="59"/>
      <c r="P156" s="59"/>
      <c r="Q156" s="59"/>
      <c r="R156" s="59"/>
      <c r="S156" s="59"/>
      <c r="T156" s="59"/>
      <c r="U156" s="59"/>
      <c r="V156" s="59"/>
      <c r="W156" s="59"/>
      <c r="X156" s="59"/>
      <c r="Y156" s="59"/>
      <c r="Z156" s="59"/>
      <c r="AA156" s="59"/>
      <c r="AB156" s="61"/>
      <c r="AC156" s="23"/>
      <c r="AD156" s="51"/>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row>
    <row r="157" spans="1:54" s="38" customFormat="1" ht="15" customHeight="1" x14ac:dyDescent="0.2">
      <c r="A157" s="44"/>
      <c r="B157" s="32"/>
      <c r="C157" s="55" t="s">
        <v>116</v>
      </c>
      <c r="D157" s="56"/>
      <c r="E157" s="57"/>
      <c r="F157" s="58"/>
      <c r="G157" s="58"/>
      <c r="H157" s="59">
        <f>H153</f>
        <v>0</v>
      </c>
      <c r="I157" s="60"/>
      <c r="J157" s="59">
        <f>H157+L157+N157+P157+R157+T157+V157+X157-AB157-Z157</f>
        <v>78509.046528000006</v>
      </c>
      <c r="K157" s="112"/>
      <c r="L157" s="59">
        <f>L153</f>
        <v>0</v>
      </c>
      <c r="M157" s="59"/>
      <c r="N157" s="59">
        <f>N153-N154</f>
        <v>0</v>
      </c>
      <c r="O157" s="59"/>
      <c r="P157" s="59">
        <f>P153-P155</f>
        <v>0</v>
      </c>
      <c r="Q157" s="59"/>
      <c r="R157" s="59">
        <f>R153-R155</f>
        <v>0</v>
      </c>
      <c r="S157" s="59"/>
      <c r="T157" s="59">
        <f>T153-T155</f>
        <v>0</v>
      </c>
      <c r="U157" s="59"/>
      <c r="V157" s="59">
        <f>V153</f>
        <v>0</v>
      </c>
      <c r="W157" s="59"/>
      <c r="X157" s="59">
        <f>X153-X155</f>
        <v>78509.046528000006</v>
      </c>
      <c r="Y157" s="59"/>
      <c r="Z157" s="59">
        <f>Z153</f>
        <v>0</v>
      </c>
      <c r="AA157" s="59"/>
      <c r="AB157" s="61">
        <f>AB153</f>
        <v>0</v>
      </c>
      <c r="AC157" s="23"/>
      <c r="AD157" s="36"/>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row>
    <row r="158" spans="1:54" s="38" customFormat="1" ht="142.5" hidden="1" customHeight="1" x14ac:dyDescent="0.2">
      <c r="A158" s="1">
        <v>1</v>
      </c>
      <c r="B158" s="146">
        <v>1</v>
      </c>
      <c r="C158" s="143" t="s">
        <v>118</v>
      </c>
      <c r="D158" s="39" t="s">
        <v>17</v>
      </c>
      <c r="E158" s="128" t="s">
        <v>1</v>
      </c>
      <c r="F158" s="128">
        <v>1718</v>
      </c>
      <c r="G158" s="128">
        <v>0</v>
      </c>
      <c r="H158" s="40">
        <f>F158*G158</f>
        <v>0</v>
      </c>
      <c r="I158" s="41">
        <v>9.5</v>
      </c>
      <c r="J158" s="40">
        <f>F158*I158</f>
        <v>16321</v>
      </c>
      <c r="K158" s="110">
        <f>IF(D158="NF",IF(I158&gt;G158*1.25,G158*0.25,IF(I158&gt;G158,I158-G158,0)),"0")</f>
        <v>0</v>
      </c>
      <c r="L158" s="42">
        <f>IF(ISNONTEXT(K158),$F158*K158,"0")</f>
        <v>0</v>
      </c>
      <c r="M158" s="42" t="str">
        <f>IF(D158="NF",IF($K158&gt;0,IF($G158*1.25&lt;$I158,IF(($G158*1.4)&lt;$I158,$G158*0.15,$I158-($G158+$K158)),"0"),"0"),"0")</f>
        <v>0</v>
      </c>
      <c r="N158" s="42" t="str">
        <f>IF(ISNONTEXT(M158),$F158*M158,"0")</f>
        <v>0</v>
      </c>
      <c r="O158" s="42">
        <f>IF(D158="NF",IF($M158&gt;0,IF($G158*1.4&lt;$I158,IF(($G158*1.5)&lt;$I158,$G158*0.1,$I158-($G158+$K158+$M158)),"0"),"0"),"0")</f>
        <v>0</v>
      </c>
      <c r="P158" s="42">
        <f>IF(ISNONTEXT(O158),$F158*O158,"0")</f>
        <v>0</v>
      </c>
      <c r="Q158" s="42">
        <f>IF(D158="NF",IF(G158*1.5&lt;I158,I158-(G158+K158+M158+O158),"0"),"0")</f>
        <v>9.5</v>
      </c>
      <c r="R158" s="42">
        <f>IF(ISNONTEXT(Q158),$F158*Q158,"0")</f>
        <v>16321</v>
      </c>
      <c r="S158" s="42" t="str">
        <f>IF(D158="F",IF(I158&gt;G158, I158-G158,0),"0")</f>
        <v>0</v>
      </c>
      <c r="T158" s="42">
        <f>S158*F158</f>
        <v>0</v>
      </c>
      <c r="U158" s="42" t="str">
        <f>IF(D158="m",IF(I158&gt;G158*2,G158*1,IF(I158&gt;G158,I158-G158,0)),"0")</f>
        <v>0</v>
      </c>
      <c r="V158" s="42">
        <f>U158*F158</f>
        <v>0</v>
      </c>
      <c r="W158" s="42" t="str">
        <f>IF(D158="M",IF(I158&gt;G158*2,I158-G158*2,0),"0")</f>
        <v>0</v>
      </c>
      <c r="X158" s="42">
        <f>W158*F158</f>
        <v>0</v>
      </c>
      <c r="Y158" s="42">
        <v>0</v>
      </c>
      <c r="Z158" s="42">
        <f>Y158*F158</f>
        <v>0</v>
      </c>
      <c r="AA158" s="42">
        <v>0</v>
      </c>
      <c r="AB158" s="42">
        <f>AA158*F158</f>
        <v>0</v>
      </c>
      <c r="AC158" s="147" t="s">
        <v>72</v>
      </c>
      <c r="AD158" s="36"/>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row>
    <row r="159" spans="1:54" s="53" customFormat="1" ht="24.75" hidden="1" customHeight="1" x14ac:dyDescent="0.3">
      <c r="A159" s="44"/>
      <c r="B159" s="45"/>
      <c r="C159" s="46" t="s">
        <v>6</v>
      </c>
      <c r="D159" s="47"/>
      <c r="E159" s="48"/>
      <c r="F159" s="49"/>
      <c r="G159" s="49"/>
      <c r="H159" s="49">
        <f>SUM(H158:H158)</f>
        <v>0</v>
      </c>
      <c r="I159" s="50"/>
      <c r="J159" s="49">
        <f>SUM(J158:J158)</f>
        <v>16321</v>
      </c>
      <c r="K159" s="111"/>
      <c r="L159" s="49">
        <f>SUM(L158:L158)</f>
        <v>0</v>
      </c>
      <c r="M159" s="49"/>
      <c r="N159" s="49">
        <f>SUM(N158:N158)</f>
        <v>0</v>
      </c>
      <c r="O159" s="49"/>
      <c r="P159" s="49">
        <f>SUM(P158:P158)</f>
        <v>0</v>
      </c>
      <c r="Q159" s="49"/>
      <c r="R159" s="49">
        <f>SUM(R158:R158)</f>
        <v>16321</v>
      </c>
      <c r="S159" s="49"/>
      <c r="T159" s="49">
        <f>SUM(T158:T158)</f>
        <v>0</v>
      </c>
      <c r="U159" s="49"/>
      <c r="V159" s="49">
        <f>SUM(V158:V158)</f>
        <v>0</v>
      </c>
      <c r="W159" s="49"/>
      <c r="X159" s="49">
        <f>SUM(X158:X158)</f>
        <v>0</v>
      </c>
      <c r="Y159" s="49"/>
      <c r="Z159" s="49">
        <f>SUM(Z158:Z158)</f>
        <v>0</v>
      </c>
      <c r="AA159" s="49"/>
      <c r="AB159" s="49">
        <f>SUM(AB158:AB158)</f>
        <v>0</v>
      </c>
      <c r="AC159" s="23"/>
      <c r="AD159" s="51"/>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row>
    <row r="160" spans="1:54" s="53" customFormat="1" ht="24.75" hidden="1" customHeight="1" x14ac:dyDescent="0.2">
      <c r="A160" s="44"/>
      <c r="B160" s="54"/>
      <c r="C160" s="55" t="s">
        <v>109</v>
      </c>
      <c r="D160" s="47"/>
      <c r="E160" s="48"/>
      <c r="F160" s="49"/>
      <c r="G160" s="49"/>
      <c r="H160" s="49">
        <f>H159*8/100</f>
        <v>0</v>
      </c>
      <c r="I160" s="50"/>
      <c r="J160" s="49">
        <f>J159*8/100</f>
        <v>1305.68</v>
      </c>
      <c r="K160" s="111"/>
      <c r="L160" s="49">
        <f>L159*8/100</f>
        <v>0</v>
      </c>
      <c r="M160" s="49"/>
      <c r="N160" s="49">
        <f>N159*8/100</f>
        <v>0</v>
      </c>
      <c r="O160" s="49"/>
      <c r="P160" s="49">
        <f>P159*8/100</f>
        <v>0</v>
      </c>
      <c r="Q160" s="49"/>
      <c r="R160" s="49">
        <f>R159*8/100</f>
        <v>1305.68</v>
      </c>
      <c r="S160" s="49"/>
      <c r="T160" s="49">
        <f>T159*8/100</f>
        <v>0</v>
      </c>
      <c r="U160" s="49"/>
      <c r="V160" s="49">
        <f>V159*8/100</f>
        <v>0</v>
      </c>
      <c r="W160" s="49"/>
      <c r="X160" s="49">
        <f>X159*8/100</f>
        <v>0</v>
      </c>
      <c r="Y160" s="49"/>
      <c r="Z160" s="49">
        <f>Z159*8/100</f>
        <v>0</v>
      </c>
      <c r="AA160" s="49"/>
      <c r="AB160" s="49">
        <f>AB159*8/100</f>
        <v>0</v>
      </c>
      <c r="AC160" s="23"/>
      <c r="AD160" s="51"/>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row>
    <row r="161" spans="1:54" s="53" customFormat="1" ht="24.75" hidden="1" customHeight="1" x14ac:dyDescent="0.2">
      <c r="A161" s="44"/>
      <c r="B161" s="32"/>
      <c r="C161" s="55" t="s">
        <v>100</v>
      </c>
      <c r="D161" s="47"/>
      <c r="E161" s="48"/>
      <c r="F161" s="49"/>
      <c r="G161" s="49"/>
      <c r="H161" s="49">
        <f>H159+H160</f>
        <v>0</v>
      </c>
      <c r="I161" s="50"/>
      <c r="J161" s="49">
        <f>J159+J160</f>
        <v>17626.68</v>
      </c>
      <c r="K161" s="111"/>
      <c r="L161" s="49">
        <f>L159+L160</f>
        <v>0</v>
      </c>
      <c r="M161" s="49"/>
      <c r="N161" s="49">
        <f>N159+N160</f>
        <v>0</v>
      </c>
      <c r="O161" s="49"/>
      <c r="P161" s="49">
        <f>P159+P160</f>
        <v>0</v>
      </c>
      <c r="Q161" s="49"/>
      <c r="R161" s="49">
        <f>R159+R160</f>
        <v>17626.68</v>
      </c>
      <c r="S161" s="49"/>
      <c r="T161" s="49">
        <f>T159+T160</f>
        <v>0</v>
      </c>
      <c r="U161" s="49"/>
      <c r="V161" s="49">
        <f>V159+V160</f>
        <v>0</v>
      </c>
      <c r="W161" s="49"/>
      <c r="X161" s="49">
        <f>X159+X160</f>
        <v>0</v>
      </c>
      <c r="Y161" s="49"/>
      <c r="Z161" s="49">
        <f>Z159+Z160</f>
        <v>0</v>
      </c>
      <c r="AA161" s="49"/>
      <c r="AB161" s="49">
        <f>AB159+AB160</f>
        <v>0</v>
      </c>
      <c r="AC161" s="23"/>
      <c r="AD161" s="51"/>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row>
    <row r="162" spans="1:54" s="53" customFormat="1" ht="24.75" hidden="1" customHeight="1" x14ac:dyDescent="0.2">
      <c r="A162" s="44"/>
      <c r="B162" s="32"/>
      <c r="C162" s="55" t="s">
        <v>42</v>
      </c>
      <c r="D162" s="56"/>
      <c r="E162" s="57"/>
      <c r="F162" s="58"/>
      <c r="G162" s="58"/>
      <c r="H162" s="59"/>
      <c r="I162" s="60"/>
      <c r="J162" s="59">
        <f>N162+P163+R163+X163</f>
        <v>705.06719999999996</v>
      </c>
      <c r="K162" s="112"/>
      <c r="L162" s="59"/>
      <c r="M162" s="59"/>
      <c r="N162" s="59">
        <f>N161*2/100</f>
        <v>0</v>
      </c>
      <c r="O162" s="59"/>
      <c r="P162" s="59"/>
      <c r="Q162" s="59"/>
      <c r="R162" s="59"/>
      <c r="S162" s="59"/>
      <c r="T162" s="59"/>
      <c r="U162" s="59"/>
      <c r="V162" s="59"/>
      <c r="W162" s="59"/>
      <c r="X162" s="59"/>
      <c r="Y162" s="59"/>
      <c r="Z162" s="59"/>
      <c r="AA162" s="59"/>
      <c r="AB162" s="61"/>
      <c r="AC162" s="23"/>
      <c r="AD162" s="51"/>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row>
    <row r="163" spans="1:54" s="53" customFormat="1" ht="24.75" hidden="1" customHeight="1" x14ac:dyDescent="0.2">
      <c r="A163" s="44"/>
      <c r="B163" s="32"/>
      <c r="C163" s="55" t="s">
        <v>43</v>
      </c>
      <c r="D163" s="56"/>
      <c r="E163" s="57"/>
      <c r="F163" s="58"/>
      <c r="G163" s="58"/>
      <c r="H163" s="59"/>
      <c r="I163" s="60"/>
      <c r="J163" s="59"/>
      <c r="K163" s="112"/>
      <c r="L163" s="59"/>
      <c r="M163" s="59"/>
      <c r="N163" s="59"/>
      <c r="O163" s="59"/>
      <c r="P163" s="59">
        <f>P161*4/100</f>
        <v>0</v>
      </c>
      <c r="Q163" s="59"/>
      <c r="R163" s="59">
        <f>R161*4/100</f>
        <v>705.06719999999996</v>
      </c>
      <c r="S163" s="59"/>
      <c r="T163" s="59"/>
      <c r="U163" s="59"/>
      <c r="V163" s="59"/>
      <c r="W163" s="59"/>
      <c r="X163" s="59">
        <f>X161*4/100</f>
        <v>0</v>
      </c>
      <c r="Y163" s="59"/>
      <c r="Z163" s="59"/>
      <c r="AA163" s="59"/>
      <c r="AB163" s="61"/>
      <c r="AC163" s="23"/>
      <c r="AD163" s="51"/>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row>
    <row r="164" spans="1:54" s="53" customFormat="1" ht="24.75" hidden="1" customHeight="1" x14ac:dyDescent="0.2">
      <c r="A164" s="44"/>
      <c r="B164" s="32"/>
      <c r="C164" s="55"/>
      <c r="D164" s="56"/>
      <c r="E164" s="57"/>
      <c r="F164" s="58"/>
      <c r="G164" s="62" t="s">
        <v>44</v>
      </c>
      <c r="H164" s="59"/>
      <c r="I164" s="60"/>
      <c r="J164" s="59">
        <f>J161-J162</f>
        <v>16921.612799999999</v>
      </c>
      <c r="K164" s="112"/>
      <c r="L164" s="59"/>
      <c r="M164" s="59"/>
      <c r="N164" s="59"/>
      <c r="O164" s="59"/>
      <c r="P164" s="59"/>
      <c r="Q164" s="59"/>
      <c r="R164" s="59"/>
      <c r="S164" s="59"/>
      <c r="T164" s="59"/>
      <c r="U164" s="59"/>
      <c r="V164" s="59"/>
      <c r="W164" s="59"/>
      <c r="X164" s="59"/>
      <c r="Y164" s="59"/>
      <c r="Z164" s="59"/>
      <c r="AA164" s="59"/>
      <c r="AB164" s="61"/>
      <c r="AC164" s="23"/>
      <c r="AD164" s="51"/>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row>
    <row r="165" spans="1:54" s="53" customFormat="1" ht="24.75" hidden="1" customHeight="1" x14ac:dyDescent="0.2">
      <c r="A165" s="44"/>
      <c r="B165" s="32"/>
      <c r="C165" s="55" t="s">
        <v>119</v>
      </c>
      <c r="D165" s="56"/>
      <c r="E165" s="57"/>
      <c r="F165" s="58"/>
      <c r="G165" s="58"/>
      <c r="H165" s="59">
        <f>H161</f>
        <v>0</v>
      </c>
      <c r="I165" s="60"/>
      <c r="J165" s="59">
        <f>H165+L165+N165+P165+R165+T165+V165+X165-AB165-Z165</f>
        <v>16921.612799999999</v>
      </c>
      <c r="K165" s="112"/>
      <c r="L165" s="59">
        <f>L161</f>
        <v>0</v>
      </c>
      <c r="M165" s="59"/>
      <c r="N165" s="59">
        <f>N161-N162</f>
        <v>0</v>
      </c>
      <c r="O165" s="59"/>
      <c r="P165" s="59">
        <f>P161-P163</f>
        <v>0</v>
      </c>
      <c r="Q165" s="59"/>
      <c r="R165" s="59">
        <f>R161-R163</f>
        <v>16921.612799999999</v>
      </c>
      <c r="S165" s="59"/>
      <c r="T165" s="59">
        <f>T161-T163</f>
        <v>0</v>
      </c>
      <c r="U165" s="59"/>
      <c r="V165" s="59">
        <f>V161</f>
        <v>0</v>
      </c>
      <c r="W165" s="59"/>
      <c r="X165" s="59">
        <f>X161-X163</f>
        <v>0</v>
      </c>
      <c r="Y165" s="59"/>
      <c r="Z165" s="59">
        <f>Z161</f>
        <v>0</v>
      </c>
      <c r="AA165" s="59"/>
      <c r="AB165" s="61">
        <f>AB161</f>
        <v>0</v>
      </c>
      <c r="AC165" s="23"/>
      <c r="AD165" s="51"/>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row>
    <row r="166" spans="1:54" s="53" customFormat="1" ht="24.75" hidden="1" customHeight="1" x14ac:dyDescent="0.2">
      <c r="A166" s="44"/>
      <c r="B166" s="32"/>
      <c r="C166" s="55"/>
      <c r="D166" s="56"/>
      <c r="E166" s="57"/>
      <c r="F166" s="58"/>
      <c r="G166" s="58"/>
      <c r="H166" s="64"/>
      <c r="I166" s="60"/>
      <c r="J166" s="64"/>
      <c r="K166" s="112"/>
      <c r="L166" s="59"/>
      <c r="M166" s="59"/>
      <c r="N166" s="59"/>
      <c r="O166" s="59"/>
      <c r="P166" s="59"/>
      <c r="Q166" s="59"/>
      <c r="R166" s="59"/>
      <c r="S166" s="59"/>
      <c r="T166" s="59"/>
      <c r="U166" s="59"/>
      <c r="V166" s="59"/>
      <c r="W166" s="59"/>
      <c r="X166" s="59"/>
      <c r="Y166" s="59"/>
      <c r="Z166" s="59"/>
      <c r="AA166" s="59"/>
      <c r="AB166" s="61"/>
      <c r="AC166" s="23"/>
      <c r="AD166" s="51"/>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row>
    <row r="167" spans="1:54" s="73" customFormat="1" hidden="1" x14ac:dyDescent="0.2">
      <c r="A167" s="65"/>
      <c r="B167" s="66"/>
      <c r="C167" s="55"/>
      <c r="D167" s="67"/>
      <c r="E167" s="63"/>
      <c r="F167" s="68"/>
      <c r="G167" s="68"/>
      <c r="H167" s="68"/>
      <c r="I167" s="69"/>
      <c r="J167" s="68"/>
      <c r="K167" s="114"/>
      <c r="L167" s="68"/>
      <c r="M167" s="68"/>
      <c r="N167" s="68"/>
      <c r="O167" s="68"/>
      <c r="P167" s="68"/>
      <c r="Q167" s="68"/>
      <c r="R167" s="68"/>
      <c r="S167" s="68"/>
      <c r="T167" s="68"/>
      <c r="U167" s="68"/>
      <c r="V167" s="68"/>
      <c r="W167" s="68"/>
      <c r="X167" s="68"/>
      <c r="Y167" s="68"/>
      <c r="Z167" s="68"/>
      <c r="AA167" s="68"/>
      <c r="AB167" s="70"/>
      <c r="AC167" s="23"/>
      <c r="AD167" s="71"/>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row>
    <row r="168" spans="1:54" s="73" customFormat="1" x14ac:dyDescent="0.2">
      <c r="A168" s="65"/>
      <c r="B168" s="66"/>
      <c r="C168" s="55"/>
      <c r="D168" s="67"/>
      <c r="E168" s="63"/>
      <c r="F168" s="68"/>
      <c r="G168" s="68"/>
      <c r="H168" s="68"/>
      <c r="I168" s="69"/>
      <c r="J168" s="68"/>
      <c r="K168" s="114"/>
      <c r="L168" s="68"/>
      <c r="M168" s="68"/>
      <c r="N168" s="68"/>
      <c r="O168" s="68"/>
      <c r="P168" s="68"/>
      <c r="Q168" s="68"/>
      <c r="R168" s="68"/>
      <c r="S168" s="68"/>
      <c r="T168" s="68"/>
      <c r="U168" s="68"/>
      <c r="V168" s="68"/>
      <c r="W168" s="68"/>
      <c r="X168" s="68"/>
      <c r="Y168" s="68"/>
      <c r="Z168" s="68"/>
      <c r="AA168" s="68"/>
      <c r="AB168" s="70"/>
      <c r="AC168" s="23"/>
      <c r="AD168" s="71"/>
      <c r="AE168" s="72"/>
      <c r="AF168" s="72"/>
      <c r="AG168" s="72"/>
      <c r="AH168" s="72"/>
      <c r="AI168" s="72"/>
      <c r="AJ168" s="72"/>
      <c r="AK168" s="72"/>
      <c r="AL168" s="72"/>
      <c r="AM168" s="72"/>
      <c r="AN168" s="72"/>
      <c r="AO168" s="72"/>
      <c r="AP168" s="72"/>
      <c r="AQ168" s="72"/>
      <c r="AR168" s="72"/>
      <c r="AS168" s="72"/>
      <c r="AT168" s="72"/>
      <c r="AU168" s="72"/>
      <c r="AV168" s="72"/>
      <c r="AW168" s="72"/>
      <c r="AX168" s="72"/>
      <c r="AY168" s="72"/>
      <c r="AZ168" s="72"/>
      <c r="BA168" s="72"/>
      <c r="BB168" s="72"/>
    </row>
    <row r="169" spans="1:54" s="73" customFormat="1" ht="29.25" customHeight="1" x14ac:dyDescent="0.2">
      <c r="A169" s="74"/>
      <c r="B169" s="66"/>
      <c r="C169" s="75" t="s">
        <v>2</v>
      </c>
      <c r="D169" s="67"/>
      <c r="E169" s="63"/>
      <c r="F169" s="68"/>
      <c r="G169" s="68"/>
      <c r="H169" s="68"/>
      <c r="I169" s="69"/>
      <c r="J169" s="68"/>
      <c r="K169" s="114"/>
      <c r="L169" s="68"/>
      <c r="M169" s="68"/>
      <c r="N169" s="68"/>
      <c r="O169" s="68"/>
      <c r="P169" s="68"/>
      <c r="Q169" s="68"/>
      <c r="R169" s="68"/>
      <c r="S169" s="68"/>
      <c r="T169" s="68"/>
      <c r="U169" s="68"/>
      <c r="V169" s="68"/>
      <c r="W169" s="68"/>
      <c r="X169" s="68"/>
      <c r="Y169" s="68"/>
      <c r="Z169" s="68"/>
      <c r="AA169" s="68"/>
      <c r="AB169" s="70"/>
      <c r="AC169" s="23"/>
      <c r="AD169" s="71"/>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row>
    <row r="170" spans="1:54" s="73" customFormat="1" x14ac:dyDescent="0.2">
      <c r="A170" s="74"/>
      <c r="B170" s="66"/>
      <c r="C170" s="76" t="s">
        <v>47</v>
      </c>
      <c r="D170" s="67"/>
      <c r="E170" s="63"/>
      <c r="F170" s="68"/>
      <c r="G170" s="68"/>
      <c r="H170" s="68">
        <f>H28</f>
        <v>2547414.3034199998</v>
      </c>
      <c r="I170" s="68">
        <f t="shared" ref="I170:X170" si="39">I28</f>
        <v>0</v>
      </c>
      <c r="J170" s="68">
        <f t="shared" si="39"/>
        <v>2176963.04</v>
      </c>
      <c r="K170" s="68"/>
      <c r="L170" s="68">
        <f t="shared" si="39"/>
        <v>0</v>
      </c>
      <c r="M170" s="68"/>
      <c r="N170" s="68">
        <f t="shared" si="39"/>
        <v>0</v>
      </c>
      <c r="O170" s="68"/>
      <c r="P170" s="68">
        <f t="shared" si="39"/>
        <v>0</v>
      </c>
      <c r="Q170" s="68"/>
      <c r="R170" s="68">
        <f t="shared" si="39"/>
        <v>0</v>
      </c>
      <c r="S170" s="68"/>
      <c r="T170" s="68">
        <f t="shared" si="39"/>
        <v>8807.721623999998</v>
      </c>
      <c r="U170" s="68"/>
      <c r="V170" s="68">
        <f t="shared" si="39"/>
        <v>0</v>
      </c>
      <c r="W170" s="68"/>
      <c r="X170" s="68">
        <f t="shared" si="39"/>
        <v>0</v>
      </c>
      <c r="Y170" s="68"/>
      <c r="Z170" s="68">
        <f>Z28</f>
        <v>437304.54725099989</v>
      </c>
      <c r="AA170" s="68"/>
      <c r="AB170" s="68">
        <f>AB28</f>
        <v>376553.39564700006</v>
      </c>
      <c r="AC170" s="23"/>
      <c r="AD170" s="71"/>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row>
    <row r="171" spans="1:54" s="73" customFormat="1" x14ac:dyDescent="0.2">
      <c r="A171" s="74"/>
      <c r="B171" s="66"/>
      <c r="C171" s="76" t="s">
        <v>48</v>
      </c>
      <c r="D171" s="67"/>
      <c r="E171" s="63"/>
      <c r="F171" s="68"/>
      <c r="G171" s="68"/>
      <c r="H171" s="68">
        <f>H66</f>
        <v>925724.86610400013</v>
      </c>
      <c r="I171" s="68">
        <f>I66</f>
        <v>0</v>
      </c>
      <c r="J171" s="68">
        <f>J66</f>
        <v>929300.51780388015</v>
      </c>
      <c r="K171" s="68"/>
      <c r="L171" s="68">
        <f>L66</f>
        <v>17102.320560000007</v>
      </c>
      <c r="M171" s="68"/>
      <c r="N171" s="68">
        <f>N66</f>
        <v>0</v>
      </c>
      <c r="O171" s="68"/>
      <c r="P171" s="68">
        <f>P66</f>
        <v>0</v>
      </c>
      <c r="Q171" s="68"/>
      <c r="R171" s="68">
        <f>R66</f>
        <v>0</v>
      </c>
      <c r="S171" s="68"/>
      <c r="T171" s="68">
        <f>T66</f>
        <v>0</v>
      </c>
      <c r="U171" s="68"/>
      <c r="V171" s="68">
        <f>V66</f>
        <v>84128.616036000021</v>
      </c>
      <c r="W171" s="68"/>
      <c r="X171" s="68">
        <f>X66</f>
        <v>138593.37333887999</v>
      </c>
      <c r="Y171" s="68"/>
      <c r="Z171" s="68">
        <f>Z66</f>
        <v>67392.371844000008</v>
      </c>
      <c r="AA171" s="68"/>
      <c r="AB171" s="68">
        <f>AB66</f>
        <v>168856.286391</v>
      </c>
      <c r="AC171" s="23"/>
      <c r="AD171" s="71"/>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row>
    <row r="172" spans="1:54" s="73" customFormat="1" x14ac:dyDescent="0.2">
      <c r="A172" s="74"/>
      <c r="B172" s="66"/>
      <c r="C172" s="76" t="s">
        <v>49</v>
      </c>
      <c r="D172" s="67"/>
      <c r="E172" s="63"/>
      <c r="F172" s="68"/>
      <c r="G172" s="68"/>
      <c r="H172" s="68">
        <v>1551959.04</v>
      </c>
      <c r="I172" s="68"/>
      <c r="J172" s="68" t="e">
        <f>H150=#REF!</f>
        <v>#REF!</v>
      </c>
      <c r="K172" s="68"/>
      <c r="L172" s="68" t="e">
        <f>#REF!</f>
        <v>#REF!</v>
      </c>
      <c r="M172" s="68"/>
      <c r="N172" s="68" t="e">
        <f>#REF!</f>
        <v>#REF!</v>
      </c>
      <c r="O172" s="68"/>
      <c r="P172" s="68" t="e">
        <f>#REF!</f>
        <v>#REF!</v>
      </c>
      <c r="Q172" s="68"/>
      <c r="R172" s="68" t="e">
        <f>#REF!</f>
        <v>#REF!</v>
      </c>
      <c r="S172" s="68"/>
      <c r="T172" s="68" t="e">
        <f>#REF!</f>
        <v>#REF!</v>
      </c>
      <c r="U172" s="68"/>
      <c r="V172" s="68" t="e">
        <f>#REF!</f>
        <v>#REF!</v>
      </c>
      <c r="W172" s="68"/>
      <c r="X172" s="68" t="e">
        <f>#REF!</f>
        <v>#REF!</v>
      </c>
      <c r="Y172" s="68"/>
      <c r="Z172" s="68" t="e">
        <f>#REF!</f>
        <v>#REF!</v>
      </c>
      <c r="AA172" s="68"/>
      <c r="AB172" s="68" t="e">
        <f>#REF!</f>
        <v>#REF!</v>
      </c>
      <c r="AC172" s="23"/>
      <c r="AD172" s="71"/>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row>
    <row r="173" spans="1:54" s="73" customFormat="1" x14ac:dyDescent="0.2">
      <c r="A173" s="74"/>
      <c r="B173" s="66"/>
      <c r="C173" s="76" t="s">
        <v>120</v>
      </c>
      <c r="D173" s="67"/>
      <c r="E173" s="63"/>
      <c r="F173" s="68"/>
      <c r="G173" s="68"/>
      <c r="H173" s="68">
        <v>49</v>
      </c>
      <c r="I173" s="68"/>
      <c r="J173" s="68">
        <f>J75</f>
        <v>1318912</v>
      </c>
      <c r="K173" s="68"/>
      <c r="L173" s="68">
        <f>L75</f>
        <v>0</v>
      </c>
      <c r="M173" s="68"/>
      <c r="N173" s="68">
        <f>N75</f>
        <v>0</v>
      </c>
      <c r="O173" s="68"/>
      <c r="P173" s="68">
        <f>P75</f>
        <v>0</v>
      </c>
      <c r="Q173" s="68"/>
      <c r="R173" s="68">
        <f>R75</f>
        <v>0</v>
      </c>
      <c r="S173" s="68"/>
      <c r="T173" s="68">
        <f>T75</f>
        <v>0</v>
      </c>
      <c r="U173" s="68"/>
      <c r="V173" s="68">
        <f>V75</f>
        <v>0</v>
      </c>
      <c r="W173" s="68"/>
      <c r="X173" s="68">
        <f>X75</f>
        <v>0</v>
      </c>
      <c r="Y173" s="68"/>
      <c r="Z173" s="68">
        <f>Z75</f>
        <v>233047.04000000001</v>
      </c>
      <c r="AA173" s="68"/>
      <c r="AB173" s="68">
        <f>AB75</f>
        <v>0</v>
      </c>
      <c r="AC173" s="23"/>
      <c r="AD173" s="71"/>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row>
    <row r="174" spans="1:54" s="73" customFormat="1" x14ac:dyDescent="0.2">
      <c r="A174" s="74"/>
      <c r="B174" s="66"/>
      <c r="C174" s="76" t="s">
        <v>121</v>
      </c>
      <c r="D174" s="67"/>
      <c r="E174" s="63"/>
      <c r="F174" s="68"/>
      <c r="G174" s="68"/>
      <c r="H174" s="68">
        <f>H85</f>
        <v>1019287.6012799998</v>
      </c>
      <c r="I174" s="68"/>
      <c r="J174" s="68">
        <f>J85</f>
        <v>866916.41601599986</v>
      </c>
      <c r="K174" s="68"/>
      <c r="L174" s="68">
        <f>L85</f>
        <v>43139.604239999971</v>
      </c>
      <c r="M174" s="68"/>
      <c r="N174" s="68">
        <f>N85</f>
        <v>0</v>
      </c>
      <c r="O174" s="68"/>
      <c r="P174" s="68">
        <f>P85</f>
        <v>0</v>
      </c>
      <c r="Q174" s="68"/>
      <c r="R174" s="68">
        <f>R85</f>
        <v>0</v>
      </c>
      <c r="S174" s="68"/>
      <c r="T174" s="68">
        <f>T85</f>
        <v>0</v>
      </c>
      <c r="U174" s="68"/>
      <c r="V174" s="68">
        <f>V85</f>
        <v>0</v>
      </c>
      <c r="W174" s="68"/>
      <c r="X174" s="68">
        <f>X85</f>
        <v>0</v>
      </c>
      <c r="Y174" s="68"/>
      <c r="Z174" s="68">
        <f>Z85</f>
        <v>115691.15649599998</v>
      </c>
      <c r="AA174" s="68"/>
      <c r="AB174" s="68">
        <f>AB85</f>
        <v>79819.63300799999</v>
      </c>
      <c r="AC174" s="23"/>
      <c r="AD174" s="71"/>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row>
    <row r="175" spans="1:54" s="73" customFormat="1" x14ac:dyDescent="0.2">
      <c r="A175" s="74"/>
      <c r="B175" s="66"/>
      <c r="C175" s="76" t="s">
        <v>122</v>
      </c>
      <c r="D175" s="67"/>
      <c r="E175" s="63"/>
      <c r="F175" s="68"/>
      <c r="G175" s="68"/>
      <c r="H175" s="68">
        <f>H95</f>
        <v>1383616.24896</v>
      </c>
      <c r="I175" s="68"/>
      <c r="J175" s="68">
        <f>J95</f>
        <v>1029813.9839999999</v>
      </c>
      <c r="K175" s="68"/>
      <c r="L175" s="68">
        <f>L95</f>
        <v>0</v>
      </c>
      <c r="M175" s="68"/>
      <c r="N175" s="68">
        <f>N95</f>
        <v>0</v>
      </c>
      <c r="O175" s="68"/>
      <c r="P175" s="68">
        <f>P95</f>
        <v>0</v>
      </c>
      <c r="Q175" s="68"/>
      <c r="R175" s="68">
        <f>R95</f>
        <v>0</v>
      </c>
      <c r="S175" s="68"/>
      <c r="T175" s="68">
        <f>T95</f>
        <v>0</v>
      </c>
      <c r="U175" s="68"/>
      <c r="V175" s="68">
        <f>V95</f>
        <v>0</v>
      </c>
      <c r="W175" s="68"/>
      <c r="X175" s="68">
        <f>X95</f>
        <v>0</v>
      </c>
      <c r="Y175" s="68"/>
      <c r="Z175" s="68">
        <f>Z95</f>
        <v>254541.27935999999</v>
      </c>
      <c r="AA175" s="68"/>
      <c r="AB175" s="68">
        <f>AB95</f>
        <v>99260.985599999985</v>
      </c>
      <c r="AC175" s="23"/>
      <c r="AD175" s="71"/>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row>
    <row r="176" spans="1:54" s="73" customFormat="1" x14ac:dyDescent="0.2">
      <c r="A176" s="74"/>
      <c r="B176" s="66"/>
      <c r="C176" s="76" t="s">
        <v>123</v>
      </c>
      <c r="D176" s="67"/>
      <c r="E176" s="63"/>
      <c r="F176" s="68"/>
      <c r="G176" s="68"/>
      <c r="H176" s="68">
        <f>H107</f>
        <v>108858.33749999999</v>
      </c>
      <c r="I176" s="68"/>
      <c r="J176" s="68">
        <f>J107</f>
        <v>103312.7475</v>
      </c>
      <c r="K176" s="68"/>
      <c r="L176" s="68">
        <f>L107</f>
        <v>0</v>
      </c>
      <c r="M176" s="68"/>
      <c r="N176" s="68">
        <f>N107</f>
        <v>0</v>
      </c>
      <c r="O176" s="68"/>
      <c r="P176" s="68">
        <f>P107</f>
        <v>0</v>
      </c>
      <c r="Q176" s="68"/>
      <c r="R176" s="68">
        <f>R107</f>
        <v>0</v>
      </c>
      <c r="S176" s="68"/>
      <c r="T176" s="68">
        <f>T107</f>
        <v>0</v>
      </c>
      <c r="U176" s="68"/>
      <c r="V176" s="68">
        <f>V107</f>
        <v>0</v>
      </c>
      <c r="W176" s="68"/>
      <c r="X176" s="68">
        <f>X107</f>
        <v>0</v>
      </c>
      <c r="Y176" s="68"/>
      <c r="Z176" s="68">
        <f>Z107</f>
        <v>5545.59</v>
      </c>
      <c r="AA176" s="68"/>
      <c r="AB176" s="68">
        <f>AB107</f>
        <v>0</v>
      </c>
      <c r="AC176" s="23"/>
      <c r="AD176" s="71"/>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row>
    <row r="177" spans="1:54" s="73" customFormat="1" x14ac:dyDescent="0.2">
      <c r="A177" s="74"/>
      <c r="B177" s="66"/>
      <c r="C177" s="76" t="s">
        <v>124</v>
      </c>
      <c r="D177" s="67"/>
      <c r="E177" s="63"/>
      <c r="F177" s="68"/>
      <c r="G177" s="68"/>
      <c r="H177" s="68">
        <f>H125</f>
        <v>464002.56</v>
      </c>
      <c r="I177" s="68"/>
      <c r="J177" s="68">
        <f>J125</f>
        <v>12226.467455999998</v>
      </c>
      <c r="K177" s="68"/>
      <c r="L177" s="68">
        <f>L125</f>
        <v>0</v>
      </c>
      <c r="M177" s="68"/>
      <c r="N177" s="68">
        <f>N125</f>
        <v>0</v>
      </c>
      <c r="O177" s="68"/>
      <c r="P177" s="68">
        <f>P125</f>
        <v>0</v>
      </c>
      <c r="Q177" s="68"/>
      <c r="R177" s="68">
        <f>R125</f>
        <v>0</v>
      </c>
      <c r="S177" s="68"/>
      <c r="T177" s="68">
        <f>T125</f>
        <v>0</v>
      </c>
      <c r="U177" s="68"/>
      <c r="V177" s="68">
        <f>V125</f>
        <v>0</v>
      </c>
      <c r="W177" s="68"/>
      <c r="X177" s="68">
        <f>X125</f>
        <v>0</v>
      </c>
      <c r="Y177" s="68"/>
      <c r="Z177" s="68">
        <f>Z125</f>
        <v>116000.64</v>
      </c>
      <c r="AA177" s="68"/>
      <c r="AB177" s="68">
        <f>AB125</f>
        <v>335775.452544</v>
      </c>
      <c r="AC177" s="6"/>
      <c r="AD177" s="71"/>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row>
    <row r="178" spans="1:54" s="73" customFormat="1" x14ac:dyDescent="0.2">
      <c r="A178" s="74"/>
      <c r="B178" s="66"/>
      <c r="C178" s="76" t="s">
        <v>125</v>
      </c>
      <c r="D178" s="67"/>
      <c r="E178" s="63"/>
      <c r="F178" s="68"/>
      <c r="G178" s="68"/>
      <c r="H178" s="68">
        <f>H134</f>
        <v>26313.195</v>
      </c>
      <c r="I178" s="68"/>
      <c r="J178" s="68">
        <f>J134</f>
        <v>15634.491250000001</v>
      </c>
      <c r="K178" s="68"/>
      <c r="L178" s="68">
        <f>L134</f>
        <v>0</v>
      </c>
      <c r="M178" s="68"/>
      <c r="N178" s="68">
        <f>N134</f>
        <v>0</v>
      </c>
      <c r="O178" s="68"/>
      <c r="P178" s="68">
        <f>P134</f>
        <v>0</v>
      </c>
      <c r="Q178" s="68"/>
      <c r="R178" s="68">
        <f>R134</f>
        <v>0</v>
      </c>
      <c r="S178" s="68"/>
      <c r="T178" s="68">
        <f>T134</f>
        <v>0</v>
      </c>
      <c r="U178" s="68"/>
      <c r="V178" s="68">
        <f>V134</f>
        <v>0</v>
      </c>
      <c r="W178" s="68"/>
      <c r="X178" s="68">
        <f>X134</f>
        <v>0</v>
      </c>
      <c r="Y178" s="68"/>
      <c r="Z178" s="68">
        <f>Z134</f>
        <v>6578.2987499999999</v>
      </c>
      <c r="AA178" s="68"/>
      <c r="AB178" s="68">
        <f>AB134</f>
        <v>4100.4049999999997</v>
      </c>
      <c r="AC178" s="6"/>
      <c r="AD178" s="71"/>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row>
    <row r="179" spans="1:54" s="73" customFormat="1" x14ac:dyDescent="0.2">
      <c r="A179" s="74"/>
      <c r="B179" s="66"/>
      <c r="C179" s="76" t="s">
        <v>126</v>
      </c>
      <c r="D179" s="67"/>
      <c r="E179" s="63"/>
      <c r="F179" s="68"/>
      <c r="G179" s="68"/>
      <c r="H179" s="68">
        <f>H146</f>
        <v>2240879.0707999999</v>
      </c>
      <c r="I179" s="68"/>
      <c r="J179" s="68">
        <f>J146</f>
        <v>2275503.0951299998</v>
      </c>
      <c r="K179" s="68"/>
      <c r="L179" s="68">
        <f>L146</f>
        <v>2814.8823300000654</v>
      </c>
      <c r="M179" s="68"/>
      <c r="N179" s="68">
        <f>N146</f>
        <v>0</v>
      </c>
      <c r="O179" s="68"/>
      <c r="P179" s="68">
        <f>P146</f>
        <v>0</v>
      </c>
      <c r="Q179" s="68"/>
      <c r="R179" s="68">
        <f>R146</f>
        <v>0</v>
      </c>
      <c r="S179" s="68"/>
      <c r="T179" s="68">
        <f>T146</f>
        <v>0</v>
      </c>
      <c r="U179" s="68"/>
      <c r="V179" s="68">
        <f>V146</f>
        <v>31809.142</v>
      </c>
      <c r="W179" s="68"/>
      <c r="X179" s="68">
        <f>X146</f>
        <v>0</v>
      </c>
      <c r="Y179" s="68"/>
      <c r="Z179" s="68">
        <f>Z146</f>
        <v>0</v>
      </c>
      <c r="AA179" s="68"/>
      <c r="AB179" s="68">
        <f>AB146</f>
        <v>0</v>
      </c>
      <c r="AC179" s="6"/>
      <c r="AD179" s="71"/>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row>
    <row r="180" spans="1:54" s="73" customFormat="1" x14ac:dyDescent="0.2">
      <c r="A180" s="74"/>
      <c r="B180" s="66"/>
      <c r="C180" s="76"/>
      <c r="D180" s="67"/>
      <c r="E180" s="63"/>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
      <c r="AD180" s="71"/>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row>
    <row r="181" spans="1:54" s="73" customFormat="1" x14ac:dyDescent="0.2">
      <c r="A181" s="74"/>
      <c r="B181" s="66"/>
      <c r="C181" s="77"/>
      <c r="D181" s="67"/>
      <c r="E181" s="63"/>
      <c r="F181" s="68"/>
      <c r="G181" s="68"/>
      <c r="H181" s="68">
        <f>SUM(H170:H180)</f>
        <v>10268104.223064</v>
      </c>
      <c r="I181" s="69"/>
      <c r="J181" s="68" t="e">
        <f>SUM(J170:J180)</f>
        <v>#REF!</v>
      </c>
      <c r="K181" s="114"/>
      <c r="L181" s="68" t="e">
        <f>SUM(L170:L180)</f>
        <v>#REF!</v>
      </c>
      <c r="M181" s="68"/>
      <c r="N181" s="68" t="e">
        <f>SUM(N170:N180)</f>
        <v>#REF!</v>
      </c>
      <c r="O181" s="68"/>
      <c r="P181" s="68" t="e">
        <f>SUM(P170:P180)</f>
        <v>#REF!</v>
      </c>
      <c r="Q181" s="68"/>
      <c r="R181" s="68" t="e">
        <f>SUM(R170:R180)</f>
        <v>#REF!</v>
      </c>
      <c r="S181" s="68"/>
      <c r="T181" s="68" t="e">
        <f>SUM(T170:T180)</f>
        <v>#REF!</v>
      </c>
      <c r="U181" s="68"/>
      <c r="V181" s="68" t="e">
        <f>SUM(V170:V180)</f>
        <v>#REF!</v>
      </c>
      <c r="W181" s="68"/>
      <c r="X181" s="68" t="e">
        <f>SUM(X170:X180)</f>
        <v>#REF!</v>
      </c>
      <c r="Y181" s="68"/>
      <c r="Z181" s="68" t="e">
        <f>SUM(Z170:Z180)</f>
        <v>#REF!</v>
      </c>
      <c r="AA181" s="68"/>
      <c r="AB181" s="68" t="e">
        <f>SUM(AB170:AB180)</f>
        <v>#REF!</v>
      </c>
      <c r="AC181" s="6"/>
      <c r="AD181" s="71"/>
      <c r="AE181" s="72"/>
      <c r="AF181" s="72"/>
      <c r="AG181" s="72"/>
      <c r="AH181" s="72"/>
      <c r="AI181" s="72"/>
      <c r="AJ181" s="72"/>
      <c r="AK181" s="72"/>
      <c r="AL181" s="72"/>
      <c r="AM181" s="72"/>
      <c r="AN181" s="72"/>
      <c r="AO181" s="72"/>
      <c r="AP181" s="72"/>
      <c r="AQ181" s="72"/>
      <c r="AR181" s="72"/>
      <c r="AS181" s="72"/>
      <c r="AT181" s="72"/>
      <c r="AU181" s="72"/>
      <c r="AV181" s="72"/>
      <c r="AW181" s="72"/>
      <c r="AX181" s="72"/>
      <c r="AY181" s="72"/>
      <c r="AZ181" s="72"/>
      <c r="BA181" s="72"/>
      <c r="BB181" s="72"/>
    </row>
    <row r="182" spans="1:54" s="73" customFormat="1" x14ac:dyDescent="0.2">
      <c r="A182" s="74"/>
      <c r="B182" s="66"/>
      <c r="C182" s="77"/>
      <c r="D182" s="67"/>
      <c r="E182" s="63"/>
      <c r="F182" s="78"/>
      <c r="G182" s="68"/>
      <c r="H182" s="68"/>
      <c r="I182" s="69"/>
      <c r="J182" s="68" t="e">
        <f>H181+L181+N181+P181+R181+T181+V181+X181-AB181-Z181</f>
        <v>#REF!</v>
      </c>
      <c r="K182" s="114"/>
      <c r="L182" s="68"/>
      <c r="M182" s="68"/>
      <c r="N182" s="68"/>
      <c r="O182" s="68"/>
      <c r="P182" s="68"/>
      <c r="Q182" s="68"/>
      <c r="R182" s="68"/>
      <c r="S182" s="68"/>
      <c r="T182" s="68"/>
      <c r="U182" s="68"/>
      <c r="V182" s="68"/>
      <c r="W182" s="68"/>
      <c r="X182" s="68"/>
      <c r="Y182" s="68"/>
      <c r="Z182" s="68"/>
      <c r="AA182" s="68"/>
      <c r="AB182" s="79"/>
      <c r="AC182" s="6"/>
      <c r="AD182" s="71"/>
      <c r="AE182" s="72"/>
      <c r="AF182" s="72"/>
      <c r="AG182" s="72"/>
      <c r="AH182" s="72"/>
      <c r="AI182" s="72"/>
      <c r="AJ182" s="72"/>
      <c r="AK182" s="72"/>
      <c r="AL182" s="72"/>
      <c r="AM182" s="72"/>
      <c r="AN182" s="72"/>
      <c r="AO182" s="72"/>
      <c r="AP182" s="72"/>
      <c r="AQ182" s="72"/>
      <c r="AR182" s="72"/>
      <c r="AS182" s="72"/>
      <c r="AT182" s="72"/>
      <c r="AU182" s="72"/>
      <c r="AV182" s="72"/>
      <c r="AW182" s="72"/>
      <c r="AX182" s="72"/>
      <c r="AY182" s="72"/>
      <c r="AZ182" s="72"/>
      <c r="BA182" s="72"/>
      <c r="BB182" s="72"/>
    </row>
    <row r="183" spans="1:54" s="73" customFormat="1" ht="18.75" x14ac:dyDescent="0.2">
      <c r="A183" s="80"/>
      <c r="B183" s="81"/>
      <c r="C183" s="82" t="s">
        <v>50</v>
      </c>
      <c r="D183" s="83"/>
      <c r="E183" s="84"/>
      <c r="F183" s="85"/>
      <c r="G183" s="86"/>
      <c r="H183" s="86"/>
      <c r="I183" s="69"/>
      <c r="J183" s="68"/>
      <c r="K183" s="114"/>
      <c r="L183" s="68"/>
      <c r="M183" s="68"/>
      <c r="N183" s="68"/>
      <c r="O183" s="68"/>
      <c r="P183" s="68"/>
      <c r="Q183" s="68"/>
      <c r="R183" s="68"/>
      <c r="S183" s="68"/>
      <c r="T183" s="68"/>
      <c r="U183" s="68"/>
      <c r="V183" s="68"/>
      <c r="W183" s="68"/>
      <c r="X183" s="68"/>
      <c r="Y183" s="68"/>
      <c r="Z183" s="68"/>
      <c r="AA183" s="68"/>
      <c r="AB183" s="79"/>
      <c r="AC183" s="6"/>
      <c r="AD183" s="71"/>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row>
    <row r="184" spans="1:54" s="73" customFormat="1" ht="18.75" x14ac:dyDescent="0.2">
      <c r="A184" s="80"/>
      <c r="B184" s="87">
        <v>1</v>
      </c>
      <c r="C184" s="88" t="s">
        <v>51</v>
      </c>
      <c r="D184" s="83"/>
      <c r="E184" s="84"/>
      <c r="F184" s="85"/>
      <c r="G184" s="86"/>
      <c r="H184" s="86">
        <f>H181</f>
        <v>10268104.223064</v>
      </c>
      <c r="I184" s="69"/>
      <c r="J184" s="68"/>
      <c r="K184" s="114"/>
      <c r="L184" s="68"/>
      <c r="M184" s="68"/>
      <c r="N184" s="68"/>
      <c r="O184" s="68"/>
      <c r="P184" s="68"/>
      <c r="Q184" s="68"/>
      <c r="R184" s="68"/>
      <c r="S184" s="68"/>
      <c r="T184" s="68"/>
      <c r="U184" s="68"/>
      <c r="V184" s="68"/>
      <c r="W184" s="68"/>
      <c r="X184" s="68"/>
      <c r="Y184" s="68"/>
      <c r="Z184" s="68"/>
      <c r="AA184" s="68"/>
      <c r="AB184" s="79"/>
      <c r="AC184" s="6"/>
      <c r="AD184" s="71"/>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row>
    <row r="185" spans="1:54" s="73" customFormat="1" ht="18.75" x14ac:dyDescent="0.2">
      <c r="A185" s="80"/>
      <c r="B185" s="87">
        <v>2</v>
      </c>
      <c r="C185" s="88" t="s">
        <v>16</v>
      </c>
      <c r="D185" s="83"/>
      <c r="E185" s="84"/>
      <c r="F185" s="85"/>
      <c r="G185" s="86"/>
      <c r="H185" s="86" t="e">
        <f>T181</f>
        <v>#REF!</v>
      </c>
      <c r="I185" s="69"/>
      <c r="J185" s="68"/>
      <c r="K185" s="114"/>
      <c r="L185" s="66"/>
      <c r="M185" s="68"/>
      <c r="N185" s="68"/>
      <c r="O185" s="68"/>
      <c r="P185" s="68"/>
      <c r="Q185" s="68"/>
      <c r="R185" s="68"/>
      <c r="S185" s="68"/>
      <c r="T185" s="68"/>
      <c r="U185" s="68"/>
      <c r="V185" s="68"/>
      <c r="W185" s="68"/>
      <c r="X185" s="68"/>
      <c r="Y185" s="68"/>
      <c r="Z185" s="68"/>
      <c r="AA185" s="68"/>
      <c r="AB185" s="79"/>
      <c r="AC185" s="6"/>
      <c r="AD185" s="71"/>
      <c r="AE185" s="72"/>
      <c r="AF185" s="72"/>
      <c r="AG185" s="72"/>
      <c r="AH185" s="72"/>
      <c r="AI185" s="72"/>
      <c r="AJ185" s="72"/>
      <c r="AK185" s="72"/>
      <c r="AL185" s="72"/>
      <c r="AM185" s="72"/>
      <c r="AN185" s="72"/>
      <c r="AO185" s="72"/>
      <c r="AP185" s="72"/>
      <c r="AQ185" s="72"/>
      <c r="AR185" s="72"/>
      <c r="AS185" s="72"/>
      <c r="AT185" s="72"/>
      <c r="AU185" s="72"/>
      <c r="AV185" s="72"/>
      <c r="AW185" s="72"/>
      <c r="AX185" s="72"/>
      <c r="AY185" s="72"/>
      <c r="AZ185" s="72"/>
      <c r="BA185" s="72"/>
      <c r="BB185" s="72"/>
    </row>
    <row r="186" spans="1:54" s="73" customFormat="1" ht="18.75" x14ac:dyDescent="0.2">
      <c r="A186" s="80"/>
      <c r="B186" s="87">
        <v>3</v>
      </c>
      <c r="C186" s="88" t="s">
        <v>64</v>
      </c>
      <c r="D186" s="83"/>
      <c r="E186" s="84"/>
      <c r="F186" s="85"/>
      <c r="G186" s="86"/>
      <c r="H186" s="86" t="e">
        <f>L181</f>
        <v>#REF!</v>
      </c>
      <c r="I186" s="69"/>
      <c r="J186" s="68"/>
      <c r="K186" s="114"/>
      <c r="L186" s="68"/>
      <c r="M186" s="68"/>
      <c r="N186" s="68"/>
      <c r="O186" s="68"/>
      <c r="P186" s="68"/>
      <c r="Q186" s="68"/>
      <c r="R186" s="68"/>
      <c r="S186" s="68"/>
      <c r="T186" s="68"/>
      <c r="U186" s="68"/>
      <c r="V186" s="68"/>
      <c r="W186" s="68"/>
      <c r="X186" s="68"/>
      <c r="Y186" s="68"/>
      <c r="Z186" s="68"/>
      <c r="AA186" s="68"/>
      <c r="AB186" s="79"/>
      <c r="AC186" s="6"/>
      <c r="AD186" s="71"/>
      <c r="AE186" s="72"/>
      <c r="AF186" s="72"/>
      <c r="AG186" s="72"/>
      <c r="AH186" s="72"/>
      <c r="AI186" s="72"/>
      <c r="AJ186" s="72"/>
      <c r="AK186" s="72"/>
      <c r="AL186" s="72"/>
      <c r="AM186" s="72"/>
      <c r="AN186" s="72"/>
      <c r="AO186" s="72"/>
      <c r="AP186" s="72"/>
      <c r="AQ186" s="72"/>
      <c r="AR186" s="72"/>
      <c r="AS186" s="72"/>
      <c r="AT186" s="72"/>
      <c r="AU186" s="72"/>
      <c r="AV186" s="72"/>
      <c r="AW186" s="72"/>
      <c r="AX186" s="72"/>
      <c r="AY186" s="72"/>
      <c r="AZ186" s="72"/>
      <c r="BA186" s="72"/>
      <c r="BB186" s="72"/>
    </row>
    <row r="187" spans="1:54" s="73" customFormat="1" ht="18.75" x14ac:dyDescent="0.2">
      <c r="A187" s="80"/>
      <c r="B187" s="87">
        <v>4</v>
      </c>
      <c r="C187" s="88" t="s">
        <v>65</v>
      </c>
      <c r="D187" s="83"/>
      <c r="E187" s="84"/>
      <c r="F187" s="85"/>
      <c r="G187" s="86"/>
      <c r="H187" s="86" t="e">
        <f>N181</f>
        <v>#REF!</v>
      </c>
      <c r="I187" s="69"/>
      <c r="J187" s="68"/>
      <c r="K187" s="114"/>
      <c r="L187" s="68"/>
      <c r="M187" s="68"/>
      <c r="N187" s="68"/>
      <c r="O187" s="68"/>
      <c r="P187" s="68"/>
      <c r="Q187" s="68"/>
      <c r="R187" s="68"/>
      <c r="S187" s="68"/>
      <c r="T187" s="68"/>
      <c r="U187" s="68"/>
      <c r="V187" s="68"/>
      <c r="W187" s="68"/>
      <c r="X187" s="68"/>
      <c r="Y187" s="68"/>
      <c r="Z187" s="68"/>
      <c r="AA187" s="68"/>
      <c r="AB187" s="79"/>
      <c r="AC187" s="6"/>
      <c r="AD187" s="71"/>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row>
    <row r="188" spans="1:54" s="73" customFormat="1" ht="18.75" x14ac:dyDescent="0.2">
      <c r="A188" s="80"/>
      <c r="B188" s="87">
        <v>5</v>
      </c>
      <c r="C188" s="88" t="s">
        <v>66</v>
      </c>
      <c r="D188" s="83"/>
      <c r="E188" s="84"/>
      <c r="F188" s="85"/>
      <c r="G188" s="86"/>
      <c r="H188" s="86" t="e">
        <f>P181</f>
        <v>#REF!</v>
      </c>
      <c r="I188" s="69"/>
      <c r="J188" s="68"/>
      <c r="K188" s="114"/>
      <c r="L188" s="68"/>
      <c r="M188" s="68"/>
      <c r="N188" s="68"/>
      <c r="O188" s="68"/>
      <c r="P188" s="68"/>
      <c r="Q188" s="68"/>
      <c r="R188" s="68"/>
      <c r="S188" s="68"/>
      <c r="T188" s="68"/>
      <c r="U188" s="68"/>
      <c r="V188" s="68"/>
      <c r="W188" s="68"/>
      <c r="X188" s="68"/>
      <c r="Y188" s="68"/>
      <c r="Z188" s="68"/>
      <c r="AA188" s="68"/>
      <c r="AB188" s="79"/>
      <c r="AC188" s="6"/>
      <c r="AD188" s="71"/>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row>
    <row r="189" spans="1:54" s="73" customFormat="1" ht="18.75" x14ac:dyDescent="0.2">
      <c r="A189" s="80"/>
      <c r="B189" s="87">
        <v>6</v>
      </c>
      <c r="C189" s="88" t="s">
        <v>67</v>
      </c>
      <c r="D189" s="83"/>
      <c r="E189" s="84"/>
      <c r="F189" s="85"/>
      <c r="G189" s="86"/>
      <c r="H189" s="86" t="e">
        <f>R181</f>
        <v>#REF!</v>
      </c>
      <c r="I189" s="69"/>
      <c r="J189" s="68"/>
      <c r="K189" s="114"/>
      <c r="L189" s="68"/>
      <c r="M189" s="68"/>
      <c r="N189" s="68"/>
      <c r="O189" s="68"/>
      <c r="P189" s="68"/>
      <c r="Q189" s="68"/>
      <c r="R189" s="68"/>
      <c r="S189" s="68"/>
      <c r="T189" s="68"/>
      <c r="U189" s="68"/>
      <c r="V189" s="68"/>
      <c r="W189" s="68"/>
      <c r="X189" s="68"/>
      <c r="Y189" s="68"/>
      <c r="Z189" s="68"/>
      <c r="AA189" s="68"/>
      <c r="AB189" s="79"/>
      <c r="AC189" s="6"/>
      <c r="AD189" s="71"/>
      <c r="AE189" s="72"/>
      <c r="AF189" s="72"/>
      <c r="AG189" s="72"/>
      <c r="AH189" s="72"/>
      <c r="AI189" s="72"/>
      <c r="AJ189" s="72"/>
      <c r="AK189" s="72"/>
      <c r="AL189" s="72"/>
      <c r="AM189" s="72"/>
      <c r="AN189" s="72"/>
      <c r="AO189" s="72"/>
      <c r="AP189" s="72"/>
      <c r="AQ189" s="72"/>
      <c r="AR189" s="72"/>
      <c r="AS189" s="72"/>
      <c r="AT189" s="72"/>
      <c r="AU189" s="72"/>
      <c r="AV189" s="72"/>
      <c r="AW189" s="72"/>
      <c r="AX189" s="72"/>
      <c r="AY189" s="72"/>
      <c r="AZ189" s="72"/>
      <c r="BA189" s="72"/>
      <c r="BB189" s="72"/>
    </row>
    <row r="190" spans="1:54" s="73" customFormat="1" ht="18.75" x14ac:dyDescent="0.2">
      <c r="A190" s="80"/>
      <c r="B190" s="87">
        <v>7</v>
      </c>
      <c r="C190" s="88" t="s">
        <v>68</v>
      </c>
      <c r="D190" s="83"/>
      <c r="E190" s="84"/>
      <c r="F190" s="85"/>
      <c r="G190" s="86"/>
      <c r="H190" s="86" t="e">
        <f>V181</f>
        <v>#REF!</v>
      </c>
      <c r="I190" s="69"/>
      <c r="J190" s="68"/>
      <c r="K190" s="114"/>
      <c r="L190" s="68"/>
      <c r="M190" s="68"/>
      <c r="N190" s="68"/>
      <c r="O190" s="68"/>
      <c r="P190" s="68"/>
      <c r="Q190" s="68"/>
      <c r="R190" s="68"/>
      <c r="S190" s="68"/>
      <c r="T190" s="68"/>
      <c r="U190" s="68"/>
      <c r="V190" s="68"/>
      <c r="W190" s="68"/>
      <c r="X190" s="68"/>
      <c r="Y190" s="68"/>
      <c r="Z190" s="68"/>
      <c r="AA190" s="68"/>
      <c r="AB190" s="79"/>
      <c r="AC190" s="6"/>
      <c r="AD190" s="71"/>
      <c r="AE190" s="72"/>
      <c r="AF190" s="72"/>
      <c r="AG190" s="72"/>
      <c r="AH190" s="72"/>
      <c r="AI190" s="72"/>
      <c r="AJ190" s="72"/>
      <c r="AK190" s="72"/>
      <c r="AL190" s="72"/>
      <c r="AM190" s="72"/>
      <c r="AN190" s="72"/>
      <c r="AO190" s="72"/>
      <c r="AP190" s="72"/>
      <c r="AQ190" s="72"/>
      <c r="AR190" s="72"/>
      <c r="AS190" s="72"/>
      <c r="AT190" s="72"/>
      <c r="AU190" s="72"/>
      <c r="AV190" s="72"/>
      <c r="AW190" s="72"/>
      <c r="AX190" s="72"/>
      <c r="AY190" s="72"/>
      <c r="AZ190" s="72"/>
      <c r="BA190" s="72"/>
      <c r="BB190" s="72"/>
    </row>
    <row r="191" spans="1:54" s="73" customFormat="1" ht="18.75" x14ac:dyDescent="0.2">
      <c r="A191" s="80"/>
      <c r="B191" s="87">
        <v>8</v>
      </c>
      <c r="C191" s="88" t="s">
        <v>69</v>
      </c>
      <c r="D191" s="83"/>
      <c r="E191" s="84"/>
      <c r="F191" s="85"/>
      <c r="G191" s="86"/>
      <c r="H191" s="86" t="e">
        <f>X181</f>
        <v>#REF!</v>
      </c>
      <c r="I191" s="69"/>
      <c r="J191" s="68"/>
      <c r="K191" s="114"/>
      <c r="L191" s="68"/>
      <c r="M191" s="68"/>
      <c r="N191" s="68"/>
      <c r="O191" s="68"/>
      <c r="P191" s="68"/>
      <c r="Q191" s="68"/>
      <c r="R191" s="68"/>
      <c r="S191" s="68"/>
      <c r="T191" s="68"/>
      <c r="U191" s="68"/>
      <c r="V191" s="68"/>
      <c r="W191" s="68"/>
      <c r="X191" s="68"/>
      <c r="Y191" s="68"/>
      <c r="Z191" s="68"/>
      <c r="AA191" s="68"/>
      <c r="AB191" s="79"/>
      <c r="AC191" s="6"/>
      <c r="AD191" s="71"/>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row>
    <row r="192" spans="1:54" s="73" customFormat="1" ht="18.75" x14ac:dyDescent="0.2">
      <c r="A192" s="80"/>
      <c r="B192" s="87">
        <v>9</v>
      </c>
      <c r="C192" s="88" t="s">
        <v>18</v>
      </c>
      <c r="D192" s="83"/>
      <c r="E192" s="84"/>
      <c r="F192" s="85"/>
      <c r="G192" s="86"/>
      <c r="H192" s="86" t="e">
        <f>SUM(H185:H191)</f>
        <v>#REF!</v>
      </c>
      <c r="I192" s="69"/>
      <c r="J192" s="68"/>
      <c r="K192" s="114"/>
      <c r="L192" s="68"/>
      <c r="M192" s="68"/>
      <c r="N192" s="68"/>
      <c r="O192" s="68"/>
      <c r="P192" s="68"/>
      <c r="Q192" s="68"/>
      <c r="R192" s="68"/>
      <c r="S192" s="68"/>
      <c r="T192" s="68"/>
      <c r="U192" s="68"/>
      <c r="V192" s="68"/>
      <c r="W192" s="68"/>
      <c r="X192" s="68"/>
      <c r="Y192" s="68"/>
      <c r="Z192" s="68"/>
      <c r="AA192" s="68"/>
      <c r="AB192" s="79"/>
      <c r="AC192" s="6"/>
      <c r="AD192" s="71"/>
      <c r="AE192" s="72"/>
      <c r="AF192" s="72"/>
      <c r="AG192" s="72"/>
      <c r="AH192" s="72"/>
      <c r="AI192" s="72"/>
      <c r="AJ192" s="72"/>
      <c r="AK192" s="72"/>
      <c r="AL192" s="72"/>
      <c r="AM192" s="72"/>
      <c r="AN192" s="72"/>
      <c r="AO192" s="72"/>
      <c r="AP192" s="72"/>
      <c r="AQ192" s="72"/>
      <c r="AR192" s="72"/>
      <c r="AS192" s="72"/>
      <c r="AT192" s="72"/>
      <c r="AU192" s="72"/>
      <c r="AV192" s="72"/>
      <c r="AW192" s="72"/>
      <c r="AX192" s="72"/>
      <c r="AY192" s="72"/>
      <c r="AZ192" s="72"/>
      <c r="BA192" s="72"/>
      <c r="BB192" s="72"/>
    </row>
    <row r="193" spans="1:54" s="73" customFormat="1" ht="18.75" x14ac:dyDescent="0.2">
      <c r="A193" s="80"/>
      <c r="B193" s="87">
        <v>10</v>
      </c>
      <c r="C193" s="88" t="s">
        <v>52</v>
      </c>
      <c r="D193" s="83"/>
      <c r="E193" s="84"/>
      <c r="F193" s="85"/>
      <c r="G193" s="86"/>
      <c r="H193" s="86" t="e">
        <f>H192/H184*100</f>
        <v>#REF!</v>
      </c>
      <c r="I193" s="69"/>
      <c r="J193" s="68"/>
      <c r="K193" s="114"/>
      <c r="L193" s="68"/>
      <c r="M193" s="68"/>
      <c r="N193" s="68"/>
      <c r="O193" s="68"/>
      <c r="P193" s="68"/>
      <c r="Q193" s="68"/>
      <c r="R193" s="68"/>
      <c r="S193" s="68"/>
      <c r="T193" s="68"/>
      <c r="U193" s="68"/>
      <c r="V193" s="68"/>
      <c r="W193" s="68"/>
      <c r="X193" s="68"/>
      <c r="Y193" s="68"/>
      <c r="Z193" s="68"/>
      <c r="AA193" s="68"/>
      <c r="AB193" s="79"/>
      <c r="AC193" s="6"/>
      <c r="AD193" s="71"/>
      <c r="AE193" s="72"/>
      <c r="AF193" s="72"/>
      <c r="AG193" s="72"/>
      <c r="AH193" s="72"/>
      <c r="AI193" s="72"/>
      <c r="AJ193" s="72"/>
      <c r="AK193" s="72"/>
      <c r="AL193" s="72"/>
      <c r="AM193" s="72"/>
      <c r="AN193" s="72"/>
      <c r="AO193" s="72"/>
      <c r="AP193" s="72"/>
      <c r="AQ193" s="72"/>
      <c r="AR193" s="72"/>
      <c r="AS193" s="72"/>
      <c r="AT193" s="72"/>
      <c r="AU193" s="72"/>
      <c r="AV193" s="72"/>
      <c r="AW193" s="72"/>
      <c r="AX193" s="72"/>
      <c r="AY193" s="72"/>
      <c r="AZ193" s="72"/>
      <c r="BA193" s="72"/>
      <c r="BB193" s="72"/>
    </row>
    <row r="194" spans="1:54" s="73" customFormat="1" ht="18.75" x14ac:dyDescent="0.2">
      <c r="A194" s="80"/>
      <c r="B194" s="87">
        <v>11</v>
      </c>
      <c r="C194" s="88" t="s">
        <v>53</v>
      </c>
      <c r="D194" s="83"/>
      <c r="E194" s="84"/>
      <c r="F194" s="85"/>
      <c r="G194" s="86"/>
      <c r="H194" s="86" t="e">
        <f>H184+H192</f>
        <v>#REF!</v>
      </c>
      <c r="I194" s="69"/>
      <c r="J194" s="68"/>
      <c r="K194" s="114"/>
      <c r="L194" s="68"/>
      <c r="M194" s="68"/>
      <c r="N194" s="68"/>
      <c r="O194" s="68"/>
      <c r="P194" s="68"/>
      <c r="Q194" s="68"/>
      <c r="R194" s="68"/>
      <c r="S194" s="68"/>
      <c r="T194" s="68"/>
      <c r="U194" s="68"/>
      <c r="V194" s="68"/>
      <c r="W194" s="68"/>
      <c r="X194" s="68"/>
      <c r="Y194" s="68"/>
      <c r="Z194" s="68"/>
      <c r="AA194" s="68"/>
      <c r="AB194" s="79"/>
      <c r="AC194" s="6"/>
      <c r="AD194" s="71"/>
      <c r="AE194" s="72"/>
      <c r="AF194" s="72"/>
      <c r="AG194" s="72"/>
      <c r="AH194" s="72"/>
      <c r="AI194" s="72"/>
      <c r="AJ194" s="72"/>
      <c r="AK194" s="72"/>
      <c r="AL194" s="72"/>
      <c r="AM194" s="72"/>
      <c r="AN194" s="72"/>
      <c r="AO194" s="72"/>
      <c r="AP194" s="72"/>
      <c r="AQ194" s="72"/>
      <c r="AR194" s="72"/>
      <c r="AS194" s="72"/>
      <c r="AT194" s="72"/>
      <c r="AU194" s="72"/>
      <c r="AV194" s="72"/>
      <c r="AW194" s="72"/>
      <c r="AX194" s="72"/>
      <c r="AY194" s="72"/>
      <c r="AZ194" s="72"/>
      <c r="BA194" s="72"/>
      <c r="BB194" s="72"/>
    </row>
    <row r="195" spans="1:54" s="73" customFormat="1" ht="18.75" x14ac:dyDescent="0.2">
      <c r="A195" s="80"/>
      <c r="B195" s="87">
        <v>12</v>
      </c>
      <c r="C195" s="88" t="s">
        <v>54</v>
      </c>
      <c r="D195" s="83"/>
      <c r="E195" s="84"/>
      <c r="F195" s="85"/>
      <c r="G195" s="86"/>
      <c r="H195" s="86" t="e">
        <f>Z181</f>
        <v>#REF!</v>
      </c>
      <c r="I195" s="69"/>
      <c r="J195" s="68"/>
      <c r="K195" s="114"/>
      <c r="L195" s="68"/>
      <c r="M195" s="68"/>
      <c r="N195" s="68"/>
      <c r="O195" s="68"/>
      <c r="P195" s="68"/>
      <c r="Q195" s="68"/>
      <c r="R195" s="68"/>
      <c r="S195" s="68"/>
      <c r="T195" s="68"/>
      <c r="U195" s="68"/>
      <c r="V195" s="68"/>
      <c r="W195" s="68"/>
      <c r="X195" s="68"/>
      <c r="Y195" s="68"/>
      <c r="Z195" s="68"/>
      <c r="AA195" s="68"/>
      <c r="AB195" s="79"/>
      <c r="AC195" s="6"/>
      <c r="AD195" s="71"/>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row>
    <row r="196" spans="1:54" s="73" customFormat="1" ht="18.75" x14ac:dyDescent="0.2">
      <c r="A196" s="80"/>
      <c r="B196" s="87">
        <v>13</v>
      </c>
      <c r="C196" s="88" t="s">
        <v>55</v>
      </c>
      <c r="D196" s="83"/>
      <c r="E196" s="84"/>
      <c r="F196" s="85"/>
      <c r="G196" s="86"/>
      <c r="H196" s="86" t="e">
        <f>AB181</f>
        <v>#REF!</v>
      </c>
      <c r="I196" s="69"/>
      <c r="J196" s="68"/>
      <c r="K196" s="114"/>
      <c r="L196" s="68"/>
      <c r="M196" s="68"/>
      <c r="N196" s="68"/>
      <c r="O196" s="68"/>
      <c r="P196" s="68"/>
      <c r="Q196" s="68"/>
      <c r="R196" s="68"/>
      <c r="S196" s="68"/>
      <c r="T196" s="68"/>
      <c r="U196" s="68"/>
      <c r="V196" s="68"/>
      <c r="W196" s="68"/>
      <c r="X196" s="68"/>
      <c r="Y196" s="68"/>
      <c r="Z196" s="68"/>
      <c r="AA196" s="68"/>
      <c r="AB196" s="79"/>
      <c r="AC196" s="6"/>
      <c r="AD196" s="71"/>
      <c r="AE196" s="72"/>
      <c r="AF196" s="72"/>
      <c r="AG196" s="72"/>
      <c r="AH196" s="72"/>
      <c r="AI196" s="72"/>
      <c r="AJ196" s="72"/>
      <c r="AK196" s="72"/>
      <c r="AL196" s="72"/>
      <c r="AM196" s="72"/>
      <c r="AN196" s="72"/>
      <c r="AO196" s="72"/>
      <c r="AP196" s="72"/>
      <c r="AQ196" s="72"/>
      <c r="AR196" s="72"/>
      <c r="AS196" s="72"/>
      <c r="AT196" s="72"/>
      <c r="AU196" s="72"/>
      <c r="AV196" s="72"/>
      <c r="AW196" s="72"/>
      <c r="AX196" s="72"/>
      <c r="AY196" s="72"/>
      <c r="AZ196" s="72"/>
      <c r="BA196" s="72"/>
      <c r="BB196" s="72"/>
    </row>
    <row r="197" spans="1:54" s="73" customFormat="1" ht="18.75" x14ac:dyDescent="0.2">
      <c r="A197" s="80"/>
      <c r="B197" s="87">
        <v>14</v>
      </c>
      <c r="C197" s="88" t="s">
        <v>56</v>
      </c>
      <c r="D197" s="83"/>
      <c r="E197" s="84"/>
      <c r="F197" s="85"/>
      <c r="G197" s="86"/>
      <c r="H197" s="86" t="e">
        <f>H195+H196</f>
        <v>#REF!</v>
      </c>
      <c r="I197" s="69"/>
      <c r="J197" s="68"/>
      <c r="K197" s="114"/>
      <c r="L197" s="68"/>
      <c r="M197" s="68"/>
      <c r="N197" s="68"/>
      <c r="O197" s="68"/>
      <c r="P197" s="68"/>
      <c r="Q197" s="68"/>
      <c r="R197" s="68"/>
      <c r="S197" s="68"/>
      <c r="T197" s="68"/>
      <c r="U197" s="68"/>
      <c r="V197" s="68"/>
      <c r="W197" s="68"/>
      <c r="X197" s="68"/>
      <c r="Y197" s="68"/>
      <c r="Z197" s="68"/>
      <c r="AA197" s="68"/>
      <c r="AB197" s="79"/>
      <c r="AC197" s="6"/>
      <c r="AD197" s="71"/>
      <c r="AE197" s="72"/>
      <c r="AF197" s="72"/>
      <c r="AG197" s="72"/>
      <c r="AH197" s="72"/>
      <c r="AI197" s="72"/>
      <c r="AJ197" s="72"/>
      <c r="AK197" s="72"/>
      <c r="AL197" s="72"/>
      <c r="AM197" s="72"/>
      <c r="AN197" s="72"/>
      <c r="AO197" s="72"/>
      <c r="AP197" s="72"/>
      <c r="AQ197" s="72"/>
      <c r="AR197" s="72"/>
      <c r="AS197" s="72"/>
      <c r="AT197" s="72"/>
      <c r="AU197" s="72"/>
      <c r="AV197" s="72"/>
      <c r="AW197" s="72"/>
      <c r="AX197" s="72"/>
      <c r="AY197" s="72"/>
      <c r="AZ197" s="72"/>
      <c r="BA197" s="72"/>
      <c r="BB197" s="72"/>
    </row>
    <row r="198" spans="1:54" s="73" customFormat="1" ht="18.75" x14ac:dyDescent="0.2">
      <c r="A198" s="80"/>
      <c r="B198" s="87">
        <v>15</v>
      </c>
      <c r="C198" s="88" t="s">
        <v>57</v>
      </c>
      <c r="D198" s="83"/>
      <c r="E198" s="84"/>
      <c r="F198" s="85"/>
      <c r="G198" s="86"/>
      <c r="H198" s="86" t="e">
        <f>H197/H184*100</f>
        <v>#REF!</v>
      </c>
      <c r="I198" s="69"/>
      <c r="J198" s="68"/>
      <c r="K198" s="114"/>
      <c r="L198" s="68"/>
      <c r="M198" s="68"/>
      <c r="N198" s="68"/>
      <c r="O198" s="68"/>
      <c r="P198" s="68"/>
      <c r="Q198" s="68"/>
      <c r="R198" s="68"/>
      <c r="S198" s="68"/>
      <c r="T198" s="68"/>
      <c r="U198" s="68"/>
      <c r="V198" s="68"/>
      <c r="W198" s="68"/>
      <c r="X198" s="68"/>
      <c r="Y198" s="68"/>
      <c r="Z198" s="68"/>
      <c r="AA198" s="68"/>
      <c r="AB198" s="79"/>
      <c r="AC198" s="6"/>
      <c r="AD198" s="71"/>
      <c r="AE198" s="72"/>
      <c r="AF198" s="72"/>
      <c r="AG198" s="72"/>
      <c r="AH198" s="72"/>
      <c r="AI198" s="72"/>
      <c r="AJ198" s="72"/>
      <c r="AK198" s="72"/>
      <c r="AL198" s="72"/>
      <c r="AM198" s="72"/>
      <c r="AN198" s="72"/>
      <c r="AO198" s="72"/>
      <c r="AP198" s="72"/>
      <c r="AQ198" s="72"/>
      <c r="AR198" s="72"/>
      <c r="AS198" s="72"/>
      <c r="AT198" s="72"/>
      <c r="AU198" s="72"/>
      <c r="AV198" s="72"/>
      <c r="AW198" s="72"/>
      <c r="AX198" s="72"/>
      <c r="AY198" s="72"/>
      <c r="AZ198" s="72"/>
      <c r="BA198" s="72"/>
      <c r="BB198" s="72"/>
    </row>
    <row r="199" spans="1:54" s="73" customFormat="1" ht="18.75" x14ac:dyDescent="0.2">
      <c r="A199" s="80"/>
      <c r="B199" s="87">
        <v>16</v>
      </c>
      <c r="C199" s="88" t="s">
        <v>19</v>
      </c>
      <c r="D199" s="83"/>
      <c r="E199" s="84"/>
      <c r="F199" s="85"/>
      <c r="G199" s="86"/>
      <c r="H199" s="86" t="e">
        <f>H192-H197</f>
        <v>#REF!</v>
      </c>
      <c r="I199" s="69"/>
      <c r="J199" s="68"/>
      <c r="K199" s="114"/>
      <c r="L199" s="68"/>
      <c r="M199" s="68"/>
      <c r="N199" s="68"/>
      <c r="O199" s="68"/>
      <c r="P199" s="68"/>
      <c r="Q199" s="68"/>
      <c r="R199" s="68"/>
      <c r="S199" s="68"/>
      <c r="T199" s="68"/>
      <c r="U199" s="68"/>
      <c r="V199" s="68"/>
      <c r="W199" s="68"/>
      <c r="X199" s="68"/>
      <c r="Y199" s="68"/>
      <c r="Z199" s="68"/>
      <c r="AA199" s="68"/>
      <c r="AB199" s="79"/>
      <c r="AC199" s="6"/>
      <c r="AD199" s="71"/>
      <c r="AE199" s="72"/>
      <c r="AF199" s="72"/>
      <c r="AG199" s="72"/>
      <c r="AH199" s="72"/>
      <c r="AI199" s="72"/>
      <c r="AJ199" s="72"/>
      <c r="AK199" s="72"/>
      <c r="AL199" s="72"/>
      <c r="AM199" s="72"/>
      <c r="AN199" s="72"/>
      <c r="AO199" s="72"/>
      <c r="AP199" s="72"/>
      <c r="AQ199" s="72"/>
      <c r="AR199" s="72"/>
      <c r="AS199" s="72"/>
      <c r="AT199" s="72"/>
      <c r="AU199" s="72"/>
      <c r="AV199" s="72"/>
      <c r="AW199" s="72"/>
      <c r="AX199" s="72"/>
      <c r="AY199" s="72"/>
      <c r="AZ199" s="72"/>
      <c r="BA199" s="72"/>
      <c r="BB199" s="72"/>
    </row>
    <row r="200" spans="1:54" s="73" customFormat="1" ht="18.75" x14ac:dyDescent="0.2">
      <c r="A200" s="80"/>
      <c r="B200" s="87">
        <v>17</v>
      </c>
      <c r="C200" s="88" t="s">
        <v>70</v>
      </c>
      <c r="D200" s="83"/>
      <c r="E200" s="84"/>
      <c r="F200" s="85"/>
      <c r="G200" s="86"/>
      <c r="H200" s="86" t="e">
        <f>H199/H184*100</f>
        <v>#REF!</v>
      </c>
      <c r="I200" s="69"/>
      <c r="J200" s="68"/>
      <c r="K200" s="114"/>
      <c r="L200" s="68"/>
      <c r="M200" s="68"/>
      <c r="N200" s="68"/>
      <c r="O200" s="68"/>
      <c r="P200" s="68"/>
      <c r="Q200" s="68"/>
      <c r="R200" s="68"/>
      <c r="S200" s="68"/>
      <c r="T200" s="68"/>
      <c r="U200" s="68"/>
      <c r="V200" s="68"/>
      <c r="W200" s="68"/>
      <c r="X200" s="68"/>
      <c r="Y200" s="68"/>
      <c r="Z200" s="68"/>
      <c r="AA200" s="68"/>
      <c r="AB200" s="79"/>
      <c r="AC200" s="6"/>
      <c r="AD200" s="71"/>
      <c r="AE200" s="72"/>
      <c r="AF200" s="72"/>
      <c r="AG200" s="72"/>
      <c r="AH200" s="72"/>
      <c r="AI200" s="72"/>
      <c r="AJ200" s="72"/>
      <c r="AK200" s="72"/>
      <c r="AL200" s="72"/>
      <c r="AM200" s="72"/>
      <c r="AN200" s="72"/>
      <c r="AO200" s="72"/>
      <c r="AP200" s="72"/>
      <c r="AQ200" s="72"/>
      <c r="AR200" s="72"/>
      <c r="AS200" s="72"/>
      <c r="AT200" s="72"/>
      <c r="AU200" s="72"/>
      <c r="AV200" s="72"/>
      <c r="AW200" s="72"/>
      <c r="AX200" s="72"/>
      <c r="AY200" s="72"/>
      <c r="AZ200" s="72"/>
      <c r="BA200" s="72"/>
      <c r="BB200" s="72"/>
    </row>
    <row r="201" spans="1:54" s="73" customFormat="1" ht="18.75" x14ac:dyDescent="0.2">
      <c r="A201" s="80"/>
      <c r="B201" s="87">
        <v>18</v>
      </c>
      <c r="C201" s="88" t="s">
        <v>58</v>
      </c>
      <c r="D201" s="83"/>
      <c r="E201" s="84"/>
      <c r="F201" s="85"/>
      <c r="G201" s="86"/>
      <c r="H201" s="86" t="e">
        <f>H184+H192-H197</f>
        <v>#REF!</v>
      </c>
      <c r="I201" s="69"/>
      <c r="J201" s="68"/>
      <c r="K201" s="114"/>
      <c r="L201" s="68"/>
      <c r="M201" s="68"/>
      <c r="N201" s="68"/>
      <c r="O201" s="68"/>
      <c r="P201" s="68"/>
      <c r="Q201" s="68"/>
      <c r="R201" s="68"/>
      <c r="S201" s="68"/>
      <c r="T201" s="68"/>
      <c r="U201" s="68"/>
      <c r="V201" s="68"/>
      <c r="W201" s="68"/>
      <c r="X201" s="68"/>
      <c r="Y201" s="68"/>
      <c r="Z201" s="68"/>
      <c r="AA201" s="68"/>
      <c r="AB201" s="79"/>
      <c r="AC201" s="6"/>
      <c r="AD201" s="71"/>
      <c r="AE201" s="72"/>
      <c r="AF201" s="72"/>
      <c r="AG201" s="72"/>
      <c r="AH201" s="72"/>
      <c r="AI201" s="72"/>
      <c r="AJ201" s="72"/>
      <c r="AK201" s="72"/>
      <c r="AL201" s="72"/>
      <c r="AM201" s="72"/>
      <c r="AN201" s="72"/>
      <c r="AO201" s="72"/>
      <c r="AP201" s="72"/>
      <c r="AQ201" s="72"/>
      <c r="AR201" s="72"/>
      <c r="AS201" s="72"/>
      <c r="AT201" s="72"/>
      <c r="AU201" s="72"/>
      <c r="AV201" s="72"/>
      <c r="AW201" s="72"/>
      <c r="AX201" s="72"/>
      <c r="AY201" s="72"/>
      <c r="AZ201" s="72"/>
      <c r="BA201" s="72"/>
      <c r="BB201" s="72"/>
    </row>
    <row r="202" spans="1:54" ht="9.75" customHeight="1" x14ac:dyDescent="0.2">
      <c r="A202" s="11"/>
      <c r="B202" s="89"/>
      <c r="C202" s="90"/>
      <c r="D202" s="17"/>
      <c r="E202" s="6"/>
      <c r="F202" s="19"/>
      <c r="G202" s="19"/>
      <c r="H202" s="91"/>
      <c r="I202" s="92"/>
      <c r="J202" s="91"/>
      <c r="K202" s="115"/>
      <c r="L202" s="91"/>
      <c r="M202" s="91"/>
      <c r="N202" s="91"/>
      <c r="O202" s="91"/>
      <c r="P202" s="91"/>
      <c r="Q202" s="91"/>
      <c r="R202" s="91"/>
      <c r="S202" s="91"/>
      <c r="T202" s="91"/>
      <c r="U202" s="91"/>
      <c r="V202" s="91"/>
      <c r="W202" s="91"/>
      <c r="X202" s="91"/>
      <c r="Y202" s="91"/>
      <c r="Z202" s="91"/>
      <c r="AA202" s="91"/>
      <c r="AB202" s="79"/>
      <c r="AC202" s="6"/>
    </row>
    <row r="203" spans="1:54" ht="21.75" customHeight="1" x14ac:dyDescent="0.2">
      <c r="A203" s="11"/>
      <c r="B203" s="163" t="s">
        <v>59</v>
      </c>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c r="AB203" s="164"/>
      <c r="AC203" s="165"/>
    </row>
    <row r="204" spans="1:54" ht="36" customHeight="1" x14ac:dyDescent="0.2">
      <c r="A204" s="11"/>
      <c r="B204" s="163" t="s">
        <v>60</v>
      </c>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c r="AA204" s="164"/>
      <c r="AB204" s="164"/>
      <c r="AC204" s="165"/>
    </row>
    <row r="205" spans="1:54" ht="22.5" customHeight="1" x14ac:dyDescent="0.2">
      <c r="A205" s="11"/>
      <c r="B205" s="168" t="s">
        <v>61</v>
      </c>
      <c r="C205" s="169"/>
      <c r="D205" s="169"/>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c r="AB205" s="169"/>
      <c r="AC205" s="170"/>
    </row>
    <row r="206" spans="1:54" s="98" customFormat="1" ht="60.75" customHeight="1" x14ac:dyDescent="0.25">
      <c r="A206" s="167" t="s">
        <v>20</v>
      </c>
      <c r="B206" s="167"/>
      <c r="C206" s="94" t="s">
        <v>62</v>
      </c>
      <c r="D206" s="93"/>
      <c r="E206" s="173" t="s">
        <v>139</v>
      </c>
      <c r="F206" s="173"/>
      <c r="G206" s="173"/>
      <c r="H206" s="173"/>
      <c r="I206" s="173"/>
      <c r="J206" s="161"/>
      <c r="K206" s="162"/>
      <c r="L206" s="167" t="s">
        <v>21</v>
      </c>
      <c r="M206" s="167"/>
      <c r="N206" s="167"/>
      <c r="O206" s="94"/>
      <c r="P206" s="161"/>
      <c r="Q206" s="162"/>
      <c r="R206" s="161" t="s">
        <v>63</v>
      </c>
      <c r="S206" s="177"/>
      <c r="T206" s="162"/>
      <c r="U206" s="167"/>
      <c r="V206" s="167"/>
      <c r="W206" s="167"/>
      <c r="X206" s="167"/>
      <c r="Y206" s="95"/>
      <c r="Z206" s="95"/>
      <c r="AA206" s="161"/>
      <c r="AB206" s="162"/>
      <c r="AC206" s="63"/>
      <c r="AD206" s="96"/>
      <c r="AE206" s="97"/>
      <c r="AF206" s="97"/>
      <c r="AG206" s="97"/>
      <c r="AH206" s="97"/>
      <c r="AI206" s="97"/>
      <c r="AJ206" s="97"/>
      <c r="AK206" s="97"/>
      <c r="AL206" s="97"/>
      <c r="AM206" s="97"/>
      <c r="AN206" s="97"/>
      <c r="AO206" s="97"/>
      <c r="AP206" s="97"/>
      <c r="AQ206" s="97"/>
      <c r="AR206" s="97"/>
      <c r="AS206" s="97"/>
      <c r="AT206" s="97"/>
      <c r="AU206" s="97"/>
      <c r="AV206" s="97"/>
      <c r="AW206" s="97"/>
      <c r="AX206" s="97"/>
      <c r="AY206" s="97"/>
      <c r="AZ206" s="97"/>
      <c r="BA206" s="97"/>
      <c r="BB206" s="97"/>
    </row>
    <row r="207" spans="1:54" x14ac:dyDescent="0.2">
      <c r="AB207" s="106"/>
      <c r="AC207" s="102"/>
    </row>
    <row r="208" spans="1:54" x14ac:dyDescent="0.2">
      <c r="AB208" s="106"/>
      <c r="AC208" s="102"/>
    </row>
    <row r="209" spans="29:29" x14ac:dyDescent="0.2">
      <c r="AC209" s="102"/>
    </row>
  </sheetData>
  <mergeCells count="48">
    <mergeCell ref="M3:AC3"/>
    <mergeCell ref="Q5:R5"/>
    <mergeCell ref="A126:C126"/>
    <mergeCell ref="G1:Q1"/>
    <mergeCell ref="B2:AC2"/>
    <mergeCell ref="B3:K3"/>
    <mergeCell ref="AA5:AA7"/>
    <mergeCell ref="I5:J5"/>
    <mergeCell ref="K5:L5"/>
    <mergeCell ref="O5:P5"/>
    <mergeCell ref="X5:X6"/>
    <mergeCell ref="G5:H5"/>
    <mergeCell ref="W5:W7"/>
    <mergeCell ref="Z5:Z6"/>
    <mergeCell ref="U5:U7"/>
    <mergeCell ref="AB5:AB6"/>
    <mergeCell ref="M5:N5"/>
    <mergeCell ref="U206:X206"/>
    <mergeCell ref="U4:X4"/>
    <mergeCell ref="A96:C96"/>
    <mergeCell ref="A29:C29"/>
    <mergeCell ref="A67:C67"/>
    <mergeCell ref="A76:C76"/>
    <mergeCell ref="R206:T206"/>
    <mergeCell ref="A135:C135"/>
    <mergeCell ref="A206:B206"/>
    <mergeCell ref="A86:C86"/>
    <mergeCell ref="D4:J4"/>
    <mergeCell ref="K4:R4"/>
    <mergeCell ref="C4:C6"/>
    <mergeCell ref="A4:A6"/>
    <mergeCell ref="B4:B6"/>
    <mergeCell ref="AA206:AB206"/>
    <mergeCell ref="B203:AC203"/>
    <mergeCell ref="AC5:AC7"/>
    <mergeCell ref="L206:N206"/>
    <mergeCell ref="P206:Q206"/>
    <mergeCell ref="B205:AC205"/>
    <mergeCell ref="B204:AC204"/>
    <mergeCell ref="J206:K206"/>
    <mergeCell ref="A108:C108"/>
    <mergeCell ref="V5:V6"/>
    <mergeCell ref="E206:I206"/>
    <mergeCell ref="A148:C148"/>
    <mergeCell ref="Y5:Y7"/>
    <mergeCell ref="S4:T5"/>
    <mergeCell ref="A8:C8"/>
    <mergeCell ref="Y4:AB4"/>
  </mergeCells>
  <printOptions horizontalCentered="1"/>
  <pageMargins left="0.43" right="0.37" top="0.75" bottom="0.75" header="0.3" footer="0.3"/>
  <pageSetup paperSize="8" scale="50" orientation="landscape" r:id="rId1"/>
  <headerFooter>
    <oddHeader>Page &amp;P</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Deviation</vt:lpstr>
      <vt:lpstr>Deviation!Print_Area</vt:lpstr>
      <vt:lpstr>Deviation!Print_Titles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SUER2</dc:creator>
  <cp:lastModifiedBy>sys</cp:lastModifiedBy>
  <cp:lastPrinted>2018-09-10T08:18:15Z</cp:lastPrinted>
  <dcterms:created xsi:type="dcterms:W3CDTF">1996-10-14T23:33:28Z</dcterms:created>
  <dcterms:modified xsi:type="dcterms:W3CDTF">2018-12-17T04:04:49Z</dcterms:modified>
</cp:coreProperties>
</file>