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run\Desktop\MA 591\"/>
    </mc:Choice>
  </mc:AlternateContent>
  <xr:revisionPtr revIDLastSave="0" documentId="13_ncr:1_{1BFBA136-62A1-4B3F-810D-C9A3D7B5A30F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Main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5" i="3" l="1"/>
  <c r="J24" i="3"/>
  <c r="J23" i="3"/>
  <c r="J22" i="3"/>
  <c r="E23" i="3"/>
  <c r="E24" i="3"/>
  <c r="E25" i="3"/>
  <c r="E26" i="3"/>
  <c r="E27" i="3"/>
  <c r="E22" i="3"/>
  <c r="F7" i="3"/>
  <c r="H7" i="3"/>
  <c r="J7" i="3"/>
  <c r="L7" i="3"/>
  <c r="N7" i="3"/>
  <c r="R7" i="3"/>
  <c r="F8" i="3"/>
  <c r="H8" i="3"/>
  <c r="J8" i="3"/>
  <c r="L8" i="3"/>
  <c r="N8" i="3"/>
  <c r="R8" i="3"/>
  <c r="F9" i="3"/>
  <c r="H9" i="3"/>
  <c r="J9" i="3"/>
  <c r="L9" i="3"/>
  <c r="N9" i="3"/>
  <c r="R9" i="3"/>
  <c r="F10" i="3"/>
  <c r="H10" i="3"/>
  <c r="J10" i="3"/>
  <c r="L10" i="3"/>
  <c r="N10" i="3"/>
  <c r="R10" i="3"/>
  <c r="F11" i="3"/>
  <c r="H11" i="3"/>
  <c r="J11" i="3"/>
  <c r="L11" i="3"/>
  <c r="N11" i="3"/>
  <c r="R11" i="3"/>
  <c r="F12" i="3"/>
  <c r="H12" i="3"/>
  <c r="J12" i="3"/>
  <c r="L12" i="3"/>
  <c r="N12" i="3"/>
  <c r="R12" i="3"/>
  <c r="F13" i="3"/>
  <c r="H13" i="3"/>
  <c r="J13" i="3"/>
  <c r="L13" i="3"/>
  <c r="N13" i="3"/>
  <c r="R13" i="3"/>
  <c r="F14" i="3"/>
  <c r="H14" i="3"/>
  <c r="J14" i="3"/>
  <c r="L14" i="3"/>
  <c r="N14" i="3"/>
  <c r="R14" i="3"/>
  <c r="R16" i="3"/>
  <c r="M15" i="3"/>
  <c r="K15" i="3"/>
  <c r="I15" i="3"/>
  <c r="G15" i="3"/>
  <c r="E15" i="3"/>
  <c r="F7" i="2"/>
  <c r="H7" i="2"/>
  <c r="J7" i="2"/>
  <c r="L7" i="2"/>
  <c r="N7" i="2"/>
  <c r="R7" i="2"/>
  <c r="F8" i="2"/>
  <c r="H8" i="2"/>
  <c r="J8" i="2"/>
  <c r="L8" i="2"/>
  <c r="N8" i="2"/>
  <c r="R8" i="2"/>
  <c r="F9" i="2"/>
  <c r="H9" i="2"/>
  <c r="J9" i="2"/>
  <c r="L9" i="2"/>
  <c r="N9" i="2"/>
  <c r="R9" i="2"/>
  <c r="F10" i="2"/>
  <c r="H10" i="2"/>
  <c r="J10" i="2"/>
  <c r="L10" i="2"/>
  <c r="N10" i="2"/>
  <c r="R10" i="2"/>
  <c r="F11" i="2"/>
  <c r="H11" i="2"/>
  <c r="J11" i="2"/>
  <c r="L11" i="2"/>
  <c r="N11" i="2"/>
  <c r="R11" i="2"/>
  <c r="F12" i="2"/>
  <c r="H12" i="2"/>
  <c r="J12" i="2"/>
  <c r="L12" i="2"/>
  <c r="N12" i="2"/>
  <c r="R12" i="2"/>
  <c r="F13" i="2"/>
  <c r="H13" i="2"/>
  <c r="J13" i="2"/>
  <c r="L13" i="2"/>
  <c r="N13" i="2"/>
  <c r="R13" i="2"/>
  <c r="F14" i="2"/>
  <c r="H14" i="2"/>
  <c r="J14" i="2"/>
  <c r="L14" i="2"/>
  <c r="N14" i="2"/>
  <c r="R14" i="2"/>
  <c r="R16" i="2"/>
  <c r="E23" i="2"/>
  <c r="E24" i="2"/>
  <c r="E22" i="2"/>
  <c r="E20" i="2"/>
  <c r="E21" i="2"/>
  <c r="E19" i="2"/>
  <c r="N16" i="2"/>
  <c r="L16" i="2"/>
  <c r="J16" i="2"/>
  <c r="H16" i="2"/>
  <c r="F16" i="2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</calcChain>
</file>

<file path=xl/sharedStrings.xml><?xml version="1.0" encoding="utf-8"?>
<sst xmlns="http://schemas.openxmlformats.org/spreadsheetml/2006/main" count="202" uniqueCount="109">
  <si>
    <t>WEEK 0</t>
  </si>
  <si>
    <t>ETF 1</t>
  </si>
  <si>
    <t>ETF 2</t>
  </si>
  <si>
    <t>ETF 3</t>
  </si>
  <si>
    <t>ETF 5</t>
  </si>
  <si>
    <t>ETF 8</t>
  </si>
  <si>
    <t>ETF 9</t>
  </si>
  <si>
    <t>CASH</t>
  </si>
  <si>
    <t xml:space="preserve"> </t>
  </si>
  <si>
    <t>S&amp;P</t>
  </si>
  <si>
    <t>S&amp;P SHORT</t>
  </si>
  <si>
    <t>MUST CHOOSE MINIMUM OF 7</t>
  </si>
  <si>
    <t>CASH &lt;=10%</t>
  </si>
  <si>
    <t>S&amp;P LONG/SHORT &lt;=20%</t>
  </si>
  <si>
    <t>#SHARES</t>
  </si>
  <si>
    <t>PROCEEDS</t>
  </si>
  <si>
    <t>% OF TOTAL</t>
  </si>
  <si>
    <t>TOTAL</t>
  </si>
  <si>
    <t>$10  million to start</t>
  </si>
  <si>
    <t>WEEK 1</t>
  </si>
  <si>
    <t>PRICE 0</t>
  </si>
  <si>
    <t>PRICE 1</t>
  </si>
  <si>
    <t>CHG FROM 0</t>
  </si>
  <si>
    <t>GAIN/LOSS</t>
  </si>
  <si>
    <t>MARK TO MARKET EACH FRIDAY AFTER 5 PM</t>
  </si>
  <si>
    <t>HPR WEEK</t>
  </si>
  <si>
    <t>HPR MONTH</t>
  </si>
  <si>
    <t>HPR FROM WEEK 0</t>
  </si>
  <si>
    <t>XX</t>
  </si>
  <si>
    <t>YY</t>
  </si>
  <si>
    <t>ZZ</t>
  </si>
  <si>
    <t>IN DOLLARS</t>
  </si>
  <si>
    <t>TOTAL VALUE OF PORTFOLIO</t>
  </si>
  <si>
    <t>10,000,000 +/-</t>
  </si>
  <si>
    <t>TRADES</t>
  </si>
  <si>
    <t>Name</t>
  </si>
  <si>
    <t>SHY</t>
  </si>
  <si>
    <t>IEF</t>
  </si>
  <si>
    <t>TLT</t>
  </si>
  <si>
    <t>GNMA</t>
  </si>
  <si>
    <t>MBB</t>
  </si>
  <si>
    <t>HYG</t>
  </si>
  <si>
    <t>FALN</t>
  </si>
  <si>
    <t>IAGG</t>
  </si>
  <si>
    <t>Week 0</t>
  </si>
  <si>
    <t>week 1</t>
  </si>
  <si>
    <t>week 2</t>
  </si>
  <si>
    <t xml:space="preserve">week 3 </t>
  </si>
  <si>
    <t>week 4</t>
  </si>
  <si>
    <t>7-10 Year Treasury Bond</t>
  </si>
  <si>
    <t>1-3 Year Treasury Bond</t>
  </si>
  <si>
    <t>20+ Year Treasury Bond</t>
  </si>
  <si>
    <t>GNMA Bond ETF</t>
  </si>
  <si>
    <t>International Aggregate Bond ETF</t>
  </si>
  <si>
    <t>Fallen Angels USD Bond ETF</t>
  </si>
  <si>
    <t>Boxx $ High Yield Corporate Bond ETF</t>
  </si>
  <si>
    <t>MBS ETF</t>
  </si>
  <si>
    <t>hpr</t>
  </si>
  <si>
    <t>ETF 6</t>
  </si>
  <si>
    <t>ETF 7</t>
  </si>
  <si>
    <t>PORTFOLIO MANAGEMENT PROJECT</t>
  </si>
  <si>
    <t>Weekely Profit</t>
  </si>
  <si>
    <t>Cash Reserve: 2%</t>
  </si>
  <si>
    <t>Price</t>
  </si>
  <si>
    <t>Tharun Polamarasetty</t>
  </si>
  <si>
    <t>week 5</t>
  </si>
  <si>
    <t>Sep-Oct</t>
  </si>
  <si>
    <t>HPR</t>
  </si>
  <si>
    <t>Sep</t>
  </si>
  <si>
    <t>Sep-Nov</t>
  </si>
  <si>
    <t>Oct</t>
  </si>
  <si>
    <t>Oct-Nov</t>
  </si>
  <si>
    <t>Nov</t>
  </si>
  <si>
    <t>Dividend</t>
  </si>
  <si>
    <t>Profit</t>
  </si>
  <si>
    <t>Month</t>
  </si>
  <si>
    <t>Total:</t>
  </si>
  <si>
    <t>114, 812</t>
  </si>
  <si>
    <t>109, 957</t>
  </si>
  <si>
    <t>Profit for the Month</t>
  </si>
  <si>
    <t>Annualised</t>
  </si>
  <si>
    <t>204, 380</t>
  </si>
  <si>
    <t>429, 149</t>
  </si>
  <si>
    <t>Allocated weightage:</t>
  </si>
  <si>
    <t>Change in Position from short to long</t>
  </si>
  <si>
    <t xml:space="preserve">Total Profit: </t>
  </si>
  <si>
    <t>Months</t>
  </si>
  <si>
    <t>Tenure</t>
  </si>
  <si>
    <t>1-month</t>
  </si>
  <si>
    <t>2- month</t>
  </si>
  <si>
    <t>3-month</t>
  </si>
  <si>
    <t>Net Outstanding balance including cash:  10,429,149</t>
  </si>
  <si>
    <t>Annualised HPR</t>
  </si>
  <si>
    <t>0-month</t>
  </si>
  <si>
    <t>Aug</t>
  </si>
  <si>
    <t>Net balance</t>
  </si>
  <si>
    <t>week 9</t>
  </si>
  <si>
    <t>week 10</t>
  </si>
  <si>
    <t>week 11</t>
  </si>
  <si>
    <t>week 12</t>
  </si>
  <si>
    <t>week 13</t>
  </si>
  <si>
    <t>Weekely HPR:</t>
  </si>
  <si>
    <t>Weekely Profit:</t>
  </si>
  <si>
    <t>Annualized:</t>
  </si>
  <si>
    <t>#Shares</t>
  </si>
  <si>
    <t>Proceeds</t>
  </si>
  <si>
    <t>% of Total</t>
  </si>
  <si>
    <t>PORTFOLIO MANAGEMENT PROJECT: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</si>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</sst>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0%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71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9" fontId="0" fillId="0" borderId="0" xfId="2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1" fontId="0" fillId="0" borderId="0" xfId="0" applyNumberFormat="1" applyAlignment="1">
      <alignment horizontal="center"/>
    </xf>
    <xf numFmtId="0" fontId="3" fillId="0" borderId="0" xfId="0" applyFont="1"/>
    <xf numFmtId="0" fontId="0" fillId="0" borderId="1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164" fontId="0" fillId="0" borderId="7" xfId="2" applyNumberFormat="1" applyFont="1" applyBorder="1"/>
    <xf numFmtId="0" fontId="0" fillId="0" borderId="8" xfId="0" applyBorder="1"/>
    <xf numFmtId="0" fontId="0" fillId="0" borderId="2" xfId="0" applyBorder="1"/>
    <xf numFmtId="164" fontId="0" fillId="0" borderId="2" xfId="2" applyNumberFormat="1" applyFont="1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9" xfId="0" applyBorder="1"/>
    <xf numFmtId="0" fontId="0" fillId="0" borderId="17" xfId="0" applyBorder="1"/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13" xfId="0" applyBorder="1"/>
    <xf numFmtId="1" fontId="0" fillId="0" borderId="6" xfId="0" applyNumberFormat="1" applyBorder="1"/>
    <xf numFmtId="0" fontId="0" fillId="0" borderId="7" xfId="0" applyBorder="1" applyAlignment="1">
      <alignment horizontal="center" vertical="center"/>
    </xf>
    <xf numFmtId="1" fontId="0" fillId="0" borderId="8" xfId="0" applyNumberFormat="1" applyBorder="1"/>
    <xf numFmtId="0" fontId="0" fillId="0" borderId="16" xfId="0" applyBorder="1"/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0" fontId="0" fillId="0" borderId="0" xfId="0" applyNumberFormat="1" applyBorder="1"/>
    <xf numFmtId="10" fontId="0" fillId="0" borderId="0" xfId="2" applyNumberFormat="1" applyFont="1" applyBorder="1"/>
    <xf numFmtId="0" fontId="0" fillId="0" borderId="10" xfId="0" applyBorder="1"/>
    <xf numFmtId="10" fontId="0" fillId="0" borderId="16" xfId="0" applyNumberFormat="1" applyBorder="1"/>
    <xf numFmtId="164" fontId="0" fillId="0" borderId="10" xfId="2" applyNumberFormat="1" applyFont="1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6" fillId="0" borderId="0" xfId="0" applyFont="1"/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5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0" fillId="0" borderId="19" xfId="0" applyBorder="1"/>
    <xf numFmtId="0" fontId="0" fillId="0" borderId="21" xfId="0" applyBorder="1"/>
    <xf numFmtId="0" fontId="5" fillId="0" borderId="22" xfId="0" applyFont="1" applyBorder="1" applyAlignment="1">
      <alignment horizontal="center"/>
    </xf>
    <xf numFmtId="0" fontId="0" fillId="0" borderId="25" xfId="0" applyBorder="1"/>
    <xf numFmtId="0" fontId="0" fillId="0" borderId="27" xfId="0" applyBorder="1"/>
    <xf numFmtId="2" fontId="0" fillId="0" borderId="19" xfId="2" applyNumberFormat="1" applyFont="1" applyBorder="1"/>
    <xf numFmtId="2" fontId="0" fillId="0" borderId="20" xfId="2" applyNumberFormat="1" applyFont="1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6" xfId="0" applyFont="1" applyBorder="1"/>
    <xf numFmtId="0" fontId="1" fillId="0" borderId="8" xfId="0" applyFont="1" applyBorder="1"/>
    <xf numFmtId="10" fontId="0" fillId="0" borderId="26" xfId="0" applyNumberFormat="1" applyBorder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25" xfId="0" applyBorder="1" applyAlignment="1">
      <alignment horizontal="left" vertical="center" wrapText="1"/>
    </xf>
    <xf numFmtId="2" fontId="0" fillId="0" borderId="0" xfId="0" applyNumberFormat="1"/>
    <xf numFmtId="10" fontId="0" fillId="0" borderId="0" xfId="0" applyNumberFormat="1"/>
    <xf numFmtId="10" fontId="0" fillId="0" borderId="28" xfId="0" applyNumberFormat="1" applyBorder="1"/>
    <xf numFmtId="10" fontId="0" fillId="0" borderId="0" xfId="2" applyNumberFormat="1" applyFont="1"/>
    <xf numFmtId="0" fontId="0" fillId="5" borderId="3" xfId="0" applyFill="1" applyBorder="1"/>
    <xf numFmtId="0" fontId="0" fillId="5" borderId="0" xfId="0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9" fontId="0" fillId="0" borderId="0" xfId="0" applyNumberFormat="1"/>
    <xf numFmtId="0" fontId="0" fillId="0" borderId="24" xfId="0" applyBorder="1" applyAlignment="1"/>
    <xf numFmtId="10" fontId="7" fillId="0" borderId="7" xfId="2" applyNumberFormat="1" applyFont="1" applyBorder="1"/>
    <xf numFmtId="0" fontId="0" fillId="0" borderId="20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Fill="1" applyBorder="1" applyAlignment="1">
      <alignment horizontal="center"/>
    </xf>
    <xf numFmtId="2" fontId="0" fillId="0" borderId="7" xfId="0" applyNumberFormat="1" applyBorder="1"/>
    <xf numFmtId="0" fontId="0" fillId="0" borderId="11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2" fontId="0" fillId="0" borderId="12" xfId="0" applyNumberFormat="1" applyBorder="1"/>
    <xf numFmtId="0" fontId="0" fillId="0" borderId="8" xfId="0" applyBorder="1" applyAlignment="1">
      <alignment horizontal="center"/>
    </xf>
    <xf numFmtId="0" fontId="0" fillId="0" borderId="31" xfId="0" applyBorder="1"/>
    <xf numFmtId="1" fontId="0" fillId="0" borderId="31" xfId="0" applyNumberFormat="1" applyBorder="1"/>
    <xf numFmtId="1" fontId="0" fillId="0" borderId="3" xfId="0" applyNumberFormat="1" applyBorder="1"/>
    <xf numFmtId="1" fontId="0" fillId="0" borderId="32" xfId="0" applyNumberFormat="1" applyBorder="1"/>
    <xf numFmtId="0" fontId="0" fillId="0" borderId="33" xfId="0" applyBorder="1"/>
    <xf numFmtId="0" fontId="0" fillId="0" borderId="33" xfId="0" applyBorder="1" applyAlignment="1">
      <alignment horizontal="center" vertical="center"/>
    </xf>
    <xf numFmtId="2" fontId="0" fillId="0" borderId="34" xfId="0" applyNumberFormat="1" applyBorder="1"/>
    <xf numFmtId="10" fontId="7" fillId="0" borderId="12" xfId="2" applyNumberFormat="1" applyFont="1" applyBorder="1"/>
    <xf numFmtId="2" fontId="0" fillId="0" borderId="11" xfId="2" applyNumberFormat="1" applyFont="1" applyBorder="1"/>
    <xf numFmtId="2" fontId="0" fillId="0" borderId="6" xfId="2" applyNumberFormat="1" applyFont="1" applyBorder="1"/>
    <xf numFmtId="0" fontId="0" fillId="0" borderId="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9" fontId="0" fillId="0" borderId="5" xfId="0" applyNumberFormat="1" applyBorder="1"/>
    <xf numFmtId="0" fontId="0" fillId="0" borderId="37" xfId="0" applyBorder="1"/>
    <xf numFmtId="10" fontId="0" fillId="0" borderId="1" xfId="0" applyNumberFormat="1" applyBorder="1"/>
    <xf numFmtId="10" fontId="0" fillId="0" borderId="1" xfId="2" applyNumberFormat="1" applyFont="1" applyBorder="1" applyAlignment="1">
      <alignment horizontal="center"/>
    </xf>
    <xf numFmtId="10" fontId="0" fillId="0" borderId="7" xfId="2" applyNumberFormat="1" applyFont="1" applyBorder="1" applyAlignment="1">
      <alignment horizontal="center"/>
    </xf>
    <xf numFmtId="10" fontId="0" fillId="0" borderId="16" xfId="2" applyNumberFormat="1" applyFont="1" applyBorder="1" applyAlignment="1">
      <alignment horizontal="center"/>
    </xf>
    <xf numFmtId="10" fontId="0" fillId="0" borderId="9" xfId="2" applyNumberFormat="1" applyFont="1" applyBorder="1" applyAlignment="1">
      <alignment horizontal="center"/>
    </xf>
    <xf numFmtId="0" fontId="0" fillId="0" borderId="35" xfId="0" applyBorder="1" applyAlignment="1">
      <alignment vertical="center"/>
    </xf>
    <xf numFmtId="0" fontId="0" fillId="0" borderId="38" xfId="0" applyBorder="1"/>
    <xf numFmtId="0" fontId="0" fillId="0" borderId="38" xfId="0" applyBorder="1" applyAlignment="1"/>
    <xf numFmtId="0" fontId="0" fillId="0" borderId="38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5" xfId="0" applyBorder="1"/>
    <xf numFmtId="0" fontId="0" fillId="5" borderId="23" xfId="0" applyFill="1" applyBorder="1"/>
    <xf numFmtId="0" fontId="0" fillId="0" borderId="0" xfId="0" applyBorder="1" applyAlignment="1">
      <alignment horizontal="center"/>
    </xf>
    <xf numFmtId="2" fontId="0" fillId="0" borderId="0" xfId="0" applyNumberFormat="1" applyBorder="1"/>
    <xf numFmtId="0" fontId="0" fillId="0" borderId="2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1" xfId="0" applyBorder="1" applyAlignment="1">
      <alignment vertical="center"/>
    </xf>
    <xf numFmtId="0" fontId="0" fillId="0" borderId="10" xfId="0" applyBorder="1" applyAlignment="1"/>
    <xf numFmtId="0" fontId="0" fillId="0" borderId="21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8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2" applyNumberFormat="1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6" xfId="0" applyBorder="1" applyAlignment="1">
      <alignment horizontal="left"/>
    </xf>
    <xf numFmtId="10" fontId="0" fillId="0" borderId="16" xfId="0" applyNumberFormat="1" applyBorder="1" applyAlignment="1">
      <alignment horizontal="center"/>
    </xf>
    <xf numFmtId="0" fontId="0" fillId="0" borderId="16" xfId="0" applyNumberFormat="1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10" fontId="7" fillId="0" borderId="9" xfId="2" applyNumberFormat="1" applyFont="1" applyBorder="1"/>
    <xf numFmtId="2" fontId="0" fillId="0" borderId="8" xfId="2" applyNumberFormat="1" applyFont="1" applyBorder="1"/>
    <xf numFmtId="0" fontId="0" fillId="0" borderId="4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2" fontId="0" fillId="0" borderId="13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0" borderId="7" xfId="2" applyNumberFormat="1" applyFont="1" applyBorder="1" applyAlignment="1">
      <alignment horizontal="center"/>
    </xf>
    <xf numFmtId="0" fontId="0" fillId="0" borderId="9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8" fillId="0" borderId="45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46" xfId="0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10" fontId="7" fillId="0" borderId="34" xfId="2" applyNumberFormat="1" applyFont="1" applyBorder="1"/>
    <xf numFmtId="0" fontId="0" fillId="0" borderId="40" xfId="0" applyBorder="1" applyAlignment="1">
      <alignment horizontal="center"/>
    </xf>
    <xf numFmtId="0" fontId="0" fillId="0" borderId="47" xfId="0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6"/>
  <sheetViews>
    <sheetView workbookViewId="0">
      <selection activeCell="C1" sqref="C1"/>
    </sheetView>
  </sheetViews>
  <sheetFormatPr defaultColWidth="10.875" defaultRowHeight="15.75" x14ac:dyDescent="0.25"/>
  <cols>
    <col min="1" max="1" width="10.875" style="1"/>
    <col min="2" max="2" width="15" style="1" customWidth="1"/>
    <col min="3" max="3" width="13.125" style="1" customWidth="1"/>
    <col min="4" max="4" width="10.875" style="1"/>
    <col min="5" max="5" width="9.5" style="7" customWidth="1"/>
    <col min="6" max="6" width="14.75" style="1" bestFit="1" customWidth="1"/>
    <col min="7" max="7" width="11.375" style="1" bestFit="1" customWidth="1"/>
    <col min="8" max="10" width="10.875" style="1"/>
    <col min="11" max="11" width="11.875" style="1" bestFit="1" customWidth="1"/>
    <col min="12" max="12" width="10.875" style="1"/>
    <col min="13" max="13" width="17.125" style="1" bestFit="1" customWidth="1"/>
    <col min="14" max="14" width="25.625" style="1" bestFit="1" customWidth="1"/>
    <col min="15" max="16384" width="10.875" style="1"/>
  </cols>
  <sheetData>
    <row r="1" spans="1:16" x14ac:dyDescent="0.25">
      <c r="C1" s="1" t="s">
        <v>60</v>
      </c>
    </row>
    <row r="3" spans="1:16" x14ac:dyDescent="0.25">
      <c r="K3" s="1" t="s">
        <v>19</v>
      </c>
    </row>
    <row r="4" spans="1:16" x14ac:dyDescent="0.25">
      <c r="B4" s="1" t="s">
        <v>0</v>
      </c>
      <c r="C4" s="1" t="s">
        <v>35</v>
      </c>
      <c r="D4" s="1" t="s">
        <v>20</v>
      </c>
      <c r="E4" s="7" t="s">
        <v>14</v>
      </c>
      <c r="F4" s="1" t="s">
        <v>15</v>
      </c>
      <c r="G4" s="1" t="s">
        <v>16</v>
      </c>
      <c r="J4" s="1" t="s">
        <v>21</v>
      </c>
      <c r="K4" s="1" t="s">
        <v>22</v>
      </c>
      <c r="L4" s="1" t="s">
        <v>14</v>
      </c>
      <c r="M4" s="1" t="s">
        <v>23</v>
      </c>
      <c r="N4" s="1" t="s">
        <v>32</v>
      </c>
      <c r="P4" s="1" t="s">
        <v>34</v>
      </c>
    </row>
    <row r="6" spans="1:16" x14ac:dyDescent="0.25">
      <c r="A6" t="s">
        <v>50</v>
      </c>
      <c r="B6" s="1" t="s">
        <v>1</v>
      </c>
      <c r="C6" s="4" t="s">
        <v>36</v>
      </c>
      <c r="D6" s="1">
        <v>85.09</v>
      </c>
      <c r="E6" s="7">
        <f>(G6%*F19)/D6</f>
        <v>17628.393465742156</v>
      </c>
      <c r="F6" s="1">
        <f>D6*E6</f>
        <v>1500000</v>
      </c>
      <c r="G6" s="1">
        <v>15</v>
      </c>
    </row>
    <row r="7" spans="1:16" x14ac:dyDescent="0.25">
      <c r="A7" t="s">
        <v>49</v>
      </c>
      <c r="B7" s="1" t="s">
        <v>2</v>
      </c>
      <c r="C7" s="4" t="s">
        <v>37</v>
      </c>
      <c r="D7" s="1">
        <v>114</v>
      </c>
      <c r="E7" s="7">
        <f>(G7%*F19)/D7</f>
        <v>8771.9298245614027</v>
      </c>
      <c r="F7" s="1">
        <f t="shared" ref="F7:F13" si="0">D7*E7</f>
        <v>999999.99999999988</v>
      </c>
      <c r="G7" s="1">
        <v>10</v>
      </c>
    </row>
    <row r="8" spans="1:16" x14ac:dyDescent="0.25">
      <c r="A8" t="s">
        <v>51</v>
      </c>
      <c r="B8" s="1" t="s">
        <v>3</v>
      </c>
      <c r="C8" s="4" t="s">
        <v>38</v>
      </c>
      <c r="D8" s="1">
        <v>147.28</v>
      </c>
      <c r="E8" s="7">
        <f>(G8%*F19)/D8</f>
        <v>6789.7881586094518</v>
      </c>
      <c r="F8" s="1">
        <f t="shared" si="0"/>
        <v>1000000.0000000001</v>
      </c>
      <c r="G8" s="1">
        <v>10</v>
      </c>
    </row>
    <row r="9" spans="1:16" x14ac:dyDescent="0.25">
      <c r="A9" t="s">
        <v>52</v>
      </c>
      <c r="B9" s="1" t="s">
        <v>4</v>
      </c>
      <c r="C9" s="6" t="s">
        <v>39</v>
      </c>
      <c r="D9" s="1">
        <v>10.59</v>
      </c>
      <c r="E9" s="7">
        <f>(G9%*F19)/D9</f>
        <v>141643.059490085</v>
      </c>
      <c r="F9" s="1">
        <f t="shared" si="0"/>
        <v>1500000</v>
      </c>
      <c r="G9" s="1">
        <v>15</v>
      </c>
    </row>
    <row r="10" spans="1:16" x14ac:dyDescent="0.25">
      <c r="A10" t="s">
        <v>56</v>
      </c>
      <c r="B10" s="1" t="s">
        <v>58</v>
      </c>
      <c r="C10" s="6" t="s">
        <v>40</v>
      </c>
      <c r="D10" s="1">
        <v>108.5</v>
      </c>
      <c r="E10" s="7">
        <f>(G10%*F19)/D10</f>
        <v>4608.294930875576</v>
      </c>
      <c r="F10" s="1">
        <f t="shared" si="0"/>
        <v>500000</v>
      </c>
      <c r="G10" s="1">
        <v>5</v>
      </c>
    </row>
    <row r="11" spans="1:16" x14ac:dyDescent="0.25">
      <c r="A11" t="s">
        <v>55</v>
      </c>
      <c r="B11" s="1" t="s">
        <v>59</v>
      </c>
      <c r="C11" s="5" t="s">
        <v>41</v>
      </c>
      <c r="D11" s="1">
        <v>86.54</v>
      </c>
      <c r="E11" s="7">
        <f>(G11%*F19)/D11</f>
        <v>23110.7002542177</v>
      </c>
      <c r="F11" s="1">
        <f t="shared" si="0"/>
        <v>1999999.9999999998</v>
      </c>
      <c r="G11" s="1">
        <v>20</v>
      </c>
    </row>
    <row r="12" spans="1:16" x14ac:dyDescent="0.25">
      <c r="A12" t="s">
        <v>54</v>
      </c>
      <c r="B12" s="1" t="s">
        <v>5</v>
      </c>
      <c r="C12" s="5" t="s">
        <v>42</v>
      </c>
      <c r="D12" s="1">
        <v>26.77</v>
      </c>
      <c r="E12" s="7">
        <f>(G12%*F19)/D12</f>
        <v>56032.872618602916</v>
      </c>
      <c r="F12" s="1">
        <f t="shared" si="0"/>
        <v>1500000</v>
      </c>
      <c r="G12" s="1">
        <v>15</v>
      </c>
    </row>
    <row r="13" spans="1:16" x14ac:dyDescent="0.25">
      <c r="A13" t="s">
        <v>53</v>
      </c>
      <c r="B13" s="1" t="s">
        <v>6</v>
      </c>
      <c r="C13" s="1" t="s">
        <v>43</v>
      </c>
      <c r="D13" s="1">
        <v>56.095090999999996</v>
      </c>
      <c r="E13" s="7">
        <f>(G13%*F19)/D13</f>
        <v>14261.497498952271</v>
      </c>
      <c r="F13" s="1">
        <f t="shared" si="0"/>
        <v>800000</v>
      </c>
      <c r="G13" s="1">
        <v>8</v>
      </c>
    </row>
    <row r="14" spans="1:16" x14ac:dyDescent="0.25">
      <c r="B14" s="1" t="s">
        <v>8</v>
      </c>
    </row>
    <row r="15" spans="1:16" x14ac:dyDescent="0.25">
      <c r="B15" s="1" t="s">
        <v>9</v>
      </c>
    </row>
    <row r="16" spans="1:16" x14ac:dyDescent="0.25">
      <c r="B16" s="1" t="s">
        <v>10</v>
      </c>
    </row>
    <row r="17" spans="2:14" x14ac:dyDescent="0.25">
      <c r="B17" s="1" t="s">
        <v>7</v>
      </c>
      <c r="G17" s="1">
        <v>10</v>
      </c>
    </row>
    <row r="18" spans="2:14" x14ac:dyDescent="0.25">
      <c r="B18" s="1" t="s">
        <v>8</v>
      </c>
    </row>
    <row r="19" spans="2:14" x14ac:dyDescent="0.25">
      <c r="B19" s="1" t="s">
        <v>17</v>
      </c>
      <c r="F19" s="2">
        <v>10000000</v>
      </c>
      <c r="G19" s="3">
        <v>1</v>
      </c>
      <c r="M19" s="1" t="s">
        <v>31</v>
      </c>
      <c r="N19" s="2" t="s">
        <v>33</v>
      </c>
    </row>
    <row r="22" spans="2:14" x14ac:dyDescent="0.25">
      <c r="D22" s="1" t="s">
        <v>11</v>
      </c>
    </row>
    <row r="23" spans="2:14" x14ac:dyDescent="0.25">
      <c r="D23" s="1" t="s">
        <v>12</v>
      </c>
      <c r="M23" s="1" t="s">
        <v>25</v>
      </c>
      <c r="N23" s="1" t="s">
        <v>28</v>
      </c>
    </row>
    <row r="24" spans="2:14" x14ac:dyDescent="0.25">
      <c r="D24" s="1" t="s">
        <v>13</v>
      </c>
      <c r="M24" s="1" t="s">
        <v>26</v>
      </c>
      <c r="N24" s="1" t="s">
        <v>29</v>
      </c>
    </row>
    <row r="25" spans="2:14" x14ac:dyDescent="0.25">
      <c r="D25" s="1" t="s">
        <v>18</v>
      </c>
      <c r="M25" s="1" t="s">
        <v>27</v>
      </c>
      <c r="N25" s="1" t="s">
        <v>30</v>
      </c>
    </row>
    <row r="26" spans="2:14" x14ac:dyDescent="0.25">
      <c r="D26" s="1" t="s">
        <v>24</v>
      </c>
    </row>
  </sheetData>
  <phoneticPr fontId="4" type="noConversion"/>
  <pageMargins left="0.7" right="0.7" top="0.75" bottom="0.75" header="0.3" footer="0.3"/>
  <pageSetup scale="55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00E90-08B6-48EE-9891-B0F53CD0DA7F}">
  <dimension ref="A2:R26"/>
  <sheetViews>
    <sheetView workbookViewId="0">
      <selection activeCell="F3" sqref="F3"/>
    </sheetView>
  </sheetViews>
  <sheetFormatPr defaultRowHeight="15.75" x14ac:dyDescent="0.25"/>
  <cols>
    <col min="1" max="1" width="29.125" customWidth="1"/>
    <col min="4" max="4" width="11.875" customWidth="1"/>
    <col min="6" max="6" width="8.875" bestFit="1" customWidth="1"/>
    <col min="11" max="11" width="10.625" customWidth="1"/>
    <col min="15" max="15" width="7.875" bestFit="1" customWidth="1"/>
    <col min="16" max="16" width="10.625" customWidth="1"/>
    <col min="17" max="17" width="7" customWidth="1"/>
    <col min="18" max="18" width="10.375" bestFit="1" customWidth="1"/>
  </cols>
  <sheetData>
    <row r="2" spans="1:18" ht="21" x14ac:dyDescent="0.35">
      <c r="B2" s="42" t="s">
        <v>64</v>
      </c>
    </row>
    <row r="3" spans="1:18" x14ac:dyDescent="0.25">
      <c r="B3" t="s">
        <v>60</v>
      </c>
    </row>
    <row r="4" spans="1:18" ht="16.5" thickBot="1" x14ac:dyDescent="0.3">
      <c r="A4" s="8"/>
    </row>
    <row r="5" spans="1:18" ht="18.75" x14ac:dyDescent="0.3">
      <c r="A5" s="25"/>
      <c r="B5" s="38" t="s">
        <v>35</v>
      </c>
      <c r="C5" s="59" t="s">
        <v>73</v>
      </c>
      <c r="D5" s="21" t="s">
        <v>44</v>
      </c>
      <c r="E5" s="49" t="s">
        <v>45</v>
      </c>
      <c r="F5" s="50"/>
      <c r="G5" s="47" t="s">
        <v>46</v>
      </c>
      <c r="H5" s="48"/>
      <c r="I5" s="49" t="s">
        <v>47</v>
      </c>
      <c r="J5" s="50"/>
      <c r="K5" s="47" t="s">
        <v>48</v>
      </c>
      <c r="L5" s="48"/>
      <c r="M5" s="51" t="s">
        <v>65</v>
      </c>
      <c r="N5" s="54"/>
      <c r="O5" s="25" t="s">
        <v>14</v>
      </c>
      <c r="P5" s="26" t="s">
        <v>15</v>
      </c>
      <c r="Q5" s="43" t="s">
        <v>16</v>
      </c>
      <c r="R5" s="69" t="s">
        <v>79</v>
      </c>
    </row>
    <row r="6" spans="1:18" x14ac:dyDescent="0.25">
      <c r="A6" s="11"/>
      <c r="B6" s="39"/>
      <c r="C6" s="60"/>
      <c r="D6" s="23" t="s">
        <v>63</v>
      </c>
      <c r="E6" s="11" t="s">
        <v>63</v>
      </c>
      <c r="F6" s="12" t="s">
        <v>57</v>
      </c>
      <c r="G6" s="10" t="s">
        <v>63</v>
      </c>
      <c r="H6" s="15" t="s">
        <v>57</v>
      </c>
      <c r="I6" s="11" t="s">
        <v>63</v>
      </c>
      <c r="J6" s="12" t="s">
        <v>57</v>
      </c>
      <c r="K6" s="10" t="s">
        <v>63</v>
      </c>
      <c r="L6" s="15" t="s">
        <v>57</v>
      </c>
      <c r="M6" s="52" t="s">
        <v>63</v>
      </c>
      <c r="N6" s="52" t="s">
        <v>57</v>
      </c>
      <c r="O6" s="11"/>
      <c r="P6" s="9"/>
      <c r="Q6" s="44"/>
      <c r="R6" s="69"/>
    </row>
    <row r="7" spans="1:18" x14ac:dyDescent="0.25">
      <c r="A7" s="11" t="s">
        <v>50</v>
      </c>
      <c r="B7" s="40" t="s">
        <v>36</v>
      </c>
      <c r="C7" s="61">
        <v>0.14000000000000001</v>
      </c>
      <c r="D7" s="23">
        <v>84.76</v>
      </c>
      <c r="E7" s="11">
        <v>84.76</v>
      </c>
      <c r="F7" s="13">
        <f>(E7-D7)/E7</f>
        <v>0</v>
      </c>
      <c r="G7" s="10">
        <v>84.6</v>
      </c>
      <c r="H7" s="16">
        <f>(G7-E7)/G7</f>
        <v>-1.8912529550828702E-3</v>
      </c>
      <c r="I7" s="11">
        <v>84.72</v>
      </c>
      <c r="J7" s="16">
        <f>(I7-G7)/I7</f>
        <v>1.4164305949009035E-3</v>
      </c>
      <c r="K7" s="10">
        <v>84.74</v>
      </c>
      <c r="L7" s="16">
        <f>(K7-I7)/K7</f>
        <v>2.3601604909129128E-4</v>
      </c>
      <c r="M7" s="57">
        <v>84.77</v>
      </c>
      <c r="N7" s="16">
        <f>(M7-K7)/M7</f>
        <v>3.5389878494751845E-4</v>
      </c>
      <c r="O7" s="27">
        <v>17628.393465742156</v>
      </c>
      <c r="P7" s="9">
        <v>1515199</v>
      </c>
      <c r="Q7" s="28">
        <v>15</v>
      </c>
      <c r="R7" s="70">
        <f>((F7+H7+J7+L7+N7)*P7)+(C7*O7)</f>
        <v>2642.3630864993165</v>
      </c>
    </row>
    <row r="8" spans="1:18" x14ac:dyDescent="0.25">
      <c r="A8" s="11" t="s">
        <v>49</v>
      </c>
      <c r="B8" s="40" t="s">
        <v>37</v>
      </c>
      <c r="C8" s="61">
        <v>0.16800000000000001</v>
      </c>
      <c r="D8" s="23">
        <v>111.58</v>
      </c>
      <c r="E8" s="11">
        <v>112.13</v>
      </c>
      <c r="F8" s="13">
        <f t="shared" ref="F8:F14" si="0">(E8-D8)/E8</f>
        <v>4.905020957816795E-3</v>
      </c>
      <c r="G8" s="74">
        <v>110.24</v>
      </c>
      <c r="H8" s="16">
        <f>-(G8-E8)/G8</f>
        <v>1.7144412191582008E-2</v>
      </c>
      <c r="I8" s="11">
        <v>111.18</v>
      </c>
      <c r="J8" s="16">
        <f t="shared" ref="J8:J14" si="1">(I8-G8)/I8</f>
        <v>8.4547580500091007E-3</v>
      </c>
      <c r="K8" s="10">
        <v>111.69</v>
      </c>
      <c r="L8" s="16">
        <f t="shared" ref="L8:L14" si="2">(K8-I8)/K8</f>
        <v>4.5662100456620195E-3</v>
      </c>
      <c r="M8" s="57">
        <v>111.57</v>
      </c>
      <c r="N8" s="16">
        <f t="shared" ref="N8:N14" si="3">(M8-K8)/M8</f>
        <v>-1.0755579456843646E-3</v>
      </c>
      <c r="O8" s="27">
        <v>8771.9298245614027</v>
      </c>
      <c r="P8" s="9">
        <v>1047611</v>
      </c>
      <c r="Q8" s="28">
        <v>10</v>
      </c>
      <c r="R8" s="70">
        <f>((F8+H8+J8+L8+N8)*P8)</f>
        <v>35613.37178371261</v>
      </c>
    </row>
    <row r="9" spans="1:18" x14ac:dyDescent="0.25">
      <c r="A9" s="11" t="s">
        <v>51</v>
      </c>
      <c r="B9" s="40" t="s">
        <v>38</v>
      </c>
      <c r="C9" s="61">
        <v>0.246</v>
      </c>
      <c r="D9" s="23">
        <v>138.52000000000001</v>
      </c>
      <c r="E9" s="11">
        <v>140.56</v>
      </c>
      <c r="F9" s="13">
        <f t="shared" si="0"/>
        <v>1.4513375071143938E-2</v>
      </c>
      <c r="G9" s="74">
        <v>134.91</v>
      </c>
      <c r="H9" s="16">
        <f>-(G9-E9)/G9</f>
        <v>4.1879771699651666E-2</v>
      </c>
      <c r="I9" s="11">
        <v>137.76</v>
      </c>
      <c r="J9" s="16">
        <f t="shared" si="1"/>
        <v>2.0688153310104488E-2</v>
      </c>
      <c r="K9" s="10">
        <v>139.9</v>
      </c>
      <c r="L9" s="16">
        <f t="shared" si="2"/>
        <v>1.5296640457469726E-2</v>
      </c>
      <c r="M9" s="57">
        <v>140.41999999999999</v>
      </c>
      <c r="N9" s="16">
        <f t="shared" si="3"/>
        <v>3.7031761857283995E-3</v>
      </c>
      <c r="O9" s="27">
        <v>6789.7881586094518</v>
      </c>
      <c r="P9" s="9">
        <v>1117155</v>
      </c>
      <c r="Q9" s="28">
        <v>10</v>
      </c>
      <c r="R9" s="70">
        <f>((F9+H9+J9+L9+N9)*P9)</f>
        <v>107337.49995390995</v>
      </c>
    </row>
    <row r="10" spans="1:18" x14ac:dyDescent="0.25">
      <c r="A10" s="11" t="s">
        <v>52</v>
      </c>
      <c r="B10" s="40" t="s">
        <v>39</v>
      </c>
      <c r="C10" s="61">
        <v>9.8000000000000004E-2</v>
      </c>
      <c r="D10" s="23">
        <v>50.24</v>
      </c>
      <c r="E10" s="11">
        <v>50.34</v>
      </c>
      <c r="F10" s="13">
        <f t="shared" si="0"/>
        <v>1.9864918553834212E-3</v>
      </c>
      <c r="G10" s="10">
        <v>50.19</v>
      </c>
      <c r="H10" s="16">
        <f t="shared" ref="H10:H13" si="4">(G10-E10)/G10</f>
        <v>-2.9886431560072861E-3</v>
      </c>
      <c r="I10" s="11">
        <v>50.25</v>
      </c>
      <c r="J10" s="16">
        <f t="shared" si="1"/>
        <v>1.194029850746314E-3</v>
      </c>
      <c r="K10" s="10">
        <v>50.26</v>
      </c>
      <c r="L10" s="16">
        <f t="shared" si="2"/>
        <v>1.9896538002383627E-4</v>
      </c>
      <c r="M10" s="57">
        <v>50.3</v>
      </c>
      <c r="N10" s="16">
        <f t="shared" si="3"/>
        <v>7.9522862823059942E-4</v>
      </c>
      <c r="O10" s="27">
        <v>141643.059490085</v>
      </c>
      <c r="P10" s="9">
        <v>1496133</v>
      </c>
      <c r="Q10" s="28">
        <v>15</v>
      </c>
      <c r="R10" s="70">
        <f>((F10+H10+J10+L10+N10)*P10)+(C10*O10)</f>
        <v>15655.542125010414</v>
      </c>
    </row>
    <row r="11" spans="1:18" x14ac:dyDescent="0.25">
      <c r="A11" s="11" t="s">
        <v>56</v>
      </c>
      <c r="B11" s="40" t="s">
        <v>40</v>
      </c>
      <c r="C11" s="61">
        <v>0.25900000000000001</v>
      </c>
      <c r="D11" s="23">
        <v>108</v>
      </c>
      <c r="E11" s="11">
        <v>108.12</v>
      </c>
      <c r="F11" s="13">
        <f t="shared" si="0"/>
        <v>1.1098779134295648E-3</v>
      </c>
      <c r="G11" s="10">
        <v>107.81</v>
      </c>
      <c r="H11" s="16">
        <f t="shared" si="4"/>
        <v>-2.8754289954549882E-3</v>
      </c>
      <c r="I11" s="11">
        <v>108.07</v>
      </c>
      <c r="J11" s="16">
        <f t="shared" si="1"/>
        <v>2.405848061441574E-3</v>
      </c>
      <c r="K11" s="10">
        <v>108.1</v>
      </c>
      <c r="L11" s="16">
        <f t="shared" si="2"/>
        <v>2.775208140610651E-4</v>
      </c>
      <c r="M11" s="57">
        <v>108.14</v>
      </c>
      <c r="N11" s="16">
        <f t="shared" si="3"/>
        <v>3.6989088218981187E-4</v>
      </c>
      <c r="O11" s="27">
        <v>4608.294930875576</v>
      </c>
      <c r="P11" s="9">
        <v>498897</v>
      </c>
      <c r="Q11" s="28">
        <v>5</v>
      </c>
      <c r="R11" s="70">
        <f>((F11+H11+J11+L11+N11)*P11)+(C11*O11)</f>
        <v>1835.9823822610274</v>
      </c>
    </row>
    <row r="12" spans="1:18" x14ac:dyDescent="0.25">
      <c r="A12" s="63" t="s">
        <v>55</v>
      </c>
      <c r="B12" s="40" t="s">
        <v>41</v>
      </c>
      <c r="C12" s="61">
        <v>0.36099999999999999</v>
      </c>
      <c r="D12" s="23">
        <v>87.39</v>
      </c>
      <c r="E12" s="11">
        <v>86.82</v>
      </c>
      <c r="F12" s="13">
        <f>-(E12-D12)/E12</f>
        <v>6.5653075328266234E-3</v>
      </c>
      <c r="G12" s="74">
        <v>86.85</v>
      </c>
      <c r="H12" s="16">
        <f t="shared" si="4"/>
        <v>3.4542314335061759E-4</v>
      </c>
      <c r="I12" s="11">
        <v>86.94</v>
      </c>
      <c r="J12" s="16">
        <f t="shared" si="1"/>
        <v>1.0351966873706397E-3</v>
      </c>
      <c r="K12" s="10">
        <v>86.69</v>
      </c>
      <c r="L12" s="16">
        <f t="shared" si="2"/>
        <v>-2.8838389664321146E-3</v>
      </c>
      <c r="M12" s="57">
        <v>86.94</v>
      </c>
      <c r="N12" s="16">
        <f t="shared" si="3"/>
        <v>2.8755463538072236E-3</v>
      </c>
      <c r="O12" s="27">
        <v>23110.7002542177</v>
      </c>
      <c r="P12" s="9">
        <v>2020798</v>
      </c>
      <c r="Q12" s="28">
        <v>20</v>
      </c>
      <c r="R12" s="70">
        <f t="shared" ref="R12:R14" si="5">(F12+H12+J12+L12+N12)*P12</f>
        <v>16040.356429395675</v>
      </c>
    </row>
    <row r="13" spans="1:18" x14ac:dyDescent="0.25">
      <c r="A13" s="63" t="s">
        <v>54</v>
      </c>
      <c r="B13" s="40" t="s">
        <v>42</v>
      </c>
      <c r="C13" s="61">
        <v>0.126</v>
      </c>
      <c r="D13" s="23">
        <v>26.78</v>
      </c>
      <c r="E13" s="11">
        <v>26.59</v>
      </c>
      <c r="F13" s="13">
        <f>-(E13-D13)/E13</f>
        <v>7.1455434373825224E-3</v>
      </c>
      <c r="G13" s="74">
        <v>26.66</v>
      </c>
      <c r="H13" s="16">
        <f t="shared" si="4"/>
        <v>2.6256564141035367E-3</v>
      </c>
      <c r="I13" s="11">
        <v>26.66</v>
      </c>
      <c r="J13" s="16">
        <f t="shared" si="1"/>
        <v>0</v>
      </c>
      <c r="K13" s="10">
        <v>26.56</v>
      </c>
      <c r="L13" s="16">
        <f t="shared" si="2"/>
        <v>-3.7650602409639092E-3</v>
      </c>
      <c r="M13" s="57">
        <v>26.63</v>
      </c>
      <c r="N13" s="16">
        <f t="shared" si="3"/>
        <v>2.6286143447240063E-3</v>
      </c>
      <c r="O13" s="27">
        <v>56032.872618602916</v>
      </c>
      <c r="P13" s="9">
        <v>1497167</v>
      </c>
      <c r="Q13" s="28">
        <v>15</v>
      </c>
      <c r="R13" s="70">
        <f t="shared" si="5"/>
        <v>12927.668674914023</v>
      </c>
    </row>
    <row r="14" spans="1:18" ht="16.5" thickBot="1" x14ac:dyDescent="0.3">
      <c r="A14" s="64" t="s">
        <v>53</v>
      </c>
      <c r="B14" s="41" t="s">
        <v>43</v>
      </c>
      <c r="C14" s="62">
        <v>0.08</v>
      </c>
      <c r="D14" s="22">
        <v>55.18</v>
      </c>
      <c r="E14" s="14">
        <v>55.21</v>
      </c>
      <c r="F14" s="13">
        <f t="shared" si="0"/>
        <v>5.4337982249594524E-4</v>
      </c>
      <c r="G14" s="20">
        <v>54.77</v>
      </c>
      <c r="H14" s="16">
        <f>-(G14-E14)/G14</f>
        <v>8.0335950337775738E-3</v>
      </c>
      <c r="I14" s="14">
        <v>54.95</v>
      </c>
      <c r="J14" s="16">
        <f t="shared" si="1"/>
        <v>3.2757051865332067E-3</v>
      </c>
      <c r="K14" s="20">
        <v>55.06</v>
      </c>
      <c r="L14" s="16">
        <f t="shared" si="2"/>
        <v>1.9978205593897463E-3</v>
      </c>
      <c r="M14" s="58">
        <v>55.15</v>
      </c>
      <c r="N14" s="16">
        <f t="shared" si="3"/>
        <v>1.6319129646418188E-3</v>
      </c>
      <c r="O14" s="29">
        <v>14261.497498952271</v>
      </c>
      <c r="P14" s="30">
        <v>796173</v>
      </c>
      <c r="Q14" s="31">
        <v>8</v>
      </c>
      <c r="R14" s="70">
        <f t="shared" si="5"/>
        <v>12326.679656750342</v>
      </c>
    </row>
    <row r="15" spans="1:18" ht="15.75" customHeight="1" x14ac:dyDescent="0.25">
      <c r="A15" s="18"/>
      <c r="B15" s="17"/>
      <c r="C15" s="17"/>
      <c r="D15" s="17"/>
      <c r="E15" s="35"/>
      <c r="F15" s="37"/>
      <c r="G15" s="35"/>
      <c r="H15" s="35"/>
      <c r="I15" s="35"/>
      <c r="J15" s="35"/>
      <c r="K15" s="35"/>
      <c r="L15" s="35"/>
      <c r="M15" s="53"/>
      <c r="N15" s="53"/>
      <c r="O15" s="80" t="s">
        <v>83</v>
      </c>
      <c r="P15" s="81"/>
      <c r="Q15" s="82"/>
      <c r="R15" s="83">
        <v>0.98</v>
      </c>
    </row>
    <row r="16" spans="1:18" x14ac:dyDescent="0.25">
      <c r="A16" s="11"/>
      <c r="B16" s="46" t="s">
        <v>61</v>
      </c>
      <c r="C16" s="46"/>
      <c r="D16" s="46"/>
      <c r="E16" s="9"/>
      <c r="F16" s="9">
        <f>F7*P7+F8*P8+F9*P9+F10*P10+F11*P11+F12*P12+F13*P13+F14*P14</f>
        <v>49275.870725342567</v>
      </c>
      <c r="G16" s="9"/>
      <c r="H16" s="9">
        <f>H7*P7+H8*P8+H9*P9+H10*P10+H11*P11+H12*P12+H13*P13+H14*P14</f>
        <v>67000.504009397599</v>
      </c>
      <c r="I16" s="9"/>
      <c r="J16" s="9">
        <f>J7*P7+J8*P8+J9*P9+J10*P10+J11*P11+J12*P12+J13*P13+J14*P14</f>
        <v>41801.994931559682</v>
      </c>
      <c r="K16" s="9"/>
      <c r="L16" s="9">
        <f>L7*P7+L8*P8+L9*P9+L10*P10+L11*P11+L12*P12+L13*P13+L14*P14</f>
        <v>12792.105323221243</v>
      </c>
      <c r="M16" s="9"/>
      <c r="N16" s="9">
        <f>N7*P7+N8*P8+N9*P9+N10*P10+N11*P11+N12*P12+N13*P13+N14*P14</f>
        <v>15966.445800603253</v>
      </c>
      <c r="O16" s="77" t="s">
        <v>85</v>
      </c>
      <c r="P16" s="78"/>
      <c r="Q16" s="79"/>
      <c r="R16" s="70">
        <f>SUM(R7:R14)</f>
        <v>204379.46409245336</v>
      </c>
    </row>
    <row r="17" spans="2:17" ht="16.5" thickBot="1" x14ac:dyDescent="0.3">
      <c r="B17" s="32"/>
      <c r="C17" s="32"/>
      <c r="D17" s="32"/>
      <c r="E17" s="24"/>
      <c r="F17" s="33"/>
      <c r="G17" s="24"/>
      <c r="H17" s="33"/>
      <c r="I17" s="24"/>
      <c r="J17" s="34"/>
      <c r="K17" s="24"/>
      <c r="L17" s="33"/>
      <c r="M17" s="33"/>
      <c r="N17" s="33"/>
      <c r="O17" s="24"/>
      <c r="P17" s="24"/>
      <c r="Q17" s="24"/>
    </row>
    <row r="18" spans="2:17" x14ac:dyDescent="0.25">
      <c r="B18" s="68" t="s">
        <v>87</v>
      </c>
      <c r="C18" t="s">
        <v>86</v>
      </c>
      <c r="D18" s="84" t="s">
        <v>67</v>
      </c>
      <c r="E18" t="s">
        <v>80</v>
      </c>
      <c r="F18" s="68"/>
      <c r="G18" t="s">
        <v>75</v>
      </c>
      <c r="H18" t="s">
        <v>74</v>
      </c>
      <c r="J18" s="75"/>
      <c r="K18" s="66" t="s">
        <v>84</v>
      </c>
      <c r="L18" s="66"/>
      <c r="M18" s="66"/>
      <c r="N18" s="66"/>
      <c r="O18" s="67"/>
      <c r="P18" s="67"/>
    </row>
    <row r="19" spans="2:17" x14ac:dyDescent="0.25">
      <c r="B19" t="s">
        <v>88</v>
      </c>
      <c r="C19" s="55" t="s">
        <v>68</v>
      </c>
      <c r="D19" s="65">
        <v>1.15E-2</v>
      </c>
      <c r="E19" s="73">
        <f>D19*12</f>
        <v>0.13800000000000001</v>
      </c>
      <c r="G19" t="s">
        <v>68</v>
      </c>
      <c r="H19" t="s">
        <v>77</v>
      </c>
      <c r="O19" s="67"/>
      <c r="P19" s="67"/>
    </row>
    <row r="20" spans="2:17" x14ac:dyDescent="0.25">
      <c r="B20" t="s">
        <v>88</v>
      </c>
      <c r="C20" s="55" t="s">
        <v>70</v>
      </c>
      <c r="D20" s="71">
        <v>1.09E-2</v>
      </c>
      <c r="E20" s="73">
        <f>D20*12</f>
        <v>0.1308</v>
      </c>
      <c r="G20" t="s">
        <v>70</v>
      </c>
      <c r="H20" t="s">
        <v>78</v>
      </c>
      <c r="J20" s="45" t="s">
        <v>62</v>
      </c>
      <c r="K20" s="45"/>
      <c r="L20" s="45"/>
    </row>
    <row r="21" spans="2:17" ht="16.5" thickBot="1" x14ac:dyDescent="0.3">
      <c r="B21" t="s">
        <v>88</v>
      </c>
      <c r="C21" s="56" t="s">
        <v>72</v>
      </c>
      <c r="D21" s="71">
        <v>1.9900000000000001E-2</v>
      </c>
      <c r="E21" s="73">
        <f>D21*12</f>
        <v>0.23880000000000001</v>
      </c>
      <c r="G21" t="s">
        <v>72</v>
      </c>
      <c r="H21" t="s">
        <v>81</v>
      </c>
      <c r="J21" s="66" t="s">
        <v>91</v>
      </c>
      <c r="K21" s="66"/>
      <c r="L21" s="66"/>
      <c r="M21" s="66"/>
      <c r="N21" s="66"/>
      <c r="O21" s="67"/>
      <c r="P21" s="67"/>
    </row>
    <row r="22" spans="2:17" x14ac:dyDescent="0.25">
      <c r="B22" t="s">
        <v>89</v>
      </c>
      <c r="C22" s="55" t="s">
        <v>66</v>
      </c>
      <c r="D22" s="65">
        <v>2.24E-2</v>
      </c>
      <c r="E22" s="73">
        <f>D22*6</f>
        <v>0.13439999999999999</v>
      </c>
      <c r="G22" t="s">
        <v>76</v>
      </c>
      <c r="H22" t="s">
        <v>82</v>
      </c>
    </row>
    <row r="23" spans="2:17" x14ac:dyDescent="0.25">
      <c r="B23" t="s">
        <v>89</v>
      </c>
      <c r="C23" s="55" t="s">
        <v>71</v>
      </c>
      <c r="D23" s="65">
        <v>3.1199999999999999E-2</v>
      </c>
      <c r="E23" s="73">
        <f>D23*6</f>
        <v>0.18719999999999998</v>
      </c>
    </row>
    <row r="24" spans="2:17" ht="16.5" thickBot="1" x14ac:dyDescent="0.3">
      <c r="B24" t="s">
        <v>90</v>
      </c>
      <c r="C24" s="55" t="s">
        <v>69</v>
      </c>
      <c r="D24" s="72">
        <v>4.2900000000000001E-2</v>
      </c>
      <c r="E24" s="73">
        <f>D24*4</f>
        <v>0.1716</v>
      </c>
    </row>
    <row r="26" spans="2:17" x14ac:dyDescent="0.25">
      <c r="L26" s="66"/>
      <c r="M26" s="66"/>
      <c r="N26" s="66"/>
      <c r="O26" s="66"/>
    </row>
  </sheetData>
  <mergeCells count="14">
    <mergeCell ref="L26:O26"/>
    <mergeCell ref="R5:R6"/>
    <mergeCell ref="K18:N18"/>
    <mergeCell ref="O16:Q16"/>
    <mergeCell ref="O15:Q15"/>
    <mergeCell ref="J21:N21"/>
    <mergeCell ref="J20:L20"/>
    <mergeCell ref="K5:L5"/>
    <mergeCell ref="I5:J5"/>
    <mergeCell ref="G5:H5"/>
    <mergeCell ref="E5:F5"/>
    <mergeCell ref="Q5:Q6"/>
    <mergeCell ref="B16:D16"/>
    <mergeCell ref="M5:N5"/>
  </mergeCells>
  <pageMargins left="0.15" right="0.1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3CB43-6B83-4D69-94D4-CC299FD73FC1}">
  <dimension ref="B2:S29"/>
  <sheetViews>
    <sheetView tabSelected="1" workbookViewId="0">
      <selection activeCell="T9" sqref="T9"/>
    </sheetView>
  </sheetViews>
  <sheetFormatPr defaultRowHeight="15.75" x14ac:dyDescent="0.25"/>
  <cols>
    <col min="1" max="1" width="1.5" customWidth="1"/>
    <col min="2" max="2" width="8" customWidth="1"/>
    <col min="3" max="3" width="7.25" customWidth="1"/>
    <col min="4" max="4" width="7" bestFit="1" customWidth="1"/>
    <col min="5" max="5" width="8" customWidth="1"/>
    <col min="6" max="6" width="6" customWidth="1"/>
    <col min="7" max="7" width="7.625" customWidth="1"/>
    <col min="8" max="8" width="6" customWidth="1"/>
    <col min="9" max="9" width="8.125" customWidth="1"/>
    <col min="10" max="10" width="6" customWidth="1"/>
    <col min="11" max="11" width="7.625" customWidth="1"/>
    <col min="12" max="12" width="6.125" customWidth="1"/>
    <col min="13" max="13" width="7.625" customWidth="1"/>
    <col min="14" max="14" width="6.125" customWidth="1"/>
    <col min="15" max="15" width="7.5" customWidth="1"/>
    <col min="16" max="16" width="9.625" customWidth="1"/>
    <col min="17" max="17" width="6.125" customWidth="1"/>
    <col min="18" max="18" width="10.875" customWidth="1"/>
  </cols>
  <sheetData>
    <row r="2" spans="2:18" ht="21" x14ac:dyDescent="0.35">
      <c r="B2" s="167" t="s">
        <v>64</v>
      </c>
      <c r="C2" s="167"/>
      <c r="D2" s="167"/>
      <c r="E2" s="167"/>
    </row>
    <row r="3" spans="2:18" ht="17.25" x14ac:dyDescent="0.3">
      <c r="B3" s="66" t="s">
        <v>107</v>
      </c>
      <c r="C3" s="66"/>
      <c r="D3" s="66"/>
      <c r="E3" s="66"/>
      <c r="F3" s="66"/>
      <c r="G3" s="166" t="s">
        <v>108</v>
      </c>
      <c r="H3" s="166"/>
    </row>
    <row r="4" spans="2:18" ht="16.5" thickBot="1" x14ac:dyDescent="0.3"/>
    <row r="5" spans="2:18" ht="18.75" x14ac:dyDescent="0.3">
      <c r="B5" s="145" t="s">
        <v>35</v>
      </c>
      <c r="C5" s="89" t="s">
        <v>73</v>
      </c>
      <c r="D5" s="38" t="s">
        <v>44</v>
      </c>
      <c r="E5" s="49" t="s">
        <v>96</v>
      </c>
      <c r="F5" s="50"/>
      <c r="G5" s="47" t="s">
        <v>97</v>
      </c>
      <c r="H5" s="50"/>
      <c r="I5" s="49" t="s">
        <v>98</v>
      </c>
      <c r="J5" s="50"/>
      <c r="K5" s="49" t="s">
        <v>99</v>
      </c>
      <c r="L5" s="50"/>
      <c r="M5" s="49" t="s">
        <v>100</v>
      </c>
      <c r="N5" s="50"/>
      <c r="O5" s="158" t="s">
        <v>104</v>
      </c>
      <c r="P5" s="159" t="s">
        <v>105</v>
      </c>
      <c r="Q5" s="160" t="s">
        <v>106</v>
      </c>
      <c r="R5" s="161" t="s">
        <v>79</v>
      </c>
    </row>
    <row r="6" spans="2:18" ht="16.5" thickBot="1" x14ac:dyDescent="0.3">
      <c r="B6" s="169"/>
      <c r="C6" s="95"/>
      <c r="D6" s="41" t="s">
        <v>63</v>
      </c>
      <c r="E6" s="14" t="s">
        <v>63</v>
      </c>
      <c r="F6" s="19" t="s">
        <v>57</v>
      </c>
      <c r="G6" s="20" t="s">
        <v>63</v>
      </c>
      <c r="H6" s="19" t="s">
        <v>57</v>
      </c>
      <c r="I6" s="14" t="s">
        <v>63</v>
      </c>
      <c r="J6" s="19" t="s">
        <v>57</v>
      </c>
      <c r="K6" s="14" t="s">
        <v>63</v>
      </c>
      <c r="L6" s="19" t="s">
        <v>57</v>
      </c>
      <c r="M6" s="14" t="s">
        <v>63</v>
      </c>
      <c r="N6" s="19" t="s">
        <v>57</v>
      </c>
      <c r="O6" s="162"/>
      <c r="P6" s="163"/>
      <c r="Q6" s="164"/>
      <c r="R6" s="165"/>
    </row>
    <row r="7" spans="2:18" x14ac:dyDescent="0.25">
      <c r="B7" s="170" t="s">
        <v>36</v>
      </c>
      <c r="C7" s="92">
        <v>0.14000000000000001</v>
      </c>
      <c r="D7" s="157">
        <v>84.76</v>
      </c>
      <c r="E7" s="18">
        <v>84.76</v>
      </c>
      <c r="F7" s="103">
        <f>(E7-D7)/E7</f>
        <v>0</v>
      </c>
      <c r="G7" s="96">
        <v>84.6</v>
      </c>
      <c r="H7" s="103">
        <f>(G7-E7)/G7</f>
        <v>-1.8912529550828702E-3</v>
      </c>
      <c r="I7" s="18">
        <v>84.72</v>
      </c>
      <c r="J7" s="103">
        <f>(I7-G7)/I7</f>
        <v>1.4164305949009035E-3</v>
      </c>
      <c r="K7" s="18">
        <v>84.74</v>
      </c>
      <c r="L7" s="103">
        <f>(K7-I7)/K7</f>
        <v>2.3601604909129128E-4</v>
      </c>
      <c r="M7" s="104">
        <v>84.77</v>
      </c>
      <c r="N7" s="103">
        <f>(M7-K7)/M7</f>
        <v>3.5389878494751845E-4</v>
      </c>
      <c r="O7" s="97">
        <v>17628.393465742156</v>
      </c>
      <c r="P7" s="35">
        <v>1515199</v>
      </c>
      <c r="Q7" s="93">
        <v>15</v>
      </c>
      <c r="R7" s="94">
        <f>((F7+H7+J7+L7+N7)*P7)+(C7*O7)</f>
        <v>2642.3630864993165</v>
      </c>
    </row>
    <row r="8" spans="2:18" x14ac:dyDescent="0.25">
      <c r="B8" s="146" t="s">
        <v>37</v>
      </c>
      <c r="C8" s="90">
        <v>0.16800000000000001</v>
      </c>
      <c r="D8" s="39">
        <v>111.58</v>
      </c>
      <c r="E8" s="11">
        <v>112.13</v>
      </c>
      <c r="F8" s="85">
        <f t="shared" ref="F8:F14" si="0">(E8-D8)/E8</f>
        <v>4.905020957816795E-3</v>
      </c>
      <c r="G8" s="74">
        <v>110.24</v>
      </c>
      <c r="H8" s="85">
        <f>-(G8-E8)/G8</f>
        <v>1.7144412191582008E-2</v>
      </c>
      <c r="I8" s="11">
        <v>111.18</v>
      </c>
      <c r="J8" s="85">
        <f t="shared" ref="J8:J14" si="1">(I8-G8)/I8</f>
        <v>8.4547580500091007E-3</v>
      </c>
      <c r="K8" s="11">
        <v>111.69</v>
      </c>
      <c r="L8" s="85">
        <f t="shared" ref="L8:L14" si="2">(K8-I8)/K8</f>
        <v>4.5662100456620195E-3</v>
      </c>
      <c r="M8" s="105">
        <v>111.57</v>
      </c>
      <c r="N8" s="85">
        <f t="shared" ref="N8:N14" si="3">(M8-K8)/M8</f>
        <v>-1.0755579456843646E-3</v>
      </c>
      <c r="O8" s="98">
        <v>8771.9298245614027</v>
      </c>
      <c r="P8" s="9">
        <v>1047611</v>
      </c>
      <c r="Q8" s="88">
        <v>10</v>
      </c>
      <c r="R8" s="91">
        <f>((F8+H8+J8+L8+N8)*P8)</f>
        <v>35613.37178371261</v>
      </c>
    </row>
    <row r="9" spans="2:18" x14ac:dyDescent="0.25">
      <c r="B9" s="146" t="s">
        <v>38</v>
      </c>
      <c r="C9" s="90">
        <v>0.246</v>
      </c>
      <c r="D9" s="39">
        <v>138.52000000000001</v>
      </c>
      <c r="E9" s="11">
        <v>140.56</v>
      </c>
      <c r="F9" s="85">
        <f t="shared" si="0"/>
        <v>1.4513375071143938E-2</v>
      </c>
      <c r="G9" s="74">
        <v>134.91</v>
      </c>
      <c r="H9" s="85">
        <f>-(G9-E9)/G9</f>
        <v>4.1879771699651666E-2</v>
      </c>
      <c r="I9" s="11">
        <v>137.76</v>
      </c>
      <c r="J9" s="85">
        <f t="shared" si="1"/>
        <v>2.0688153310104488E-2</v>
      </c>
      <c r="K9" s="11">
        <v>139.9</v>
      </c>
      <c r="L9" s="85">
        <f t="shared" si="2"/>
        <v>1.5296640457469726E-2</v>
      </c>
      <c r="M9" s="105">
        <v>140.41999999999999</v>
      </c>
      <c r="N9" s="85">
        <f t="shared" si="3"/>
        <v>3.7031761857283995E-3</v>
      </c>
      <c r="O9" s="98">
        <v>6789.7881586094518</v>
      </c>
      <c r="P9" s="9">
        <v>1117155</v>
      </c>
      <c r="Q9" s="88">
        <v>10</v>
      </c>
      <c r="R9" s="91">
        <f>((F9+H9+J9+L9+N9)*P9)</f>
        <v>107337.49995390995</v>
      </c>
    </row>
    <row r="10" spans="2:18" x14ac:dyDescent="0.25">
      <c r="B10" s="146" t="s">
        <v>39</v>
      </c>
      <c r="C10" s="90">
        <v>9.8000000000000004E-2</v>
      </c>
      <c r="D10" s="39">
        <v>50.24</v>
      </c>
      <c r="E10" s="11">
        <v>50.34</v>
      </c>
      <c r="F10" s="85">
        <f t="shared" si="0"/>
        <v>1.9864918553834212E-3</v>
      </c>
      <c r="G10" s="10">
        <v>50.19</v>
      </c>
      <c r="H10" s="85">
        <f t="shared" ref="H10:H13" si="4">(G10-E10)/G10</f>
        <v>-2.9886431560072861E-3</v>
      </c>
      <c r="I10" s="11">
        <v>50.25</v>
      </c>
      <c r="J10" s="85">
        <f t="shared" si="1"/>
        <v>1.194029850746314E-3</v>
      </c>
      <c r="K10" s="11">
        <v>50.26</v>
      </c>
      <c r="L10" s="85">
        <f t="shared" si="2"/>
        <v>1.9896538002383627E-4</v>
      </c>
      <c r="M10" s="105">
        <v>50.3</v>
      </c>
      <c r="N10" s="85">
        <f t="shared" si="3"/>
        <v>7.9522862823059942E-4</v>
      </c>
      <c r="O10" s="98">
        <v>141643.059490085</v>
      </c>
      <c r="P10" s="9">
        <v>1496133</v>
      </c>
      <c r="Q10" s="88">
        <v>15</v>
      </c>
      <c r="R10" s="91">
        <f>((F10+H10+J10+L10+N10)*P10)+(C10*O10)</f>
        <v>15655.542125010414</v>
      </c>
    </row>
    <row r="11" spans="2:18" x14ac:dyDescent="0.25">
      <c r="B11" s="146" t="s">
        <v>40</v>
      </c>
      <c r="C11" s="90">
        <v>0.25900000000000001</v>
      </c>
      <c r="D11" s="39">
        <v>108</v>
      </c>
      <c r="E11" s="11">
        <v>108.12</v>
      </c>
      <c r="F11" s="85">
        <f t="shared" si="0"/>
        <v>1.1098779134295648E-3</v>
      </c>
      <c r="G11" s="10">
        <v>107.81</v>
      </c>
      <c r="H11" s="85">
        <f t="shared" si="4"/>
        <v>-2.8754289954549882E-3</v>
      </c>
      <c r="I11" s="11">
        <v>108.07</v>
      </c>
      <c r="J11" s="85">
        <f t="shared" si="1"/>
        <v>2.405848061441574E-3</v>
      </c>
      <c r="K11" s="11">
        <v>108.1</v>
      </c>
      <c r="L11" s="85">
        <f t="shared" si="2"/>
        <v>2.775208140610651E-4</v>
      </c>
      <c r="M11" s="105">
        <v>108.14</v>
      </c>
      <c r="N11" s="85">
        <f t="shared" si="3"/>
        <v>3.6989088218981187E-4</v>
      </c>
      <c r="O11" s="98">
        <v>4608.294930875576</v>
      </c>
      <c r="P11" s="9">
        <v>498897</v>
      </c>
      <c r="Q11" s="88">
        <v>5</v>
      </c>
      <c r="R11" s="91">
        <f>((F11+H11+J11+L11+N11)*P11)+(C11*O11)</f>
        <v>1835.9823822610274</v>
      </c>
    </row>
    <row r="12" spans="2:18" x14ac:dyDescent="0.25">
      <c r="B12" s="146" t="s">
        <v>41</v>
      </c>
      <c r="C12" s="90">
        <v>0.36099999999999999</v>
      </c>
      <c r="D12" s="39">
        <v>87.39</v>
      </c>
      <c r="E12" s="11">
        <v>86.82</v>
      </c>
      <c r="F12" s="85">
        <f>-(E12-D12)/E12</f>
        <v>6.5653075328266234E-3</v>
      </c>
      <c r="G12" s="74">
        <v>86.85</v>
      </c>
      <c r="H12" s="85">
        <f t="shared" si="4"/>
        <v>3.4542314335061759E-4</v>
      </c>
      <c r="I12" s="11">
        <v>86.94</v>
      </c>
      <c r="J12" s="85">
        <f t="shared" si="1"/>
        <v>1.0351966873706397E-3</v>
      </c>
      <c r="K12" s="11">
        <v>86.69</v>
      </c>
      <c r="L12" s="85">
        <f t="shared" si="2"/>
        <v>-2.8838389664321146E-3</v>
      </c>
      <c r="M12" s="105">
        <v>86.94</v>
      </c>
      <c r="N12" s="85">
        <f t="shared" si="3"/>
        <v>2.8755463538072236E-3</v>
      </c>
      <c r="O12" s="98">
        <v>23110.7002542177</v>
      </c>
      <c r="P12" s="9">
        <v>2020798</v>
      </c>
      <c r="Q12" s="88">
        <v>20</v>
      </c>
      <c r="R12" s="91">
        <f t="shared" ref="R12:R14" si="5">(F12+H12+J12+L12+N12)*P12</f>
        <v>16040.356429395675</v>
      </c>
    </row>
    <row r="13" spans="2:18" x14ac:dyDescent="0.25">
      <c r="B13" s="146" t="s">
        <v>42</v>
      </c>
      <c r="C13" s="90">
        <v>0.126</v>
      </c>
      <c r="D13" s="39">
        <v>26.78</v>
      </c>
      <c r="E13" s="109">
        <v>26.59</v>
      </c>
      <c r="F13" s="168">
        <f>-(E13-D13)/E13</f>
        <v>7.1455434373825224E-3</v>
      </c>
      <c r="G13" s="74">
        <v>26.66</v>
      </c>
      <c r="H13" s="85">
        <f t="shared" si="4"/>
        <v>2.6256564141035367E-3</v>
      </c>
      <c r="I13" s="11">
        <v>26.66</v>
      </c>
      <c r="J13" s="85">
        <f t="shared" si="1"/>
        <v>0</v>
      </c>
      <c r="K13" s="11">
        <v>26.56</v>
      </c>
      <c r="L13" s="85">
        <f t="shared" si="2"/>
        <v>-3.7650602409639092E-3</v>
      </c>
      <c r="M13" s="105">
        <v>26.63</v>
      </c>
      <c r="N13" s="85">
        <f t="shared" si="3"/>
        <v>2.6286143447240063E-3</v>
      </c>
      <c r="O13" s="98">
        <v>56032.872618602916</v>
      </c>
      <c r="P13" s="9">
        <v>1497167</v>
      </c>
      <c r="Q13" s="88">
        <v>15</v>
      </c>
      <c r="R13" s="91">
        <f t="shared" si="5"/>
        <v>12927.668674914023</v>
      </c>
    </row>
    <row r="14" spans="2:18" ht="16.5" thickBot="1" x14ac:dyDescent="0.3">
      <c r="B14" s="169" t="s">
        <v>43</v>
      </c>
      <c r="C14" s="95">
        <v>0.08</v>
      </c>
      <c r="D14" s="41">
        <v>55.18</v>
      </c>
      <c r="E14" s="14">
        <v>55.21</v>
      </c>
      <c r="F14" s="148">
        <f t="shared" si="0"/>
        <v>5.4337982249594524E-4</v>
      </c>
      <c r="G14" s="20">
        <v>54.77</v>
      </c>
      <c r="H14" s="148">
        <f>-(G14-E14)/G14</f>
        <v>8.0335950337775738E-3</v>
      </c>
      <c r="I14" s="14">
        <v>54.95</v>
      </c>
      <c r="J14" s="148">
        <f t="shared" si="1"/>
        <v>3.2757051865332067E-3</v>
      </c>
      <c r="K14" s="14">
        <v>55.06</v>
      </c>
      <c r="L14" s="148">
        <f t="shared" si="2"/>
        <v>1.9978205593897463E-3</v>
      </c>
      <c r="M14" s="149">
        <v>55.15</v>
      </c>
      <c r="N14" s="148">
        <f t="shared" si="3"/>
        <v>1.6319129646418188E-3</v>
      </c>
      <c r="O14" s="99">
        <v>14261.497498952271</v>
      </c>
      <c r="P14" s="100">
        <v>796173</v>
      </c>
      <c r="Q14" s="101">
        <v>8</v>
      </c>
      <c r="R14" s="102">
        <f t="shared" si="5"/>
        <v>12326.679656750342</v>
      </c>
    </row>
    <row r="15" spans="2:18" ht="15.75" customHeight="1" x14ac:dyDescent="0.25">
      <c r="B15" s="150" t="s">
        <v>102</v>
      </c>
      <c r="C15" s="151"/>
      <c r="D15" s="151"/>
      <c r="E15" s="147">
        <f>F7*P7+F8*P8+F9*P9+F10*P10+F11*P11+F12*P12+F13*P13+F14*P14</f>
        <v>49275.870725342567</v>
      </c>
      <c r="F15" s="147"/>
      <c r="G15" s="152">
        <f>H7*P7+H8*P8+H9*P9+H10*P10+H11*P11+H12*P12+H13*P13+H14*P14</f>
        <v>67000.504009397599</v>
      </c>
      <c r="H15" s="152"/>
      <c r="I15" s="152">
        <f>J7*P7+J8*P8+J9*P9+J10*P10+J11*P11+J12*P12+J13*P13+J14*P14</f>
        <v>41801.994931559682</v>
      </c>
      <c r="J15" s="152"/>
      <c r="K15" s="152">
        <f>L7*P7+L8*P8+L9*P9+L10*P10+L11*P11+L12*P12+L13*P13+L14*P14</f>
        <v>12792.105323221243</v>
      </c>
      <c r="L15" s="152"/>
      <c r="M15" s="152">
        <f>N7*P7+N8*P8+N9*P9+N10*P10+N11*P11+N12*P12+N13*P13+N14*P14</f>
        <v>15966.445800603253</v>
      </c>
      <c r="N15" s="153"/>
      <c r="O15" s="106" t="s">
        <v>83</v>
      </c>
      <c r="P15" s="107"/>
      <c r="Q15" s="107"/>
      <c r="R15" s="108">
        <v>0.98</v>
      </c>
    </row>
    <row r="16" spans="2:18" x14ac:dyDescent="0.25">
      <c r="B16" s="140" t="s">
        <v>101</v>
      </c>
      <c r="C16" s="138"/>
      <c r="D16" s="138"/>
      <c r="E16" s="111">
        <v>4.7999999999999996E-3</v>
      </c>
      <c r="F16" s="139"/>
      <c r="G16" s="111">
        <v>6.6E-3</v>
      </c>
      <c r="H16" s="139"/>
      <c r="I16" s="111">
        <v>4.1000000000000003E-3</v>
      </c>
      <c r="J16" s="139"/>
      <c r="K16" s="111">
        <v>1.2999999999999999E-3</v>
      </c>
      <c r="L16" s="139"/>
      <c r="M16" s="111">
        <v>1.6000000000000001E-3</v>
      </c>
      <c r="N16" s="154"/>
      <c r="O16" s="156" t="s">
        <v>85</v>
      </c>
      <c r="P16" s="76"/>
      <c r="Q16" s="76"/>
      <c r="R16" s="91">
        <f>SUM(R7:R14)</f>
        <v>204379.46409245336</v>
      </c>
    </row>
    <row r="17" spans="2:19" ht="16.5" thickBot="1" x14ac:dyDescent="0.3">
      <c r="B17" s="141" t="s">
        <v>103</v>
      </c>
      <c r="C17" s="142"/>
      <c r="D17" s="142"/>
      <c r="E17" s="143">
        <v>0.24959999999999999</v>
      </c>
      <c r="F17" s="144"/>
      <c r="G17" s="143">
        <v>0.34320000000000001</v>
      </c>
      <c r="H17" s="144"/>
      <c r="I17" s="143">
        <v>0.2132</v>
      </c>
      <c r="J17" s="144"/>
      <c r="K17" s="143">
        <v>6.7599999999999993E-2</v>
      </c>
      <c r="L17" s="144"/>
      <c r="M17" s="143">
        <v>8.3199999999999996E-2</v>
      </c>
      <c r="N17" s="155"/>
      <c r="O17" s="137"/>
      <c r="P17" s="86"/>
      <c r="Q17" s="86"/>
      <c r="R17" s="87"/>
    </row>
    <row r="18" spans="2:19" x14ac:dyDescent="0.25">
      <c r="O18" s="122"/>
      <c r="P18" s="122"/>
      <c r="Q18" s="122"/>
      <c r="R18" s="123"/>
    </row>
    <row r="19" spans="2:19" ht="16.5" thickBot="1" x14ac:dyDescent="0.3">
      <c r="B19" s="32"/>
      <c r="C19" s="32"/>
      <c r="D19" s="32"/>
      <c r="E19" s="24"/>
      <c r="F19" s="33"/>
      <c r="G19" s="122"/>
      <c r="H19" s="33"/>
      <c r="I19" s="24"/>
      <c r="J19" s="34"/>
      <c r="K19" s="24"/>
      <c r="L19" s="33"/>
      <c r="M19" s="33"/>
      <c r="N19" s="33"/>
      <c r="O19" s="24"/>
      <c r="P19" s="24"/>
      <c r="Q19" s="24"/>
    </row>
    <row r="20" spans="2:19" ht="16.5" thickBot="1" x14ac:dyDescent="0.3">
      <c r="B20" s="115" t="s">
        <v>87</v>
      </c>
      <c r="C20" s="116" t="s">
        <v>86</v>
      </c>
      <c r="D20" s="117" t="s">
        <v>67</v>
      </c>
      <c r="E20" s="118" t="s">
        <v>92</v>
      </c>
      <c r="F20" s="119"/>
      <c r="H20" s="120" t="s">
        <v>75</v>
      </c>
      <c r="I20" s="134" t="s">
        <v>74</v>
      </c>
      <c r="J20" s="135" t="s">
        <v>95</v>
      </c>
      <c r="K20" s="136"/>
      <c r="M20" s="121"/>
      <c r="N20" s="124" t="s">
        <v>84</v>
      </c>
      <c r="O20" s="66"/>
      <c r="P20" s="66"/>
      <c r="Q20" s="66"/>
      <c r="R20" s="66"/>
    </row>
    <row r="21" spans="2:19" x14ac:dyDescent="0.25">
      <c r="B21" s="128" t="s">
        <v>93</v>
      </c>
      <c r="C21" s="35" t="s">
        <v>94</v>
      </c>
      <c r="D21" s="129"/>
      <c r="E21" s="130"/>
      <c r="F21" s="131"/>
      <c r="H21" s="18" t="s">
        <v>94</v>
      </c>
      <c r="I21" s="17">
        <v>0</v>
      </c>
      <c r="J21" s="132">
        <v>10000000</v>
      </c>
      <c r="K21" s="133"/>
      <c r="M21" s="45" t="s">
        <v>62</v>
      </c>
      <c r="N21" s="45"/>
      <c r="O21" s="45"/>
    </row>
    <row r="22" spans="2:19" x14ac:dyDescent="0.25">
      <c r="B22" s="11" t="s">
        <v>88</v>
      </c>
      <c r="C22" s="9" t="s">
        <v>68</v>
      </c>
      <c r="D22" s="110">
        <v>1.15E-2</v>
      </c>
      <c r="E22" s="111">
        <f>D22*12</f>
        <v>0.13800000000000001</v>
      </c>
      <c r="F22" s="112"/>
      <c r="H22" s="11" t="s">
        <v>68</v>
      </c>
      <c r="I22" s="9" t="s">
        <v>77</v>
      </c>
      <c r="J22" s="76">
        <f>J21+114812</f>
        <v>10114812</v>
      </c>
      <c r="K22" s="125"/>
      <c r="M22" s="66" t="s">
        <v>91</v>
      </c>
      <c r="N22" s="66"/>
      <c r="O22" s="66"/>
      <c r="P22" s="66"/>
      <c r="Q22" s="66"/>
      <c r="R22" s="66"/>
      <c r="S22" s="66"/>
    </row>
    <row r="23" spans="2:19" x14ac:dyDescent="0.25">
      <c r="B23" s="11" t="s">
        <v>88</v>
      </c>
      <c r="C23" s="9" t="s">
        <v>70</v>
      </c>
      <c r="D23" s="110">
        <v>1.09E-2</v>
      </c>
      <c r="E23" s="111">
        <f>D23*12</f>
        <v>0.1308</v>
      </c>
      <c r="F23" s="112"/>
      <c r="H23" s="11" t="s">
        <v>70</v>
      </c>
      <c r="I23" s="9" t="s">
        <v>78</v>
      </c>
      <c r="J23" s="76">
        <f>J22+109957</f>
        <v>10224769</v>
      </c>
      <c r="K23" s="125"/>
    </row>
    <row r="24" spans="2:19" ht="16.5" thickBot="1" x14ac:dyDescent="0.3">
      <c r="B24" s="11" t="s">
        <v>88</v>
      </c>
      <c r="C24" s="9" t="s">
        <v>72</v>
      </c>
      <c r="D24" s="110">
        <v>1.9900000000000001E-2</v>
      </c>
      <c r="E24" s="111">
        <f>D24*12</f>
        <v>0.23880000000000001</v>
      </c>
      <c r="F24" s="112"/>
      <c r="H24" s="109" t="s">
        <v>72</v>
      </c>
      <c r="I24" s="100" t="s">
        <v>81</v>
      </c>
      <c r="J24" s="126">
        <f>J23+204380</f>
        <v>10429149</v>
      </c>
      <c r="K24" s="127"/>
    </row>
    <row r="25" spans="2:19" ht="16.5" thickBot="1" x14ac:dyDescent="0.3">
      <c r="B25" s="11" t="s">
        <v>89</v>
      </c>
      <c r="C25" s="9" t="s">
        <v>66</v>
      </c>
      <c r="D25" s="110">
        <v>2.24E-2</v>
      </c>
      <c r="E25" s="111">
        <f>D25*6</f>
        <v>0.13439999999999999</v>
      </c>
      <c r="F25" s="112"/>
      <c r="H25" s="120" t="s">
        <v>76</v>
      </c>
      <c r="I25" s="116" t="s">
        <v>82</v>
      </c>
      <c r="J25" s="118">
        <f>J24</f>
        <v>10429149</v>
      </c>
      <c r="K25" s="119"/>
    </row>
    <row r="26" spans="2:19" x14ac:dyDescent="0.25">
      <c r="B26" s="11" t="s">
        <v>89</v>
      </c>
      <c r="C26" s="9" t="s">
        <v>71</v>
      </c>
      <c r="D26" s="110">
        <v>3.1199999999999999E-2</v>
      </c>
      <c r="E26" s="111">
        <f>D26*6</f>
        <v>0.18719999999999998</v>
      </c>
      <c r="F26" s="112"/>
    </row>
    <row r="27" spans="2:19" ht="16.5" thickBot="1" x14ac:dyDescent="0.3">
      <c r="B27" s="14" t="s">
        <v>90</v>
      </c>
      <c r="C27" s="30" t="s">
        <v>69</v>
      </c>
      <c r="D27" s="36">
        <v>4.2900000000000001E-2</v>
      </c>
      <c r="E27" s="113">
        <f>D27*4</f>
        <v>0.1716</v>
      </c>
      <c r="F27" s="114"/>
    </row>
    <row r="29" spans="2:19" x14ac:dyDescent="0.25">
      <c r="L29" s="66"/>
      <c r="M29" s="66"/>
      <c r="N29" s="66"/>
      <c r="O29" s="66"/>
    </row>
  </sheetData>
  <mergeCells count="51">
    <mergeCell ref="B3:F3"/>
    <mergeCell ref="G3:H3"/>
    <mergeCell ref="K17:L17"/>
    <mergeCell ref="I17:J17"/>
    <mergeCell ref="G17:H17"/>
    <mergeCell ref="E17:F17"/>
    <mergeCell ref="O17:R17"/>
    <mergeCell ref="P5:P6"/>
    <mergeCell ref="O5:O6"/>
    <mergeCell ref="B16:D16"/>
    <mergeCell ref="B17:D17"/>
    <mergeCell ref="J25:K25"/>
    <mergeCell ref="N20:R20"/>
    <mergeCell ref="J20:K20"/>
    <mergeCell ref="E21:F21"/>
    <mergeCell ref="M16:N16"/>
    <mergeCell ref="K16:L16"/>
    <mergeCell ref="I16:J16"/>
    <mergeCell ref="G16:H16"/>
    <mergeCell ref="E16:F16"/>
    <mergeCell ref="M17:N17"/>
    <mergeCell ref="E24:F24"/>
    <mergeCell ref="E23:F23"/>
    <mergeCell ref="E22:F22"/>
    <mergeCell ref="M22:S22"/>
    <mergeCell ref="J21:K21"/>
    <mergeCell ref="J24:K24"/>
    <mergeCell ref="J23:K23"/>
    <mergeCell ref="J22:K22"/>
    <mergeCell ref="L29:O29"/>
    <mergeCell ref="B2:E2"/>
    <mergeCell ref="E15:F15"/>
    <mergeCell ref="M15:N15"/>
    <mergeCell ref="K15:L15"/>
    <mergeCell ref="I15:J15"/>
    <mergeCell ref="G15:H15"/>
    <mergeCell ref="E20:F20"/>
    <mergeCell ref="R5:R6"/>
    <mergeCell ref="O15:Q15"/>
    <mergeCell ref="B15:D15"/>
    <mergeCell ref="O16:Q16"/>
    <mergeCell ref="M21:O21"/>
    <mergeCell ref="E27:F27"/>
    <mergeCell ref="E26:F26"/>
    <mergeCell ref="E25:F25"/>
    <mergeCell ref="E5:F5"/>
    <mergeCell ref="G5:H5"/>
    <mergeCell ref="I5:J5"/>
    <mergeCell ref="K5:L5"/>
    <mergeCell ref="M5:N5"/>
    <mergeCell ref="Q5:Q6"/>
  </mergeCells>
  <pageMargins left="0.15" right="0.1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Tharun</cp:lastModifiedBy>
  <cp:lastPrinted>2019-12-02T05:31:14Z</cp:lastPrinted>
  <dcterms:created xsi:type="dcterms:W3CDTF">2019-08-28T11:31:41Z</dcterms:created>
  <dcterms:modified xsi:type="dcterms:W3CDTF">2019-12-02T05:39:49Z</dcterms:modified>
</cp:coreProperties>
</file>