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run\Desktop\Fim 528\"/>
    </mc:Choice>
  </mc:AlternateContent>
  <xr:revisionPtr revIDLastSave="0" documentId="13_ncr:1_{2F000DBD-C538-48B0-AB33-09BE621501E8}" xr6:coauthVersionLast="45" xr6:coauthVersionMax="45" xr10:uidLastSave="{00000000-0000-0000-0000-000000000000}"/>
  <bookViews>
    <workbookView minimized="1" xWindow="7995" yWindow="2700" windowWidth="9180" windowHeight="9255" activeTab="4" xr2:uid="{00000000-000D-0000-FFFF-FFFF00000000}"/>
  </bookViews>
  <sheets>
    <sheet name="Apple" sheetId="6" r:id="rId1"/>
    <sheet name="Difference" sheetId="4" r:id="rId2"/>
    <sheet name="Arbitrage" sheetId="5" r:id="rId3"/>
    <sheet name="MSFT" sheetId="7" r:id="rId4"/>
    <sheet name="Msft Volatility smil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7" l="1"/>
  <c r="K5" i="7"/>
  <c r="M5" i="7"/>
  <c r="O5" i="7"/>
  <c r="P5" i="7" s="1"/>
  <c r="T5" i="7"/>
  <c r="U5" i="7"/>
  <c r="I6" i="7"/>
  <c r="K6" i="7"/>
  <c r="M6" i="7"/>
  <c r="U6" i="7"/>
  <c r="I7" i="7"/>
  <c r="K7" i="7"/>
  <c r="M7" i="7"/>
  <c r="U7" i="7"/>
  <c r="I8" i="7"/>
  <c r="K8" i="7"/>
  <c r="O8" i="7" s="1"/>
  <c r="M8" i="7"/>
  <c r="U8" i="7"/>
  <c r="I9" i="7"/>
  <c r="K9" i="7"/>
  <c r="O9" i="7" s="1"/>
  <c r="P9" i="7" s="1"/>
  <c r="M9" i="7"/>
  <c r="I10" i="7"/>
  <c r="K10" i="7"/>
  <c r="M10" i="7"/>
  <c r="I11" i="7"/>
  <c r="K11" i="7"/>
  <c r="M11" i="7"/>
  <c r="I12" i="7"/>
  <c r="K12" i="7"/>
  <c r="O12" i="7" s="1"/>
  <c r="M12" i="7"/>
  <c r="I13" i="7"/>
  <c r="K13" i="7"/>
  <c r="M13" i="7"/>
  <c r="I14" i="7"/>
  <c r="K14" i="7"/>
  <c r="M14" i="7"/>
  <c r="I16" i="7"/>
  <c r="K16" i="7"/>
  <c r="M16" i="7"/>
  <c r="T6" i="7" s="1"/>
  <c r="I17" i="7"/>
  <c r="K17" i="7"/>
  <c r="M17" i="7"/>
  <c r="I18" i="7"/>
  <c r="K18" i="7"/>
  <c r="M18" i="7"/>
  <c r="O18" i="7" s="1"/>
  <c r="P18" i="7" s="1"/>
  <c r="I19" i="7"/>
  <c r="K19" i="7"/>
  <c r="M19" i="7"/>
  <c r="I20" i="7"/>
  <c r="K20" i="7"/>
  <c r="M20" i="7"/>
  <c r="I21" i="7"/>
  <c r="K21" i="7"/>
  <c r="M21" i="7"/>
  <c r="I22" i="7"/>
  <c r="K22" i="7"/>
  <c r="M22" i="7"/>
  <c r="O22" i="7" s="1"/>
  <c r="P22" i="7" s="1"/>
  <c r="I23" i="7"/>
  <c r="K23" i="7"/>
  <c r="M23" i="7"/>
  <c r="I24" i="7"/>
  <c r="K24" i="7"/>
  <c r="M24" i="7"/>
  <c r="I25" i="7"/>
  <c r="K25" i="7"/>
  <c r="M25" i="7"/>
  <c r="I27" i="7"/>
  <c r="K27" i="7"/>
  <c r="M27" i="7"/>
  <c r="T7" i="7" s="1"/>
  <c r="I28" i="7"/>
  <c r="K28" i="7"/>
  <c r="M28" i="7"/>
  <c r="I29" i="7"/>
  <c r="K29" i="7"/>
  <c r="M29" i="7"/>
  <c r="I30" i="7"/>
  <c r="K30" i="7"/>
  <c r="M30" i="7"/>
  <c r="I31" i="7"/>
  <c r="K31" i="7"/>
  <c r="M31" i="7"/>
  <c r="I32" i="7"/>
  <c r="K32" i="7"/>
  <c r="M32" i="7"/>
  <c r="I33" i="7"/>
  <c r="K33" i="7"/>
  <c r="M33" i="7"/>
  <c r="I34" i="7"/>
  <c r="K34" i="7"/>
  <c r="M34" i="7"/>
  <c r="O34" i="7" s="1"/>
  <c r="I36" i="7"/>
  <c r="K36" i="7"/>
  <c r="M36" i="7"/>
  <c r="I37" i="7"/>
  <c r="K37" i="7"/>
  <c r="M37" i="7"/>
  <c r="I38" i="7"/>
  <c r="K38" i="7"/>
  <c r="M38" i="7"/>
  <c r="I39" i="7"/>
  <c r="K39" i="7"/>
  <c r="M39" i="7"/>
  <c r="O39" i="7" s="1"/>
  <c r="I40" i="7"/>
  <c r="K40" i="7"/>
  <c r="M40" i="7"/>
  <c r="O40" i="7"/>
  <c r="P40" i="7" s="1"/>
  <c r="I41" i="7"/>
  <c r="K41" i="7"/>
  <c r="M41" i="7"/>
  <c r="I42" i="7"/>
  <c r="K42" i="7"/>
  <c r="M42" i="7"/>
  <c r="I43" i="7"/>
  <c r="K43" i="7"/>
  <c r="O43" i="7" s="1"/>
  <c r="M43" i="7"/>
  <c r="I44" i="7"/>
  <c r="K44" i="7"/>
  <c r="M44" i="7"/>
  <c r="O44" i="7" l="1"/>
  <c r="P44" i="7" s="1"/>
  <c r="O41" i="7"/>
  <c r="P41" i="7" s="1"/>
  <c r="O36" i="7"/>
  <c r="P36" i="7" s="1"/>
  <c r="O21" i="7"/>
  <c r="P21" i="7" s="1"/>
  <c r="O17" i="7"/>
  <c r="O32" i="7"/>
  <c r="O28" i="7"/>
  <c r="O6" i="7"/>
  <c r="O37" i="7"/>
  <c r="P37" i="7" s="1"/>
  <c r="O27" i="7"/>
  <c r="P27" i="7" s="1"/>
  <c r="O19" i="7"/>
  <c r="O31" i="7"/>
  <c r="P31" i="7" s="1"/>
  <c r="O25" i="7"/>
  <c r="O23" i="7"/>
  <c r="P23" i="7" s="1"/>
  <c r="O13" i="7"/>
  <c r="P13" i="7" s="1"/>
  <c r="O10" i="7"/>
  <c r="P10" i="7" s="1"/>
  <c r="O30" i="7"/>
  <c r="O14" i="7"/>
  <c r="P14" i="7" s="1"/>
  <c r="P19" i="7"/>
  <c r="P25" i="7"/>
  <c r="P43" i="7"/>
  <c r="P39" i="7"/>
  <c r="P30" i="7"/>
  <c r="P28" i="7"/>
  <c r="P34" i="7"/>
  <c r="P32" i="7"/>
  <c r="P17" i="7"/>
  <c r="P12" i="7"/>
  <c r="P8" i="7"/>
  <c r="P6" i="7"/>
  <c r="T8" i="7"/>
  <c r="O42" i="7"/>
  <c r="O38" i="7"/>
  <c r="O33" i="7"/>
  <c r="O29" i="7"/>
  <c r="O24" i="7"/>
  <c r="O20" i="7"/>
  <c r="O16" i="7"/>
  <c r="O11" i="7"/>
  <c r="O7" i="7"/>
  <c r="I4" i="6"/>
  <c r="K4" i="6"/>
  <c r="O4" i="6" s="1"/>
  <c r="M4" i="6"/>
  <c r="S4" i="6" s="1"/>
  <c r="T4" i="6"/>
  <c r="I5" i="6"/>
  <c r="K5" i="6"/>
  <c r="O5" i="6" s="1"/>
  <c r="M5" i="6"/>
  <c r="T5" i="6"/>
  <c r="I6" i="6"/>
  <c r="K6" i="6"/>
  <c r="M6" i="6"/>
  <c r="T6" i="6"/>
  <c r="I7" i="6"/>
  <c r="K7" i="6"/>
  <c r="M7" i="6"/>
  <c r="T7" i="6"/>
  <c r="I8" i="6"/>
  <c r="K8" i="6"/>
  <c r="O8" i="6" s="1"/>
  <c r="M8" i="6"/>
  <c r="T8" i="6"/>
  <c r="T9" i="6"/>
  <c r="I10" i="6"/>
  <c r="K10" i="6"/>
  <c r="M10" i="6"/>
  <c r="S5" i="6" s="1"/>
  <c r="T10" i="6"/>
  <c r="I11" i="6"/>
  <c r="K11" i="6"/>
  <c r="M11" i="6"/>
  <c r="T11" i="6"/>
  <c r="I12" i="6"/>
  <c r="K12" i="6"/>
  <c r="M12" i="6"/>
  <c r="T12" i="6"/>
  <c r="I13" i="6"/>
  <c r="K13" i="6"/>
  <c r="M13" i="6"/>
  <c r="T13" i="6"/>
  <c r="I14" i="6"/>
  <c r="K14" i="6"/>
  <c r="M14" i="6"/>
  <c r="I16" i="6"/>
  <c r="K16" i="6"/>
  <c r="M16" i="6"/>
  <c r="S6" i="6" s="1"/>
  <c r="I17" i="6"/>
  <c r="K17" i="6"/>
  <c r="M17" i="6"/>
  <c r="T17" i="6"/>
  <c r="U17" i="6"/>
  <c r="I18" i="6"/>
  <c r="K18" i="6"/>
  <c r="M18" i="6"/>
  <c r="T18" i="6"/>
  <c r="U18" i="6"/>
  <c r="I19" i="6"/>
  <c r="K19" i="6"/>
  <c r="M19" i="6"/>
  <c r="T19" i="6"/>
  <c r="U19" i="6"/>
  <c r="I20" i="6"/>
  <c r="K20" i="6"/>
  <c r="M20" i="6"/>
  <c r="T20" i="6"/>
  <c r="U20" i="6"/>
  <c r="T21" i="6"/>
  <c r="U21" i="6"/>
  <c r="I22" i="6"/>
  <c r="K22" i="6"/>
  <c r="M22" i="6"/>
  <c r="S7" i="6" s="1"/>
  <c r="I23" i="6"/>
  <c r="K23" i="6"/>
  <c r="M23" i="6"/>
  <c r="I24" i="6"/>
  <c r="K24" i="6"/>
  <c r="M24" i="6"/>
  <c r="I25" i="6"/>
  <c r="K25" i="6"/>
  <c r="M25" i="6"/>
  <c r="I26" i="6"/>
  <c r="K26" i="6"/>
  <c r="M26" i="6"/>
  <c r="I28" i="6"/>
  <c r="K28" i="6"/>
  <c r="M28" i="6"/>
  <c r="S8" i="6" s="1"/>
  <c r="I29" i="6"/>
  <c r="K29" i="6"/>
  <c r="M29" i="6"/>
  <c r="I30" i="6"/>
  <c r="K30" i="6"/>
  <c r="M30" i="6"/>
  <c r="I31" i="6"/>
  <c r="K31" i="6"/>
  <c r="M31" i="6"/>
  <c r="I32" i="6"/>
  <c r="K32" i="6"/>
  <c r="M32" i="6"/>
  <c r="I34" i="6"/>
  <c r="K34" i="6"/>
  <c r="M34" i="6"/>
  <c r="S9" i="6" s="1"/>
  <c r="I35" i="6"/>
  <c r="K35" i="6"/>
  <c r="M35" i="6"/>
  <c r="I36" i="6"/>
  <c r="K36" i="6"/>
  <c r="M36" i="6"/>
  <c r="I37" i="6"/>
  <c r="K37" i="6"/>
  <c r="M37" i="6"/>
  <c r="I38" i="6"/>
  <c r="K38" i="6"/>
  <c r="M38" i="6"/>
  <c r="I40" i="6"/>
  <c r="K40" i="6"/>
  <c r="M40" i="6"/>
  <c r="S10" i="6" s="1"/>
  <c r="I41" i="6"/>
  <c r="K41" i="6"/>
  <c r="M41" i="6"/>
  <c r="I42" i="6"/>
  <c r="K42" i="6"/>
  <c r="M42" i="6"/>
  <c r="I43" i="6"/>
  <c r="K43" i="6"/>
  <c r="M43" i="6"/>
  <c r="I44" i="6"/>
  <c r="K44" i="6"/>
  <c r="M44" i="6"/>
  <c r="I46" i="6"/>
  <c r="K46" i="6"/>
  <c r="M46" i="6"/>
  <c r="S11" i="6" s="1"/>
  <c r="I47" i="6"/>
  <c r="K47" i="6"/>
  <c r="M47" i="6"/>
  <c r="I48" i="6"/>
  <c r="K48" i="6"/>
  <c r="M48" i="6"/>
  <c r="I49" i="6"/>
  <c r="K49" i="6"/>
  <c r="M49" i="6"/>
  <c r="I50" i="6"/>
  <c r="K50" i="6"/>
  <c r="M50" i="6"/>
  <c r="I52" i="6"/>
  <c r="K52" i="6"/>
  <c r="M52" i="6"/>
  <c r="S12" i="6" s="1"/>
  <c r="I53" i="6"/>
  <c r="K53" i="6"/>
  <c r="M53" i="6"/>
  <c r="I54" i="6"/>
  <c r="K54" i="6"/>
  <c r="M54" i="6"/>
  <c r="I55" i="6"/>
  <c r="K55" i="6"/>
  <c r="M55" i="6"/>
  <c r="I56" i="6"/>
  <c r="K56" i="6"/>
  <c r="M56" i="6"/>
  <c r="I58" i="6"/>
  <c r="K58" i="6"/>
  <c r="M58" i="6"/>
  <c r="S13" i="6" s="1"/>
  <c r="I59" i="6"/>
  <c r="K59" i="6"/>
  <c r="M59" i="6"/>
  <c r="I60" i="6"/>
  <c r="K60" i="6"/>
  <c r="M60" i="6"/>
  <c r="I61" i="6"/>
  <c r="K61" i="6"/>
  <c r="O61" i="6" s="1"/>
  <c r="M61" i="6"/>
  <c r="I62" i="6"/>
  <c r="K62" i="6"/>
  <c r="M62" i="6"/>
  <c r="O25" i="6" l="1"/>
  <c r="O50" i="6"/>
  <c r="O41" i="6"/>
  <c r="O31" i="6"/>
  <c r="P31" i="6" s="1"/>
  <c r="O52" i="6"/>
  <c r="O38" i="6"/>
  <c r="O14" i="6"/>
  <c r="O13" i="6"/>
  <c r="O10" i="6"/>
  <c r="O32" i="6"/>
  <c r="O22" i="6"/>
  <c r="O12" i="6"/>
  <c r="P12" i="6" s="1"/>
  <c r="O11" i="6"/>
  <c r="O54" i="6"/>
  <c r="P54" i="6" s="1"/>
  <c r="O48" i="6"/>
  <c r="P48" i="6" s="1"/>
  <c r="O23" i="6"/>
  <c r="P23" i="6" s="1"/>
  <c r="O60" i="6"/>
  <c r="P60" i="6" s="1"/>
  <c r="O44" i="6"/>
  <c r="P44" i="6" s="1"/>
  <c r="O35" i="6"/>
  <c r="P35" i="6" s="1"/>
  <c r="O29" i="6"/>
  <c r="P29" i="6" s="1"/>
  <c r="O7" i="6"/>
  <c r="O6" i="6"/>
  <c r="P41" i="6"/>
  <c r="P38" i="6"/>
  <c r="P22" i="6"/>
  <c r="P5" i="6"/>
  <c r="P50" i="6"/>
  <c r="P8" i="6"/>
  <c r="P4" i="6"/>
  <c r="O62" i="6"/>
  <c r="O58" i="6"/>
  <c r="O55" i="6"/>
  <c r="O43" i="6"/>
  <c r="O36" i="6"/>
  <c r="O24" i="6"/>
  <c r="O18" i="6"/>
  <c r="P18" i="6" s="1"/>
  <c r="O16" i="6"/>
  <c r="P7" i="6"/>
  <c r="P6" i="6"/>
  <c r="O53" i="6"/>
  <c r="O46" i="6"/>
  <c r="O34" i="6"/>
  <c r="O26" i="6"/>
  <c r="O56" i="6"/>
  <c r="P56" i="6" s="1"/>
  <c r="O47" i="6"/>
  <c r="O37" i="6"/>
  <c r="O17" i="6"/>
  <c r="O59" i="6"/>
  <c r="O49" i="6"/>
  <c r="O40" i="6"/>
  <c r="O30" i="6"/>
  <c r="O20" i="6"/>
  <c r="P20" i="6" s="1"/>
  <c r="O28" i="6"/>
  <c r="O42" i="6"/>
  <c r="O19" i="6"/>
  <c r="P24" i="7"/>
  <c r="P7" i="7"/>
  <c r="P33" i="7"/>
  <c r="P11" i="7"/>
  <c r="P20" i="7"/>
  <c r="P29" i="7"/>
  <c r="P38" i="7"/>
  <c r="P16" i="7"/>
  <c r="P42" i="7"/>
  <c r="P49" i="6"/>
  <c r="P61" i="6"/>
  <c r="P52" i="6"/>
  <c r="P32" i="6"/>
  <c r="P25" i="6"/>
  <c r="P14" i="6"/>
  <c r="P13" i="6"/>
  <c r="P11" i="6"/>
  <c r="P10" i="6"/>
  <c r="P28" i="6"/>
  <c r="P17" i="6"/>
  <c r="F10" i="4"/>
  <c r="F11" i="4"/>
  <c r="F12" i="4"/>
  <c r="F13" i="4"/>
  <c r="F14" i="4"/>
  <c r="F16" i="4"/>
  <c r="F17" i="4"/>
  <c r="F18" i="4"/>
  <c r="F19" i="4"/>
  <c r="F20" i="4"/>
  <c r="F22" i="4"/>
  <c r="F23" i="4"/>
  <c r="F24" i="4"/>
  <c r="F25" i="4"/>
  <c r="F26" i="4"/>
  <c r="F28" i="4"/>
  <c r="F29" i="4"/>
  <c r="F30" i="4"/>
  <c r="F31" i="4"/>
  <c r="F32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F48" i="4"/>
  <c r="F49" i="4"/>
  <c r="F50" i="4"/>
  <c r="F52" i="4"/>
  <c r="F53" i="4"/>
  <c r="F54" i="4"/>
  <c r="F55" i="4"/>
  <c r="F56" i="4"/>
  <c r="F58" i="4"/>
  <c r="F59" i="4"/>
  <c r="F60" i="4"/>
  <c r="F61" i="4"/>
  <c r="F62" i="4"/>
  <c r="F5" i="4"/>
  <c r="F6" i="4"/>
  <c r="F7" i="4"/>
  <c r="F8" i="4"/>
  <c r="F4" i="4"/>
  <c r="P16" i="6" l="1"/>
  <c r="P43" i="6"/>
  <c r="P19" i="6"/>
  <c r="P30" i="6"/>
  <c r="P26" i="6"/>
  <c r="P55" i="6"/>
  <c r="P53" i="6"/>
  <c r="P42" i="6"/>
  <c r="P34" i="6"/>
  <c r="P24" i="6"/>
  <c r="P58" i="6"/>
  <c r="P59" i="6"/>
  <c r="P40" i="6"/>
  <c r="P37" i="6"/>
  <c r="P47" i="6"/>
  <c r="P46" i="6"/>
  <c r="P36" i="6"/>
  <c r="P62" i="6"/>
</calcChain>
</file>

<file path=xl/sharedStrings.xml><?xml version="1.0" encoding="utf-8"?>
<sst xmlns="http://schemas.openxmlformats.org/spreadsheetml/2006/main" count="177" uniqueCount="148">
  <si>
    <t>Strike</t>
  </si>
  <si>
    <t>Ticker</t>
  </si>
  <si>
    <t>Bid</t>
  </si>
  <si>
    <t>Ask</t>
  </si>
  <si>
    <t>Last</t>
  </si>
  <si>
    <t>IVM</t>
  </si>
  <si>
    <t>Volm</t>
  </si>
  <si>
    <t>20-Dec-19 (30d); CSize 100</t>
  </si>
  <si>
    <t>AAPL 12/20/19 C257.5</t>
  </si>
  <si>
    <t>AAPL 12/20/19 C260</t>
  </si>
  <si>
    <t>AAPL 12/20/19 C262.5</t>
  </si>
  <si>
    <t>AAPL 12/20/19 C265</t>
  </si>
  <si>
    <t>AAPL 12/20/19 C267.5</t>
  </si>
  <si>
    <t>17-Jan-20 (58d); CSize 100</t>
  </si>
  <si>
    <t>AAPL 1/17/20 C255</t>
  </si>
  <si>
    <t>AAPL 1/17/20 C260</t>
  </si>
  <si>
    <t>AAPL 1/17/20 C265</t>
  </si>
  <si>
    <t>AAPL 1/17/20 C270</t>
  </si>
  <si>
    <t>AAPL 1/17/20 C275</t>
  </si>
  <si>
    <t>21-Feb-20 (93d); CSize 100</t>
  </si>
  <si>
    <t>AAPL 2/21/20 C255</t>
  </si>
  <si>
    <t>AAPL 2/21/20 C260</t>
  </si>
  <si>
    <t>AAPL 2/21/20 C265</t>
  </si>
  <si>
    <t>AAPL 2/21/20 C270</t>
  </si>
  <si>
    <t>AAPL 2/21/20 C275</t>
  </si>
  <si>
    <t>20-Mar-20 (121d); CSize 100</t>
  </si>
  <si>
    <t>AAPL 3/20/20 C255</t>
  </si>
  <si>
    <t>AAPL 3/20/20 C260</t>
  </si>
  <si>
    <t>AAPL 3/20/20 C265</t>
  </si>
  <si>
    <t>AAPL 3/20/20 C270</t>
  </si>
  <si>
    <t>AAPL 3/20/20 C275</t>
  </si>
  <si>
    <t>17-Apr-20 (149d); CSize 100</t>
  </si>
  <si>
    <t>AAPL 4/17/20 C255</t>
  </si>
  <si>
    <t>AAPL 4/17/20 C260</t>
  </si>
  <si>
    <t>AAPL 4/17/20 C265</t>
  </si>
  <si>
    <t>AAPL 4/17/20 C270</t>
  </si>
  <si>
    <t>AAPL 4/17/20 C275</t>
  </si>
  <si>
    <t>19-Jun-20 (212d); CSize 100</t>
  </si>
  <si>
    <t>AAPL 6/19/20 C245</t>
  </si>
  <si>
    <t>AAPL 6/19/20 C250</t>
  </si>
  <si>
    <t>AAPL 6/19/20 C260</t>
  </si>
  <si>
    <t>AAPL 6/19/20 C270</t>
  </si>
  <si>
    <t>AAPL 6/19/20 C280</t>
  </si>
  <si>
    <t>17-Jul-20 (240d); CSize 100</t>
  </si>
  <si>
    <t>AAPL 7/17/20 C255</t>
  </si>
  <si>
    <t>AAPL 7/17/20 C260</t>
  </si>
  <si>
    <t>AAPL 7/17/20 C265</t>
  </si>
  <si>
    <t>AAPL 7/17/20 C270</t>
  </si>
  <si>
    <t>AAPL 7/17/20 C275</t>
  </si>
  <si>
    <t>18-Sep-20 (303d); CSize 100</t>
  </si>
  <si>
    <t>AAPL 9/18/20 C240</t>
  </si>
  <si>
    <t>AAPL 9/18/20 C250</t>
  </si>
  <si>
    <t>AAPL 9/18/20 C260</t>
  </si>
  <si>
    <t>AAPL 9/18/20 C270</t>
  </si>
  <si>
    <t>AAPL 9/18/20 C280</t>
  </si>
  <si>
    <t>15-Jan-21 (422d); CSize 100</t>
  </si>
  <si>
    <t>AAPL 1/15/21 C250</t>
  </si>
  <si>
    <t>AAPL 1/15/21 C255</t>
  </si>
  <si>
    <t>AAPL 1/15/21 C260</t>
  </si>
  <si>
    <t>AAPL 1/15/21 C265</t>
  </si>
  <si>
    <t>AAPL 1/15/21 C270</t>
  </si>
  <si>
    <t>18-Jun-21 (576d); CSize 100</t>
  </si>
  <si>
    <t>AAPL 6/18/21 C245</t>
  </si>
  <si>
    <t>AAPL 6/18/21 C250</t>
  </si>
  <si>
    <t>AAPL 6/18/21 C260</t>
  </si>
  <si>
    <t>AAPL 6/18/21 C270</t>
  </si>
  <si>
    <t>AAPL 6/18/21 C280</t>
  </si>
  <si>
    <t>Strike Price (K)</t>
  </si>
  <si>
    <t>So</t>
  </si>
  <si>
    <t>Nov. 20, 2019</t>
  </si>
  <si>
    <t>T</t>
  </si>
  <si>
    <t>R</t>
  </si>
  <si>
    <t>d1</t>
  </si>
  <si>
    <t>d2</t>
  </si>
  <si>
    <t>sigma</t>
  </si>
  <si>
    <t>Call Value</t>
  </si>
  <si>
    <t xml:space="preserve">Call </t>
  </si>
  <si>
    <t xml:space="preserve">For Graph </t>
  </si>
  <si>
    <t>Maturity</t>
  </si>
  <si>
    <t>With Same Strike Prices</t>
  </si>
  <si>
    <t>Strike Price</t>
  </si>
  <si>
    <t>K/S0</t>
  </si>
  <si>
    <t>Difference</t>
  </si>
  <si>
    <t>Stock Price</t>
  </si>
  <si>
    <t xml:space="preserve">Theoritical Call </t>
  </si>
  <si>
    <t>Arbitrage interest rate</t>
  </si>
  <si>
    <t>Days to expiry</t>
  </si>
  <si>
    <t>Call option price</t>
  </si>
  <si>
    <t>MSFT 3/20/20 C170</t>
  </si>
  <si>
    <t>MSFT 3/20/20 C165</t>
  </si>
  <si>
    <t>MSFT 3/20/20 C160</t>
  </si>
  <si>
    <t>MSFT 3/20/20 C155</t>
  </si>
  <si>
    <t>MSFT 3/20/20 C150</t>
  </si>
  <si>
    <t>MSFT 3/20/20 C145</t>
  </si>
  <si>
    <t>MSFT 3/20/20 C140</t>
  </si>
  <si>
    <t>MSFT 3/20/20 C135</t>
  </si>
  <si>
    <t>MSFT 3/20/20 C130</t>
  </si>
  <si>
    <t>20-Mar-20 (107d); CSize 100; IDiv .47 USD; R 1.88; IFwd 150.16</t>
  </si>
  <si>
    <t>MSFT 2/21/20 C170</t>
  </si>
  <si>
    <t>MSFT 2/21/20 C165</t>
  </si>
  <si>
    <t>MSFT 2/21/20 C160</t>
  </si>
  <si>
    <t>MSFT 2/21/20 C155</t>
  </si>
  <si>
    <t>MSFT 2/21/20 C150</t>
  </si>
  <si>
    <t>MSFT 2/21/20 C145</t>
  </si>
  <si>
    <t>MSFT 2/21/20 C140</t>
  </si>
  <si>
    <t>MSFT 2/21/20 C135</t>
  </si>
  <si>
    <t>21-Feb-20 (79d); CSize 100; IDiv .47 USD; R 1.86; IFwd 149.94</t>
  </si>
  <si>
    <t>MSFT 1/17/20 C175</t>
  </si>
  <si>
    <t>MSFT 1/17/20 C170</t>
  </si>
  <si>
    <t>MSFT 1/17/20 C165</t>
  </si>
  <si>
    <t>MSFT 1/17/20 C160</t>
  </si>
  <si>
    <t>MSFT 1/17/20 C155</t>
  </si>
  <si>
    <t>MSFT 1/17/20 C150</t>
  </si>
  <si>
    <t>MSFT 1/17/20 C145</t>
  </si>
  <si>
    <t>MSFT 1/17/20 C140</t>
  </si>
  <si>
    <t>MSFT 1/17/20 C135</t>
  </si>
  <si>
    <t>MSFT 1/17/20 C130</t>
  </si>
  <si>
    <t>17-Jan-20 (44d); CSize 100; R 1.76; IFwd 150.13</t>
  </si>
  <si>
    <t>MSFT 12/20/19 C162.5</t>
  </si>
  <si>
    <t>MSFT 12/20/19 C160</t>
  </si>
  <si>
    <t>MSFT 12/20/19 C157.5</t>
  </si>
  <si>
    <t>MSFT 12/20/19 C155</t>
  </si>
  <si>
    <t>MSFT 12/20/19 C152.5</t>
  </si>
  <si>
    <t>MSFT 12/20/19 C150</t>
  </si>
  <si>
    <t>MSFT 12/20/19 C149</t>
  </si>
  <si>
    <t>MSFT 12/20/19 C148</t>
  </si>
  <si>
    <t>MSFT 12/20/19 C147</t>
  </si>
  <si>
    <t>MSFT 12/20/19 C146</t>
  </si>
  <si>
    <t>20-Dec-19 (16d); CSize 100; R 1.63; IFwd 149.91</t>
  </si>
  <si>
    <t>Sigma</t>
  </si>
  <si>
    <t>107/360</t>
  </si>
  <si>
    <t>44/360</t>
  </si>
  <si>
    <t>79/360</t>
  </si>
  <si>
    <t>16/360</t>
  </si>
  <si>
    <t>maturity</t>
  </si>
  <si>
    <t>Calc. Volatility</t>
  </si>
  <si>
    <t>Avg Volatility</t>
  </si>
  <si>
    <t>Apple Call options</t>
  </si>
  <si>
    <t>Microsoft Call options</t>
  </si>
  <si>
    <r>
      <rPr>
        <b/>
        <sz val="11"/>
        <color theme="1"/>
        <rFont val="Calibri"/>
        <family val="2"/>
        <scheme val="minor"/>
      </rPr>
      <t>Theoritical Call:</t>
    </r>
    <r>
      <rPr>
        <sz val="11"/>
        <color theme="1"/>
        <rFont val="Calibri"/>
        <family val="2"/>
        <scheme val="minor"/>
      </rPr>
      <t xml:space="preserve"> call option value created with black scholes formula where implied volatility is taken from bloomberg</t>
    </r>
  </si>
  <si>
    <r>
      <rPr>
        <b/>
        <sz val="11"/>
        <color theme="1"/>
        <rFont val="Calibri"/>
        <family val="2"/>
        <scheme val="minor"/>
      </rPr>
      <t>Difference:</t>
    </r>
    <r>
      <rPr>
        <sz val="11"/>
        <color theme="1"/>
        <rFont val="Calibri"/>
        <family val="2"/>
        <scheme val="minor"/>
      </rPr>
      <t xml:space="preserve"> the difference between real call option price and theoritical price which is calculated using Black Scholes formula</t>
    </r>
  </si>
  <si>
    <t>Option Price = Stock price - strike price*e^(-rt)</t>
  </si>
  <si>
    <t>Since we have interest rate directly, depending on our availability of funds we could do arbitrage</t>
  </si>
  <si>
    <t>We found arbitrage for interest rate because for real scenario, it's difficult to use treasury rates unless it's a large amount</t>
  </si>
  <si>
    <t>Using the above equation, We calculated the interest rate for which the real call value matches</t>
  </si>
  <si>
    <t xml:space="preserve">Assumptions: </t>
  </si>
  <si>
    <t>Dividends are not considered</t>
  </si>
  <si>
    <t>real call Price is taken as the average price between Bid-Ask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</si>
</sst>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8" fillId="0" borderId="0" xfId="0" applyFont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0" xfId="0" applyNumberFormat="1" applyBorder="1"/>
    <xf numFmtId="166" fontId="0" fillId="0" borderId="10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164" fontId="0" fillId="0" borderId="16" xfId="0" applyNumberFormat="1" applyBorder="1"/>
    <xf numFmtId="166" fontId="0" fillId="0" borderId="18" xfId="0" applyNumberFormat="1" applyBorder="1"/>
    <xf numFmtId="0" fontId="0" fillId="0" borderId="10" xfId="0" applyBorder="1" applyAlignment="1"/>
    <xf numFmtId="2" fontId="0" fillId="0" borderId="10" xfId="0" applyNumberFormat="1" applyBorder="1"/>
    <xf numFmtId="2" fontId="0" fillId="0" borderId="10" xfId="0" applyNumberFormat="1" applyBorder="1" applyAlignment="1"/>
    <xf numFmtId="165" fontId="0" fillId="0" borderId="10" xfId="0" applyNumberFormat="1" applyBorder="1"/>
    <xf numFmtId="0" fontId="0" fillId="0" borderId="14" xfId="0" applyBorder="1" applyAlignment="1"/>
    <xf numFmtId="0" fontId="0" fillId="0" borderId="15" xfId="0" applyBorder="1" applyAlignment="1"/>
    <xf numFmtId="2" fontId="0" fillId="0" borderId="17" xfId="0" applyNumberFormat="1" applyBorder="1"/>
    <xf numFmtId="165" fontId="0" fillId="0" borderId="17" xfId="0" applyNumberFormat="1" applyBorder="1"/>
    <xf numFmtId="164" fontId="0" fillId="0" borderId="17" xfId="0" applyNumberFormat="1" applyBorder="1"/>
    <xf numFmtId="0" fontId="0" fillId="0" borderId="20" xfId="0" applyBorder="1"/>
    <xf numFmtId="0" fontId="0" fillId="0" borderId="21" xfId="0" applyBorder="1"/>
    <xf numFmtId="0" fontId="0" fillId="33" borderId="19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166" fontId="0" fillId="34" borderId="15" xfId="0" applyNumberFormat="1" applyFill="1" applyBorder="1"/>
    <xf numFmtId="166" fontId="0" fillId="34" borderId="18" xfId="0" applyNumberFormat="1" applyFill="1" applyBorder="1"/>
    <xf numFmtId="166" fontId="0" fillId="0" borderId="15" xfId="0" applyNumberFormat="1" applyFill="1" applyBorder="1"/>
    <xf numFmtId="0" fontId="16" fillId="0" borderId="10" xfId="0" applyFont="1" applyBorder="1" applyAlignment="1"/>
    <xf numFmtId="166" fontId="0" fillId="0" borderId="17" xfId="0" applyNumberFormat="1" applyBorder="1"/>
    <xf numFmtId="0" fontId="0" fillId="0" borderId="23" xfId="0" applyBorder="1" applyAlignment="1"/>
    <xf numFmtId="0" fontId="0" fillId="0" borderId="24" xfId="0" applyBorder="1" applyAlignment="1"/>
    <xf numFmtId="0" fontId="0" fillId="0" borderId="22" xfId="0" applyBorder="1"/>
    <xf numFmtId="0" fontId="18" fillId="0" borderId="23" xfId="0" applyFont="1" applyBorder="1"/>
    <xf numFmtId="0" fontId="0" fillId="0" borderId="23" xfId="0" applyBorder="1"/>
    <xf numFmtId="0" fontId="0" fillId="0" borderId="24" xfId="0" applyBorder="1"/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vertical="center" wrapText="1"/>
    </xf>
    <xf numFmtId="10" fontId="0" fillId="33" borderId="13" xfId="42" applyNumberFormat="1" applyFont="1" applyFill="1" applyBorder="1" applyAlignment="1">
      <alignment horizontal="center" vertical="center" wrapText="1"/>
    </xf>
    <xf numFmtId="164" fontId="0" fillId="34" borderId="10" xfId="0" applyNumberFormat="1" applyFill="1" applyBorder="1"/>
    <xf numFmtId="164" fontId="0" fillId="34" borderId="15" xfId="0" applyNumberFormat="1" applyFill="1" applyBorder="1"/>
    <xf numFmtId="164" fontId="0" fillId="34" borderId="17" xfId="0" applyNumberFormat="1" applyFill="1" applyBorder="1"/>
    <xf numFmtId="164" fontId="0" fillId="34" borderId="18" xfId="0" applyNumberFormat="1" applyFill="1" applyBorder="1"/>
    <xf numFmtId="0" fontId="0" fillId="0" borderId="0" xfId="0" applyFill="1"/>
    <xf numFmtId="164" fontId="0" fillId="0" borderId="10" xfId="0" applyNumberFormat="1" applyFill="1" applyBorder="1"/>
    <xf numFmtId="164" fontId="0" fillId="0" borderId="15" xfId="0" applyNumberFormat="1" applyFill="1" applyBorder="1"/>
    <xf numFmtId="166" fontId="0" fillId="0" borderId="10" xfId="0" applyNumberFormat="1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164" fontId="0" fillId="0" borderId="20" xfId="0" applyNumberFormat="1" applyBorder="1"/>
    <xf numFmtId="164" fontId="0" fillId="0" borderId="21" xfId="0" applyNumberFormat="1" applyBorder="1"/>
    <xf numFmtId="0" fontId="0" fillId="33" borderId="14" xfId="0" applyFill="1" applyBorder="1"/>
    <xf numFmtId="0" fontId="0" fillId="33" borderId="15" xfId="0" applyFill="1" applyBorder="1"/>
    <xf numFmtId="0" fontId="0" fillId="33" borderId="28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9" xfId="0" applyFill="1" applyBorder="1"/>
    <xf numFmtId="0" fontId="0" fillId="33" borderId="29" xfId="0" applyFill="1" applyBorder="1"/>
    <xf numFmtId="0" fontId="0" fillId="33" borderId="30" xfId="0" applyFill="1" applyBorder="1"/>
    <xf numFmtId="0" fontId="0" fillId="33" borderId="31" xfId="0" applyFill="1" applyBorder="1"/>
    <xf numFmtId="0" fontId="0" fillId="0" borderId="32" xfId="0" applyBorder="1" applyAlignment="1"/>
    <xf numFmtId="0" fontId="0" fillId="0" borderId="0" xfId="0" applyBorder="1"/>
    <xf numFmtId="10" fontId="0" fillId="0" borderId="0" xfId="42" applyNumberFormat="1" applyFont="1" applyAlignment="1">
      <alignment horizontal="center"/>
    </xf>
    <xf numFmtId="10" fontId="0" fillId="0" borderId="15" xfId="42" applyNumberFormat="1" applyFont="1" applyBorder="1" applyAlignment="1">
      <alignment horizontal="center"/>
    </xf>
    <xf numFmtId="10" fontId="0" fillId="34" borderId="15" xfId="42" applyNumberFormat="1" applyFont="1" applyFill="1" applyBorder="1" applyAlignment="1">
      <alignment horizontal="center"/>
    </xf>
    <xf numFmtId="10" fontId="0" fillId="0" borderId="15" xfId="42" applyNumberFormat="1" applyFont="1" applyFill="1" applyBorder="1" applyAlignment="1">
      <alignment horizontal="center"/>
    </xf>
    <xf numFmtId="10" fontId="0" fillId="34" borderId="18" xfId="42" applyNumberFormat="1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34" borderId="35" xfId="0" applyFill="1" applyBorder="1"/>
    <xf numFmtId="0" fontId="0" fillId="34" borderId="36" xfId="0" applyFill="1" applyBorder="1"/>
    <xf numFmtId="0" fontId="0" fillId="0" borderId="35" xfId="0" applyFill="1" applyBorder="1"/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9" fillId="0" borderId="32" xfId="0" applyFont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Volatility</a:t>
            </a:r>
            <a:r>
              <a:rPr lang="en-US" baseline="0"/>
              <a:t> vs. Strike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Apple!$S$17:$S$21</c:f>
              <c:numCache>
                <c:formatCode>General</c:formatCode>
                <c:ptCount val="5"/>
                <c:pt idx="0">
                  <c:v>255</c:v>
                </c:pt>
                <c:pt idx="1">
                  <c:v>260</c:v>
                </c:pt>
                <c:pt idx="2">
                  <c:v>265</c:v>
                </c:pt>
                <c:pt idx="3">
                  <c:v>270</c:v>
                </c:pt>
                <c:pt idx="4">
                  <c:v>275</c:v>
                </c:pt>
              </c:numCache>
            </c:numRef>
          </c:xVal>
          <c:yVal>
            <c:numRef>
              <c:f>Apple!$U$17:$U$21</c:f>
              <c:numCache>
                <c:formatCode>0.00000</c:formatCode>
                <c:ptCount val="5"/>
                <c:pt idx="0">
                  <c:v>0.24258057128266089</c:v>
                </c:pt>
                <c:pt idx="1">
                  <c:v>0.23726740909776933</c:v>
                </c:pt>
                <c:pt idx="2">
                  <c:v>0.23152845910942535</c:v>
                </c:pt>
                <c:pt idx="3">
                  <c:v>0.2328510176582107</c:v>
                </c:pt>
                <c:pt idx="4">
                  <c:v>0.22701222571499419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7-4248-B47D-1B16B0D6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9712"/>
        <c:axId val="427293280"/>
      </c:scatterChart>
      <c:valAx>
        <c:axId val="4282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3280"/>
        <c:crosses val="autoZero"/>
        <c:crossBetween val="midCat"/>
      </c:valAx>
      <c:valAx>
        <c:axId val="4272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Volatility</a:t>
            </a:r>
            <a:r>
              <a:rPr lang="en-US" baseline="0"/>
              <a:t> vs. Maturity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Apple!$S$4:$S$13</c:f>
              <c:numCache>
                <c:formatCode>0.000</c:formatCode>
                <c:ptCount val="10"/>
                <c:pt idx="0">
                  <c:v>8.2191780821917804E-2</c:v>
                </c:pt>
                <c:pt idx="1">
                  <c:v>0.16111111111111112</c:v>
                </c:pt>
                <c:pt idx="2">
                  <c:v>0.25833333333333336</c:v>
                </c:pt>
                <c:pt idx="3">
                  <c:v>0.33611111111111114</c:v>
                </c:pt>
                <c:pt idx="4">
                  <c:v>0.41388888888888886</c:v>
                </c:pt>
                <c:pt idx="5">
                  <c:v>0.58888888888888891</c:v>
                </c:pt>
                <c:pt idx="6">
                  <c:v>0.66666666666666663</c:v>
                </c:pt>
                <c:pt idx="7">
                  <c:v>0.84166666666666667</c:v>
                </c:pt>
                <c:pt idx="8">
                  <c:v>1.1722222222222223</c:v>
                </c:pt>
                <c:pt idx="9">
                  <c:v>1.6</c:v>
                </c:pt>
              </c:numCache>
            </c:numRef>
          </c:xVal>
          <c:yVal>
            <c:numRef>
              <c:f>Apple!$T$4:$T$13</c:f>
              <c:numCache>
                <c:formatCode>0.00000</c:formatCode>
                <c:ptCount val="10"/>
                <c:pt idx="0">
                  <c:v>0.21660464535848165</c:v>
                </c:pt>
                <c:pt idx="1">
                  <c:v>0.21892835994589124</c:v>
                </c:pt>
                <c:pt idx="2">
                  <c:v>0.24013463956504308</c:v>
                </c:pt>
                <c:pt idx="3">
                  <c:v>0.23797268706431116</c:v>
                </c:pt>
                <c:pt idx="4">
                  <c:v>0.23646647606174448</c:v>
                </c:pt>
                <c:pt idx="5">
                  <c:v>0.24112074838105174</c:v>
                </c:pt>
                <c:pt idx="6">
                  <c:v>0.23819736210819312</c:v>
                </c:pt>
                <c:pt idx="7">
                  <c:v>0.24120379395756789</c:v>
                </c:pt>
                <c:pt idx="8">
                  <c:v>0.24101369776009252</c:v>
                </c:pt>
                <c:pt idx="9">
                  <c:v>0.24060790576360627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42E0-A6B5-6C17A0C0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8080"/>
        <c:axId val="408569760"/>
      </c:scatterChart>
      <c:valAx>
        <c:axId val="4252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9760"/>
        <c:crosses val="autoZero"/>
        <c:crossBetween val="midCat"/>
      </c:valAx>
      <c:valAx>
        <c:axId val="4085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vs. Strike</a:t>
            </a:r>
            <a:r>
              <a:rPr lang="en-US" baseline="0"/>
              <a:t> Price/Spot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Apple!$T$17:$T$21</c:f>
              <c:numCache>
                <c:formatCode>0.00000</c:formatCode>
                <c:ptCount val="5"/>
                <c:pt idx="0">
                  <c:v>0.96958174904942962</c:v>
                </c:pt>
                <c:pt idx="1">
                  <c:v>0.98859315589353614</c:v>
                </c:pt>
                <c:pt idx="2">
                  <c:v>1.0076045627376427</c:v>
                </c:pt>
                <c:pt idx="3">
                  <c:v>1.0266159695817489</c:v>
                </c:pt>
                <c:pt idx="4">
                  <c:v>1.0456273764258555</c:v>
                </c:pt>
              </c:numCache>
            </c:numRef>
          </c:xVal>
          <c:yVal>
            <c:numRef>
              <c:f>Apple!$U$17:$U$21</c:f>
              <c:numCache>
                <c:formatCode>0.00000</c:formatCode>
                <c:ptCount val="5"/>
                <c:pt idx="0">
                  <c:v>0.24258057128266089</c:v>
                </c:pt>
                <c:pt idx="1">
                  <c:v>0.23726740909776933</c:v>
                </c:pt>
                <c:pt idx="2">
                  <c:v>0.23152845910942535</c:v>
                </c:pt>
                <c:pt idx="3">
                  <c:v>0.2328510176582107</c:v>
                </c:pt>
                <c:pt idx="4">
                  <c:v>0.22701222571499419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9-4195-97C5-08A5850D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1936"/>
        <c:axId val="424380032"/>
      </c:scatterChart>
      <c:valAx>
        <c:axId val="4268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80032"/>
        <c:crosses val="autoZero"/>
        <c:crossBetween val="midCat"/>
      </c:valAx>
      <c:valAx>
        <c:axId val="4243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Volatility</a:t>
            </a:r>
            <a:r>
              <a:rPr lang="en-US" baseline="0"/>
              <a:t> vs. Maturity Time</a:t>
            </a:r>
          </a:p>
        </c:rich>
      </c:tx>
      <c:layout>
        <c:manualLayout>
          <c:xMode val="edge"/>
          <c:yMode val="edge"/>
          <c:x val="0.1698363872740206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MSFT!$T$5:$T$8</c:f>
              <c:numCache>
                <c:formatCode>General</c:formatCode>
                <c:ptCount val="4"/>
                <c:pt idx="0">
                  <c:v>4.4444444444444446E-2</c:v>
                </c:pt>
                <c:pt idx="1">
                  <c:v>0.12222222222222222</c:v>
                </c:pt>
                <c:pt idx="2">
                  <c:v>0.21944444444444444</c:v>
                </c:pt>
                <c:pt idx="3">
                  <c:v>0.29722222222222222</c:v>
                </c:pt>
              </c:numCache>
            </c:numRef>
          </c:xVal>
          <c:yVal>
            <c:numRef>
              <c:f>MSFT!$U$5:$U$8</c:f>
              <c:numCache>
                <c:formatCode>General</c:formatCode>
                <c:ptCount val="4"/>
                <c:pt idx="0">
                  <c:v>0.17805554404860863</c:v>
                </c:pt>
                <c:pt idx="1">
                  <c:v>0.20007676538358213</c:v>
                </c:pt>
                <c:pt idx="2">
                  <c:v>0.20956722334218272</c:v>
                </c:pt>
                <c:pt idx="3">
                  <c:v>0.2096809301511294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489C-B519-6C86994B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8080"/>
        <c:axId val="408569760"/>
      </c:scatterChart>
      <c:valAx>
        <c:axId val="4252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9760"/>
        <c:crosses val="autoZero"/>
        <c:crossBetween val="midCat"/>
      </c:valAx>
      <c:valAx>
        <c:axId val="4085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Volatility vs. Strike Price/Spot Price</a:t>
            </a:r>
            <a:endParaRPr lang="en-US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'Msft Volatility smile'!$C$1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'Msft Volatility smile'!$B$2:$B$12</c:f>
              <c:numCache>
                <c:formatCode>General</c:formatCode>
                <c:ptCount val="11"/>
                <c:pt idx="1">
                  <c:v>0.97580537361315334</c:v>
                </c:pt>
                <c:pt idx="2">
                  <c:v>0.98248897206255847</c:v>
                </c:pt>
                <c:pt idx="3">
                  <c:v>0.98917257051196361</c:v>
                </c:pt>
                <c:pt idx="4">
                  <c:v>0.99585616896136875</c:v>
                </c:pt>
                <c:pt idx="5">
                  <c:v>1.0025397674107739</c:v>
                </c:pt>
                <c:pt idx="6">
                  <c:v>1.0192487635342868</c:v>
                </c:pt>
                <c:pt idx="7">
                  <c:v>1.0359577596577998</c:v>
                </c:pt>
                <c:pt idx="8">
                  <c:v>1.0526667557813125</c:v>
                </c:pt>
                <c:pt idx="9">
                  <c:v>1.0693757519048255</c:v>
                </c:pt>
                <c:pt idx="10">
                  <c:v>1.0860847480283384</c:v>
                </c:pt>
              </c:numCache>
            </c:numRef>
          </c:xVal>
          <c:yVal>
            <c:numRef>
              <c:f>'Msft Volatility smile'!$C$2:$C$12</c:f>
              <c:numCache>
                <c:formatCode>General</c:formatCode>
                <c:ptCount val="11"/>
                <c:pt idx="1">
                  <c:v>0.20381426546974138</c:v>
                </c:pt>
                <c:pt idx="2">
                  <c:v>0.19598876496967357</c:v>
                </c:pt>
                <c:pt idx="3">
                  <c:v>0.19051251540342856</c:v>
                </c:pt>
                <c:pt idx="4">
                  <c:v>0.18431528453623627</c:v>
                </c:pt>
                <c:pt idx="5">
                  <c:v>0.17939038829732967</c:v>
                </c:pt>
                <c:pt idx="6">
                  <c:v>0.16883605874973442</c:v>
                </c:pt>
                <c:pt idx="7">
                  <c:v>0.16219141265087408</c:v>
                </c:pt>
                <c:pt idx="8">
                  <c:v>0.15841579298971542</c:v>
                </c:pt>
                <c:pt idx="9">
                  <c:v>0.16340889851353582</c:v>
                </c:pt>
                <c:pt idx="10">
                  <c:v>0.17368205890581698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A-42B2-A20C-26F37652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55288"/>
        <c:axId val="451662504"/>
      </c:scatterChart>
      <c:valAx>
        <c:axId val="4516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2504"/>
        <c:crosses val="autoZero"/>
        <c:crossBetween val="midCat"/>
      </c:valAx>
      <c:valAx>
        <c:axId val="4516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Volatility vs. Strike Price/Spot Price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Volatility smile'!$C$18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Volatility smile'!$B$19:$B$28</c:f>
              <c:numCache>
                <c:formatCode>General</c:formatCode>
                <c:ptCount val="10"/>
                <c:pt idx="0">
                  <c:v>0.86886779842267103</c:v>
                </c:pt>
                <c:pt idx="1">
                  <c:v>0.9022857906696965</c:v>
                </c:pt>
                <c:pt idx="2">
                  <c:v>0.93570378291672229</c:v>
                </c:pt>
                <c:pt idx="3">
                  <c:v>0.96912177516374809</c:v>
                </c:pt>
                <c:pt idx="4">
                  <c:v>1.0025397674107739</c:v>
                </c:pt>
                <c:pt idx="5">
                  <c:v>1.0359577596577998</c:v>
                </c:pt>
                <c:pt idx="6">
                  <c:v>1.0693757519048255</c:v>
                </c:pt>
                <c:pt idx="7">
                  <c:v>1.1027937441518514</c:v>
                </c:pt>
                <c:pt idx="8">
                  <c:v>1.1362117363988771</c:v>
                </c:pt>
                <c:pt idx="9">
                  <c:v>1.169629728645903</c:v>
                </c:pt>
              </c:numCache>
            </c:numRef>
          </c:cat>
          <c:val>
            <c:numRef>
              <c:f>'Msft Volatility smile'!$C$19:$C$28</c:f>
              <c:numCache>
                <c:formatCode>General</c:formatCode>
                <c:ptCount val="10"/>
                <c:pt idx="0">
                  <c:v>0.28906676009895155</c:v>
                </c:pt>
                <c:pt idx="1">
                  <c:v>0.25483844998213911</c:v>
                </c:pt>
                <c:pt idx="2">
                  <c:v>0.2253196580303613</c:v>
                </c:pt>
                <c:pt idx="3">
                  <c:v>0.20377646176845385</c:v>
                </c:pt>
                <c:pt idx="4">
                  <c:v>0.18351669959750863</c:v>
                </c:pt>
                <c:pt idx="5">
                  <c:v>0.16943417200746205</c:v>
                </c:pt>
                <c:pt idx="6">
                  <c:v>0.16090078790422946</c:v>
                </c:pt>
                <c:pt idx="7">
                  <c:v>0.15981578867256008</c:v>
                </c:pt>
                <c:pt idx="8">
                  <c:v>0.17241768789668202</c:v>
                </c:pt>
                <c:pt idx="9">
                  <c:v>0.18168118787747292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5-4D64-B2CD-83DC5C22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10240"/>
        <c:axId val="451321720"/>
      </c:lineChart>
      <c:catAx>
        <c:axId val="4513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1720"/>
        <c:crosses val="autoZero"/>
        <c:auto val="1"/>
        <c:lblAlgn val="ctr"/>
        <c:lblOffset val="100"/>
        <c:noMultiLvlLbl val="0"/>
      </c:catAx>
      <c:valAx>
        <c:axId val="4513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Volatility vs. Strike Price/Spot Price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Volatility smile'!$Q$1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Volatility smile'!$P$2:$P$10</c:f>
              <c:numCache>
                <c:formatCode>General</c:formatCode>
                <c:ptCount val="9"/>
                <c:pt idx="1">
                  <c:v>0.9022857906696965</c:v>
                </c:pt>
                <c:pt idx="2">
                  <c:v>0.93570378291672229</c:v>
                </c:pt>
                <c:pt idx="3">
                  <c:v>0.96912177516374809</c:v>
                </c:pt>
                <c:pt idx="4">
                  <c:v>1.0025397674107739</c:v>
                </c:pt>
                <c:pt idx="5">
                  <c:v>1.0359577596577998</c:v>
                </c:pt>
                <c:pt idx="6">
                  <c:v>1.0693757519048255</c:v>
                </c:pt>
                <c:pt idx="7">
                  <c:v>1.1027937441518514</c:v>
                </c:pt>
                <c:pt idx="8">
                  <c:v>1.1362117363988771</c:v>
                </c:pt>
              </c:numCache>
            </c:numRef>
          </c:cat>
          <c:val>
            <c:numRef>
              <c:f>'Msft Volatility smile'!$Q$2:$Q$10</c:f>
              <c:numCache>
                <c:formatCode>General</c:formatCode>
                <c:ptCount val="9"/>
                <c:pt idx="1">
                  <c:v>0.24877457363014097</c:v>
                </c:pt>
                <c:pt idx="2">
                  <c:v>0.23511407058550154</c:v>
                </c:pt>
                <c:pt idx="3">
                  <c:v>0.22274345938166668</c:v>
                </c:pt>
                <c:pt idx="4">
                  <c:v>0.2095028263333672</c:v>
                </c:pt>
                <c:pt idx="5">
                  <c:v>0.19984422308178845</c:v>
                </c:pt>
                <c:pt idx="6">
                  <c:v>0.19119465765790422</c:v>
                </c:pt>
                <c:pt idx="7">
                  <c:v>0.18559237565137934</c:v>
                </c:pt>
                <c:pt idx="8">
                  <c:v>0.18377160041571342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4E4-AF18-71EF883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63952"/>
        <c:axId val="485164280"/>
      </c:lineChart>
      <c:catAx>
        <c:axId val="4851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4280"/>
        <c:crosses val="autoZero"/>
        <c:auto val="1"/>
        <c:lblAlgn val="ctr"/>
        <c:lblOffset val="100"/>
        <c:noMultiLvlLbl val="0"/>
      </c:catAx>
      <c:valAx>
        <c:axId val="4851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Volatility vs. Strike Price/Spot Price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Volatility smile'!$Q$18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Volatility smile'!$P$19:$P$27</c:f>
              <c:numCache>
                <c:formatCode>General</c:formatCode>
                <c:ptCount val="9"/>
                <c:pt idx="0">
                  <c:v>0.8688677984226707</c:v>
                </c:pt>
                <c:pt idx="1">
                  <c:v>0.9022857906696965</c:v>
                </c:pt>
                <c:pt idx="2">
                  <c:v>0.93570378291672229</c:v>
                </c:pt>
                <c:pt idx="3">
                  <c:v>0.96912177516374809</c:v>
                </c:pt>
                <c:pt idx="4">
                  <c:v>1.0025397674107739</c:v>
                </c:pt>
                <c:pt idx="5">
                  <c:v>1.0359577596577998</c:v>
                </c:pt>
                <c:pt idx="6">
                  <c:v>1.0693757519048255</c:v>
                </c:pt>
                <c:pt idx="7">
                  <c:v>1.1027937441518514</c:v>
                </c:pt>
                <c:pt idx="8">
                  <c:v>1.1362117363988771</c:v>
                </c:pt>
              </c:numCache>
            </c:numRef>
          </c:cat>
          <c:val>
            <c:numRef>
              <c:f>'Msft Volatility smile'!$Q$19:$Q$27</c:f>
              <c:numCache>
                <c:formatCode>General</c:formatCode>
                <c:ptCount val="9"/>
                <c:pt idx="0">
                  <c:v>0.2471204646957966</c:v>
                </c:pt>
                <c:pt idx="1">
                  <c:v>0.23547768723244833</c:v>
                </c:pt>
                <c:pt idx="2">
                  <c:v>0.22471309852500571</c:v>
                </c:pt>
                <c:pt idx="3">
                  <c:v>0.21470616801807654</c:v>
                </c:pt>
                <c:pt idx="4">
                  <c:v>0.2062427003939965</c:v>
                </c:pt>
                <c:pt idx="5">
                  <c:v>0.19868712730073021</c:v>
                </c:pt>
                <c:pt idx="6">
                  <c:v>0.19156504372888283</c:v>
                </c:pt>
                <c:pt idx="7">
                  <c:v>0.18623018158627028</c:v>
                </c:pt>
                <c:pt idx="8">
                  <c:v>0.18238589987895737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A-4275-A78C-04A8D3F8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16672"/>
        <c:axId val="455316016"/>
      </c:lineChart>
      <c:catAx>
        <c:axId val="4553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6016"/>
        <c:crosses val="autoZero"/>
        <c:auto val="1"/>
        <c:lblAlgn val="ctr"/>
        <c:lblOffset val="100"/>
        <c:noMultiLvlLbl val="0"/>
      </c:catAx>
      <c:valAx>
        <c:axId val="455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22</xdr:row>
      <xdr:rowOff>44450</xdr:rowOff>
    </xdr:from>
    <xdr:to>
      <xdr:col>22</xdr:col>
      <xdr:colOff>495300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4A124-2F59-4DC2-8CB4-03B3B7EE5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63500</xdr:colOff>
      <xdr:row>0</xdr:row>
      <xdr:rowOff>47625</xdr:rowOff>
    </xdr:from>
    <xdr:to>
      <xdr:col>26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34C06-90DD-48CA-BA93-78A420F2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34925</xdr:colOff>
      <xdr:row>22</xdr:row>
      <xdr:rowOff>69850</xdr:rowOff>
    </xdr:from>
    <xdr:to>
      <xdr:col>30</xdr:col>
      <xdr:colOff>568325</xdr:colOff>
      <xdr:row>36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7F8684-E5C8-4F37-80B8-6B0A53FC5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244475</xdr:colOff>
      <xdr:row>1</xdr:row>
      <xdr:rowOff>57150</xdr:rowOff>
    </xdr:from>
    <xdr:to>
      <xdr:col>30</xdr:col>
      <xdr:colOff>187325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66C2-FA28-4CDC-A020-3D5DECC8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9525</xdr:rowOff>
    </xdr:from>
    <xdr:to>
      <xdr:col>12</xdr:col>
      <xdr:colOff>104775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20146-72BE-4CD1-AA79-2B9CBDDC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16</xdr:row>
      <xdr:rowOff>142875</xdr:rowOff>
    </xdr:from>
    <xdr:to>
      <xdr:col>12</xdr:col>
      <xdr:colOff>152400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BD726-AFB5-40B6-9C53-5E5ED0CDE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0</xdr:row>
      <xdr:rowOff>180975</xdr:rowOff>
    </xdr:from>
    <xdr:to>
      <xdr:col>25</xdr:col>
      <xdr:colOff>171450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E1FCA-6E71-4410-9908-5EC38FC3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17</xdr:row>
      <xdr:rowOff>133350</xdr:rowOff>
    </xdr:from>
    <xdr:to>
      <xdr:col>25</xdr:col>
      <xdr:colOff>400050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F2406-BFCF-450E-BBF1-5C0003D8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5CF-E695-4AF1-8D4A-A674D02E1EAE}">
  <dimension ref="A1:U62"/>
  <sheetViews>
    <sheetView topLeftCell="M21" zoomScaleNormal="100" workbookViewId="0">
      <selection activeCell="AB17" sqref="AB17"/>
    </sheetView>
  </sheetViews>
  <sheetFormatPr defaultColWidth="8.85546875" defaultRowHeight="15" x14ac:dyDescent="0.25"/>
  <cols>
    <col min="1" max="1" width="9.140625" style="1" bestFit="1" customWidth="1"/>
    <col min="2" max="2" width="21.42578125" style="1" customWidth="1"/>
    <col min="3" max="4" width="8.85546875" style="1" customWidth="1"/>
    <col min="5" max="5" width="8.42578125" style="1" customWidth="1"/>
    <col min="6" max="6" width="10.7109375" style="1" customWidth="1"/>
    <col min="7" max="7" width="9.140625" style="1" bestFit="1" customWidth="1"/>
    <col min="8" max="8" width="5.85546875" style="1" customWidth="1"/>
    <col min="9" max="9" width="8.85546875" style="1"/>
    <col min="10" max="10" width="6.7109375" style="1" customWidth="1"/>
    <col min="11" max="11" width="10" style="1" customWidth="1"/>
    <col min="12" max="12" width="5.5703125" style="1" customWidth="1"/>
    <col min="13" max="13" width="8.42578125" style="1" customWidth="1"/>
    <col min="14" max="16" width="8.85546875" style="1"/>
    <col min="17" max="17" width="9.5703125" style="1" customWidth="1"/>
    <col min="18" max="18" width="8.85546875" style="1"/>
    <col min="19" max="19" width="11" style="1" customWidth="1"/>
    <col min="20" max="20" width="14.85546875" style="1" customWidth="1"/>
    <col min="21" max="21" width="16" style="1" customWidth="1"/>
    <col min="22" max="22" width="18" style="1" customWidth="1"/>
    <col min="23" max="16384" width="8.85546875" style="1"/>
  </cols>
  <sheetData>
    <row r="1" spans="1:21" ht="19.5" thickBot="1" x14ac:dyDescent="0.35">
      <c r="A1" s="95" t="s">
        <v>137</v>
      </c>
      <c r="B1" s="96"/>
      <c r="C1" s="42"/>
      <c r="D1" s="42"/>
      <c r="E1" s="42"/>
      <c r="F1" s="42"/>
      <c r="G1" s="43"/>
      <c r="K1" s="44"/>
      <c r="L1" s="45" t="s">
        <v>69</v>
      </c>
      <c r="M1" s="46"/>
      <c r="N1" s="46"/>
      <c r="O1" s="46"/>
      <c r="P1" s="46"/>
      <c r="Q1" s="47"/>
    </row>
    <row r="2" spans="1:21" s="5" customFormat="1" ht="30" x14ac:dyDescent="0.25">
      <c r="A2" s="32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I2" s="31" t="s">
        <v>75</v>
      </c>
      <c r="K2" s="32" t="s">
        <v>67</v>
      </c>
      <c r="L2" s="35" t="s">
        <v>68</v>
      </c>
      <c r="M2" s="35" t="s">
        <v>70</v>
      </c>
      <c r="N2" s="35" t="s">
        <v>71</v>
      </c>
      <c r="O2" s="35" t="s">
        <v>72</v>
      </c>
      <c r="P2" s="35" t="s">
        <v>73</v>
      </c>
      <c r="Q2" s="36" t="s">
        <v>135</v>
      </c>
      <c r="S2" s="93" t="s">
        <v>77</v>
      </c>
      <c r="T2" s="94"/>
    </row>
    <row r="3" spans="1:21" x14ac:dyDescent="0.25">
      <c r="A3" s="24" t="s">
        <v>7</v>
      </c>
      <c r="B3" s="20"/>
      <c r="C3" s="20"/>
      <c r="D3" s="20"/>
      <c r="E3" s="20"/>
      <c r="F3" s="20"/>
      <c r="G3" s="25"/>
      <c r="I3" s="29"/>
      <c r="K3" s="9"/>
      <c r="L3" s="8"/>
      <c r="M3" s="8"/>
      <c r="N3" s="8"/>
      <c r="O3" s="8"/>
      <c r="P3" s="8"/>
      <c r="Q3" s="10"/>
      <c r="S3" s="48" t="s">
        <v>78</v>
      </c>
      <c r="T3" s="50" t="s">
        <v>136</v>
      </c>
    </row>
    <row r="4" spans="1:21" x14ac:dyDescent="0.25">
      <c r="A4" s="9">
        <v>257.5</v>
      </c>
      <c r="B4" s="8" t="s">
        <v>8</v>
      </c>
      <c r="C4" s="21">
        <v>10</v>
      </c>
      <c r="D4" s="21">
        <v>10.1000003814697</v>
      </c>
      <c r="E4" s="21">
        <v>9.9499998092651403</v>
      </c>
      <c r="F4" s="15">
        <v>22.760129928588899</v>
      </c>
      <c r="G4" s="10">
        <v>82</v>
      </c>
      <c r="I4" s="29">
        <f>(C4+D4)/2</f>
        <v>10.050000190734849</v>
      </c>
      <c r="K4" s="9">
        <f>A4</f>
        <v>257.5</v>
      </c>
      <c r="L4" s="8">
        <v>263</v>
      </c>
      <c r="M4" s="14">
        <f>30/365</f>
        <v>8.2191780821917804E-2</v>
      </c>
      <c r="N4" s="8">
        <v>1.7500000000000002E-2</v>
      </c>
      <c r="O4" s="8">
        <f>(LN(L4/K4)+(N4+0.5*Q4^2)*M4)/(Q4*SQRT(M4))</f>
        <v>0.38126882024192599</v>
      </c>
      <c r="P4" s="8">
        <f>O4-(Q4*SQRT(M4))</f>
        <v>0.31657633646871863</v>
      </c>
      <c r="Q4" s="37">
        <v>0.22565223033926513</v>
      </c>
      <c r="S4" s="16">
        <f>M4</f>
        <v>8.2191780821917804E-2</v>
      </c>
      <c r="T4" s="17">
        <f>SUM(Q4:Q8)/5</f>
        <v>0.21660464535848165</v>
      </c>
    </row>
    <row r="5" spans="1:21" x14ac:dyDescent="0.25">
      <c r="A5" s="9">
        <v>260</v>
      </c>
      <c r="B5" s="8" t="s">
        <v>9</v>
      </c>
      <c r="C5" s="21">
        <v>8.3500003814697301</v>
      </c>
      <c r="D5" s="21">
        <v>8.4499998092651403</v>
      </c>
      <c r="E5" s="21">
        <v>8.3999996185302699</v>
      </c>
      <c r="F5" s="15">
        <v>22.1766357421875</v>
      </c>
      <c r="G5" s="10">
        <v>1744</v>
      </c>
      <c r="I5" s="29">
        <f>(C5+D5)/2</f>
        <v>8.4000000953674352</v>
      </c>
      <c r="K5" s="9">
        <f>A5</f>
        <v>260</v>
      </c>
      <c r="L5" s="8">
        <v>263</v>
      </c>
      <c r="M5" s="14">
        <f>30/365</f>
        <v>8.2191780821917804E-2</v>
      </c>
      <c r="N5" s="8">
        <v>1.7500000000000002E-2</v>
      </c>
      <c r="O5" s="8">
        <f>(LN(L5/K5)+(N5+0.5*Q5^2)*M5)/(Q5*SQRT(M5))</f>
        <v>0.23618507381153425</v>
      </c>
      <c r="P5" s="8">
        <f>O5-(Q5*SQRT(M5))</f>
        <v>0.17309498675039436</v>
      </c>
      <c r="Q5" s="37">
        <v>0.22006295055161734</v>
      </c>
      <c r="S5" s="16">
        <f>M10</f>
        <v>0.16111111111111112</v>
      </c>
      <c r="T5" s="17">
        <f>SUM(Q10:Q14)/5</f>
        <v>0.21892835994589124</v>
      </c>
    </row>
    <row r="6" spans="1:21" x14ac:dyDescent="0.25">
      <c r="A6" s="9">
        <v>262.5</v>
      </c>
      <c r="B6" s="8" t="s">
        <v>10</v>
      </c>
      <c r="C6" s="21">
        <v>6.9000005722045898</v>
      </c>
      <c r="D6" s="21">
        <v>7</v>
      </c>
      <c r="E6" s="21">
        <v>6.9200000762939498</v>
      </c>
      <c r="F6" s="15">
        <v>21.8042888641357</v>
      </c>
      <c r="G6" s="10">
        <v>549</v>
      </c>
      <c r="I6" s="29">
        <f>(C6+D6)/2</f>
        <v>6.9500002861022949</v>
      </c>
      <c r="K6" s="9">
        <f>A6</f>
        <v>262.5</v>
      </c>
      <c r="L6" s="8">
        <v>263</v>
      </c>
      <c r="M6" s="14">
        <f>30/365</f>
        <v>8.2191780821917804E-2</v>
      </c>
      <c r="N6" s="8">
        <v>1.7500000000000002E-2</v>
      </c>
      <c r="O6" s="8">
        <f>(LN(L6/K6)+(N6+0.5*Q6^2)*M6)/(Q6*SQRT(M6))</f>
        <v>8.4861390128962641E-2</v>
      </c>
      <c r="P6" s="8">
        <f>O6-(Q6*SQRT(M6))</f>
        <v>2.2778123576817015E-2</v>
      </c>
      <c r="Q6" s="37">
        <v>0.21655108518249136</v>
      </c>
      <c r="S6" s="16">
        <f>M16</f>
        <v>0.25833333333333336</v>
      </c>
      <c r="T6" s="17">
        <f>SUM(Q16:Q20)/5</f>
        <v>0.24013463956504308</v>
      </c>
    </row>
    <row r="7" spans="1:21" x14ac:dyDescent="0.25">
      <c r="A7" s="9">
        <v>265</v>
      </c>
      <c r="B7" s="8" t="s">
        <v>11</v>
      </c>
      <c r="C7" s="21">
        <v>5.5999994277954102</v>
      </c>
      <c r="D7" s="21">
        <v>5.6500005722045898</v>
      </c>
      <c r="E7" s="21">
        <v>5.6000003814697301</v>
      </c>
      <c r="F7" s="15">
        <v>21.352775573730501</v>
      </c>
      <c r="G7" s="10">
        <v>4613</v>
      </c>
      <c r="I7" s="29">
        <f>(C7+D7)/2</f>
        <v>5.625</v>
      </c>
      <c r="K7" s="9">
        <f>A7</f>
        <v>265</v>
      </c>
      <c r="L7" s="8">
        <v>263</v>
      </c>
      <c r="M7" s="14">
        <f>30/365</f>
        <v>8.2191780821917804E-2</v>
      </c>
      <c r="N7" s="8">
        <v>1.7500000000000002E-2</v>
      </c>
      <c r="O7" s="8">
        <f>(LN(L7/K7)+(N7+0.5*Q7^2)*M7)/(Q7*SQRT(M7))</f>
        <v>-7.0458246775446015E-2</v>
      </c>
      <c r="P7" s="8">
        <f>O7-(Q7*SQRT(M7))</f>
        <v>-0.13129828569641661</v>
      </c>
      <c r="Q7" s="37">
        <v>0.21221461405892889</v>
      </c>
      <c r="S7" s="16">
        <f>M22</f>
        <v>0.33611111111111114</v>
      </c>
      <c r="T7" s="17">
        <f>SUM(Q22:Q26)/5</f>
        <v>0.23797268706431116</v>
      </c>
    </row>
    <row r="8" spans="1:21" x14ac:dyDescent="0.25">
      <c r="A8" s="9">
        <v>267.5</v>
      </c>
      <c r="B8" s="8" t="s">
        <v>12</v>
      </c>
      <c r="C8" s="21">
        <v>4.4499998092651403</v>
      </c>
      <c r="D8" s="21">
        <v>4.5</v>
      </c>
      <c r="E8" s="21">
        <v>4.4099998474121103</v>
      </c>
      <c r="F8" s="15">
        <v>20.969944000244102</v>
      </c>
      <c r="G8" s="10">
        <v>645</v>
      </c>
      <c r="I8" s="29">
        <f>(C8+D8)/2</f>
        <v>4.4749999046325701</v>
      </c>
      <c r="K8" s="9">
        <f>A8</f>
        <v>267.5</v>
      </c>
      <c r="L8" s="8">
        <v>263</v>
      </c>
      <c r="M8" s="14">
        <f>30/365</f>
        <v>8.2191780821917804E-2</v>
      </c>
      <c r="N8" s="8">
        <v>1.7500000000000002E-2</v>
      </c>
      <c r="O8" s="8">
        <f>(LN(L8/K8)+(N8+0.5*Q8^2)*M8)/(Q8*SQRT(M8))</f>
        <v>-0.22981363765145116</v>
      </c>
      <c r="P8" s="8">
        <f>O8-(Q8*SQRT(M8))</f>
        <v>-0.28960087023076897</v>
      </c>
      <c r="Q8" s="37">
        <v>0.2085423466601054</v>
      </c>
      <c r="S8" s="16">
        <f>M28</f>
        <v>0.41388888888888886</v>
      </c>
      <c r="T8" s="17">
        <f>SUM(Q28:Q32)/5</f>
        <v>0.23646647606174448</v>
      </c>
    </row>
    <row r="9" spans="1:21" x14ac:dyDescent="0.25">
      <c r="A9" s="24" t="s">
        <v>13</v>
      </c>
      <c r="B9" s="20"/>
      <c r="C9" s="22"/>
      <c r="D9" s="22"/>
      <c r="E9" s="22"/>
      <c r="F9" s="20"/>
      <c r="G9" s="25"/>
      <c r="I9" s="29"/>
      <c r="K9" s="9"/>
      <c r="L9" s="8"/>
      <c r="M9" s="14"/>
      <c r="N9" s="8"/>
      <c r="O9" s="8"/>
      <c r="P9" s="8"/>
      <c r="Q9" s="39"/>
      <c r="S9" s="16">
        <f>M34</f>
        <v>0.58888888888888891</v>
      </c>
      <c r="T9" s="17">
        <f>SUM(Q34:Q38)/5</f>
        <v>0.24112074838105174</v>
      </c>
    </row>
    <row r="10" spans="1:21" x14ac:dyDescent="0.25">
      <c r="A10" s="9">
        <v>255</v>
      </c>
      <c r="B10" s="8" t="s">
        <v>14</v>
      </c>
      <c r="C10" s="21">
        <v>14.550000190734901</v>
      </c>
      <c r="D10" s="21">
        <v>14.6499996185303</v>
      </c>
      <c r="E10" s="21">
        <v>14.569999694824199</v>
      </c>
      <c r="F10" s="15">
        <v>23.5045890808106</v>
      </c>
      <c r="G10" s="10">
        <v>2399</v>
      </c>
      <c r="I10" s="29">
        <f>(C10+D10)/2</f>
        <v>14.5999999046326</v>
      </c>
      <c r="K10" s="9">
        <f>A10</f>
        <v>255</v>
      </c>
      <c r="L10" s="8">
        <v>263</v>
      </c>
      <c r="M10" s="14">
        <f>58/360</f>
        <v>0.16111111111111112</v>
      </c>
      <c r="N10" s="8">
        <v>1.7500000000000002E-2</v>
      </c>
      <c r="O10" s="8">
        <f>(LN(L10/K10)+(N10+0.5*Q10^2)*M10)/(Q10*SQRT(M10))</f>
        <v>0.40807294279337891</v>
      </c>
      <c r="P10" s="8">
        <f>O10-(Q10*SQRT(M10))</f>
        <v>0.31480734380328929</v>
      </c>
      <c r="Q10" s="37">
        <v>0.23235859265935432</v>
      </c>
      <c r="S10" s="16">
        <f>M40</f>
        <v>0.66666666666666663</v>
      </c>
      <c r="T10" s="17">
        <f>SUM(Q40:Q44)/5</f>
        <v>0.23819736210819312</v>
      </c>
    </row>
    <row r="11" spans="1:21" x14ac:dyDescent="0.25">
      <c r="A11" s="9">
        <v>260</v>
      </c>
      <c r="B11" s="8" t="s">
        <v>15</v>
      </c>
      <c r="C11" s="21">
        <v>11.3500003814697</v>
      </c>
      <c r="D11" s="21">
        <v>11.3999996185303</v>
      </c>
      <c r="E11" s="21">
        <v>11.3999996185303</v>
      </c>
      <c r="F11" s="15">
        <v>22.710760116577099</v>
      </c>
      <c r="G11" s="10">
        <v>4602</v>
      </c>
      <c r="I11" s="29">
        <f>(C11+D11)/2</f>
        <v>11.375</v>
      </c>
      <c r="K11" s="9">
        <f>A11</f>
        <v>260</v>
      </c>
      <c r="L11" s="8">
        <v>263</v>
      </c>
      <c r="M11" s="14">
        <f>58/360</f>
        <v>0.16111111111111112</v>
      </c>
      <c r="N11" s="8">
        <v>1.7500000000000002E-2</v>
      </c>
      <c r="O11" s="8">
        <f>(LN(L11/K11)+(N11+0.5*Q11^2)*M11)/(Q11*SQRT(M11))</f>
        <v>0.20357146710449325</v>
      </c>
      <c r="P11" s="8">
        <f>O11-(Q11*SQRT(M11))</f>
        <v>0.11339158260520631</v>
      </c>
      <c r="Q11" s="37">
        <v>0.22467095344194393</v>
      </c>
      <c r="S11" s="16">
        <f>M46</f>
        <v>0.84166666666666667</v>
      </c>
      <c r="T11" s="17">
        <f>SUM(Q46:Q50)/5</f>
        <v>0.24120379395756789</v>
      </c>
    </row>
    <row r="12" spans="1:21" x14ac:dyDescent="0.25">
      <c r="A12" s="9">
        <v>265</v>
      </c>
      <c r="B12" s="8" t="s">
        <v>16</v>
      </c>
      <c r="C12" s="21">
        <v>8.5500001907348597</v>
      </c>
      <c r="D12" s="21">
        <v>8.6000003814697301</v>
      </c>
      <c r="E12" s="21">
        <v>8.5500001907348597</v>
      </c>
      <c r="F12" s="15">
        <v>21.996822357177699</v>
      </c>
      <c r="G12" s="10">
        <v>10069</v>
      </c>
      <c r="I12" s="29">
        <f>(C12+D12)/2</f>
        <v>8.5750002861022949</v>
      </c>
      <c r="K12" s="9">
        <f>A12</f>
        <v>265</v>
      </c>
      <c r="L12" s="8">
        <v>263</v>
      </c>
      <c r="M12" s="14">
        <f>58/360</f>
        <v>0.16111111111111112</v>
      </c>
      <c r="N12" s="8">
        <v>1.7500000000000002E-2</v>
      </c>
      <c r="O12" s="8">
        <f>(LN(L12/K12)+(N12+0.5*Q12^2)*M12)/(Q12*SQRT(M12))</f>
        <v>-1.0727995344878439E-2</v>
      </c>
      <c r="P12" s="8">
        <f>O12-(Q12*SQRT(M12))</f>
        <v>-9.8121295405972669E-2</v>
      </c>
      <c r="Q12" s="37">
        <v>0.21772855618726358</v>
      </c>
      <c r="S12" s="16">
        <f>M52</f>
        <v>1.1722222222222223</v>
      </c>
      <c r="T12" s="17">
        <f>SUM(Q52:Q56)/5</f>
        <v>0.24101369776009252</v>
      </c>
    </row>
    <row r="13" spans="1:21" ht="15.75" thickBot="1" x14ac:dyDescent="0.3">
      <c r="A13" s="9">
        <v>270</v>
      </c>
      <c r="B13" s="8" t="s">
        <v>17</v>
      </c>
      <c r="C13" s="21">
        <v>6.1999998092651403</v>
      </c>
      <c r="D13" s="21">
        <v>6.3000001907348597</v>
      </c>
      <c r="E13" s="21">
        <v>6.1999998092651403</v>
      </c>
      <c r="F13" s="15">
        <v>21.403356552123999</v>
      </c>
      <c r="G13" s="10">
        <v>3053</v>
      </c>
      <c r="I13" s="29">
        <f>(C13+D13)/2</f>
        <v>6.25</v>
      </c>
      <c r="K13" s="9">
        <f>A13</f>
        <v>270</v>
      </c>
      <c r="L13" s="8">
        <v>263</v>
      </c>
      <c r="M13" s="14">
        <f>58/360</f>
        <v>0.16111111111111112</v>
      </c>
      <c r="N13" s="8">
        <v>1.7500000000000002E-2</v>
      </c>
      <c r="O13" s="8">
        <f>(LN(L13/K13)+(N13+0.5*Q13^2)*M13)/(Q13*SQRT(M13))</f>
        <v>-0.23305140730330692</v>
      </c>
      <c r="P13" s="8">
        <f>O13-(Q13*SQRT(M13))</f>
        <v>-0.31813507068285218</v>
      </c>
      <c r="Q13" s="37">
        <v>0.21197440959205255</v>
      </c>
      <c r="S13" s="18">
        <f>M58</f>
        <v>1.6</v>
      </c>
      <c r="T13" s="19">
        <f>SUM(Q58:Q62)/5</f>
        <v>0.24060790576360627</v>
      </c>
    </row>
    <row r="14" spans="1:21" ht="15.75" thickBot="1" x14ac:dyDescent="0.3">
      <c r="A14" s="9">
        <v>275</v>
      </c>
      <c r="B14" s="8" t="s">
        <v>18</v>
      </c>
      <c r="C14" s="21">
        <v>4.4000005722045898</v>
      </c>
      <c r="D14" s="21">
        <v>4.4499998092651403</v>
      </c>
      <c r="E14" s="21">
        <v>4.4499998092651403</v>
      </c>
      <c r="F14" s="15">
        <v>20.987205505371101</v>
      </c>
      <c r="G14" s="10">
        <v>2432</v>
      </c>
      <c r="I14" s="29">
        <f>(C14+D14)/2</f>
        <v>4.4250001907348651</v>
      </c>
      <c r="K14" s="9">
        <f>A14</f>
        <v>275</v>
      </c>
      <c r="L14" s="8">
        <v>263</v>
      </c>
      <c r="M14" s="14">
        <f>58/360</f>
        <v>0.16111111111111112</v>
      </c>
      <c r="N14" s="8">
        <v>1.7500000000000002E-2</v>
      </c>
      <c r="O14" s="8">
        <f>(LN(L14/K14)+(N14+0.5*Q14^2)*M14)/(Q14*SQRT(M14))</f>
        <v>-0.45913237053778272</v>
      </c>
      <c r="P14" s="8">
        <f>O14-(Q14*SQRT(M14))</f>
        <v>-0.54258434898582197</v>
      </c>
      <c r="Q14" s="37">
        <v>0.20790928784884169</v>
      </c>
    </row>
    <row r="15" spans="1:21" x14ac:dyDescent="0.25">
      <c r="A15" s="24" t="s">
        <v>19</v>
      </c>
      <c r="B15" s="20"/>
      <c r="C15" s="22"/>
      <c r="D15" s="22"/>
      <c r="E15" s="22"/>
      <c r="F15" s="20"/>
      <c r="G15" s="25"/>
      <c r="I15" s="29"/>
      <c r="K15" s="9"/>
      <c r="L15" s="8"/>
      <c r="M15" s="14"/>
      <c r="N15" s="8"/>
      <c r="O15" s="8"/>
      <c r="P15" s="8"/>
      <c r="Q15" s="39"/>
      <c r="S15" s="90" t="s">
        <v>79</v>
      </c>
      <c r="T15" s="91"/>
      <c r="U15" s="92"/>
    </row>
    <row r="16" spans="1:21" x14ac:dyDescent="0.25">
      <c r="A16" s="9">
        <v>255</v>
      </c>
      <c r="B16" s="8" t="s">
        <v>20</v>
      </c>
      <c r="C16" s="21">
        <v>18.099990844726602</v>
      </c>
      <c r="D16" s="21">
        <v>18.25</v>
      </c>
      <c r="E16" s="21">
        <v>17.8999938964844</v>
      </c>
      <c r="F16" s="23">
        <v>25.728536605835</v>
      </c>
      <c r="G16" s="10">
        <v>93</v>
      </c>
      <c r="I16" s="29">
        <f>(C16+D16)/2</f>
        <v>18.174995422363303</v>
      </c>
      <c r="K16" s="9">
        <f>A16</f>
        <v>255</v>
      </c>
      <c r="L16" s="8">
        <v>263</v>
      </c>
      <c r="M16" s="14">
        <f>93/360</f>
        <v>0.25833333333333336</v>
      </c>
      <c r="N16" s="8">
        <v>1.7500000000000002E-2</v>
      </c>
      <c r="O16" s="8">
        <f>(LN(L16/K16)+(N16+0.5*Q16^2)*M16)/(Q16*SQRT(M16))</f>
        <v>0.34214556828929488</v>
      </c>
      <c r="P16" s="8">
        <f>O16-(Q16*SQRT(M16))</f>
        <v>0.21503708795149931</v>
      </c>
      <c r="Q16" s="37">
        <v>0.25008307605828878</v>
      </c>
      <c r="S16" s="48" t="s">
        <v>80</v>
      </c>
      <c r="T16" s="49" t="s">
        <v>81</v>
      </c>
      <c r="U16" s="50" t="s">
        <v>136</v>
      </c>
    </row>
    <row r="17" spans="1:21" x14ac:dyDescent="0.25">
      <c r="A17" s="9">
        <v>260</v>
      </c>
      <c r="B17" s="8" t="s">
        <v>21</v>
      </c>
      <c r="C17" s="21">
        <v>15.050000190734901</v>
      </c>
      <c r="D17" s="21">
        <v>15.199999809265099</v>
      </c>
      <c r="E17" s="21">
        <v>15.199999809265099</v>
      </c>
      <c r="F17" s="23">
        <v>25.2678413391113</v>
      </c>
      <c r="G17" s="10">
        <v>411</v>
      </c>
      <c r="I17" s="29">
        <f>(C17+D17)/2</f>
        <v>15.125</v>
      </c>
      <c r="K17" s="9">
        <f>A17</f>
        <v>260</v>
      </c>
      <c r="L17" s="8">
        <v>263</v>
      </c>
      <c r="M17" s="14">
        <f>93/360</f>
        <v>0.25833333333333336</v>
      </c>
      <c r="N17" s="8">
        <v>1.7500000000000002E-2</v>
      </c>
      <c r="O17" s="8">
        <f>(LN(L17/K17)+(N17+0.5*Q17^2)*M17)/(Q17*SQRT(M17))</f>
        <v>0.19080665013568834</v>
      </c>
      <c r="P17" s="8">
        <f>O17-(Q17*SQRT(M17))</f>
        <v>6.6488410605629225E-2</v>
      </c>
      <c r="Q17" s="37">
        <v>0.24459334002897201</v>
      </c>
      <c r="S17" s="9">
        <v>255</v>
      </c>
      <c r="T17" s="15">
        <f>255/263</f>
        <v>0.96958174904942962</v>
      </c>
      <c r="U17" s="17">
        <f>AVERAGE(Q10,Q16,Q22,Q28,Q40,Q53)</f>
        <v>0.24258057128266089</v>
      </c>
    </row>
    <row r="18" spans="1:21" x14ac:dyDescent="0.25">
      <c r="A18" s="9">
        <v>265</v>
      </c>
      <c r="B18" s="8" t="s">
        <v>22</v>
      </c>
      <c r="C18" s="21">
        <v>12.300000190734901</v>
      </c>
      <c r="D18" s="21">
        <v>12.449999809265099</v>
      </c>
      <c r="E18" s="21">
        <v>12.3500003814697</v>
      </c>
      <c r="F18" s="23">
        <v>24.727054595947301</v>
      </c>
      <c r="G18" s="10">
        <v>932</v>
      </c>
      <c r="I18" s="29">
        <f>(C18+D18)/2</f>
        <v>12.375</v>
      </c>
      <c r="K18" s="9">
        <f>A18</f>
        <v>265</v>
      </c>
      <c r="L18" s="8">
        <v>263</v>
      </c>
      <c r="M18" s="14">
        <f>93/360</f>
        <v>0.25833333333333336</v>
      </c>
      <c r="N18" s="8">
        <v>1.7500000000000002E-2</v>
      </c>
      <c r="O18" s="8">
        <f>(LN(L18/K18)+(N18+0.5*Q18^2)*M18)/(Q18*SQRT(M18))</f>
        <v>3.5697089401496018E-2</v>
      </c>
      <c r="P18" s="8">
        <f>O18-(Q18*SQRT(M18))</f>
        <v>-8.5931386244998048E-2</v>
      </c>
      <c r="Q18" s="37">
        <v>0.23930129008797041</v>
      </c>
      <c r="S18" s="9">
        <v>260</v>
      </c>
      <c r="T18" s="15">
        <f>260/263</f>
        <v>0.98859315589353614</v>
      </c>
      <c r="U18" s="17">
        <f>AVERAGE(Q5,Q11,Q17,Q23,Q29,Q36,Q41,Q48,Q54,Q60)</f>
        <v>0.23726740909776933</v>
      </c>
    </row>
    <row r="19" spans="1:21" x14ac:dyDescent="0.25">
      <c r="A19" s="9">
        <v>270</v>
      </c>
      <c r="B19" s="8" t="s">
        <v>23</v>
      </c>
      <c r="C19" s="21">
        <v>9.9499998092651403</v>
      </c>
      <c r="D19" s="21">
        <v>10.050000190734901</v>
      </c>
      <c r="E19" s="21">
        <v>10</v>
      </c>
      <c r="F19" s="23">
        <v>24.2533855438232</v>
      </c>
      <c r="G19" s="10">
        <v>1738</v>
      </c>
      <c r="I19" s="29">
        <f>(C19+D19)/2</f>
        <v>10.000000000000021</v>
      </c>
      <c r="K19" s="9">
        <f>A19</f>
        <v>270</v>
      </c>
      <c r="L19" s="8">
        <v>263</v>
      </c>
      <c r="M19" s="14">
        <f>93/360</f>
        <v>0.25833333333333336</v>
      </c>
      <c r="N19" s="8">
        <v>1.7500000000000002E-2</v>
      </c>
      <c r="O19" s="8">
        <f>(LN(L19/K19)+(N19+0.5*Q19^2)*M19)/(Q19*SQRT(M19))</f>
        <v>-0.12196864436903716</v>
      </c>
      <c r="P19" s="8">
        <f>O19-(Q19*SQRT(M19))</f>
        <v>-0.24159995278098539</v>
      </c>
      <c r="Q19" s="37">
        <v>0.23537190847558134</v>
      </c>
      <c r="S19" s="9">
        <v>265</v>
      </c>
      <c r="T19" s="15">
        <f>265/263</f>
        <v>1.0076045627376427</v>
      </c>
      <c r="U19" s="17">
        <f>AVERAGE(Q7,Q12,Q18,Q24,Q30,Q42,Q55)</f>
        <v>0.23152845910942535</v>
      </c>
    </row>
    <row r="20" spans="1:21" x14ac:dyDescent="0.25">
      <c r="A20" s="9">
        <v>275</v>
      </c>
      <c r="B20" s="8" t="s">
        <v>24</v>
      </c>
      <c r="C20" s="21">
        <v>7.8499994277954102</v>
      </c>
      <c r="D20" s="21">
        <v>8</v>
      </c>
      <c r="E20" s="21">
        <v>7.75</v>
      </c>
      <c r="F20" s="23">
        <v>23.703474044799801</v>
      </c>
      <c r="G20" s="10">
        <v>1865</v>
      </c>
      <c r="I20" s="29">
        <f>(C20+D20)/2</f>
        <v>7.9249997138977051</v>
      </c>
      <c r="K20" s="9">
        <f>A20</f>
        <v>275</v>
      </c>
      <c r="L20" s="8">
        <v>263</v>
      </c>
      <c r="M20" s="14">
        <f>93/360</f>
        <v>0.25833333333333336</v>
      </c>
      <c r="N20" s="8">
        <v>1.7500000000000002E-2</v>
      </c>
      <c r="O20" s="8">
        <f>(LN(L20/K20)+(N20+0.5*Q20^2)*M20)/(Q20*SQRT(M20))</f>
        <v>-0.28224381968786144</v>
      </c>
      <c r="P20" s="8">
        <f>O20-(Q20*SQRT(M20))</f>
        <v>-0.39981750594857746</v>
      </c>
      <c r="Q20" s="37">
        <v>0.23132358317440296</v>
      </c>
      <c r="S20" s="9">
        <v>270</v>
      </c>
      <c r="T20" s="15">
        <f>270/263</f>
        <v>1.0266159695817489</v>
      </c>
      <c r="U20" s="17">
        <f>AVERAGE(Q13,Q19,Q25,Q31,Q37,Q43,Q56,Q61)</f>
        <v>0.2328510176582107</v>
      </c>
    </row>
    <row r="21" spans="1:21" ht="15.75" thickBot="1" x14ac:dyDescent="0.3">
      <c r="A21" s="24" t="s">
        <v>25</v>
      </c>
      <c r="B21" s="20"/>
      <c r="C21" s="22"/>
      <c r="D21" s="22"/>
      <c r="E21" s="22"/>
      <c r="F21" s="20"/>
      <c r="G21" s="25"/>
      <c r="I21" s="29"/>
      <c r="K21" s="9"/>
      <c r="L21" s="8"/>
      <c r="M21" s="14"/>
      <c r="N21" s="8"/>
      <c r="O21" s="8"/>
      <c r="P21" s="8"/>
      <c r="Q21" s="39"/>
      <c r="S21" s="11">
        <v>275</v>
      </c>
      <c r="T21" s="41">
        <f>275/263</f>
        <v>1.0456273764258555</v>
      </c>
      <c r="U21" s="19">
        <f>AVERAGE(Q14,Q20,Q26,Q32,Q44)</f>
        <v>0.22701222571499419</v>
      </c>
    </row>
    <row r="22" spans="1:21" x14ac:dyDescent="0.25">
      <c r="A22" s="9">
        <v>255</v>
      </c>
      <c r="B22" s="8" t="s">
        <v>26</v>
      </c>
      <c r="C22" s="21">
        <v>19.7999877929688</v>
      </c>
      <c r="D22" s="21">
        <v>19.949996948242202</v>
      </c>
      <c r="E22" s="21">
        <v>19.8999938964844</v>
      </c>
      <c r="F22" s="23">
        <v>25.4146404266357</v>
      </c>
      <c r="G22" s="10">
        <v>86</v>
      </c>
      <c r="I22" s="29">
        <f>(C22+D22)/2</f>
        <v>19.874992370605501</v>
      </c>
      <c r="K22" s="9">
        <f>A22</f>
        <v>255</v>
      </c>
      <c r="L22" s="8">
        <v>263</v>
      </c>
      <c r="M22" s="14">
        <f>121/360</f>
        <v>0.33611111111111114</v>
      </c>
      <c r="N22" s="8">
        <v>1.7500000000000002E-2</v>
      </c>
      <c r="O22" s="8">
        <f>(LN(L22/K22)+(N22+0.5*Q22^2)*M22)/(Q22*SQRT(M22))</f>
        <v>0.32965462002694745</v>
      </c>
      <c r="P22" s="8">
        <f>O22-(Q22*SQRT(M22))</f>
        <v>0.18742279898012726</v>
      </c>
      <c r="Q22" s="37">
        <v>0.24533264196077795</v>
      </c>
    </row>
    <row r="23" spans="1:21" x14ac:dyDescent="0.25">
      <c r="A23" s="9">
        <v>260</v>
      </c>
      <c r="B23" s="8" t="s">
        <v>27</v>
      </c>
      <c r="C23" s="21">
        <v>16.849990844726602</v>
      </c>
      <c r="D23" s="21">
        <v>17</v>
      </c>
      <c r="E23" s="21">
        <v>16.960006713867202</v>
      </c>
      <c r="F23" s="23">
        <v>24.942213058471701</v>
      </c>
      <c r="G23" s="10">
        <v>694</v>
      </c>
      <c r="I23" s="29">
        <f>(C23+D23)/2</f>
        <v>16.924995422363303</v>
      </c>
      <c r="K23" s="9">
        <f>A23</f>
        <v>260</v>
      </c>
      <c r="L23" s="8">
        <v>263</v>
      </c>
      <c r="M23" s="14">
        <f>121/360</f>
        <v>0.33611111111111114</v>
      </c>
      <c r="N23" s="8">
        <v>1.7500000000000002E-2</v>
      </c>
      <c r="O23" s="8">
        <f>(LN(L23/K23)+(N23+0.5*Q23^2)*M23)/(Q23*SQRT(M23))</f>
        <v>0.19395843224442544</v>
      </c>
      <c r="P23" s="8">
        <f>O23-(Q23*SQRT(M23))</f>
        <v>5.3955372534650548E-2</v>
      </c>
      <c r="Q23" s="37">
        <v>0.24148829895024046</v>
      </c>
    </row>
    <row r="24" spans="1:21" x14ac:dyDescent="0.25">
      <c r="A24" s="9">
        <v>265</v>
      </c>
      <c r="B24" s="8" t="s">
        <v>28</v>
      </c>
      <c r="C24" s="21">
        <v>14.1499996185303</v>
      </c>
      <c r="D24" s="21">
        <v>14.300000190734901</v>
      </c>
      <c r="E24" s="21">
        <v>14.2200002670288</v>
      </c>
      <c r="F24" s="23">
        <v>24.4672966003418</v>
      </c>
      <c r="G24" s="10">
        <v>561</v>
      </c>
      <c r="I24" s="29">
        <f>(C24+D24)/2</f>
        <v>14.2249999046326</v>
      </c>
      <c r="K24" s="9">
        <f>A24</f>
        <v>265</v>
      </c>
      <c r="L24" s="8">
        <v>263</v>
      </c>
      <c r="M24" s="14">
        <f>121/360</f>
        <v>0.33611111111111114</v>
      </c>
      <c r="N24" s="8">
        <v>1.7500000000000002E-2</v>
      </c>
      <c r="O24" s="8">
        <f>(LN(L24/K24)+(N24+0.5*Q24^2)*M24)/(Q24*SQRT(M24))</f>
        <v>5.6537610530013681E-2</v>
      </c>
      <c r="P24" s="8">
        <f>O24-(Q24*SQRT(M24))</f>
        <v>-8.1143084316963987E-2</v>
      </c>
      <c r="Q24" s="37">
        <v>0.2374825012096676</v>
      </c>
    </row>
    <row r="25" spans="1:21" x14ac:dyDescent="0.25">
      <c r="A25" s="9">
        <v>270</v>
      </c>
      <c r="B25" s="8" t="s">
        <v>29</v>
      </c>
      <c r="C25" s="21">
        <v>11.75</v>
      </c>
      <c r="D25" s="21">
        <v>11.949999809265099</v>
      </c>
      <c r="E25" s="21">
        <v>11.5200004577637</v>
      </c>
      <c r="F25" s="23">
        <v>24.100183486938501</v>
      </c>
      <c r="G25" s="10">
        <v>244</v>
      </c>
      <c r="I25" s="29">
        <f>(C25+D25)/2</f>
        <v>11.849999904632551</v>
      </c>
      <c r="K25" s="9">
        <f>A25</f>
        <v>270</v>
      </c>
      <c r="L25" s="8">
        <v>263</v>
      </c>
      <c r="M25" s="14">
        <f>121/360</f>
        <v>0.33611111111111114</v>
      </c>
      <c r="N25" s="8">
        <v>1.7500000000000002E-2</v>
      </c>
      <c r="O25" s="8">
        <f>(LN(L25/K25)+(N25+0.5*Q25^2)*M25)/(Q25*SQRT(M25))</f>
        <v>-8.2022852266212087E-2</v>
      </c>
      <c r="P25" s="8">
        <f>O25-(Q25*SQRT(M25))</f>
        <v>-0.21794428885891076</v>
      </c>
      <c r="Q25" s="37">
        <v>0.23444799407731851</v>
      </c>
    </row>
    <row r="26" spans="1:21" x14ac:dyDescent="0.25">
      <c r="A26" s="9">
        <v>275</v>
      </c>
      <c r="B26" s="8" t="s">
        <v>30</v>
      </c>
      <c r="C26" s="21">
        <v>9.6499996185302699</v>
      </c>
      <c r="D26" s="21">
        <v>9.8000001907348597</v>
      </c>
      <c r="E26" s="21">
        <v>9.7399997711181605</v>
      </c>
      <c r="F26" s="23">
        <v>23.725193023681602</v>
      </c>
      <c r="G26" s="10">
        <v>220</v>
      </c>
      <c r="I26" s="29">
        <f>(C26+D26)/2</f>
        <v>9.7249999046325648</v>
      </c>
      <c r="K26" s="9">
        <f>A26</f>
        <v>275</v>
      </c>
      <c r="L26" s="8">
        <v>263</v>
      </c>
      <c r="M26" s="14">
        <f>121/360</f>
        <v>0.33611111111111114</v>
      </c>
      <c r="N26" s="8">
        <v>1.7500000000000002E-2</v>
      </c>
      <c r="O26" s="8">
        <f>(LN(L26/K26)+(N26+0.5*Q26^2)*M26)/(Q26*SQRT(M26))</f>
        <v>-0.22210157632258984</v>
      </c>
      <c r="P26" s="8">
        <f>O26-(Q26*SQRT(M26))</f>
        <v>-0.35608896682388758</v>
      </c>
      <c r="Q26" s="37">
        <v>0.23111199912355126</v>
      </c>
    </row>
    <row r="27" spans="1:21" x14ac:dyDescent="0.25">
      <c r="A27" s="24" t="s">
        <v>31</v>
      </c>
      <c r="B27" s="20"/>
      <c r="C27" s="22"/>
      <c r="D27" s="22"/>
      <c r="E27" s="22"/>
      <c r="F27" s="20"/>
      <c r="G27" s="25"/>
      <c r="I27" s="29"/>
      <c r="K27" s="9"/>
      <c r="L27" s="8"/>
      <c r="M27" s="14"/>
      <c r="N27" s="8"/>
      <c r="O27" s="8"/>
      <c r="P27" s="8"/>
      <c r="Q27" s="39"/>
    </row>
    <row r="28" spans="1:21" x14ac:dyDescent="0.25">
      <c r="A28" s="9">
        <v>255</v>
      </c>
      <c r="B28" s="8" t="s">
        <v>32</v>
      </c>
      <c r="C28" s="21">
        <v>21.3999938964844</v>
      </c>
      <c r="D28" s="21">
        <v>21.550003051757798</v>
      </c>
      <c r="E28" s="21">
        <v>21.5</v>
      </c>
      <c r="F28" s="23">
        <v>25.11669921875</v>
      </c>
      <c r="G28" s="10">
        <v>17</v>
      </c>
      <c r="I28" s="29">
        <f>(C28+D28)/2</f>
        <v>21.474998474121101</v>
      </c>
      <c r="K28" s="9">
        <f>A28</f>
        <v>255</v>
      </c>
      <c r="L28" s="8">
        <v>263</v>
      </c>
      <c r="M28" s="14">
        <f>149/360</f>
        <v>0.41388888888888886</v>
      </c>
      <c r="N28" s="8">
        <v>1.7500000000000002E-2</v>
      </c>
      <c r="O28" s="8">
        <f>(LN(L28/K28)+(N28+0.5*Q28^2)*M28)/(Q28*SQRT(M28))</f>
        <v>0.32208781601745284</v>
      </c>
      <c r="P28" s="8">
        <f>O28-(Q28*SQRT(M28))</f>
        <v>0.16575124758837995</v>
      </c>
      <c r="Q28" s="37">
        <v>0.2430069480894721</v>
      </c>
    </row>
    <row r="29" spans="1:21" x14ac:dyDescent="0.25">
      <c r="A29" s="9">
        <v>260</v>
      </c>
      <c r="B29" s="8" t="s">
        <v>33</v>
      </c>
      <c r="C29" s="21">
        <v>18.449996948242202</v>
      </c>
      <c r="D29" s="21">
        <v>18.6499938964844</v>
      </c>
      <c r="E29" s="21">
        <v>18.580001831054702</v>
      </c>
      <c r="F29" s="23">
        <v>24.682788848876999</v>
      </c>
      <c r="G29" s="10">
        <v>74</v>
      </c>
      <c r="I29" s="29">
        <f>(C29+D29)/2</f>
        <v>18.549995422363303</v>
      </c>
      <c r="K29" s="9">
        <f>A29</f>
        <v>260</v>
      </c>
      <c r="L29" s="8">
        <v>263</v>
      </c>
      <c r="M29" s="14">
        <f>149/360</f>
        <v>0.41388888888888886</v>
      </c>
      <c r="N29" s="8">
        <v>1.7500000000000002E-2</v>
      </c>
      <c r="O29" s="8">
        <f>(LN(L29/K29)+(N29+0.5*Q29^2)*M29)/(Q29*SQRT(M29))</f>
        <v>0.19852408212289435</v>
      </c>
      <c r="P29" s="8">
        <f>O29-(Q29*SQRT(M29))</f>
        <v>4.4507277462826539E-2</v>
      </c>
      <c r="Q29" s="37">
        <v>0.23940114607233109</v>
      </c>
    </row>
    <row r="30" spans="1:21" x14ac:dyDescent="0.25">
      <c r="A30" s="9">
        <v>265</v>
      </c>
      <c r="B30" s="8" t="s">
        <v>34</v>
      </c>
      <c r="C30" s="21">
        <v>15.800000190734901</v>
      </c>
      <c r="D30" s="21">
        <v>16</v>
      </c>
      <c r="E30" s="21">
        <v>15.8500003814697</v>
      </c>
      <c r="F30" s="23">
        <v>24.318923950195298</v>
      </c>
      <c r="G30" s="10">
        <v>158</v>
      </c>
      <c r="I30" s="29">
        <f>(C30+D30)/2</f>
        <v>15.900000095367449</v>
      </c>
      <c r="K30" s="9">
        <f>A30</f>
        <v>265</v>
      </c>
      <c r="L30" s="8">
        <v>263</v>
      </c>
      <c r="M30" s="14">
        <f>149/360</f>
        <v>0.41388888888888886</v>
      </c>
      <c r="N30" s="8">
        <v>1.7500000000000002E-2</v>
      </c>
      <c r="O30" s="8">
        <f>(LN(L30/K30)+(N30+0.5*Q30^2)*M30)/(Q30*SQRT(M30))</f>
        <v>7.38498528938661E-2</v>
      </c>
      <c r="P30" s="8">
        <f>O30-(Q30*SQRT(M30))</f>
        <v>-7.8225809540393224E-2</v>
      </c>
      <c r="Q30" s="37">
        <v>0.23638386705155395</v>
      </c>
    </row>
    <row r="31" spans="1:21" x14ac:dyDescent="0.25">
      <c r="A31" s="9">
        <v>270</v>
      </c>
      <c r="B31" s="8" t="s">
        <v>35</v>
      </c>
      <c r="C31" s="21">
        <v>13.3999996185303</v>
      </c>
      <c r="D31" s="21">
        <v>13.550000190734901</v>
      </c>
      <c r="E31" s="21">
        <v>13.3999996185303</v>
      </c>
      <c r="F31" s="23">
        <v>23.9398097991943</v>
      </c>
      <c r="G31" s="10">
        <v>94</v>
      </c>
      <c r="I31" s="29">
        <f>(C31+D31)/2</f>
        <v>13.4749999046326</v>
      </c>
      <c r="K31" s="9">
        <f>A31</f>
        <v>270</v>
      </c>
      <c r="L31" s="8">
        <v>263</v>
      </c>
      <c r="M31" s="14">
        <f>149/360</f>
        <v>0.41388888888888886</v>
      </c>
      <c r="N31" s="8">
        <v>1.7500000000000002E-2</v>
      </c>
      <c r="O31" s="8">
        <f>(LN(L31/K31)+(N31+0.5*Q31^2)*M31)/(Q31*SQRT(M31))</f>
        <v>-5.1837177647370315E-2</v>
      </c>
      <c r="P31" s="8">
        <f>O31-(Q31*SQRT(M31))</f>
        <v>-0.20183368280976863</v>
      </c>
      <c r="Q31" s="37">
        <v>0.23315205975074194</v>
      </c>
    </row>
    <row r="32" spans="1:21" x14ac:dyDescent="0.25">
      <c r="A32" s="9">
        <v>275</v>
      </c>
      <c r="B32" s="8" t="s">
        <v>36</v>
      </c>
      <c r="C32" s="21">
        <v>11.25</v>
      </c>
      <c r="D32" s="21">
        <v>11.3999996185303</v>
      </c>
      <c r="E32" s="21">
        <v>11.289999961853001</v>
      </c>
      <c r="F32" s="23">
        <v>23.631349563598601</v>
      </c>
      <c r="G32" s="10">
        <v>134</v>
      </c>
      <c r="I32" s="29">
        <f>(C32+D32)/2</f>
        <v>11.324999809265151</v>
      </c>
      <c r="K32" s="9">
        <f>A32</f>
        <v>275</v>
      </c>
      <c r="L32" s="8">
        <v>263</v>
      </c>
      <c r="M32" s="14">
        <f>149/360</f>
        <v>0.41388888888888886</v>
      </c>
      <c r="N32" s="8">
        <v>1.7500000000000002E-2</v>
      </c>
      <c r="O32" s="8">
        <f>(LN(L32/K32)+(N32+0.5*Q32^2)*M32)/(Q32*SQRT(M32))</f>
        <v>-0.17804557348207442</v>
      </c>
      <c r="P32" s="8">
        <f>O32-(Q32*SQRT(M32))</f>
        <v>-0.32626407418387793</v>
      </c>
      <c r="Q32" s="37">
        <v>0.23038835934462343</v>
      </c>
    </row>
    <row r="33" spans="1:17" x14ac:dyDescent="0.25">
      <c r="A33" s="24" t="s">
        <v>37</v>
      </c>
      <c r="B33" s="20"/>
      <c r="C33" s="22"/>
      <c r="D33" s="22"/>
      <c r="E33" s="22"/>
      <c r="F33" s="20"/>
      <c r="G33" s="25"/>
      <c r="I33" s="29"/>
      <c r="K33" s="9"/>
      <c r="L33" s="8"/>
      <c r="M33" s="14"/>
      <c r="N33" s="8"/>
      <c r="O33" s="8"/>
      <c r="P33" s="8"/>
      <c r="Q33" s="39"/>
    </row>
    <row r="34" spans="1:17" x14ac:dyDescent="0.25">
      <c r="A34" s="9">
        <v>245</v>
      </c>
      <c r="B34" s="8" t="s">
        <v>38</v>
      </c>
      <c r="C34" s="21">
        <v>31.1000061035156</v>
      </c>
      <c r="D34" s="21">
        <v>31.25</v>
      </c>
      <c r="E34" s="21">
        <v>30.3999938964844</v>
      </c>
      <c r="F34" s="23">
        <v>26.376167297363299</v>
      </c>
      <c r="G34" s="10">
        <v>22</v>
      </c>
      <c r="I34" s="29">
        <f>(C34+D34)/2</f>
        <v>31.175003051757798</v>
      </c>
      <c r="K34" s="9">
        <f>A34</f>
        <v>245</v>
      </c>
      <c r="L34" s="8">
        <v>263</v>
      </c>
      <c r="M34" s="14">
        <f>212/360</f>
        <v>0.58888888888888891</v>
      </c>
      <c r="N34" s="8">
        <v>1.7500000000000002E-2</v>
      </c>
      <c r="O34" s="8">
        <f>(LN(L34/K34)+(N34+0.5*Q34^2)*M34)/(Q34*SQRT(M34))</f>
        <v>0.52094834783172406</v>
      </c>
      <c r="P34" s="8">
        <f>O34-(Q34*SQRT(M34))</f>
        <v>0.33012789450668467</v>
      </c>
      <c r="Q34" s="37">
        <v>0.2486613248275889</v>
      </c>
    </row>
    <row r="35" spans="1:17" x14ac:dyDescent="0.25">
      <c r="A35" s="9">
        <v>250</v>
      </c>
      <c r="B35" s="8" t="s">
        <v>39</v>
      </c>
      <c r="C35" s="21">
        <v>27.8999938964844</v>
      </c>
      <c r="D35" s="21">
        <v>28</v>
      </c>
      <c r="E35" s="21">
        <v>27.75</v>
      </c>
      <c r="F35" s="23">
        <v>25.963842391967798</v>
      </c>
      <c r="G35" s="10">
        <v>719</v>
      </c>
      <c r="I35" s="29">
        <f>(C35+D35)/2</f>
        <v>27.949996948242202</v>
      </c>
      <c r="K35" s="9">
        <f>A35</f>
        <v>250</v>
      </c>
      <c r="L35" s="8">
        <v>263</v>
      </c>
      <c r="M35" s="14">
        <f>212/360</f>
        <v>0.58888888888888891</v>
      </c>
      <c r="N35" s="8">
        <v>1.7500000000000002E-2</v>
      </c>
      <c r="O35" s="8">
        <f>(LN(L35/K35)+(N35+0.5*Q35^2)*M35)/(Q35*SQRT(M35))</f>
        <v>0.41769000621896085</v>
      </c>
      <c r="P35" s="8">
        <f>O35-(Q35*SQRT(M35))</f>
        <v>0.22905807462966268</v>
      </c>
      <c r="Q35" s="37">
        <v>0.24580942554351995</v>
      </c>
    </row>
    <row r="36" spans="1:17" x14ac:dyDescent="0.25">
      <c r="A36" s="9">
        <v>260</v>
      </c>
      <c r="B36" s="8" t="s">
        <v>40</v>
      </c>
      <c r="C36" s="21">
        <v>22.0499877929688</v>
      </c>
      <c r="D36" s="21">
        <v>22.25</v>
      </c>
      <c r="E36" s="21">
        <v>22</v>
      </c>
      <c r="F36" s="23">
        <v>25.294946670532202</v>
      </c>
      <c r="G36" s="10">
        <v>231</v>
      </c>
      <c r="I36" s="29">
        <f>(C36+D36)/2</f>
        <v>22.1499938964844</v>
      </c>
      <c r="K36" s="9">
        <f>A36</f>
        <v>260</v>
      </c>
      <c r="L36" s="8">
        <v>263</v>
      </c>
      <c r="M36" s="14">
        <f>212/360</f>
        <v>0.58888888888888891</v>
      </c>
      <c r="N36" s="8">
        <v>1.7500000000000002E-2</v>
      </c>
      <c r="O36" s="8">
        <f>(LN(L36/K36)+(N36+0.5*Q36^2)*M36)/(Q36*SQRT(M36))</f>
        <v>0.21020447466204467</v>
      </c>
      <c r="P36" s="8">
        <f>O36-(Q36*SQRT(M36))</f>
        <v>2.5099954827877774E-2</v>
      </c>
      <c r="Q36" s="37">
        <v>0.24121279627784439</v>
      </c>
    </row>
    <row r="37" spans="1:17" x14ac:dyDescent="0.25">
      <c r="A37" s="9">
        <v>270</v>
      </c>
      <c r="B37" s="8" t="s">
        <v>41</v>
      </c>
      <c r="C37" s="21">
        <v>17.050003051757798</v>
      </c>
      <c r="D37" s="21">
        <v>17.25</v>
      </c>
      <c r="E37" s="21">
        <v>16.8999938964844</v>
      </c>
      <c r="F37" s="23">
        <v>24.6891269683838</v>
      </c>
      <c r="G37" s="10">
        <v>260</v>
      </c>
      <c r="I37" s="29">
        <f>(C37+D37)/2</f>
        <v>17.150001525878899</v>
      </c>
      <c r="K37" s="9">
        <f>A37</f>
        <v>270</v>
      </c>
      <c r="L37" s="8">
        <v>263</v>
      </c>
      <c r="M37" s="14">
        <f>212/360</f>
        <v>0.58888888888888891</v>
      </c>
      <c r="N37" s="8">
        <v>1.7500000000000002E-2</v>
      </c>
      <c r="O37" s="8">
        <f>(LN(L37/K37)+(N37+0.5*Q37^2)*M37)/(Q37*SQRT(M37))</f>
        <v>3.0091920649374928E-3</v>
      </c>
      <c r="P37" s="8">
        <f>O37-(Q37*SQRT(M37))</f>
        <v>-0.1787003015302239</v>
      </c>
      <c r="Q37" s="37">
        <v>0.23678868079281554</v>
      </c>
    </row>
    <row r="38" spans="1:17" x14ac:dyDescent="0.25">
      <c r="A38" s="9">
        <v>280</v>
      </c>
      <c r="B38" s="8" t="s">
        <v>42</v>
      </c>
      <c r="C38" s="21">
        <v>12.949999809265099</v>
      </c>
      <c r="D38" s="21">
        <v>13.050000190734901</v>
      </c>
      <c r="E38" s="21">
        <v>13.050000190734901</v>
      </c>
      <c r="F38" s="23">
        <v>24.195291519165</v>
      </c>
      <c r="G38" s="10">
        <v>140</v>
      </c>
      <c r="I38" s="29">
        <f>(C38+D38)/2</f>
        <v>13</v>
      </c>
      <c r="K38" s="9">
        <f>A38</f>
        <v>280</v>
      </c>
      <c r="L38" s="8">
        <v>263</v>
      </c>
      <c r="M38" s="14">
        <f>212/360</f>
        <v>0.58888888888888891</v>
      </c>
      <c r="N38" s="8">
        <v>1.7500000000000002E-2</v>
      </c>
      <c r="O38" s="8">
        <f>(LN(L38/K38)+(N38+0.5*Q38^2)*M38)/(Q38*SQRT(M38))</f>
        <v>-0.20305342648928071</v>
      </c>
      <c r="P38" s="8">
        <f>O38-(Q38*SQRT(M38))</f>
        <v>-0.38195644369600146</v>
      </c>
      <c r="Q38" s="37">
        <v>0.23313151446348984</v>
      </c>
    </row>
    <row r="39" spans="1:17" x14ac:dyDescent="0.25">
      <c r="A39" s="24" t="s">
        <v>43</v>
      </c>
      <c r="B39" s="20"/>
      <c r="C39" s="22"/>
      <c r="D39" s="22"/>
      <c r="E39" s="22"/>
      <c r="F39" s="20"/>
      <c r="G39" s="25"/>
      <c r="I39" s="29"/>
      <c r="K39" s="9"/>
      <c r="L39" s="8"/>
      <c r="M39" s="14"/>
      <c r="N39" s="8"/>
      <c r="O39" s="8"/>
      <c r="P39" s="8"/>
      <c r="Q39" s="39"/>
    </row>
    <row r="40" spans="1:17" x14ac:dyDescent="0.25">
      <c r="A40" s="9">
        <v>255</v>
      </c>
      <c r="B40" s="8" t="s">
        <v>44</v>
      </c>
      <c r="C40" s="21">
        <v>26.1499938964844</v>
      </c>
      <c r="D40" s="21">
        <v>26.3500061035156</v>
      </c>
      <c r="E40" s="21">
        <v>0</v>
      </c>
      <c r="F40" s="23">
        <v>25.500669479370099</v>
      </c>
      <c r="G40" s="10">
        <v>0</v>
      </c>
      <c r="I40" s="29">
        <f>(C40+D40)/2</f>
        <v>26.25</v>
      </c>
      <c r="K40" s="9">
        <f>A40</f>
        <v>255</v>
      </c>
      <c r="L40" s="8">
        <v>263</v>
      </c>
      <c r="M40" s="14">
        <f>240/360</f>
        <v>0.66666666666666663</v>
      </c>
      <c r="N40" s="8">
        <v>1.7500000000000002E-2</v>
      </c>
      <c r="O40" s="8">
        <f>(LN(L40/K40)+(N40+0.5*Q40^2)*M40)/(Q40*SQRT(M40))</f>
        <v>0.3139534171174565</v>
      </c>
      <c r="P40" s="8">
        <f>O40-(Q40*SQRT(M40))</f>
        <v>0.11598465738069533</v>
      </c>
      <c r="Q40" s="37">
        <v>0.24246122318335195</v>
      </c>
    </row>
    <row r="41" spans="1:17" x14ac:dyDescent="0.25">
      <c r="A41" s="9">
        <v>260</v>
      </c>
      <c r="B41" s="8" t="s">
        <v>45</v>
      </c>
      <c r="C41" s="21">
        <v>23.3500061035156</v>
      </c>
      <c r="D41" s="21">
        <v>23.550003051757798</v>
      </c>
      <c r="E41" s="21">
        <v>23.300003051757798</v>
      </c>
      <c r="F41" s="23">
        <v>25.169670104980501</v>
      </c>
      <c r="G41" s="10">
        <v>38</v>
      </c>
      <c r="I41" s="29">
        <f>(C41+D41)/2</f>
        <v>23.450004577636697</v>
      </c>
      <c r="K41" s="9">
        <f>A41</f>
        <v>260</v>
      </c>
      <c r="L41" s="8">
        <v>263</v>
      </c>
      <c r="M41" s="14">
        <f>240/360</f>
        <v>0.66666666666666663</v>
      </c>
      <c r="N41" s="8">
        <v>1.7500000000000002E-2</v>
      </c>
      <c r="O41" s="8">
        <f>(LN(L41/K41)+(N41+0.5*Q41^2)*M41)/(Q41*SQRT(M41))</f>
        <v>0.2160521452117973</v>
      </c>
      <c r="P41" s="8">
        <f>O41-(Q41*SQRT(M41))</f>
        <v>2.0009842398496125E-2</v>
      </c>
      <c r="Q41" s="37">
        <v>0.2401018049463875</v>
      </c>
    </row>
    <row r="42" spans="1:17" x14ac:dyDescent="0.25">
      <c r="A42" s="9">
        <v>265</v>
      </c>
      <c r="B42" s="8" t="s">
        <v>46</v>
      </c>
      <c r="C42" s="21">
        <v>20.75</v>
      </c>
      <c r="D42" s="21">
        <v>20.949996948242202</v>
      </c>
      <c r="E42" s="21">
        <v>21.3999938964844</v>
      </c>
      <c r="F42" s="23">
        <v>24.868108749389599</v>
      </c>
      <c r="G42" s="10">
        <v>77</v>
      </c>
      <c r="I42" s="29">
        <f>(C42+D42)/2</f>
        <v>20.849998474121101</v>
      </c>
      <c r="K42" s="9">
        <f>A42</f>
        <v>265</v>
      </c>
      <c r="L42" s="8">
        <v>263</v>
      </c>
      <c r="M42" s="14">
        <f>240/360</f>
        <v>0.66666666666666663</v>
      </c>
      <c r="N42" s="8">
        <v>1.7500000000000002E-2</v>
      </c>
      <c r="O42" s="8">
        <f>(LN(L42/K42)+(N42+0.5*Q42^2)*M42)/(Q42*SQRT(M42))</f>
        <v>0.11818594427524434</v>
      </c>
      <c r="P42" s="8">
        <f>O42-(Q42*SQRT(M42))</f>
        <v>-7.6066889694617668E-2</v>
      </c>
      <c r="Q42" s="37">
        <v>0.23791016215787036</v>
      </c>
    </row>
    <row r="43" spans="1:17" x14ac:dyDescent="0.25">
      <c r="A43" s="9">
        <v>270</v>
      </c>
      <c r="B43" s="8" t="s">
        <v>47</v>
      </c>
      <c r="C43" s="21">
        <v>18.3500061035156</v>
      </c>
      <c r="D43" s="21">
        <v>18.599990844726602</v>
      </c>
      <c r="E43" s="21">
        <v>18.300003051757798</v>
      </c>
      <c r="F43" s="23">
        <v>24.620826721191399</v>
      </c>
      <c r="G43" s="10">
        <v>76</v>
      </c>
      <c r="I43" s="29">
        <f>(C43+D43)/2</f>
        <v>18.474998474121101</v>
      </c>
      <c r="K43" s="9">
        <f>A43</f>
        <v>270</v>
      </c>
      <c r="L43" s="8">
        <v>263</v>
      </c>
      <c r="M43" s="14">
        <f>240/360</f>
        <v>0.66666666666666663</v>
      </c>
      <c r="N43" s="8">
        <v>1.7500000000000002E-2</v>
      </c>
      <c r="O43" s="8">
        <f>(LN(L43/K43)+(N43+0.5*Q43^2)*M43)/(Q43*SQRT(M43))</f>
        <v>2.0707346569194734E-2</v>
      </c>
      <c r="P43" s="8">
        <f>O43-(Q43*SQRT(M43))</f>
        <v>-0.17213748722989941</v>
      </c>
      <c r="Q43" s="37">
        <v>0.23618572116980394</v>
      </c>
    </row>
    <row r="44" spans="1:17" x14ac:dyDescent="0.25">
      <c r="A44" s="9">
        <v>275</v>
      </c>
      <c r="B44" s="8" t="s">
        <v>48</v>
      </c>
      <c r="C44" s="21">
        <v>16.1499938964844</v>
      </c>
      <c r="D44" s="21">
        <v>16.3999938964844</v>
      </c>
      <c r="E44" s="21">
        <v>15.8999996185303</v>
      </c>
      <c r="F44" s="23">
        <v>24.369665145873999</v>
      </c>
      <c r="G44" s="10">
        <v>3</v>
      </c>
      <c r="I44" s="29">
        <f>(C44+D44)/2</f>
        <v>16.2749938964844</v>
      </c>
      <c r="K44" s="9">
        <f>A44</f>
        <v>275</v>
      </c>
      <c r="L44" s="8">
        <v>263</v>
      </c>
      <c r="M44" s="14">
        <f>240/360</f>
        <v>0.66666666666666663</v>
      </c>
      <c r="N44" s="8">
        <v>1.7500000000000002E-2</v>
      </c>
      <c r="O44" s="8">
        <f>(LN(L44/K44)+(N44+0.5*Q44^2)*M44)/(Q44*SQRT(M44))</f>
        <v>-7.6555528756153401E-2</v>
      </c>
      <c r="P44" s="8">
        <f>O44-(Q44*SQRT(M44))</f>
        <v>-0.26788345717385065</v>
      </c>
      <c r="Q44" s="37">
        <v>0.23432789908355178</v>
      </c>
    </row>
    <row r="45" spans="1:17" x14ac:dyDescent="0.25">
      <c r="A45" s="24" t="s">
        <v>49</v>
      </c>
      <c r="B45" s="20"/>
      <c r="C45" s="22"/>
      <c r="D45" s="22"/>
      <c r="E45" s="22"/>
      <c r="F45" s="20"/>
      <c r="G45" s="25"/>
      <c r="I45" s="29"/>
      <c r="K45" s="9"/>
      <c r="L45" s="8"/>
      <c r="M45" s="14"/>
      <c r="N45" s="8"/>
      <c r="O45" s="8"/>
      <c r="P45" s="8"/>
      <c r="Q45" s="39"/>
    </row>
    <row r="46" spans="1:17" x14ac:dyDescent="0.25">
      <c r="A46" s="9">
        <v>240</v>
      </c>
      <c r="B46" s="8" t="s">
        <v>50</v>
      </c>
      <c r="C46" s="21">
        <v>38.150009155273402</v>
      </c>
      <c r="D46" s="21">
        <v>38.399993896484403</v>
      </c>
      <c r="E46" s="21">
        <v>37.650009155273402</v>
      </c>
      <c r="F46" s="23">
        <v>26.787807464599599</v>
      </c>
      <c r="G46" s="10">
        <v>6</v>
      </c>
      <c r="I46" s="29">
        <f>(C46+D46)/2</f>
        <v>38.275001525878906</v>
      </c>
      <c r="K46" s="9">
        <f>A46</f>
        <v>240</v>
      </c>
      <c r="L46" s="8">
        <v>263</v>
      </c>
      <c r="M46" s="14">
        <f>303/360</f>
        <v>0.84166666666666667</v>
      </c>
      <c r="N46" s="8">
        <v>1.7500000000000002E-2</v>
      </c>
      <c r="O46" s="8">
        <f>(LN(L46/K46)+(N46+0.5*Q46^2)*M46)/(Q46*SQRT(M46))</f>
        <v>0.5808893692522491</v>
      </c>
      <c r="P46" s="8">
        <f>O46-(Q46*SQRT(M46))</f>
        <v>0.3534740560570121</v>
      </c>
      <c r="Q46" s="37">
        <v>0.24788465381075228</v>
      </c>
    </row>
    <row r="47" spans="1:17" x14ac:dyDescent="0.25">
      <c r="A47" s="9">
        <v>250</v>
      </c>
      <c r="B47" s="8" t="s">
        <v>51</v>
      </c>
      <c r="C47" s="21">
        <v>31.8999938964844</v>
      </c>
      <c r="D47" s="21">
        <v>32.149993896484403</v>
      </c>
      <c r="E47" s="21">
        <v>30.6000061035156</v>
      </c>
      <c r="F47" s="23">
        <v>26.1602287292481</v>
      </c>
      <c r="G47" s="10">
        <v>124</v>
      </c>
      <c r="I47" s="29">
        <f>(C47+D47)/2</f>
        <v>32.024993896484403</v>
      </c>
      <c r="K47" s="9">
        <f>A47</f>
        <v>250</v>
      </c>
      <c r="L47" s="8">
        <v>263</v>
      </c>
      <c r="M47" s="14">
        <f>303/360</f>
        <v>0.84166666666666667</v>
      </c>
      <c r="N47" s="8">
        <v>1.7500000000000002E-2</v>
      </c>
      <c r="O47" s="8">
        <f>(LN(L47/K47)+(N47+0.5*Q47^2)*M47)/(Q47*SQRT(M47))</f>
        <v>0.40382232581237065</v>
      </c>
      <c r="P47" s="8">
        <f>O47-(Q47*SQRT(M47))</f>
        <v>0.1795213326046316</v>
      </c>
      <c r="Q47" s="37">
        <v>0.24449001815007418</v>
      </c>
    </row>
    <row r="48" spans="1:17" x14ac:dyDescent="0.25">
      <c r="A48" s="9">
        <v>260</v>
      </c>
      <c r="B48" s="8" t="s">
        <v>52</v>
      </c>
      <c r="C48" s="21">
        <v>26.2999877929688</v>
      </c>
      <c r="D48" s="21">
        <v>26.5499877929688</v>
      </c>
      <c r="E48" s="21">
        <v>26.1000061035156</v>
      </c>
      <c r="F48" s="23">
        <v>25.597068786621101</v>
      </c>
      <c r="G48" s="10">
        <v>55</v>
      </c>
      <c r="I48" s="29">
        <f>(C48+D48)/2</f>
        <v>26.4249877929688</v>
      </c>
      <c r="K48" s="9">
        <f>A48</f>
        <v>260</v>
      </c>
      <c r="L48" s="8">
        <v>263</v>
      </c>
      <c r="M48" s="14">
        <f>303/360</f>
        <v>0.84166666666666667</v>
      </c>
      <c r="N48" s="8">
        <v>1.7500000000000002E-2</v>
      </c>
      <c r="O48" s="8">
        <f>(LN(L48/K48)+(N48+0.5*Q48^2)*M48)/(Q48*SQRT(M48))</f>
        <v>0.22905099088283684</v>
      </c>
      <c r="P48" s="8">
        <f>O48-(Q48*SQRT(M48))</f>
        <v>7.8243700450910669E-3</v>
      </c>
      <c r="Q48" s="37">
        <v>0.24113892573719489</v>
      </c>
    </row>
    <row r="49" spans="1:17" x14ac:dyDescent="0.25">
      <c r="A49" s="9">
        <v>270</v>
      </c>
      <c r="B49" s="8" t="s">
        <v>53</v>
      </c>
      <c r="C49" s="21">
        <v>21.3500061035156</v>
      </c>
      <c r="D49" s="21">
        <v>21.599990844726602</v>
      </c>
      <c r="E49" s="21">
        <v>21.3999938964844</v>
      </c>
      <c r="F49" s="23">
        <v>25.072231292724599</v>
      </c>
      <c r="G49" s="10">
        <v>51</v>
      </c>
      <c r="I49" s="29">
        <f>(C49+D49)/2</f>
        <v>21.474998474121101</v>
      </c>
      <c r="K49" s="9">
        <f>A49</f>
        <v>270</v>
      </c>
      <c r="L49" s="8">
        <v>263</v>
      </c>
      <c r="M49" s="14">
        <f>303/360</f>
        <v>0.84166666666666667</v>
      </c>
      <c r="N49" s="8">
        <v>1.7500000000000002E-2</v>
      </c>
      <c r="O49" s="8">
        <f>(LN(L49/K49)+(N49+0.5*Q49^2)*M49)/(Q49*SQRT(M49))</f>
        <v>5.6126955424058801E-2</v>
      </c>
      <c r="P49" s="8">
        <f>O49-(Q49*SQRT(M49))</f>
        <v>-0.1619498546867558</v>
      </c>
      <c r="Q49" s="37">
        <v>0.23770560486427542</v>
      </c>
    </row>
    <row r="50" spans="1:17" x14ac:dyDescent="0.25">
      <c r="A50" s="9">
        <v>280</v>
      </c>
      <c r="B50" s="8" t="s">
        <v>54</v>
      </c>
      <c r="C50" s="21">
        <v>17.099990844726602</v>
      </c>
      <c r="D50" s="21">
        <v>17.349990844726602</v>
      </c>
      <c r="E50" s="21">
        <v>17</v>
      </c>
      <c r="F50" s="23">
        <v>24.632732391357401</v>
      </c>
      <c r="G50" s="10">
        <v>20</v>
      </c>
      <c r="I50" s="29">
        <f>(C50+D50)/2</f>
        <v>17.224990844726602</v>
      </c>
      <c r="K50" s="9">
        <f>A50</f>
        <v>280</v>
      </c>
      <c r="L50" s="8">
        <v>263</v>
      </c>
      <c r="M50" s="14">
        <f>303/360</f>
        <v>0.84166666666666667</v>
      </c>
      <c r="N50" s="8">
        <v>1.7500000000000002E-2</v>
      </c>
      <c r="O50" s="8">
        <f>(LN(L50/K50)+(N50+0.5*Q50^2)*M50)/(Q50*SQRT(M50))</f>
        <v>-0.11468996281754737</v>
      </c>
      <c r="P50" s="8">
        <f>O50-(Q50*SQRT(M50))</f>
        <v>-0.33010088794295478</v>
      </c>
      <c r="Q50" s="37">
        <v>0.23479976722554255</v>
      </c>
    </row>
    <row r="51" spans="1:17" x14ac:dyDescent="0.25">
      <c r="A51" s="24" t="s">
        <v>55</v>
      </c>
      <c r="B51" s="20"/>
      <c r="C51" s="22"/>
      <c r="D51" s="22"/>
      <c r="E51" s="22"/>
      <c r="F51" s="20"/>
      <c r="G51" s="25"/>
      <c r="I51" s="29"/>
      <c r="K51" s="9"/>
      <c r="L51" s="8"/>
      <c r="M51" s="14"/>
      <c r="N51" s="8"/>
      <c r="O51" s="8"/>
      <c r="P51" s="8"/>
      <c r="Q51" s="39"/>
    </row>
    <row r="52" spans="1:17" x14ac:dyDescent="0.25">
      <c r="A52" s="9">
        <v>250</v>
      </c>
      <c r="B52" s="8" t="s">
        <v>56</v>
      </c>
      <c r="C52" s="21">
        <v>36.5</v>
      </c>
      <c r="D52" s="21">
        <v>36.7999877929688</v>
      </c>
      <c r="E52" s="21">
        <v>36.6199951171875</v>
      </c>
      <c r="F52" s="23">
        <v>26.309206008911101</v>
      </c>
      <c r="G52" s="10">
        <v>210</v>
      </c>
      <c r="I52" s="29">
        <f>(C52+D52)/2</f>
        <v>36.649993896484403</v>
      </c>
      <c r="K52" s="9">
        <f>A52</f>
        <v>250</v>
      </c>
      <c r="L52" s="8">
        <v>263</v>
      </c>
      <c r="M52" s="14">
        <f>422/360</f>
        <v>1.1722222222222223</v>
      </c>
      <c r="N52" s="8">
        <v>1.7500000000000002E-2</v>
      </c>
      <c r="O52" s="8">
        <f>(LN(L52/K52)+(N52+0.5*Q52^2)*M52)/(Q52*SQRT(M52))</f>
        <v>0.40181170124075805</v>
      </c>
      <c r="P52" s="8">
        <f>O52-(Q52*SQRT(M52))</f>
        <v>0.13798056691135191</v>
      </c>
      <c r="Q52" s="37">
        <v>0.24368066411571102</v>
      </c>
    </row>
    <row r="53" spans="1:17" x14ac:dyDescent="0.25">
      <c r="A53" s="9">
        <v>255</v>
      </c>
      <c r="B53" s="8" t="s">
        <v>57</v>
      </c>
      <c r="C53" s="21">
        <v>33.699996948242202</v>
      </c>
      <c r="D53" s="21">
        <v>34</v>
      </c>
      <c r="E53" s="21">
        <v>32.790008544921903</v>
      </c>
      <c r="F53" s="23">
        <v>26.043941497802699</v>
      </c>
      <c r="G53" s="10">
        <v>18</v>
      </c>
      <c r="I53" s="29">
        <f>(C53+D53)/2</f>
        <v>33.849998474121101</v>
      </c>
      <c r="K53" s="9">
        <f>A53</f>
        <v>255</v>
      </c>
      <c r="L53" s="8">
        <v>263</v>
      </c>
      <c r="M53" s="14">
        <f>422/360</f>
        <v>1.1722222222222223</v>
      </c>
      <c r="N53" s="8">
        <v>1.7500000000000002E-2</v>
      </c>
      <c r="O53" s="8">
        <f>(LN(L53/K53)+(N53+0.5*Q53^2)*M53)/(Q53*SQRT(M53))</f>
        <v>0.32713234116536111</v>
      </c>
      <c r="P53" s="8">
        <f>O53-(Q53*SQRT(M53))</f>
        <v>6.4859978568261867E-2</v>
      </c>
      <c r="Q53" s="37">
        <v>0.24224094574472041</v>
      </c>
    </row>
    <row r="54" spans="1:17" x14ac:dyDescent="0.25">
      <c r="A54" s="9">
        <v>260</v>
      </c>
      <c r="B54" s="8" t="s">
        <v>58</v>
      </c>
      <c r="C54" s="21">
        <v>31.0499877929688</v>
      </c>
      <c r="D54" s="21">
        <v>31.3500061035156</v>
      </c>
      <c r="E54" s="21">
        <v>30.830001831054702</v>
      </c>
      <c r="F54" s="23">
        <v>25.801612854003899</v>
      </c>
      <c r="G54" s="10">
        <v>92</v>
      </c>
      <c r="I54" s="29">
        <f>(C54+D54)/2</f>
        <v>31.199996948242202</v>
      </c>
      <c r="K54" s="9">
        <f>A54</f>
        <v>260</v>
      </c>
      <c r="L54" s="8">
        <v>263</v>
      </c>
      <c r="M54" s="14">
        <f>422/360</f>
        <v>1.1722222222222223</v>
      </c>
      <c r="N54" s="8">
        <v>1.7500000000000002E-2</v>
      </c>
      <c r="O54" s="8">
        <f>(LN(L54/K54)+(N54+0.5*Q54^2)*M54)/(Q54*SQRT(M54))</f>
        <v>0.25304788889889829</v>
      </c>
      <c r="P54" s="8">
        <f>O54-(Q54*SQRT(M54))</f>
        <v>-7.788066123102233E-3</v>
      </c>
      <c r="Q54" s="37">
        <v>0.24091424579806486</v>
      </c>
    </row>
    <row r="55" spans="1:17" x14ac:dyDescent="0.25">
      <c r="A55" s="9">
        <v>265</v>
      </c>
      <c r="B55" s="8" t="s">
        <v>59</v>
      </c>
      <c r="C55" s="21">
        <v>28.550003051757798</v>
      </c>
      <c r="D55" s="21">
        <v>28.8500061035156</v>
      </c>
      <c r="E55" s="21">
        <v>27.8800048828125</v>
      </c>
      <c r="F55" s="23">
        <v>25.579868316650401</v>
      </c>
      <c r="G55" s="10">
        <v>87</v>
      </c>
      <c r="I55" s="29">
        <f>(C55+D55)/2</f>
        <v>28.700004577636697</v>
      </c>
      <c r="K55" s="9">
        <f>A55</f>
        <v>265</v>
      </c>
      <c r="L55" s="8">
        <v>263</v>
      </c>
      <c r="M55" s="14">
        <f>422/360</f>
        <v>1.1722222222222223</v>
      </c>
      <c r="N55" s="8">
        <v>1.7500000000000002E-2</v>
      </c>
      <c r="O55" s="8">
        <f>(LN(L55/K55)+(N55+0.5*Q55^2)*M55)/(Q55*SQRT(M55))</f>
        <v>0.17960708346220702</v>
      </c>
      <c r="P55" s="8">
        <f>O55-(Q55*SQRT(M55))</f>
        <v>-7.9890639432524807E-2</v>
      </c>
      <c r="Q55" s="37">
        <v>0.23967822301272271</v>
      </c>
    </row>
    <row r="56" spans="1:17" x14ac:dyDescent="0.25">
      <c r="A56" s="9">
        <v>270</v>
      </c>
      <c r="B56" s="8" t="s">
        <v>60</v>
      </c>
      <c r="C56" s="21">
        <v>26.199996948242202</v>
      </c>
      <c r="D56" s="21">
        <v>26.5</v>
      </c>
      <c r="E56" s="21">
        <v>26.1499938964844</v>
      </c>
      <c r="F56" s="23">
        <v>25.3784370422363</v>
      </c>
      <c r="G56" s="10">
        <v>61</v>
      </c>
      <c r="I56" s="29">
        <f>(C56+D56)/2</f>
        <v>26.349998474121101</v>
      </c>
      <c r="K56" s="9">
        <f>A56</f>
        <v>270</v>
      </c>
      <c r="L56" s="8">
        <v>263</v>
      </c>
      <c r="M56" s="14">
        <f>422/360</f>
        <v>1.1722222222222223</v>
      </c>
      <c r="N56" s="8">
        <v>1.7500000000000002E-2</v>
      </c>
      <c r="O56" s="8">
        <f>(LN(L56/K56)+(N56+0.5*Q56^2)*M56)/(Q56*SQRT(M56))</f>
        <v>0.10686227965402721</v>
      </c>
      <c r="P56" s="8">
        <f>O56-(Q56*SQRT(M56))</f>
        <v>-0.1514186998897365</v>
      </c>
      <c r="Q56" s="37">
        <v>0.23855441012924364</v>
      </c>
    </row>
    <row r="57" spans="1:17" x14ac:dyDescent="0.25">
      <c r="A57" s="24" t="s">
        <v>61</v>
      </c>
      <c r="B57" s="40"/>
      <c r="C57" s="22"/>
      <c r="D57" s="22"/>
      <c r="E57" s="22"/>
      <c r="F57" s="20"/>
      <c r="G57" s="25"/>
      <c r="I57" s="29"/>
      <c r="K57" s="9"/>
      <c r="L57" s="8"/>
      <c r="M57" s="14"/>
      <c r="N57" s="8"/>
      <c r="O57" s="8"/>
      <c r="P57" s="8"/>
      <c r="Q57" s="39"/>
    </row>
    <row r="58" spans="1:17" x14ac:dyDescent="0.25">
      <c r="A58" s="9">
        <v>245</v>
      </c>
      <c r="B58" s="8" t="s">
        <v>62</v>
      </c>
      <c r="C58" s="21">
        <v>43.650009155273402</v>
      </c>
      <c r="D58" s="21">
        <v>46.449996948242202</v>
      </c>
      <c r="E58" s="21">
        <v>43.75</v>
      </c>
      <c r="F58" s="23">
        <v>27.200801849365199</v>
      </c>
      <c r="G58" s="10">
        <v>7</v>
      </c>
      <c r="I58" s="29">
        <f>(C58+D58)/2</f>
        <v>45.050003051757798</v>
      </c>
      <c r="K58" s="9">
        <f>A58</f>
        <v>245</v>
      </c>
      <c r="L58" s="8">
        <v>263</v>
      </c>
      <c r="M58" s="14">
        <f>576/360</f>
        <v>1.6</v>
      </c>
      <c r="N58" s="8">
        <v>1.7500000000000002E-2</v>
      </c>
      <c r="O58" s="8">
        <f>(LN(L58/K58)+(N58+0.5*Q58^2)*M58)/(Q58*SQRT(M58))</f>
        <v>0.47261578554227346</v>
      </c>
      <c r="P58" s="8">
        <f>O58-(Q58*SQRT(M58))</f>
        <v>0.15991884653681399</v>
      </c>
      <c r="Q58" s="37">
        <v>0.24720863615499972</v>
      </c>
    </row>
    <row r="59" spans="1:17" x14ac:dyDescent="0.25">
      <c r="A59" s="9">
        <v>250</v>
      </c>
      <c r="B59" s="8" t="s">
        <v>63</v>
      </c>
      <c r="C59" s="21">
        <v>40.699996948242202</v>
      </c>
      <c r="D59" s="21">
        <v>43.100006103515597</v>
      </c>
      <c r="E59" s="21">
        <v>0</v>
      </c>
      <c r="F59" s="23">
        <v>26.677570343017599</v>
      </c>
      <c r="G59" s="10">
        <v>0</v>
      </c>
      <c r="I59" s="29">
        <f>(C59+D59)/2</f>
        <v>41.900001525878899</v>
      </c>
      <c r="K59" s="9">
        <f>A59</f>
        <v>250</v>
      </c>
      <c r="L59" s="8">
        <v>263</v>
      </c>
      <c r="M59" s="14">
        <f>576/360</f>
        <v>1.6</v>
      </c>
      <c r="N59" s="8">
        <v>1.7500000000000002E-2</v>
      </c>
      <c r="O59" s="8">
        <f>(LN(L59/K59)+(N59+0.5*Q59^2)*M59)/(Q59*SQRT(M59))</f>
        <v>0.40956211814177623</v>
      </c>
      <c r="P59" s="8">
        <f>O59-(Q59*SQRT(M59))</f>
        <v>0.10175902901336048</v>
      </c>
      <c r="Q59" s="37">
        <v>0.2433397081204014</v>
      </c>
    </row>
    <row r="60" spans="1:17" x14ac:dyDescent="0.25">
      <c r="A60" s="9">
        <v>260</v>
      </c>
      <c r="B60" s="8" t="s">
        <v>64</v>
      </c>
      <c r="C60" s="21">
        <v>35.5</v>
      </c>
      <c r="D60" s="21">
        <v>37.199996948242202</v>
      </c>
      <c r="E60" s="21">
        <v>36.5</v>
      </c>
      <c r="F60" s="23">
        <v>26.0074138641357</v>
      </c>
      <c r="G60" s="10">
        <v>1</v>
      </c>
      <c r="I60" s="29">
        <f>(C60+D60)/2</f>
        <v>36.349998474121101</v>
      </c>
      <c r="K60" s="9">
        <f>A60</f>
        <v>260</v>
      </c>
      <c r="L60" s="8">
        <v>263</v>
      </c>
      <c r="M60" s="14">
        <f>576/360</f>
        <v>1.6</v>
      </c>
      <c r="N60" s="8">
        <v>1.7500000000000002E-2</v>
      </c>
      <c r="O60" s="8">
        <f>(LN(L60/K60)+(N60+0.5*Q60^2)*M60)/(Q60*SQRT(M60))</f>
        <v>0.28173228168480985</v>
      </c>
      <c r="P60" s="8">
        <f>O60-(Q60*SQRT(M60))</f>
        <v>-2.0694835560001068E-2</v>
      </c>
      <c r="Q60" s="37">
        <v>0.23908962917309717</v>
      </c>
    </row>
    <row r="61" spans="1:17" x14ac:dyDescent="0.25">
      <c r="A61" s="9">
        <v>270</v>
      </c>
      <c r="B61" s="8" t="s">
        <v>65</v>
      </c>
      <c r="C61" s="21">
        <v>29.75</v>
      </c>
      <c r="D61" s="21">
        <v>33.150009155273402</v>
      </c>
      <c r="E61" s="21">
        <v>31.050003051757798</v>
      </c>
      <c r="F61" s="23">
        <v>25.525203704833999</v>
      </c>
      <c r="G61" s="10">
        <v>5</v>
      </c>
      <c r="I61" s="29">
        <f>(C61+D61)/2</f>
        <v>31.450004577636701</v>
      </c>
      <c r="K61" s="9">
        <f>A61</f>
        <v>270</v>
      </c>
      <c r="L61" s="8">
        <v>263</v>
      </c>
      <c r="M61" s="14">
        <f>576/360</f>
        <v>1.6</v>
      </c>
      <c r="N61" s="8">
        <v>1.7500000000000002E-2</v>
      </c>
      <c r="O61" s="8">
        <f>(LN(L61/K61)+(N61+0.5*Q61^2)*M61)/(Q61*SQRT(M61))</f>
        <v>0.15526413246284607</v>
      </c>
      <c r="P61" s="8">
        <f>O61-(Q61*SQRT(M61))</f>
        <v>-0.14367604000201487</v>
      </c>
      <c r="Q61" s="37">
        <v>0.23633295727812803</v>
      </c>
    </row>
    <row r="62" spans="1:17" ht="15.75" thickBot="1" x14ac:dyDescent="0.3">
      <c r="A62" s="11">
        <v>280</v>
      </c>
      <c r="B62" s="12" t="s">
        <v>66</v>
      </c>
      <c r="C62" s="26">
        <v>25.599990844726602</v>
      </c>
      <c r="D62" s="26">
        <v>29.349990844726602</v>
      </c>
      <c r="E62" s="26">
        <v>26.699996948242202</v>
      </c>
      <c r="F62" s="27">
        <v>25.429246902465799</v>
      </c>
      <c r="G62" s="13">
        <v>25</v>
      </c>
      <c r="I62" s="30">
        <f>(C62+D62)/2</f>
        <v>27.474990844726602</v>
      </c>
      <c r="K62" s="11">
        <f>A62</f>
        <v>280</v>
      </c>
      <c r="L62" s="12">
        <v>263</v>
      </c>
      <c r="M62" s="28">
        <f>576/360</f>
        <v>1.6</v>
      </c>
      <c r="N62" s="12">
        <v>1.7500000000000002E-2</v>
      </c>
      <c r="O62" s="12">
        <f>(LN(L62/K62)+(N62+0.5*Q62^2)*M62)/(Q62*SQRT(M62))</f>
        <v>3.4433658979606235E-2</v>
      </c>
      <c r="P62" s="12">
        <f>O62-(Q62*SQRT(M62))</f>
        <v>-0.26543703368914806</v>
      </c>
      <c r="Q62" s="38">
        <v>0.23706859809140488</v>
      </c>
    </row>
  </sheetData>
  <mergeCells count="3">
    <mergeCell ref="S15:U15"/>
    <mergeCell ref="S2:T2"/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zoomScaleNormal="100" workbookViewId="0">
      <selection activeCell="H26" sqref="H26"/>
    </sheetView>
  </sheetViews>
  <sheetFormatPr defaultRowHeight="15" x14ac:dyDescent="0.25"/>
  <cols>
    <col min="1" max="1" width="6.28515625" style="1" customWidth="1"/>
    <col min="2" max="2" width="7.85546875" style="1" customWidth="1"/>
    <col min="3" max="3" width="11.140625" style="1" customWidth="1"/>
    <col min="4" max="4" width="10.5703125" style="1" bestFit="1" customWidth="1"/>
    <col min="5" max="5" width="11.5703125" style="1" customWidth="1"/>
    <col min="6" max="6" width="11.42578125" customWidth="1"/>
    <col min="10" max="10" width="11.85546875" customWidth="1"/>
  </cols>
  <sheetData>
    <row r="1" spans="2:12" ht="15.75" thickBot="1" x14ac:dyDescent="0.3"/>
    <row r="2" spans="2:12" x14ac:dyDescent="0.25">
      <c r="B2" s="93" t="s">
        <v>86</v>
      </c>
      <c r="C2" s="101" t="s">
        <v>67</v>
      </c>
      <c r="D2" s="101" t="s">
        <v>76</v>
      </c>
      <c r="E2" s="101" t="s">
        <v>84</v>
      </c>
      <c r="F2" s="94" t="s">
        <v>82</v>
      </c>
    </row>
    <row r="3" spans="2:12" x14ac:dyDescent="0.25">
      <c r="B3" s="104"/>
      <c r="C3" s="102"/>
      <c r="D3" s="102"/>
      <c r="E3" s="102"/>
      <c r="F3" s="103"/>
    </row>
    <row r="4" spans="2:12" x14ac:dyDescent="0.25">
      <c r="B4" s="99">
        <v>30</v>
      </c>
      <c r="C4" s="8">
        <v>257.5</v>
      </c>
      <c r="D4" s="14">
        <v>10.050037195156477</v>
      </c>
      <c r="E4" s="54">
        <v>10.104583564611374</v>
      </c>
      <c r="F4" s="55">
        <f>E4-D4</f>
        <v>5.4546369454897103E-2</v>
      </c>
    </row>
    <row r="5" spans="2:12" x14ac:dyDescent="0.25">
      <c r="B5" s="99"/>
      <c r="C5" s="8">
        <v>260</v>
      </c>
      <c r="D5" s="14">
        <v>8.3999976315895992</v>
      </c>
      <c r="E5" s="54">
        <v>8.449834801075724</v>
      </c>
      <c r="F5" s="55">
        <f t="shared" ref="F5:F62" si="0">E5-D5</f>
        <v>4.9837169486124822E-2</v>
      </c>
    </row>
    <row r="6" spans="2:12" x14ac:dyDescent="0.25">
      <c r="B6" s="99"/>
      <c r="C6" s="8">
        <v>262.5</v>
      </c>
      <c r="D6" s="14">
        <v>6.9500407411737513</v>
      </c>
      <c r="E6" s="54">
        <v>6.9947534211862319</v>
      </c>
      <c r="F6" s="55">
        <f t="shared" si="0"/>
        <v>4.4712680012480632E-2</v>
      </c>
    </row>
    <row r="7" spans="2:12" x14ac:dyDescent="0.25">
      <c r="B7" s="99"/>
      <c r="C7" s="8">
        <v>265</v>
      </c>
      <c r="D7" s="14">
        <v>5.625092153015089</v>
      </c>
      <c r="E7" s="54">
        <v>5.6644948492762381</v>
      </c>
      <c r="F7" s="55">
        <f t="shared" si="0"/>
        <v>3.9402696261149117E-2</v>
      </c>
      <c r="K7" s="58"/>
    </row>
    <row r="8" spans="2:12" ht="15" customHeight="1" x14ac:dyDescent="0.25">
      <c r="B8" s="99"/>
      <c r="C8" s="8">
        <v>267.5</v>
      </c>
      <c r="D8" s="14">
        <v>4.4752811195314877</v>
      </c>
      <c r="E8" s="54">
        <v>4.5091858004854402</v>
      </c>
      <c r="F8" s="55">
        <f t="shared" si="0"/>
        <v>3.3904680953952493E-2</v>
      </c>
      <c r="H8" s="98" t="s">
        <v>139</v>
      </c>
      <c r="I8" s="98"/>
      <c r="J8" s="98"/>
      <c r="K8" s="98"/>
      <c r="L8" s="98"/>
    </row>
    <row r="9" spans="2:12" x14ac:dyDescent="0.25">
      <c r="B9" s="9"/>
      <c r="C9" s="8"/>
      <c r="D9" s="14"/>
      <c r="E9" s="59"/>
      <c r="F9" s="60"/>
      <c r="H9" s="98"/>
      <c r="I9" s="98"/>
      <c r="J9" s="98"/>
      <c r="K9" s="98"/>
      <c r="L9" s="98"/>
    </row>
    <row r="10" spans="2:12" x14ac:dyDescent="0.25">
      <c r="B10" s="104">
        <v>58</v>
      </c>
      <c r="C10" s="8">
        <v>255</v>
      </c>
      <c r="D10" s="14">
        <v>14.599987727833877</v>
      </c>
      <c r="E10" s="54">
        <v>14.704196235816198</v>
      </c>
      <c r="F10" s="55">
        <f t="shared" si="0"/>
        <v>0.10420850798232095</v>
      </c>
      <c r="H10" s="98"/>
      <c r="I10" s="98"/>
      <c r="J10" s="98"/>
      <c r="K10" s="98"/>
      <c r="L10" s="98"/>
    </row>
    <row r="11" spans="2:12" x14ac:dyDescent="0.25">
      <c r="B11" s="104"/>
      <c r="C11" s="8">
        <v>260</v>
      </c>
      <c r="D11" s="14">
        <v>11.375146135147048</v>
      </c>
      <c r="E11" s="54">
        <v>11.475671612724682</v>
      </c>
      <c r="F11" s="55">
        <f t="shared" si="0"/>
        <v>0.10052547757763364</v>
      </c>
    </row>
    <row r="12" spans="2:12" x14ac:dyDescent="0.25">
      <c r="B12" s="104"/>
      <c r="C12" s="8">
        <v>265</v>
      </c>
      <c r="D12" s="14">
        <v>8.5750448709270017</v>
      </c>
      <c r="E12" s="54">
        <v>8.6693617375152456</v>
      </c>
      <c r="F12" s="55">
        <f t="shared" si="0"/>
        <v>9.4316866588243897E-2</v>
      </c>
      <c r="H12" s="97" t="s">
        <v>140</v>
      </c>
      <c r="I12" s="97"/>
      <c r="J12" s="97"/>
      <c r="K12" s="97"/>
      <c r="L12" s="97"/>
    </row>
    <row r="13" spans="2:12" x14ac:dyDescent="0.25">
      <c r="B13" s="104"/>
      <c r="C13" s="8">
        <v>270</v>
      </c>
      <c r="D13" s="14">
        <v>6.2509525951429623</v>
      </c>
      <c r="E13" s="54">
        <v>6.3353790857113381</v>
      </c>
      <c r="F13" s="55">
        <f t="shared" si="0"/>
        <v>8.4426490568375812E-2</v>
      </c>
      <c r="H13" s="97"/>
      <c r="I13" s="97"/>
      <c r="J13" s="97"/>
      <c r="K13" s="97"/>
      <c r="L13" s="97"/>
    </row>
    <row r="14" spans="2:12" x14ac:dyDescent="0.25">
      <c r="B14" s="104"/>
      <c r="C14" s="8">
        <v>275</v>
      </c>
      <c r="D14" s="14">
        <v>4.4249958420880375</v>
      </c>
      <c r="E14" s="54">
        <v>4.4994738630801834</v>
      </c>
      <c r="F14" s="55">
        <f t="shared" si="0"/>
        <v>7.4478020992145844E-2</v>
      </c>
      <c r="H14" s="97"/>
      <c r="I14" s="97"/>
      <c r="J14" s="97"/>
      <c r="K14" s="97"/>
      <c r="L14" s="97"/>
    </row>
    <row r="15" spans="2:12" x14ac:dyDescent="0.25">
      <c r="B15" s="9"/>
      <c r="C15" s="8"/>
      <c r="D15" s="14"/>
      <c r="E15" s="59"/>
      <c r="F15" s="60"/>
      <c r="H15" s="97"/>
      <c r="I15" s="97"/>
      <c r="J15" s="97"/>
      <c r="K15" s="97"/>
      <c r="L15" s="97"/>
    </row>
    <row r="16" spans="2:12" x14ac:dyDescent="0.25">
      <c r="B16" s="99">
        <v>93</v>
      </c>
      <c r="C16" s="8">
        <v>255</v>
      </c>
      <c r="D16" s="14">
        <v>18.174933007863956</v>
      </c>
      <c r="E16" s="54">
        <v>18.537554019129374</v>
      </c>
      <c r="F16" s="55">
        <f t="shared" si="0"/>
        <v>0.36262101126541779</v>
      </c>
      <c r="H16" s="97"/>
      <c r="I16" s="97"/>
      <c r="J16" s="97"/>
      <c r="K16" s="97"/>
      <c r="L16" s="97"/>
    </row>
    <row r="17" spans="2:6" x14ac:dyDescent="0.25">
      <c r="B17" s="99"/>
      <c r="C17" s="8">
        <v>260</v>
      </c>
      <c r="D17" s="14">
        <v>15.124998719565383</v>
      </c>
      <c r="E17" s="54">
        <v>15.54846734788461</v>
      </c>
      <c r="F17" s="55">
        <f t="shared" si="0"/>
        <v>0.42346862831922749</v>
      </c>
    </row>
    <row r="18" spans="2:6" x14ac:dyDescent="0.25">
      <c r="B18" s="99"/>
      <c r="C18" s="8">
        <v>265</v>
      </c>
      <c r="D18" s="14">
        <v>12.374812292777563</v>
      </c>
      <c r="E18" s="54">
        <v>12.799504679986626</v>
      </c>
      <c r="F18" s="55">
        <f t="shared" si="0"/>
        <v>0.42469238720906333</v>
      </c>
    </row>
    <row r="19" spans="2:6" x14ac:dyDescent="0.25">
      <c r="B19" s="99"/>
      <c r="C19" s="8">
        <v>270</v>
      </c>
      <c r="D19" s="14">
        <v>9.9999983134803614</v>
      </c>
      <c r="E19" s="54">
        <v>10.379265098669876</v>
      </c>
      <c r="F19" s="55">
        <f t="shared" si="0"/>
        <v>0.37926678518951462</v>
      </c>
    </row>
    <row r="20" spans="2:6" x14ac:dyDescent="0.25">
      <c r="B20" s="99"/>
      <c r="C20" s="8">
        <v>275</v>
      </c>
      <c r="D20" s="14">
        <v>7.924990219706487</v>
      </c>
      <c r="E20" s="54">
        <v>8.218060518460149</v>
      </c>
      <c r="F20" s="55">
        <f t="shared" si="0"/>
        <v>0.29307029875366197</v>
      </c>
    </row>
    <row r="21" spans="2:6" x14ac:dyDescent="0.25">
      <c r="B21" s="9"/>
      <c r="C21" s="8"/>
      <c r="D21" s="14"/>
      <c r="E21" s="59"/>
      <c r="F21" s="60"/>
    </row>
    <row r="22" spans="2:6" x14ac:dyDescent="0.25">
      <c r="B22" s="99">
        <v>121</v>
      </c>
      <c r="C22" s="8">
        <v>255</v>
      </c>
      <c r="D22" s="14">
        <v>19.874966729344436</v>
      </c>
      <c r="E22" s="54">
        <v>20.383283266438553</v>
      </c>
      <c r="F22" s="55">
        <f t="shared" si="0"/>
        <v>0.50831653709411739</v>
      </c>
    </row>
    <row r="23" spans="2:6" x14ac:dyDescent="0.25">
      <c r="B23" s="99"/>
      <c r="C23" s="8">
        <v>260</v>
      </c>
      <c r="D23" s="14">
        <v>16.924999289853503</v>
      </c>
      <c r="E23" s="54">
        <v>17.398686838384151</v>
      </c>
      <c r="F23" s="55">
        <f t="shared" si="0"/>
        <v>0.47368754853064843</v>
      </c>
    </row>
    <row r="24" spans="2:6" x14ac:dyDescent="0.25">
      <c r="B24" s="99"/>
      <c r="C24" s="8">
        <v>265</v>
      </c>
      <c r="D24" s="14">
        <v>14.224704209135965</v>
      </c>
      <c r="E24" s="54">
        <v>14.661360373840822</v>
      </c>
      <c r="F24" s="55">
        <f t="shared" si="0"/>
        <v>0.43665616470485702</v>
      </c>
    </row>
    <row r="25" spans="2:6" x14ac:dyDescent="0.25">
      <c r="B25" s="99"/>
      <c r="C25" s="8">
        <v>270</v>
      </c>
      <c r="D25" s="14">
        <v>11.849999380062627</v>
      </c>
      <c r="E25" s="54">
        <v>12.24741667894726</v>
      </c>
      <c r="F25" s="55">
        <f t="shared" si="0"/>
        <v>0.3974172988846334</v>
      </c>
    </row>
    <row r="26" spans="2:6" x14ac:dyDescent="0.25">
      <c r="B26" s="99"/>
      <c r="C26" s="8">
        <v>275</v>
      </c>
      <c r="D26" s="14">
        <v>9.7249947011187601</v>
      </c>
      <c r="E26" s="54">
        <v>10.089750904599185</v>
      </c>
      <c r="F26" s="55">
        <f t="shared" si="0"/>
        <v>0.36475620348042526</v>
      </c>
    </row>
    <row r="27" spans="2:6" x14ac:dyDescent="0.25">
      <c r="B27" s="9"/>
      <c r="C27" s="8"/>
      <c r="D27" s="14"/>
      <c r="E27" s="59"/>
      <c r="F27" s="60"/>
    </row>
    <row r="28" spans="2:6" x14ac:dyDescent="0.25">
      <c r="B28" s="99">
        <v>149</v>
      </c>
      <c r="C28" s="8">
        <v>255</v>
      </c>
      <c r="D28" s="14">
        <v>21.474978787797795</v>
      </c>
      <c r="E28" s="54">
        <v>21.998395955727716</v>
      </c>
      <c r="F28" s="55">
        <f t="shared" si="0"/>
        <v>0.52341716792992088</v>
      </c>
    </row>
    <row r="29" spans="2:6" x14ac:dyDescent="0.25">
      <c r="B29" s="99"/>
      <c r="C29" s="8">
        <v>260</v>
      </c>
      <c r="D29" s="14">
        <v>18.549999555891048</v>
      </c>
      <c r="E29" s="54">
        <v>19.041590653714877</v>
      </c>
      <c r="F29" s="55">
        <f t="shared" si="0"/>
        <v>0.4915910978238287</v>
      </c>
    </row>
    <row r="30" spans="2:6" x14ac:dyDescent="0.25">
      <c r="B30" s="99"/>
      <c r="C30" s="8">
        <v>265</v>
      </c>
      <c r="D30" s="14">
        <v>15.899621117461606</v>
      </c>
      <c r="E30" s="54">
        <v>16.357698508055663</v>
      </c>
      <c r="F30" s="55">
        <f t="shared" si="0"/>
        <v>0.45807739059405606</v>
      </c>
    </row>
    <row r="31" spans="2:6" x14ac:dyDescent="0.25">
      <c r="B31" s="99"/>
      <c r="C31" s="8">
        <v>270</v>
      </c>
      <c r="D31" s="14">
        <v>13.475713395479048</v>
      </c>
      <c r="E31" s="54">
        <v>13.896815074202209</v>
      </c>
      <c r="F31" s="55">
        <f t="shared" si="0"/>
        <v>0.4211016787231614</v>
      </c>
    </row>
    <row r="32" spans="2:6" x14ac:dyDescent="0.25">
      <c r="B32" s="99"/>
      <c r="C32" s="8">
        <v>275</v>
      </c>
      <c r="D32" s="14">
        <v>11.324997342776626</v>
      </c>
      <c r="E32" s="54">
        <v>11.718944259601116</v>
      </c>
      <c r="F32" s="55">
        <f t="shared" si="0"/>
        <v>0.39394691682448979</v>
      </c>
    </row>
    <row r="33" spans="2:6" x14ac:dyDescent="0.25">
      <c r="B33" s="9"/>
      <c r="C33" s="8"/>
      <c r="D33" s="14"/>
      <c r="E33" s="59"/>
      <c r="F33" s="60"/>
    </row>
    <row r="34" spans="2:6" x14ac:dyDescent="0.25">
      <c r="B34" s="99">
        <v>212</v>
      </c>
      <c r="C34" s="8">
        <v>245</v>
      </c>
      <c r="D34" s="14">
        <v>31.174552748458808</v>
      </c>
      <c r="E34" s="54">
        <v>32.241317852838847</v>
      </c>
      <c r="F34" s="55">
        <f t="shared" si="0"/>
        <v>1.066765104380039</v>
      </c>
    </row>
    <row r="35" spans="2:6" x14ac:dyDescent="0.25">
      <c r="B35" s="99"/>
      <c r="C35" s="8">
        <v>250</v>
      </c>
      <c r="D35" s="14">
        <v>27.949891388039674</v>
      </c>
      <c r="E35" s="54">
        <v>28.972920071901115</v>
      </c>
      <c r="F35" s="55">
        <f t="shared" si="0"/>
        <v>1.0230286838614404</v>
      </c>
    </row>
    <row r="36" spans="2:6" x14ac:dyDescent="0.25">
      <c r="B36" s="99"/>
      <c r="C36" s="8">
        <v>260</v>
      </c>
      <c r="D36" s="14">
        <v>22.149999668857902</v>
      </c>
      <c r="E36" s="54">
        <v>23.074442472307112</v>
      </c>
      <c r="F36" s="55">
        <f t="shared" si="0"/>
        <v>0.92444280344921026</v>
      </c>
    </row>
    <row r="37" spans="2:6" x14ac:dyDescent="0.25">
      <c r="B37" s="99"/>
      <c r="C37" s="8">
        <v>270</v>
      </c>
      <c r="D37" s="14">
        <v>17.150172293619221</v>
      </c>
      <c r="E37" s="54">
        <v>17.963572378724962</v>
      </c>
      <c r="F37" s="55">
        <f t="shared" si="0"/>
        <v>0.8134000851057408</v>
      </c>
    </row>
    <row r="38" spans="2:6" x14ac:dyDescent="0.25">
      <c r="B38" s="99"/>
      <c r="C38" s="8">
        <v>280</v>
      </c>
      <c r="D38" s="14">
        <v>12.999988931898045</v>
      </c>
      <c r="E38" s="54">
        <v>13.696740329889479</v>
      </c>
      <c r="F38" s="55">
        <f t="shared" si="0"/>
        <v>0.69675139799143437</v>
      </c>
    </row>
    <row r="39" spans="2:6" x14ac:dyDescent="0.25">
      <c r="B39" s="9"/>
      <c r="C39" s="8"/>
      <c r="D39" s="14"/>
      <c r="E39" s="59"/>
      <c r="F39" s="60">
        <f t="shared" si="0"/>
        <v>0</v>
      </c>
    </row>
    <row r="40" spans="2:6" x14ac:dyDescent="0.25">
      <c r="B40" s="99">
        <v>240</v>
      </c>
      <c r="C40" s="8">
        <v>255</v>
      </c>
      <c r="D40" s="14">
        <v>26.249987560345261</v>
      </c>
      <c r="E40" s="54">
        <v>27.2739532908966</v>
      </c>
      <c r="F40" s="55">
        <f t="shared" si="0"/>
        <v>1.023965730551339</v>
      </c>
    </row>
    <row r="41" spans="2:6" x14ac:dyDescent="0.25">
      <c r="B41" s="99"/>
      <c r="C41" s="8">
        <v>260</v>
      </c>
      <c r="D41" s="14">
        <v>23.449999766159181</v>
      </c>
      <c r="E41" s="54">
        <v>24.420482728687176</v>
      </c>
      <c r="F41" s="55">
        <f t="shared" si="0"/>
        <v>0.9704829625279956</v>
      </c>
    </row>
    <row r="42" spans="2:6" x14ac:dyDescent="0.25">
      <c r="B42" s="99"/>
      <c r="C42" s="8">
        <v>265</v>
      </c>
      <c r="D42" s="14">
        <v>20.849163005966062</v>
      </c>
      <c r="E42" s="54">
        <v>21.765278313328835</v>
      </c>
      <c r="F42" s="55">
        <f t="shared" si="0"/>
        <v>0.91611530736277302</v>
      </c>
    </row>
    <row r="43" spans="2:6" x14ac:dyDescent="0.25">
      <c r="B43" s="99"/>
      <c r="C43" s="8">
        <v>270</v>
      </c>
      <c r="D43" s="14">
        <v>18.474865333767809</v>
      </c>
      <c r="E43" s="54">
        <v>19.333224256306835</v>
      </c>
      <c r="F43" s="55">
        <f t="shared" si="0"/>
        <v>0.85835892253902557</v>
      </c>
    </row>
    <row r="44" spans="2:6" x14ac:dyDescent="0.25">
      <c r="B44" s="99"/>
      <c r="C44" s="8">
        <v>275</v>
      </c>
      <c r="D44" s="14">
        <v>16.27499881590785</v>
      </c>
      <c r="E44" s="54">
        <v>17.075563445596075</v>
      </c>
      <c r="F44" s="55">
        <f t="shared" si="0"/>
        <v>0.80056462968822473</v>
      </c>
    </row>
    <row r="45" spans="2:6" x14ac:dyDescent="0.25">
      <c r="B45" s="9"/>
      <c r="C45" s="8"/>
      <c r="D45" s="14"/>
      <c r="E45" s="59"/>
      <c r="F45" s="60"/>
    </row>
    <row r="46" spans="2:6" x14ac:dyDescent="0.25">
      <c r="B46" s="99">
        <v>303</v>
      </c>
      <c r="C46" s="8">
        <v>240</v>
      </c>
      <c r="D46" s="14">
        <v>38.274314241421365</v>
      </c>
      <c r="E46" s="54">
        <v>39.912484748476487</v>
      </c>
      <c r="F46" s="55">
        <f t="shared" si="0"/>
        <v>1.638170507055122</v>
      </c>
    </row>
    <row r="47" spans="2:6" x14ac:dyDescent="0.25">
      <c r="B47" s="99"/>
      <c r="C47" s="8">
        <v>250</v>
      </c>
      <c r="D47" s="14">
        <v>32.024933449897446</v>
      </c>
      <c r="E47" s="54">
        <v>33.546692447547031</v>
      </c>
      <c r="F47" s="55">
        <f t="shared" si="0"/>
        <v>1.5217589976495844</v>
      </c>
    </row>
    <row r="48" spans="2:6" x14ac:dyDescent="0.25">
      <c r="B48" s="99"/>
      <c r="C48" s="8">
        <v>260</v>
      </c>
      <c r="D48" s="14">
        <v>26.424999866635801</v>
      </c>
      <c r="E48" s="54">
        <v>27.815739623454633</v>
      </c>
      <c r="F48" s="55">
        <f t="shared" si="0"/>
        <v>1.3907397568188316</v>
      </c>
    </row>
    <row r="49" spans="2:6" x14ac:dyDescent="0.25">
      <c r="B49" s="99"/>
      <c r="C49" s="8">
        <v>270</v>
      </c>
      <c r="D49" s="14">
        <v>21.474148761132398</v>
      </c>
      <c r="E49" s="54">
        <v>22.724812586808355</v>
      </c>
      <c r="F49" s="55">
        <f t="shared" si="0"/>
        <v>1.2506638256759572</v>
      </c>
    </row>
    <row r="50" spans="2:6" x14ac:dyDescent="0.25">
      <c r="B50" s="99"/>
      <c r="C50" s="8">
        <v>280</v>
      </c>
      <c r="D50" s="14">
        <v>17.224995228570094</v>
      </c>
      <c r="E50" s="54">
        <v>18.328295693332237</v>
      </c>
      <c r="F50" s="55">
        <f t="shared" si="0"/>
        <v>1.1033004647621425</v>
      </c>
    </row>
    <row r="51" spans="2:6" x14ac:dyDescent="0.25">
      <c r="B51" s="9"/>
      <c r="C51" s="8"/>
      <c r="D51" s="14"/>
      <c r="E51" s="59"/>
      <c r="F51" s="60"/>
    </row>
    <row r="52" spans="2:6" x14ac:dyDescent="0.25">
      <c r="B52" s="99">
        <v>442</v>
      </c>
      <c r="C52" s="8">
        <v>250</v>
      </c>
      <c r="D52" s="14">
        <v>36.649955932152494</v>
      </c>
      <c r="E52" s="54">
        <v>38.688062460663446</v>
      </c>
      <c r="F52" s="55">
        <f t="shared" si="0"/>
        <v>2.0381065285109514</v>
      </c>
    </row>
    <row r="53" spans="2:6" x14ac:dyDescent="0.25">
      <c r="B53" s="99"/>
      <c r="C53" s="8">
        <v>255</v>
      </c>
      <c r="D53" s="14">
        <v>33.849993416473069</v>
      </c>
      <c r="E53" s="54">
        <v>35.81092688529921</v>
      </c>
      <c r="F53" s="55">
        <f t="shared" si="0"/>
        <v>1.9609334688261413</v>
      </c>
    </row>
    <row r="54" spans="2:6" x14ac:dyDescent="0.25">
      <c r="B54" s="99"/>
      <c r="C54" s="8">
        <v>260</v>
      </c>
      <c r="D54" s="14">
        <v>31.200641075633925</v>
      </c>
      <c r="E54" s="54">
        <v>33.081941389047685</v>
      </c>
      <c r="F54" s="55">
        <f t="shared" si="0"/>
        <v>1.8813003134137603</v>
      </c>
    </row>
    <row r="55" spans="2:6" x14ac:dyDescent="0.25">
      <c r="B55" s="99"/>
      <c r="C55" s="8">
        <v>265</v>
      </c>
      <c r="D55" s="14">
        <v>28.699999028543388</v>
      </c>
      <c r="E55" s="54">
        <v>30.501049928897871</v>
      </c>
      <c r="F55" s="55">
        <f t="shared" si="0"/>
        <v>1.8010509003544826</v>
      </c>
    </row>
    <row r="56" spans="2:6" x14ac:dyDescent="0.25">
      <c r="B56" s="99"/>
      <c r="C56" s="8">
        <v>270</v>
      </c>
      <c r="D56" s="14">
        <v>26.349998840840186</v>
      </c>
      <c r="E56" s="54">
        <v>28.0693326536353</v>
      </c>
      <c r="F56" s="55">
        <f t="shared" si="0"/>
        <v>1.7193338127951137</v>
      </c>
    </row>
    <row r="57" spans="2:6" x14ac:dyDescent="0.25">
      <c r="B57" s="9"/>
      <c r="C57" s="8"/>
      <c r="D57" s="14"/>
      <c r="E57" s="59"/>
      <c r="F57" s="60"/>
    </row>
    <row r="58" spans="2:6" x14ac:dyDescent="0.25">
      <c r="B58" s="99">
        <v>576</v>
      </c>
      <c r="C58" s="8">
        <v>245</v>
      </c>
      <c r="D58" s="14">
        <v>45.049859483309774</v>
      </c>
      <c r="E58" s="54">
        <v>48.003067652161889</v>
      </c>
      <c r="F58" s="55">
        <f t="shared" si="0"/>
        <v>2.9532081688521146</v>
      </c>
    </row>
    <row r="59" spans="2:6" x14ac:dyDescent="0.25">
      <c r="B59" s="99"/>
      <c r="C59" s="8">
        <v>250</v>
      </c>
      <c r="D59" s="14">
        <v>41.899969412711386</v>
      </c>
      <c r="E59" s="54">
        <v>44.764942003568095</v>
      </c>
      <c r="F59" s="55">
        <f t="shared" si="0"/>
        <v>2.8649725908567092</v>
      </c>
    </row>
    <row r="60" spans="2:6" x14ac:dyDescent="0.25">
      <c r="B60" s="99"/>
      <c r="C60" s="8">
        <v>260</v>
      </c>
      <c r="D60" s="14">
        <v>36.350097521867525</v>
      </c>
      <c r="E60" s="54">
        <v>39.025806820449091</v>
      </c>
      <c r="F60" s="55">
        <f t="shared" si="0"/>
        <v>2.675709298581566</v>
      </c>
    </row>
    <row r="61" spans="2:6" x14ac:dyDescent="0.25">
      <c r="B61" s="99"/>
      <c r="C61" s="8">
        <v>270</v>
      </c>
      <c r="D61" s="14">
        <v>31.449998123175277</v>
      </c>
      <c r="E61" s="54">
        <v>33.928521001407816</v>
      </c>
      <c r="F61" s="55">
        <f t="shared" si="0"/>
        <v>2.478522878232539</v>
      </c>
    </row>
    <row r="62" spans="2:6" ht="15.75" thickBot="1" x14ac:dyDescent="0.3">
      <c r="B62" s="100"/>
      <c r="C62" s="12">
        <v>280</v>
      </c>
      <c r="D62" s="28">
        <v>27.474382376419769</v>
      </c>
      <c r="E62" s="56">
        <v>29.758045674496302</v>
      </c>
      <c r="F62" s="57">
        <f t="shared" si="0"/>
        <v>2.283663298076533</v>
      </c>
    </row>
  </sheetData>
  <mergeCells count="17">
    <mergeCell ref="B58:B62"/>
    <mergeCell ref="D2:D3"/>
    <mergeCell ref="F2:F3"/>
    <mergeCell ref="E2:E3"/>
    <mergeCell ref="C2:C3"/>
    <mergeCell ref="B2:B3"/>
    <mergeCell ref="B4:B8"/>
    <mergeCell ref="B10:B14"/>
    <mergeCell ref="B16:B20"/>
    <mergeCell ref="B22:B26"/>
    <mergeCell ref="B28:B32"/>
    <mergeCell ref="B34:B38"/>
    <mergeCell ref="H12:L16"/>
    <mergeCell ref="H8:L10"/>
    <mergeCell ref="B40:B44"/>
    <mergeCell ref="B46:B50"/>
    <mergeCell ref="B52:B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7D-A711-472A-8844-51A1B35C839F}">
  <dimension ref="B1:K62"/>
  <sheetViews>
    <sheetView workbookViewId="0">
      <selection activeCell="G5" sqref="G5"/>
    </sheetView>
  </sheetViews>
  <sheetFormatPr defaultRowHeight="15" x14ac:dyDescent="0.25"/>
  <cols>
    <col min="2" max="3" width="12.7109375" style="1" customWidth="1"/>
    <col min="4" max="4" width="10.5703125" style="1" bestFit="1" customWidth="1"/>
    <col min="5" max="5" width="12.85546875" style="79" customWidth="1"/>
    <col min="7" max="7" width="62.85546875" customWidth="1"/>
    <col min="10" max="10" width="13" customWidth="1"/>
  </cols>
  <sheetData>
    <row r="1" spans="2:11" ht="15.75" thickBot="1" x14ac:dyDescent="0.3"/>
    <row r="2" spans="2:11" ht="32.25" customHeight="1" x14ac:dyDescent="0.25">
      <c r="B2" s="51" t="s">
        <v>67</v>
      </c>
      <c r="C2" s="52" t="s">
        <v>83</v>
      </c>
      <c r="D2" s="33" t="s">
        <v>87</v>
      </c>
      <c r="E2" s="53" t="s">
        <v>85</v>
      </c>
      <c r="F2" s="3"/>
    </row>
    <row r="3" spans="2:11" x14ac:dyDescent="0.25">
      <c r="B3" s="9"/>
      <c r="C3" s="8"/>
      <c r="D3" s="8"/>
      <c r="E3" s="80"/>
    </row>
    <row r="4" spans="2:11" x14ac:dyDescent="0.25">
      <c r="B4" s="9">
        <v>257.5</v>
      </c>
      <c r="C4" s="8">
        <v>263</v>
      </c>
      <c r="D4" s="14">
        <v>10.050037195156477</v>
      </c>
      <c r="E4" s="81">
        <v>0.2169039355305836</v>
      </c>
    </row>
    <row r="5" spans="2:11" x14ac:dyDescent="0.25">
      <c r="B5" s="9">
        <v>260</v>
      </c>
      <c r="C5" s="8">
        <v>263</v>
      </c>
      <c r="D5" s="14">
        <v>8.3999976315895992</v>
      </c>
      <c r="E5" s="81">
        <v>0.25535327840588706</v>
      </c>
      <c r="G5" s="6" t="s">
        <v>141</v>
      </c>
    </row>
    <row r="6" spans="2:11" x14ac:dyDescent="0.25">
      <c r="B6" s="9">
        <v>262.5</v>
      </c>
      <c r="C6" s="8">
        <v>263</v>
      </c>
      <c r="D6" s="14">
        <v>6.9500407411737513</v>
      </c>
      <c r="E6" s="81">
        <v>0.30268536234580529</v>
      </c>
      <c r="G6" s="97" t="s">
        <v>144</v>
      </c>
    </row>
    <row r="7" spans="2:11" x14ac:dyDescent="0.25">
      <c r="B7" s="9">
        <v>265</v>
      </c>
      <c r="C7" s="8">
        <v>263</v>
      </c>
      <c r="D7" s="14">
        <v>5.625092153015089</v>
      </c>
      <c r="E7" s="81">
        <v>0.35520880095250429</v>
      </c>
      <c r="G7" s="97"/>
    </row>
    <row r="8" spans="2:11" x14ac:dyDescent="0.25">
      <c r="B8" s="9">
        <v>267.5</v>
      </c>
      <c r="C8" s="8">
        <v>263</v>
      </c>
      <c r="D8" s="14">
        <v>4.4752811195314877</v>
      </c>
      <c r="E8" s="81">
        <v>0.41519906592890637</v>
      </c>
    </row>
    <row r="9" spans="2:11" x14ac:dyDescent="0.25">
      <c r="B9" s="9"/>
      <c r="C9" s="8"/>
      <c r="D9" s="14"/>
      <c r="E9" s="82"/>
      <c r="G9" s="97" t="s">
        <v>143</v>
      </c>
    </row>
    <row r="10" spans="2:11" x14ac:dyDescent="0.25">
      <c r="B10" s="9">
        <v>255</v>
      </c>
      <c r="C10" s="8">
        <v>263</v>
      </c>
      <c r="D10" s="14">
        <v>14.599987727833877</v>
      </c>
      <c r="E10" s="81">
        <v>0.16276394680985748</v>
      </c>
      <c r="G10" s="97"/>
    </row>
    <row r="11" spans="2:11" ht="15" customHeight="1" x14ac:dyDescent="0.25">
      <c r="B11" s="9">
        <v>260</v>
      </c>
      <c r="C11" s="8">
        <v>263</v>
      </c>
      <c r="D11" s="14">
        <v>11.375146135147048</v>
      </c>
      <c r="E11" s="81">
        <v>0.20321984237365948</v>
      </c>
      <c r="G11" s="97"/>
    </row>
    <row r="12" spans="2:11" x14ac:dyDescent="0.25">
      <c r="B12" s="9">
        <v>265</v>
      </c>
      <c r="C12" s="8">
        <v>263</v>
      </c>
      <c r="D12" s="14">
        <v>8.5750448709270017</v>
      </c>
      <c r="E12" s="81">
        <v>0.25276783944922021</v>
      </c>
      <c r="G12" s="4"/>
    </row>
    <row r="13" spans="2:11" ht="16.5" customHeight="1" x14ac:dyDescent="0.25">
      <c r="B13" s="9">
        <v>270</v>
      </c>
      <c r="C13" s="8">
        <v>263</v>
      </c>
      <c r="D13" s="14">
        <v>6.2509525951429623</v>
      </c>
      <c r="E13" s="81">
        <v>0.31234346439971616</v>
      </c>
      <c r="G13" s="97" t="s">
        <v>142</v>
      </c>
      <c r="K13" s="1"/>
    </row>
    <row r="14" spans="2:11" x14ac:dyDescent="0.25">
      <c r="B14" s="9">
        <v>275</v>
      </c>
      <c r="C14" s="8">
        <v>263</v>
      </c>
      <c r="D14" s="14">
        <v>4.4249958420880375</v>
      </c>
      <c r="E14" s="81">
        <v>0.38225364311791094</v>
      </c>
      <c r="G14" s="97"/>
    </row>
    <row r="15" spans="2:11" x14ac:dyDescent="0.25">
      <c r="B15" s="9"/>
      <c r="C15" s="8">
        <v>263</v>
      </c>
      <c r="D15" s="14"/>
      <c r="E15" s="82"/>
      <c r="G15" s="97"/>
    </row>
    <row r="16" spans="2:11" x14ac:dyDescent="0.25">
      <c r="B16" s="9">
        <v>255</v>
      </c>
      <c r="C16" s="8">
        <v>263</v>
      </c>
      <c r="D16" s="14">
        <v>18.174933007863956</v>
      </c>
      <c r="E16" s="81">
        <v>0.15762407132383929</v>
      </c>
      <c r="G16" s="4"/>
    </row>
    <row r="17" spans="2:7" ht="15.75" x14ac:dyDescent="0.25">
      <c r="B17" s="9">
        <v>260</v>
      </c>
      <c r="C17" s="8">
        <v>263</v>
      </c>
      <c r="D17" s="14">
        <v>15.124998719565383</v>
      </c>
      <c r="E17" s="81">
        <v>0.18485992755326522</v>
      </c>
      <c r="G17" s="7" t="s">
        <v>145</v>
      </c>
    </row>
    <row r="18" spans="2:7" x14ac:dyDescent="0.25">
      <c r="B18" s="9">
        <v>265</v>
      </c>
      <c r="C18" s="8">
        <v>263</v>
      </c>
      <c r="D18" s="14">
        <v>12.374812292777563</v>
      </c>
      <c r="E18" s="81">
        <v>0.21589171716693403</v>
      </c>
      <c r="G18" t="s">
        <v>146</v>
      </c>
    </row>
    <row r="19" spans="2:7" x14ac:dyDescent="0.25">
      <c r="B19" s="9">
        <v>270</v>
      </c>
      <c r="C19" s="8">
        <v>263</v>
      </c>
      <c r="D19" s="14">
        <v>9.9999983134803614</v>
      </c>
      <c r="E19" s="81">
        <v>0.2517383081335654</v>
      </c>
      <c r="G19" t="s">
        <v>147</v>
      </c>
    </row>
    <row r="20" spans="2:7" x14ac:dyDescent="0.25">
      <c r="B20" s="9">
        <v>275</v>
      </c>
      <c r="C20" s="8">
        <v>263</v>
      </c>
      <c r="D20" s="14">
        <v>7.924990219706487</v>
      </c>
      <c r="E20" s="81">
        <v>0.29114188361528426</v>
      </c>
    </row>
    <row r="21" spans="2:7" x14ac:dyDescent="0.25">
      <c r="B21" s="9"/>
      <c r="C21" s="8">
        <v>263</v>
      </c>
      <c r="D21" s="14"/>
      <c r="E21" s="82"/>
    </row>
    <row r="22" spans="2:7" x14ac:dyDescent="0.25">
      <c r="B22" s="9">
        <v>255</v>
      </c>
      <c r="C22" s="8">
        <v>263</v>
      </c>
      <c r="D22" s="14">
        <v>19.874966729344436</v>
      </c>
      <c r="E22" s="81">
        <v>0.14188076672879393</v>
      </c>
    </row>
    <row r="23" spans="2:7" x14ac:dyDescent="0.25">
      <c r="B23" s="9">
        <v>260</v>
      </c>
      <c r="C23" s="8">
        <v>263</v>
      </c>
      <c r="D23" s="14">
        <v>16.924999289853503</v>
      </c>
      <c r="E23" s="81">
        <v>0.16376772928736774</v>
      </c>
    </row>
    <row r="24" spans="2:7" x14ac:dyDescent="0.25">
      <c r="B24" s="9">
        <v>265</v>
      </c>
      <c r="C24" s="8">
        <v>263</v>
      </c>
      <c r="D24" s="14">
        <v>14.224704209135965</v>
      </c>
      <c r="E24" s="81">
        <v>0.18796472392755648</v>
      </c>
    </row>
    <row r="25" spans="2:7" x14ac:dyDescent="0.25">
      <c r="B25" s="9">
        <v>270</v>
      </c>
      <c r="C25" s="8">
        <v>263</v>
      </c>
      <c r="D25" s="14">
        <v>11.849999380062627</v>
      </c>
      <c r="E25" s="81">
        <v>0.21532041887961353</v>
      </c>
    </row>
    <row r="26" spans="2:7" x14ac:dyDescent="0.25">
      <c r="B26" s="9">
        <v>275</v>
      </c>
      <c r="C26" s="8">
        <v>263</v>
      </c>
      <c r="D26" s="14">
        <v>9.7249947011187601</v>
      </c>
      <c r="E26" s="81">
        <v>0.2448452708847863</v>
      </c>
    </row>
    <row r="27" spans="2:7" x14ac:dyDescent="0.25">
      <c r="B27" s="9"/>
      <c r="C27" s="8"/>
      <c r="D27" s="14"/>
      <c r="E27" s="82"/>
    </row>
    <row r="28" spans="2:7" x14ac:dyDescent="0.25">
      <c r="B28" s="9">
        <v>255</v>
      </c>
      <c r="C28" s="8">
        <v>263</v>
      </c>
      <c r="D28" s="14">
        <v>21.474978787797795</v>
      </c>
      <c r="E28" s="81">
        <v>0.13117179076773183</v>
      </c>
    </row>
    <row r="29" spans="2:7" x14ac:dyDescent="0.25">
      <c r="B29" s="9">
        <v>260</v>
      </c>
      <c r="C29" s="8">
        <v>263</v>
      </c>
      <c r="D29" s="14">
        <v>18.549999555890999</v>
      </c>
      <c r="E29" s="81">
        <v>0.14900191767209969</v>
      </c>
    </row>
    <row r="30" spans="2:7" x14ac:dyDescent="0.25">
      <c r="B30" s="9">
        <v>265</v>
      </c>
      <c r="C30" s="8">
        <v>263</v>
      </c>
      <c r="D30" s="14">
        <v>15.899621117461599</v>
      </c>
      <c r="E30" s="81">
        <v>0.16896398820715527</v>
      </c>
    </row>
    <row r="31" spans="2:7" x14ac:dyDescent="0.25">
      <c r="B31" s="9">
        <v>270</v>
      </c>
      <c r="C31" s="8">
        <v>263</v>
      </c>
      <c r="D31" s="14">
        <v>13.475713395479048</v>
      </c>
      <c r="E31" s="81">
        <v>0.19055078698167555</v>
      </c>
    </row>
    <row r="32" spans="2:7" ht="15.75" thickBot="1" x14ac:dyDescent="0.3">
      <c r="B32" s="11">
        <v>275</v>
      </c>
      <c r="C32" s="12">
        <v>263</v>
      </c>
      <c r="D32" s="28">
        <v>11.324997342776626</v>
      </c>
      <c r="E32" s="83">
        <v>0.21414567521233605</v>
      </c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</sheetData>
  <mergeCells count="3">
    <mergeCell ref="G9:G11"/>
    <mergeCell ref="G13:G15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7F01-AB6C-4495-9467-B539DBD00423}">
  <dimension ref="A1:V44"/>
  <sheetViews>
    <sheetView zoomScaleNormal="100" workbookViewId="0">
      <selection activeCell="J20" sqref="J20"/>
    </sheetView>
  </sheetViews>
  <sheetFormatPr defaultColWidth="8.85546875" defaultRowHeight="15" x14ac:dyDescent="0.25"/>
  <cols>
    <col min="1" max="1" width="9.140625" style="1" bestFit="1" customWidth="1"/>
    <col min="2" max="2" width="21.42578125" style="1" customWidth="1"/>
    <col min="3" max="3" width="8" style="1" customWidth="1"/>
    <col min="4" max="4" width="9.140625" style="1" customWidth="1"/>
    <col min="5" max="5" width="8.85546875" style="1" customWidth="1"/>
    <col min="6" max="6" width="13" style="1" customWidth="1"/>
    <col min="7" max="7" width="9.140625" style="1" bestFit="1" customWidth="1"/>
    <col min="8" max="8" width="9.140625" style="1" customWidth="1"/>
    <col min="9" max="9" width="10.28515625" style="1" customWidth="1"/>
    <col min="10" max="10" width="8.85546875" style="1"/>
    <col min="11" max="11" width="12.7109375" style="1" customWidth="1"/>
    <col min="12" max="12" width="11.28515625" style="1" customWidth="1"/>
    <col min="13" max="19" width="8.85546875" style="1"/>
    <col min="20" max="20" width="9.85546875" style="1" customWidth="1"/>
    <col min="21" max="21" width="14.85546875" style="1" customWidth="1"/>
    <col min="22" max="16384" width="8.85546875" style="1"/>
  </cols>
  <sheetData>
    <row r="1" spans="1:22" x14ac:dyDescent="0.25">
      <c r="A1" s="78"/>
      <c r="B1" s="78"/>
      <c r="C1" s="78"/>
      <c r="D1" s="78"/>
      <c r="E1" s="78"/>
      <c r="F1" s="78"/>
      <c r="G1" s="78"/>
    </row>
    <row r="2" spans="1:22" ht="18" customHeight="1" thickBot="1" x14ac:dyDescent="0.35">
      <c r="A2" s="107" t="s">
        <v>138</v>
      </c>
      <c r="B2" s="107"/>
      <c r="C2" s="77"/>
      <c r="D2" s="77"/>
      <c r="E2" s="77"/>
      <c r="F2" s="77"/>
      <c r="G2" s="77"/>
      <c r="L2" s="1" t="s">
        <v>69</v>
      </c>
    </row>
    <row r="3" spans="1:22" ht="15.75" thickBot="1" x14ac:dyDescent="0.3">
      <c r="A3" s="74" t="s">
        <v>0</v>
      </c>
      <c r="B3" s="75" t="s">
        <v>1</v>
      </c>
      <c r="C3" s="75" t="s">
        <v>2</v>
      </c>
      <c r="D3" s="75" t="s">
        <v>3</v>
      </c>
      <c r="E3" s="75" t="s">
        <v>4</v>
      </c>
      <c r="F3" s="75" t="s">
        <v>5</v>
      </c>
      <c r="G3" s="76" t="s">
        <v>6</v>
      </c>
      <c r="I3" s="73" t="s">
        <v>75</v>
      </c>
      <c r="K3" s="70" t="s">
        <v>67</v>
      </c>
      <c r="L3" s="71" t="s">
        <v>68</v>
      </c>
      <c r="M3" s="71" t="s">
        <v>70</v>
      </c>
      <c r="N3" s="71" t="s">
        <v>71</v>
      </c>
      <c r="O3" s="71" t="s">
        <v>72</v>
      </c>
      <c r="P3" s="71" t="s">
        <v>73</v>
      </c>
      <c r="Q3" s="69" t="s">
        <v>81</v>
      </c>
      <c r="R3" s="72" t="s">
        <v>74</v>
      </c>
      <c r="T3" s="105" t="s">
        <v>77</v>
      </c>
      <c r="U3" s="106"/>
    </row>
    <row r="4" spans="1:22" x14ac:dyDescent="0.25">
      <c r="A4" s="62" t="s">
        <v>128</v>
      </c>
      <c r="B4" s="63"/>
      <c r="C4" s="63"/>
      <c r="D4" s="63"/>
      <c r="E4" s="63"/>
      <c r="F4" s="63"/>
      <c r="G4" s="64"/>
      <c r="I4" s="29"/>
      <c r="K4" s="9"/>
      <c r="L4" s="8"/>
      <c r="M4" s="8"/>
      <c r="N4" s="8"/>
      <c r="O4" s="8"/>
      <c r="P4" s="84"/>
      <c r="Q4" s="8"/>
      <c r="R4" s="86"/>
      <c r="T4" s="67" t="s">
        <v>78</v>
      </c>
      <c r="U4" s="68" t="s">
        <v>136</v>
      </c>
    </row>
    <row r="5" spans="1:22" x14ac:dyDescent="0.25">
      <c r="A5" s="9">
        <v>146</v>
      </c>
      <c r="B5" s="8" t="s">
        <v>127</v>
      </c>
      <c r="C5" s="21">
        <v>4.8000001907348597</v>
      </c>
      <c r="D5" s="21">
        <v>4.8500003814697301</v>
      </c>
      <c r="E5" s="21">
        <v>4.6500000953674299</v>
      </c>
      <c r="F5" s="15">
        <v>19.590365884594</v>
      </c>
      <c r="G5" s="10">
        <v>53</v>
      </c>
      <c r="I5" s="65">
        <f t="shared" ref="I5:I14" si="0">(C5+D5)/2</f>
        <v>4.8250002861022949</v>
      </c>
      <c r="K5" s="9">
        <f t="shared" ref="K5:K14" si="1">A5</f>
        <v>146</v>
      </c>
      <c r="L5" s="8">
        <v>149.62</v>
      </c>
      <c r="M5" s="8">
        <f t="shared" ref="M5:M14" si="2">16/360</f>
        <v>4.4444444444444446E-2</v>
      </c>
      <c r="N5" s="8">
        <v>1.7500000000000002E-2</v>
      </c>
      <c r="O5" s="8">
        <f t="shared" ref="O5:O14" si="3">(LN(L5/K5)+(N5+0.5*R5^2)*M5)/(R5*SQRT(M5))</f>
        <v>0.60959618960042505</v>
      </c>
      <c r="P5" s="84">
        <f t="shared" ref="P5:P14" si="4">O5-(R5*SQRT(M5))</f>
        <v>0.56662836969918562</v>
      </c>
      <c r="Q5" s="8">
        <v>0.97580537361315334</v>
      </c>
      <c r="R5" s="87">
        <v>0.20381426546974138</v>
      </c>
      <c r="T5" s="9">
        <f>M5</f>
        <v>4.4444444444444446E-2</v>
      </c>
      <c r="U5" s="10">
        <f>SUM(R5:R14)/10</f>
        <v>0.17805554404860863</v>
      </c>
    </row>
    <row r="6" spans="1:22" x14ac:dyDescent="0.25">
      <c r="A6" s="9">
        <v>147</v>
      </c>
      <c r="B6" s="8" t="s">
        <v>126</v>
      </c>
      <c r="C6" s="21">
        <v>4</v>
      </c>
      <c r="D6" s="21">
        <v>4.0999994277954102</v>
      </c>
      <c r="E6" s="21">
        <v>3.9000000953674299</v>
      </c>
      <c r="F6" s="15">
        <v>18.924374203563598</v>
      </c>
      <c r="G6" s="10">
        <v>116</v>
      </c>
      <c r="I6" s="65">
        <f t="shared" si="0"/>
        <v>4.0499997138977051</v>
      </c>
      <c r="K6" s="9">
        <f t="shared" si="1"/>
        <v>147</v>
      </c>
      <c r="L6" s="8">
        <v>149.62</v>
      </c>
      <c r="M6" s="8">
        <f t="shared" si="2"/>
        <v>4.4444444444444446E-2</v>
      </c>
      <c r="N6" s="8">
        <v>1.7500000000000002E-2</v>
      </c>
      <c r="O6" s="8">
        <f t="shared" si="3"/>
        <v>0.46704827574195779</v>
      </c>
      <c r="P6" s="84">
        <f t="shared" si="4"/>
        <v>0.42573021620145179</v>
      </c>
      <c r="Q6" s="8">
        <v>0.98248897206255847</v>
      </c>
      <c r="R6" s="87">
        <v>0.19598876496967357</v>
      </c>
      <c r="T6" s="9">
        <f>M16</f>
        <v>0.12222222222222222</v>
      </c>
      <c r="U6" s="10">
        <f>SUM(R16:R25)/10</f>
        <v>0.20007676538358213</v>
      </c>
    </row>
    <row r="7" spans="1:22" x14ac:dyDescent="0.25">
      <c r="A7" s="9">
        <v>148</v>
      </c>
      <c r="B7" s="8" t="s">
        <v>125</v>
      </c>
      <c r="C7" s="21">
        <v>3.3000001907348602</v>
      </c>
      <c r="D7" s="21">
        <v>3.4000005722045898</v>
      </c>
      <c r="E7" s="21">
        <v>3.3500003814697301</v>
      </c>
      <c r="F7" s="15">
        <v>18.304043741194199</v>
      </c>
      <c r="G7" s="10">
        <v>478</v>
      </c>
      <c r="I7" s="65">
        <f t="shared" si="0"/>
        <v>3.3500003814697248</v>
      </c>
      <c r="K7" s="9">
        <f t="shared" si="1"/>
        <v>148</v>
      </c>
      <c r="L7" s="8">
        <v>149.62</v>
      </c>
      <c r="M7" s="8">
        <f t="shared" si="2"/>
        <v>4.4444444444444446E-2</v>
      </c>
      <c r="N7" s="8">
        <v>1.7500000000000002E-2</v>
      </c>
      <c r="O7" s="8">
        <f t="shared" si="3"/>
        <v>0.31050048716508866</v>
      </c>
      <c r="P7" s="84">
        <f t="shared" si="4"/>
        <v>0.27033692240223889</v>
      </c>
      <c r="Q7" s="8">
        <v>0.98917257051196361</v>
      </c>
      <c r="R7" s="87">
        <v>0.19051251540342856</v>
      </c>
      <c r="T7" s="9">
        <f>M27</f>
        <v>0.21944444444444444</v>
      </c>
      <c r="U7" s="10">
        <f>SUM(R27:R34)/8</f>
        <v>0.20956722334218272</v>
      </c>
    </row>
    <row r="8" spans="1:22" ht="15.75" thickBot="1" x14ac:dyDescent="0.3">
      <c r="A8" s="9">
        <v>149</v>
      </c>
      <c r="B8" s="8" t="s">
        <v>124</v>
      </c>
      <c r="C8" s="21">
        <v>2.6900005340576199</v>
      </c>
      <c r="D8" s="21">
        <v>2.71000003814697</v>
      </c>
      <c r="E8" s="21">
        <v>2.7000000476837198</v>
      </c>
      <c r="F8" s="15">
        <v>17.966106067973399</v>
      </c>
      <c r="G8" s="10">
        <v>625</v>
      </c>
      <c r="I8" s="65">
        <f t="shared" si="0"/>
        <v>2.7000002861022949</v>
      </c>
      <c r="K8" s="9">
        <f t="shared" si="1"/>
        <v>149</v>
      </c>
      <c r="L8" s="8">
        <v>149.62</v>
      </c>
      <c r="M8" s="8">
        <f t="shared" si="2"/>
        <v>4.4444444444444446E-2</v>
      </c>
      <c r="N8" s="8">
        <v>1.7500000000000002E-2</v>
      </c>
      <c r="O8" s="8">
        <f t="shared" si="3"/>
        <v>0.14630937985756215</v>
      </c>
      <c r="P8" s="84">
        <f t="shared" si="4"/>
        <v>0.10745230607646093</v>
      </c>
      <c r="Q8" s="8">
        <v>0.99585616896136875</v>
      </c>
      <c r="R8" s="87">
        <v>0.18431528453623627</v>
      </c>
      <c r="T8" s="11">
        <f>M39</f>
        <v>0.29722222222222222</v>
      </c>
      <c r="U8" s="13">
        <f>AVERAGE(R36:R44)</f>
        <v>0.2096809301511294</v>
      </c>
    </row>
    <row r="9" spans="1:22" x14ac:dyDescent="0.25">
      <c r="A9" s="9">
        <v>150</v>
      </c>
      <c r="B9" s="8" t="s">
        <v>123</v>
      </c>
      <c r="C9" s="21">
        <v>2.1199998855590798</v>
      </c>
      <c r="D9" s="21">
        <v>2.1400003433227499</v>
      </c>
      <c r="E9" s="21">
        <v>2.1500000953674299</v>
      </c>
      <c r="F9" s="15">
        <v>17.487566333410498</v>
      </c>
      <c r="G9" s="10">
        <v>2193</v>
      </c>
      <c r="I9" s="65">
        <f t="shared" si="0"/>
        <v>2.1300001144409149</v>
      </c>
      <c r="K9" s="9">
        <f t="shared" si="1"/>
        <v>150</v>
      </c>
      <c r="L9" s="8">
        <v>149.62</v>
      </c>
      <c r="M9" s="8">
        <f t="shared" si="2"/>
        <v>4.4444444444444446E-2</v>
      </c>
      <c r="N9" s="8">
        <v>1.7500000000000002E-2</v>
      </c>
      <c r="O9" s="8">
        <f t="shared" si="3"/>
        <v>-2.7595748928883349E-2</v>
      </c>
      <c r="P9" s="84">
        <f t="shared" si="4"/>
        <v>-6.5414563419655125E-2</v>
      </c>
      <c r="Q9" s="8">
        <v>1.0025397674107739</v>
      </c>
      <c r="R9" s="87">
        <v>0.17939038829732967</v>
      </c>
    </row>
    <row r="10" spans="1:22" x14ac:dyDescent="0.25">
      <c r="A10" s="9">
        <v>152.5</v>
      </c>
      <c r="B10" s="8" t="s">
        <v>122</v>
      </c>
      <c r="C10" s="21">
        <v>1.0299997329711901</v>
      </c>
      <c r="D10" s="21">
        <v>1.05000019073486</v>
      </c>
      <c r="E10" s="21">
        <v>1.0099999904632599</v>
      </c>
      <c r="F10" s="15">
        <v>16.569357392038501</v>
      </c>
      <c r="G10" s="10">
        <v>2328</v>
      </c>
      <c r="I10" s="65">
        <f t="shared" si="0"/>
        <v>1.0399999618530251</v>
      </c>
      <c r="K10" s="9">
        <f t="shared" si="1"/>
        <v>152.5</v>
      </c>
      <c r="L10" s="8">
        <v>149.62</v>
      </c>
      <c r="M10" s="8">
        <f t="shared" si="2"/>
        <v>4.4444444444444446E-2</v>
      </c>
      <c r="N10" s="8">
        <v>1.7500000000000002E-2</v>
      </c>
      <c r="O10" s="8">
        <f t="shared" si="3"/>
        <v>-0.49600296565613311</v>
      </c>
      <c r="P10" s="84">
        <f t="shared" si="4"/>
        <v>-0.5315967321104772</v>
      </c>
      <c r="Q10" s="8">
        <v>1.0192487635342868</v>
      </c>
      <c r="R10" s="87">
        <v>0.16883605874973442</v>
      </c>
    </row>
    <row r="11" spans="1:22" x14ac:dyDescent="0.25">
      <c r="A11" s="9">
        <v>155</v>
      </c>
      <c r="B11" s="8" t="s">
        <v>121</v>
      </c>
      <c r="C11" s="21">
        <v>0.42000001668930098</v>
      </c>
      <c r="D11" s="21">
        <v>0.43000000715255698</v>
      </c>
      <c r="E11" s="21">
        <v>0.41999998688697798</v>
      </c>
      <c r="F11" s="15">
        <v>15.970455023547601</v>
      </c>
      <c r="G11" s="10">
        <v>948</v>
      </c>
      <c r="I11" s="65">
        <f t="shared" si="0"/>
        <v>0.42500001192092896</v>
      </c>
      <c r="K11" s="9">
        <f t="shared" si="1"/>
        <v>155</v>
      </c>
      <c r="L11" s="8">
        <v>149.62</v>
      </c>
      <c r="M11" s="8">
        <f t="shared" si="2"/>
        <v>4.4444444444444446E-2</v>
      </c>
      <c r="N11" s="8">
        <v>1.7500000000000002E-2</v>
      </c>
      <c r="O11" s="8">
        <f t="shared" si="3"/>
        <v>-0.99330451645496332</v>
      </c>
      <c r="P11" s="84">
        <f t="shared" si="4"/>
        <v>-1.027497468514764</v>
      </c>
      <c r="Q11" s="8">
        <v>1.0359577596577998</v>
      </c>
      <c r="R11" s="87">
        <v>0.16219141265087408</v>
      </c>
      <c r="V11" s="58"/>
    </row>
    <row r="12" spans="1:22" x14ac:dyDescent="0.25">
      <c r="A12" s="9">
        <v>157.5</v>
      </c>
      <c r="B12" s="8" t="s">
        <v>120</v>
      </c>
      <c r="C12" s="21">
        <v>0.139999985694885</v>
      </c>
      <c r="D12" s="21">
        <v>0.150000035762787</v>
      </c>
      <c r="E12" s="21">
        <v>0.140000000596046</v>
      </c>
      <c r="F12" s="15">
        <v>15.640592400294199</v>
      </c>
      <c r="G12" s="10">
        <v>15</v>
      </c>
      <c r="I12" s="65">
        <f t="shared" si="0"/>
        <v>0.145000010728836</v>
      </c>
      <c r="K12" s="9">
        <f t="shared" si="1"/>
        <v>157.5</v>
      </c>
      <c r="L12" s="8">
        <v>149.62</v>
      </c>
      <c r="M12" s="8">
        <f t="shared" si="2"/>
        <v>4.4444444444444446E-2</v>
      </c>
      <c r="N12" s="8">
        <v>1.7500000000000002E-2</v>
      </c>
      <c r="O12" s="8">
        <f t="shared" si="3"/>
        <v>-1.4968794346483278</v>
      </c>
      <c r="P12" s="84">
        <f t="shared" si="4"/>
        <v>-1.5302764161942768</v>
      </c>
      <c r="Q12" s="8">
        <v>1.0526667557813125</v>
      </c>
      <c r="R12" s="87">
        <v>0.15841579298971542</v>
      </c>
    </row>
    <row r="13" spans="1:22" x14ac:dyDescent="0.25">
      <c r="A13" s="9">
        <v>160</v>
      </c>
      <c r="B13" s="8" t="s">
        <v>119</v>
      </c>
      <c r="C13" s="21">
        <v>5.0000000745058101E-2</v>
      </c>
      <c r="D13" s="21">
        <v>5.9999998658895499E-2</v>
      </c>
      <c r="E13" s="21">
        <v>5.9999998658895499E-2</v>
      </c>
      <c r="F13" s="15">
        <v>16.186657616528301</v>
      </c>
      <c r="G13" s="10">
        <v>75</v>
      </c>
      <c r="I13" s="65">
        <f t="shared" si="0"/>
        <v>5.4999999701976804E-2</v>
      </c>
      <c r="K13" s="9">
        <f t="shared" si="1"/>
        <v>160</v>
      </c>
      <c r="L13" s="8">
        <v>149.62</v>
      </c>
      <c r="M13" s="8">
        <f t="shared" si="2"/>
        <v>4.4444444444444446E-2</v>
      </c>
      <c r="N13" s="8">
        <v>1.7500000000000002E-2</v>
      </c>
      <c r="O13" s="8">
        <f t="shared" si="3"/>
        <v>-1.9072460496331982</v>
      </c>
      <c r="P13" s="84">
        <f t="shared" si="4"/>
        <v>-1.9416956702493366</v>
      </c>
      <c r="Q13" s="8">
        <v>1.0693757519048255</v>
      </c>
      <c r="R13" s="87">
        <v>0.16340889851353582</v>
      </c>
    </row>
    <row r="14" spans="1:22" x14ac:dyDescent="0.25">
      <c r="A14" s="9">
        <v>162.5</v>
      </c>
      <c r="B14" s="8" t="s">
        <v>118</v>
      </c>
      <c r="C14" s="21">
        <v>1.9999999552965199E-2</v>
      </c>
      <c r="D14" s="21">
        <v>2.9999997466802601E-2</v>
      </c>
      <c r="E14" s="21">
        <v>2.9999999329447701E-2</v>
      </c>
      <c r="F14" s="15">
        <v>17.272007664512099</v>
      </c>
      <c r="G14" s="10">
        <v>5</v>
      </c>
      <c r="I14" s="65">
        <f t="shared" si="0"/>
        <v>2.4999998509883901E-2</v>
      </c>
      <c r="K14" s="9">
        <f t="shared" si="1"/>
        <v>162.5</v>
      </c>
      <c r="L14" s="8">
        <v>149.62</v>
      </c>
      <c r="M14" s="8">
        <f t="shared" si="2"/>
        <v>4.4444444444444446E-2</v>
      </c>
      <c r="N14" s="8">
        <v>1.7500000000000002E-2</v>
      </c>
      <c r="O14" s="8">
        <f t="shared" si="3"/>
        <v>-2.2157657591718332</v>
      </c>
      <c r="P14" s="84">
        <f t="shared" si="4"/>
        <v>-2.2523811521618273</v>
      </c>
      <c r="Q14" s="8">
        <v>1.0860847480283384</v>
      </c>
      <c r="R14" s="87">
        <v>0.17368205890581698</v>
      </c>
    </row>
    <row r="15" spans="1:22" x14ac:dyDescent="0.25">
      <c r="A15" s="24" t="s">
        <v>117</v>
      </c>
      <c r="B15" s="20"/>
      <c r="C15" s="22"/>
      <c r="D15" s="22"/>
      <c r="E15" s="22"/>
      <c r="F15" s="61"/>
      <c r="G15" s="25"/>
      <c r="I15" s="65"/>
      <c r="K15" s="9"/>
      <c r="L15" s="8"/>
      <c r="M15" s="8"/>
      <c r="N15" s="8"/>
      <c r="O15" s="8"/>
      <c r="P15" s="84"/>
      <c r="Q15" s="8"/>
      <c r="R15" s="89"/>
    </row>
    <row r="16" spans="1:22" x14ac:dyDescent="0.25">
      <c r="A16" s="9">
        <v>130</v>
      </c>
      <c r="B16" s="8" t="s">
        <v>116</v>
      </c>
      <c r="C16" s="21">
        <v>20.349990844726602</v>
      </c>
      <c r="D16" s="21">
        <v>20.449996948242202</v>
      </c>
      <c r="E16" s="21">
        <v>20.399999618530298</v>
      </c>
      <c r="F16" s="15">
        <v>26.9724919085611</v>
      </c>
      <c r="G16" s="10">
        <v>33</v>
      </c>
      <c r="I16" s="65">
        <f t="shared" ref="I16:I25" si="5">(C16+D16)/2</f>
        <v>20.399993896484403</v>
      </c>
      <c r="K16" s="9">
        <f t="shared" ref="K16:K25" si="6">A16</f>
        <v>130</v>
      </c>
      <c r="L16" s="8">
        <v>149.62</v>
      </c>
      <c r="M16" s="8">
        <f t="shared" ref="M16:M25" si="7">44/360</f>
        <v>0.12222222222222222</v>
      </c>
      <c r="N16" s="8">
        <v>1.7500000000000002E-2</v>
      </c>
      <c r="O16" s="8">
        <f t="shared" ref="O16:O25" si="8">(LN(L16/K16)+(N16+0.5*R16^2)*M16)/(R16*SQRT(M16))</f>
        <v>1.462612941614815</v>
      </c>
      <c r="P16" s="84">
        <f t="shared" ref="P16:P25" si="9">O16-(R16*SQRT(M16))</f>
        <v>1.3615543497135953</v>
      </c>
      <c r="Q16" s="8">
        <v>0.8688677984226707</v>
      </c>
      <c r="R16" s="87">
        <v>0.28906676009895155</v>
      </c>
    </row>
    <row r="17" spans="1:18" x14ac:dyDescent="0.25">
      <c r="A17" s="9">
        <v>135</v>
      </c>
      <c r="B17" s="8" t="s">
        <v>115</v>
      </c>
      <c r="C17" s="21">
        <v>15.6000003814697</v>
      </c>
      <c r="D17" s="21">
        <v>15.699999809265099</v>
      </c>
      <c r="E17" s="21">
        <v>15.810000419616699</v>
      </c>
      <c r="F17" s="15">
        <v>24.163090415898299</v>
      </c>
      <c r="G17" s="10">
        <v>59</v>
      </c>
      <c r="I17" s="65">
        <f t="shared" si="5"/>
        <v>15.6500000953674</v>
      </c>
      <c r="K17" s="9">
        <f t="shared" si="6"/>
        <v>135</v>
      </c>
      <c r="L17" s="8">
        <v>149.62</v>
      </c>
      <c r="M17" s="8">
        <f t="shared" si="7"/>
        <v>0.12222222222222222</v>
      </c>
      <c r="N17" s="8">
        <v>1.7500000000000002E-2</v>
      </c>
      <c r="O17" s="8">
        <f t="shared" si="8"/>
        <v>1.2226826070468861</v>
      </c>
      <c r="P17" s="84">
        <f t="shared" si="9"/>
        <v>1.1335903333151414</v>
      </c>
      <c r="Q17" s="8">
        <v>0.9022857906696965</v>
      </c>
      <c r="R17" s="87">
        <v>0.25483844998213911</v>
      </c>
    </row>
    <row r="18" spans="1:18" x14ac:dyDescent="0.25">
      <c r="A18" s="9">
        <v>140</v>
      </c>
      <c r="B18" s="8" t="s">
        <v>114</v>
      </c>
      <c r="C18" s="21">
        <v>11.050000190734901</v>
      </c>
      <c r="D18" s="21">
        <v>11.199999809265099</v>
      </c>
      <c r="E18" s="21">
        <v>11.1499996185303</v>
      </c>
      <c r="F18" s="15">
        <v>21.777513013486999</v>
      </c>
      <c r="G18" s="10">
        <v>197</v>
      </c>
      <c r="I18" s="65">
        <f t="shared" si="5"/>
        <v>11.125</v>
      </c>
      <c r="K18" s="9">
        <f t="shared" si="6"/>
        <v>140</v>
      </c>
      <c r="L18" s="8">
        <v>149.62</v>
      </c>
      <c r="M18" s="8">
        <f t="shared" si="7"/>
        <v>0.12222222222222222</v>
      </c>
      <c r="N18" s="8">
        <v>1.7500000000000002E-2</v>
      </c>
      <c r="O18" s="8">
        <f t="shared" si="8"/>
        <v>0.9101886458731302</v>
      </c>
      <c r="P18" s="84">
        <f t="shared" si="9"/>
        <v>0.83141622887015831</v>
      </c>
      <c r="Q18" s="8">
        <v>0.93570378291672229</v>
      </c>
      <c r="R18" s="87">
        <v>0.2253196580303613</v>
      </c>
    </row>
    <row r="19" spans="1:18" x14ac:dyDescent="0.25">
      <c r="A19" s="9">
        <v>145</v>
      </c>
      <c r="B19" s="8" t="s">
        <v>113</v>
      </c>
      <c r="C19" s="21">
        <v>7.0500001907348597</v>
      </c>
      <c r="D19" s="21">
        <v>7.1500005722045898</v>
      </c>
      <c r="E19" s="21">
        <v>7.0199999809265101</v>
      </c>
      <c r="F19" s="15">
        <v>19.856955104743999</v>
      </c>
      <c r="G19" s="10">
        <v>555</v>
      </c>
      <c r="I19" s="65">
        <f t="shared" si="5"/>
        <v>7.1000003814697248</v>
      </c>
      <c r="K19" s="9">
        <f t="shared" si="6"/>
        <v>145</v>
      </c>
      <c r="L19" s="8">
        <v>149.62</v>
      </c>
      <c r="M19" s="8">
        <f t="shared" si="7"/>
        <v>0.12222222222222222</v>
      </c>
      <c r="N19" s="8">
        <v>1.7500000000000002E-2</v>
      </c>
      <c r="O19" s="8">
        <f t="shared" si="8"/>
        <v>0.50591088365221593</v>
      </c>
      <c r="P19" s="84">
        <f t="shared" si="9"/>
        <v>0.43467003160169559</v>
      </c>
      <c r="Q19" s="8">
        <v>0.96912177516374809</v>
      </c>
      <c r="R19" s="87">
        <v>0.20377646176845385</v>
      </c>
    </row>
    <row r="20" spans="1:18" x14ac:dyDescent="0.25">
      <c r="A20" s="9">
        <v>150</v>
      </c>
      <c r="B20" s="8" t="s">
        <v>112</v>
      </c>
      <c r="C20" s="21">
        <v>3.75</v>
      </c>
      <c r="D20" s="21">
        <v>3.8500003814697301</v>
      </c>
      <c r="E20" s="21">
        <v>3.8499999046325701</v>
      </c>
      <c r="F20" s="15">
        <v>18.158137819436401</v>
      </c>
      <c r="G20" s="10">
        <v>2358</v>
      </c>
      <c r="I20" s="65">
        <f t="shared" si="5"/>
        <v>3.8000001907348651</v>
      </c>
      <c r="K20" s="9">
        <f t="shared" si="6"/>
        <v>150</v>
      </c>
      <c r="L20" s="8">
        <v>149.62</v>
      </c>
      <c r="M20" s="8">
        <f t="shared" si="7"/>
        <v>0.12222222222222222</v>
      </c>
      <c r="N20" s="8">
        <v>1.7500000000000002E-2</v>
      </c>
      <c r="O20" s="8">
        <f t="shared" si="8"/>
        <v>2.5880871161451203E-2</v>
      </c>
      <c r="P20" s="84">
        <f t="shared" si="9"/>
        <v>-3.8277108280165714E-2</v>
      </c>
      <c r="Q20" s="8">
        <v>1.0025397674107739</v>
      </c>
      <c r="R20" s="87">
        <v>0.18351669959750863</v>
      </c>
    </row>
    <row r="21" spans="1:18" x14ac:dyDescent="0.25">
      <c r="A21" s="9">
        <v>155</v>
      </c>
      <c r="B21" s="8" t="s">
        <v>111</v>
      </c>
      <c r="C21" s="21">
        <v>1.6099996566772501</v>
      </c>
      <c r="D21" s="21">
        <v>1.63000011444092</v>
      </c>
      <c r="E21" s="21">
        <v>1.62000000476837</v>
      </c>
      <c r="F21" s="15">
        <v>16.789609579773099</v>
      </c>
      <c r="G21" s="10">
        <v>2449</v>
      </c>
      <c r="I21" s="65">
        <f t="shared" si="5"/>
        <v>1.6199998855590851</v>
      </c>
      <c r="K21" s="9">
        <f t="shared" si="6"/>
        <v>155</v>
      </c>
      <c r="L21" s="8">
        <v>149.62</v>
      </c>
      <c r="M21" s="8">
        <f t="shared" si="7"/>
        <v>0.12222222222222222</v>
      </c>
      <c r="N21" s="8">
        <v>1.7500000000000002E-2</v>
      </c>
      <c r="O21" s="8">
        <f t="shared" si="8"/>
        <v>-0.53065373587393516</v>
      </c>
      <c r="P21" s="84">
        <f t="shared" si="9"/>
        <v>-0.58988842213520498</v>
      </c>
      <c r="Q21" s="8">
        <v>1.0359577596577998</v>
      </c>
      <c r="R21" s="87">
        <v>0.16943417200746205</v>
      </c>
    </row>
    <row r="22" spans="1:18" x14ac:dyDescent="0.25">
      <c r="A22" s="9">
        <v>160</v>
      </c>
      <c r="B22" s="8" t="s">
        <v>110</v>
      </c>
      <c r="C22" s="21">
        <v>0.52999997138977095</v>
      </c>
      <c r="D22" s="21">
        <v>0.54000002145767201</v>
      </c>
      <c r="E22" s="21">
        <v>0.54000002145767201</v>
      </c>
      <c r="F22" s="15">
        <v>15.985754529265099</v>
      </c>
      <c r="G22" s="10">
        <v>1323</v>
      </c>
      <c r="I22" s="65">
        <f t="shared" si="5"/>
        <v>0.53499999642372154</v>
      </c>
      <c r="K22" s="9">
        <f t="shared" si="6"/>
        <v>160</v>
      </c>
      <c r="L22" s="8">
        <v>149.62</v>
      </c>
      <c r="M22" s="8">
        <f t="shared" si="7"/>
        <v>0.12222222222222222</v>
      </c>
      <c r="N22" s="8">
        <v>1.7500000000000002E-2</v>
      </c>
      <c r="O22" s="8">
        <f t="shared" si="8"/>
        <v>-1.1262667544712197</v>
      </c>
      <c r="P22" s="84">
        <f t="shared" si="9"/>
        <v>-1.1825181444817212</v>
      </c>
      <c r="Q22" s="8">
        <v>1.0693757519048255</v>
      </c>
      <c r="R22" s="87">
        <v>0.16090078790422946</v>
      </c>
    </row>
    <row r="23" spans="1:18" x14ac:dyDescent="0.25">
      <c r="A23" s="9">
        <v>165</v>
      </c>
      <c r="B23" s="8" t="s">
        <v>109</v>
      </c>
      <c r="C23" s="21">
        <v>0.150000035762787</v>
      </c>
      <c r="D23" s="21">
        <v>0.16000002622604401</v>
      </c>
      <c r="E23" s="21">
        <v>0.15000000596046401</v>
      </c>
      <c r="F23" s="15">
        <v>15.916769076898101</v>
      </c>
      <c r="G23" s="10">
        <v>72</v>
      </c>
      <c r="I23" s="65">
        <f t="shared" si="5"/>
        <v>0.15500003099441551</v>
      </c>
      <c r="K23" s="9">
        <f t="shared" si="6"/>
        <v>165</v>
      </c>
      <c r="L23" s="8">
        <v>149.62</v>
      </c>
      <c r="M23" s="8">
        <f t="shared" si="7"/>
        <v>0.12222222222222222</v>
      </c>
      <c r="N23" s="8">
        <v>1.7500000000000002E-2</v>
      </c>
      <c r="O23" s="8">
        <f t="shared" si="8"/>
        <v>-1.685045722950631</v>
      </c>
      <c r="P23" s="84">
        <f t="shared" si="9"/>
        <v>-1.740917794029655</v>
      </c>
      <c r="Q23" s="8">
        <v>1.1027937441518514</v>
      </c>
      <c r="R23" s="87">
        <v>0.15981578867256008</v>
      </c>
    </row>
    <row r="24" spans="1:18" x14ac:dyDescent="0.25">
      <c r="A24" s="9">
        <v>170</v>
      </c>
      <c r="B24" s="8" t="s">
        <v>108</v>
      </c>
      <c r="C24" s="21">
        <v>5.9999998658895499E-2</v>
      </c>
      <c r="D24" s="21">
        <v>6.9999992847442599E-2</v>
      </c>
      <c r="E24" s="21">
        <v>5.9999998658895499E-2</v>
      </c>
      <c r="F24" s="15">
        <v>17.205695483891301</v>
      </c>
      <c r="G24" s="10">
        <v>24</v>
      </c>
      <c r="I24" s="65">
        <f t="shared" si="5"/>
        <v>6.4999995753169046E-2</v>
      </c>
      <c r="K24" s="9">
        <f t="shared" si="6"/>
        <v>170</v>
      </c>
      <c r="L24" s="8">
        <v>149.62</v>
      </c>
      <c r="M24" s="8">
        <f t="shared" si="7"/>
        <v>0.12222222222222222</v>
      </c>
      <c r="N24" s="8">
        <v>1.7500000000000002E-2</v>
      </c>
      <c r="O24" s="8">
        <f t="shared" si="8"/>
        <v>-2.0528990502460198</v>
      </c>
      <c r="P24" s="84">
        <f t="shared" si="9"/>
        <v>-2.1131767824617129</v>
      </c>
      <c r="Q24" s="8">
        <v>1.1362117363988771</v>
      </c>
      <c r="R24" s="87">
        <v>0.17241768789668202</v>
      </c>
    </row>
    <row r="25" spans="1:18" x14ac:dyDescent="0.25">
      <c r="A25" s="9">
        <v>175</v>
      </c>
      <c r="B25" s="8" t="s">
        <v>107</v>
      </c>
      <c r="C25" s="21">
        <v>1.9999999552965199E-2</v>
      </c>
      <c r="D25" s="21">
        <v>2.9999997466802601E-2</v>
      </c>
      <c r="E25" s="21">
        <v>2.9999999329447701E-2</v>
      </c>
      <c r="F25" s="15">
        <v>18.138451551700999</v>
      </c>
      <c r="G25" s="10">
        <v>46</v>
      </c>
      <c r="I25" s="65">
        <f t="shared" si="5"/>
        <v>2.4999998509883901E-2</v>
      </c>
      <c r="K25" s="9">
        <f t="shared" si="6"/>
        <v>175</v>
      </c>
      <c r="L25" s="8">
        <v>149.62</v>
      </c>
      <c r="M25" s="8">
        <f t="shared" si="7"/>
        <v>0.12222222222222222</v>
      </c>
      <c r="N25" s="8">
        <v>1.7500000000000002E-2</v>
      </c>
      <c r="O25" s="8">
        <f t="shared" si="8"/>
        <v>-2.4014501765651217</v>
      </c>
      <c r="P25" s="84">
        <f t="shared" si="9"/>
        <v>-2.464966455695774</v>
      </c>
      <c r="Q25" s="8">
        <v>1.169629728645903</v>
      </c>
      <c r="R25" s="87">
        <v>0.18168118787747292</v>
      </c>
    </row>
    <row r="26" spans="1:18" x14ac:dyDescent="0.25">
      <c r="A26" s="24" t="s">
        <v>106</v>
      </c>
      <c r="B26" s="20"/>
      <c r="C26" s="22"/>
      <c r="D26" s="22"/>
      <c r="E26" s="22"/>
      <c r="F26" s="61"/>
      <c r="G26" s="25"/>
      <c r="I26" s="65"/>
      <c r="K26" s="9"/>
      <c r="L26" s="8"/>
      <c r="M26" s="8"/>
      <c r="N26" s="8"/>
      <c r="O26" s="8"/>
      <c r="P26" s="84"/>
      <c r="Q26" s="8"/>
      <c r="R26" s="89"/>
    </row>
    <row r="27" spans="1:18" x14ac:dyDescent="0.25">
      <c r="A27" s="9">
        <v>135</v>
      </c>
      <c r="B27" s="8" t="s">
        <v>105</v>
      </c>
      <c r="C27" s="21">
        <v>16.649999618530298</v>
      </c>
      <c r="D27" s="21">
        <v>16.850000381469702</v>
      </c>
      <c r="E27" s="21">
        <v>16.799999237060501</v>
      </c>
      <c r="F27" s="15">
        <v>24.324002999178099</v>
      </c>
      <c r="G27" s="10">
        <v>1</v>
      </c>
      <c r="I27" s="65">
        <f t="shared" ref="I27:I34" si="10">(C27+D27)/2</f>
        <v>16.75</v>
      </c>
      <c r="K27" s="9">
        <f t="shared" ref="K27:K34" si="11">A27</f>
        <v>135</v>
      </c>
      <c r="L27" s="8">
        <v>149.62</v>
      </c>
      <c r="M27" s="8">
        <f t="shared" ref="M27:M34" si="12">79/360</f>
        <v>0.21944444444444444</v>
      </c>
      <c r="N27" s="8">
        <v>1.7500000000000002E-2</v>
      </c>
      <c r="O27" s="8">
        <f t="shared" ref="O27:O34" si="13">(LN(L27/K27)+(N27+0.5*R27^2)*M27)/(R27*SQRT(M27))</f>
        <v>0.97354194950517703</v>
      </c>
      <c r="P27" s="84">
        <f t="shared" ref="P27:P34" si="14">O27-(R27*SQRT(M27))</f>
        <v>0.85700375488041258</v>
      </c>
      <c r="Q27" s="8">
        <v>0.9022857906696965</v>
      </c>
      <c r="R27" s="87">
        <v>0.24877457363014097</v>
      </c>
    </row>
    <row r="28" spans="1:18" x14ac:dyDescent="0.25">
      <c r="A28" s="9">
        <v>140</v>
      </c>
      <c r="B28" s="8" t="s">
        <v>104</v>
      </c>
      <c r="C28" s="21">
        <v>12.6000003814697</v>
      </c>
      <c r="D28" s="21">
        <v>12.75</v>
      </c>
      <c r="E28" s="21">
        <v>12.550000190734901</v>
      </c>
      <c r="F28" s="15">
        <v>23.3068672967567</v>
      </c>
      <c r="G28" s="10">
        <v>1</v>
      </c>
      <c r="I28" s="65">
        <f t="shared" si="10"/>
        <v>12.675000190734849</v>
      </c>
      <c r="K28" s="9">
        <f t="shared" si="11"/>
        <v>140</v>
      </c>
      <c r="L28" s="8">
        <v>149.62</v>
      </c>
      <c r="M28" s="8">
        <f t="shared" si="12"/>
        <v>0.21944444444444444</v>
      </c>
      <c r="N28" s="8">
        <v>1.7500000000000002E-2</v>
      </c>
      <c r="O28" s="8">
        <f t="shared" si="13"/>
        <v>0.69332328057027282</v>
      </c>
      <c r="P28" s="84">
        <f t="shared" si="14"/>
        <v>0.58318433462779207</v>
      </c>
      <c r="Q28" s="8">
        <v>0.93570378291672229</v>
      </c>
      <c r="R28" s="87">
        <v>0.23511407058550154</v>
      </c>
    </row>
    <row r="29" spans="1:18" x14ac:dyDescent="0.25">
      <c r="A29" s="9">
        <v>145</v>
      </c>
      <c r="B29" s="8" t="s">
        <v>103</v>
      </c>
      <c r="C29" s="21">
        <v>9</v>
      </c>
      <c r="D29" s="21">
        <v>9.1000003814697301</v>
      </c>
      <c r="E29" s="21">
        <v>8.9099998474121094</v>
      </c>
      <c r="F29" s="15">
        <v>22.053012847545901</v>
      </c>
      <c r="G29" s="10">
        <v>47</v>
      </c>
      <c r="I29" s="65">
        <f t="shared" si="10"/>
        <v>9.0500001907348651</v>
      </c>
      <c r="K29" s="9">
        <f t="shared" si="11"/>
        <v>145</v>
      </c>
      <c r="L29" s="8">
        <v>149.62</v>
      </c>
      <c r="M29" s="8">
        <f t="shared" si="12"/>
        <v>0.21944444444444444</v>
      </c>
      <c r="N29" s="8">
        <v>1.7500000000000002E-2</v>
      </c>
      <c r="O29" s="8">
        <f t="shared" si="13"/>
        <v>0.3895684700226677</v>
      </c>
      <c r="P29" s="84">
        <f t="shared" si="14"/>
        <v>0.28522452424866529</v>
      </c>
      <c r="Q29" s="8">
        <v>0.96912177516374809</v>
      </c>
      <c r="R29" s="87">
        <v>0.22274345938166668</v>
      </c>
    </row>
    <row r="30" spans="1:18" x14ac:dyDescent="0.25">
      <c r="A30" s="9">
        <v>150</v>
      </c>
      <c r="B30" s="8" t="s">
        <v>102</v>
      </c>
      <c r="C30" s="21">
        <v>5.9000005722045898</v>
      </c>
      <c r="D30" s="21">
        <v>6</v>
      </c>
      <c r="E30" s="21">
        <v>5.9499998092651403</v>
      </c>
      <c r="F30" s="15">
        <v>21.093207537546899</v>
      </c>
      <c r="G30" s="10">
        <v>308</v>
      </c>
      <c r="I30" s="65">
        <f t="shared" si="10"/>
        <v>5.9500002861022949</v>
      </c>
      <c r="K30" s="9">
        <f t="shared" si="11"/>
        <v>150</v>
      </c>
      <c r="L30" s="8">
        <v>149.62</v>
      </c>
      <c r="M30" s="8">
        <f t="shared" si="12"/>
        <v>0.21944444444444444</v>
      </c>
      <c r="N30" s="8">
        <v>1.7500000000000002E-2</v>
      </c>
      <c r="O30" s="8">
        <f t="shared" si="13"/>
        <v>6.2354895869141662E-2</v>
      </c>
      <c r="P30" s="84">
        <f t="shared" si="14"/>
        <v>-3.5786488893011163E-2</v>
      </c>
      <c r="Q30" s="8">
        <v>1.0025397674107739</v>
      </c>
      <c r="R30" s="87">
        <v>0.2095028263333672</v>
      </c>
    </row>
    <row r="31" spans="1:18" x14ac:dyDescent="0.25">
      <c r="A31" s="9">
        <v>155</v>
      </c>
      <c r="B31" s="8" t="s">
        <v>101</v>
      </c>
      <c r="C31" s="21">
        <v>3.5500001907348602</v>
      </c>
      <c r="D31" s="21">
        <v>3.6500005722045898</v>
      </c>
      <c r="E31" s="21">
        <v>3.5499999523162802</v>
      </c>
      <c r="F31" s="15">
        <v>20.110731784351401</v>
      </c>
      <c r="G31" s="10">
        <v>564</v>
      </c>
      <c r="I31" s="65">
        <f t="shared" si="10"/>
        <v>3.6000003814697248</v>
      </c>
      <c r="K31" s="9">
        <f t="shared" si="11"/>
        <v>155</v>
      </c>
      <c r="L31" s="8">
        <v>149.62</v>
      </c>
      <c r="M31" s="8">
        <f t="shared" si="12"/>
        <v>0.21944444444444444</v>
      </c>
      <c r="N31" s="8">
        <v>1.7500000000000002E-2</v>
      </c>
      <c r="O31" s="8">
        <f t="shared" si="13"/>
        <v>-0.28952102259292617</v>
      </c>
      <c r="P31" s="84">
        <f t="shared" si="14"/>
        <v>-0.3831378445385859</v>
      </c>
      <c r="Q31" s="8">
        <v>1.0359577596577998</v>
      </c>
      <c r="R31" s="87">
        <v>0.19984422308178845</v>
      </c>
    </row>
    <row r="32" spans="1:18" x14ac:dyDescent="0.25">
      <c r="A32" s="9">
        <v>160</v>
      </c>
      <c r="B32" s="8" t="s">
        <v>100</v>
      </c>
      <c r="C32" s="21">
        <v>1.9300003051757799</v>
      </c>
      <c r="D32" s="21">
        <v>1.9800004959106401</v>
      </c>
      <c r="E32" s="21">
        <v>1.95000004768372</v>
      </c>
      <c r="F32" s="15">
        <v>19.273214285114499</v>
      </c>
      <c r="G32" s="10">
        <v>357</v>
      </c>
      <c r="I32" s="65">
        <f t="shared" si="10"/>
        <v>1.95500040054321</v>
      </c>
      <c r="K32" s="9">
        <f t="shared" si="11"/>
        <v>160</v>
      </c>
      <c r="L32" s="8">
        <v>149.62</v>
      </c>
      <c r="M32" s="8">
        <f t="shared" si="12"/>
        <v>0.21944444444444444</v>
      </c>
      <c r="N32" s="8">
        <v>1.7500000000000002E-2</v>
      </c>
      <c r="O32" s="8">
        <f t="shared" si="13"/>
        <v>-0.66123921225081561</v>
      </c>
      <c r="P32" s="84">
        <f t="shared" si="14"/>
        <v>-0.75080415411854229</v>
      </c>
      <c r="Q32" s="8">
        <v>1.0693757519048255</v>
      </c>
      <c r="R32" s="87">
        <v>0.19119465765790422</v>
      </c>
    </row>
    <row r="33" spans="1:18" x14ac:dyDescent="0.25">
      <c r="A33" s="9">
        <v>165</v>
      </c>
      <c r="B33" s="8" t="s">
        <v>99</v>
      </c>
      <c r="C33" s="21">
        <v>0.94999998807907104</v>
      </c>
      <c r="D33" s="21">
        <v>0.99000000953674305</v>
      </c>
      <c r="E33" s="21">
        <v>0.93999999761581399</v>
      </c>
      <c r="F33" s="15">
        <v>18.706450976457699</v>
      </c>
      <c r="G33" s="10">
        <v>547</v>
      </c>
      <c r="I33" s="65">
        <f t="shared" si="10"/>
        <v>0.9699999988079071</v>
      </c>
      <c r="K33" s="9">
        <f t="shared" si="11"/>
        <v>165</v>
      </c>
      <c r="L33" s="8">
        <v>149.62</v>
      </c>
      <c r="M33" s="8">
        <f t="shared" si="12"/>
        <v>0.21944444444444444</v>
      </c>
      <c r="N33" s="8">
        <v>1.7500000000000002E-2</v>
      </c>
      <c r="O33" s="8">
        <f t="shared" si="13"/>
        <v>-1.037802387944647</v>
      </c>
      <c r="P33" s="84">
        <f t="shared" si="14"/>
        <v>-1.124742946535207</v>
      </c>
      <c r="Q33" s="8">
        <v>1.1027937441518514</v>
      </c>
      <c r="R33" s="87">
        <v>0.18559237565137934</v>
      </c>
    </row>
    <row r="34" spans="1:18" x14ac:dyDescent="0.25">
      <c r="A34" s="9">
        <v>170</v>
      </c>
      <c r="B34" s="8" t="s">
        <v>98</v>
      </c>
      <c r="C34" s="21">
        <v>0.44999998807907099</v>
      </c>
      <c r="D34" s="21">
        <v>0.47000002861022899</v>
      </c>
      <c r="E34" s="21">
        <v>0.46999999880790699</v>
      </c>
      <c r="F34" s="15">
        <v>18.509691568868199</v>
      </c>
      <c r="G34" s="10">
        <v>5</v>
      </c>
      <c r="I34" s="65">
        <f t="shared" si="10"/>
        <v>0.46000000834464999</v>
      </c>
      <c r="K34" s="9">
        <f t="shared" si="11"/>
        <v>170</v>
      </c>
      <c r="L34" s="8">
        <v>149.62</v>
      </c>
      <c r="M34" s="8">
        <f t="shared" si="12"/>
        <v>0.21944444444444444</v>
      </c>
      <c r="N34" s="8">
        <v>1.7500000000000002E-2</v>
      </c>
      <c r="O34" s="8">
        <f t="shared" si="13"/>
        <v>-1.3957160878484307</v>
      </c>
      <c r="P34" s="84">
        <f t="shared" si="14"/>
        <v>-1.481803706141734</v>
      </c>
      <c r="Q34" s="8">
        <v>1.1362117363988771</v>
      </c>
      <c r="R34" s="87">
        <v>0.18377160041571342</v>
      </c>
    </row>
    <row r="35" spans="1:18" x14ac:dyDescent="0.25">
      <c r="A35" s="24" t="s">
        <v>97</v>
      </c>
      <c r="B35" s="20"/>
      <c r="C35" s="22"/>
      <c r="D35" s="22"/>
      <c r="E35" s="22"/>
      <c r="F35" s="61"/>
      <c r="G35" s="25"/>
      <c r="I35" s="65"/>
      <c r="K35" s="9"/>
      <c r="L35" s="8"/>
      <c r="M35" s="8"/>
      <c r="N35" s="8"/>
      <c r="O35" s="8"/>
      <c r="P35" s="84"/>
      <c r="Q35" s="8"/>
      <c r="R35" s="89"/>
    </row>
    <row r="36" spans="1:18" x14ac:dyDescent="0.25">
      <c r="A36" s="9">
        <v>130</v>
      </c>
      <c r="B36" s="8" t="s">
        <v>96</v>
      </c>
      <c r="C36" s="21">
        <v>21.550003051757798</v>
      </c>
      <c r="D36" s="21">
        <v>21.699996948242202</v>
      </c>
      <c r="E36" s="21">
        <v>21.549999237060501</v>
      </c>
      <c r="F36" s="15">
        <v>25.382703742297501</v>
      </c>
      <c r="G36" s="10">
        <v>2</v>
      </c>
      <c r="I36" s="65">
        <f t="shared" ref="I36:I44" si="15">(C36+D36)/2</f>
        <v>21.625</v>
      </c>
      <c r="K36" s="9">
        <f t="shared" ref="K36:K44" si="16">A36</f>
        <v>130</v>
      </c>
      <c r="L36" s="8">
        <v>149.62</v>
      </c>
      <c r="M36" s="8">
        <f t="shared" ref="M36:M44" si="17">107/360</f>
        <v>0.29722222222222222</v>
      </c>
      <c r="N36" s="8">
        <v>1.7500000000000002E-2</v>
      </c>
      <c r="O36" s="8">
        <f t="shared" ref="O36:O44" si="18">(LN(L36/K36)+(N36+0.5*R36^2)*M36)/(R36*SQRT(M36))</f>
        <v>1.1493095800563438</v>
      </c>
      <c r="P36" s="84">
        <f t="shared" ref="P36:P44" si="19">O36-(R36*SQRT(M36))</f>
        <v>1.0145842207792108</v>
      </c>
      <c r="Q36" s="8">
        <v>0.8688677984226707</v>
      </c>
      <c r="R36" s="87">
        <v>0.2471204646957966</v>
      </c>
    </row>
    <row r="37" spans="1:18" x14ac:dyDescent="0.25">
      <c r="A37" s="9">
        <v>135</v>
      </c>
      <c r="B37" s="8" t="s">
        <v>95</v>
      </c>
      <c r="C37" s="21">
        <v>17.25</v>
      </c>
      <c r="D37" s="21">
        <v>17.449996948242202</v>
      </c>
      <c r="E37" s="21">
        <v>17.149999618530298</v>
      </c>
      <c r="F37" s="15">
        <v>24.206154584136499</v>
      </c>
      <c r="G37" s="10">
        <v>5</v>
      </c>
      <c r="I37" s="65">
        <f t="shared" si="15"/>
        <v>17.349998474121101</v>
      </c>
      <c r="K37" s="9">
        <f t="shared" si="16"/>
        <v>135</v>
      </c>
      <c r="L37" s="8">
        <v>149.62</v>
      </c>
      <c r="M37" s="8">
        <f t="shared" si="17"/>
        <v>0.29722222222222222</v>
      </c>
      <c r="N37" s="8">
        <v>1.7500000000000002E-2</v>
      </c>
      <c r="O37" s="8">
        <f t="shared" si="18"/>
        <v>0.90565252243158423</v>
      </c>
      <c r="P37" s="84">
        <f t="shared" si="19"/>
        <v>0.77727458314115383</v>
      </c>
      <c r="Q37" s="8">
        <v>0.9022857906696965</v>
      </c>
      <c r="R37" s="87">
        <v>0.23547768723244833</v>
      </c>
    </row>
    <row r="38" spans="1:18" x14ac:dyDescent="0.25">
      <c r="A38" s="9">
        <v>140</v>
      </c>
      <c r="B38" s="8" t="s">
        <v>94</v>
      </c>
      <c r="C38" s="21">
        <v>13.300000190734901</v>
      </c>
      <c r="D38" s="21">
        <v>13.5</v>
      </c>
      <c r="E38" s="21">
        <v>13.2700004577637</v>
      </c>
      <c r="F38" s="15">
        <v>23.005879547408298</v>
      </c>
      <c r="G38" s="10">
        <v>4</v>
      </c>
      <c r="I38" s="65">
        <f t="shared" si="15"/>
        <v>13.400000095367449</v>
      </c>
      <c r="K38" s="9">
        <f t="shared" si="16"/>
        <v>140</v>
      </c>
      <c r="L38" s="8">
        <v>149.62</v>
      </c>
      <c r="M38" s="8">
        <f t="shared" si="17"/>
        <v>0.29722222222222222</v>
      </c>
      <c r="N38" s="8">
        <v>1.7500000000000002E-2</v>
      </c>
      <c r="O38" s="8">
        <f t="shared" si="18"/>
        <v>0.64617120255762661</v>
      </c>
      <c r="P38" s="84">
        <f t="shared" si="19"/>
        <v>0.52366191151074026</v>
      </c>
      <c r="Q38" s="8">
        <v>0.93570378291672229</v>
      </c>
      <c r="R38" s="87">
        <v>0.22471309852500571</v>
      </c>
    </row>
    <row r="39" spans="1:18" x14ac:dyDescent="0.25">
      <c r="A39" s="9">
        <v>145</v>
      </c>
      <c r="B39" s="8" t="s">
        <v>93</v>
      </c>
      <c r="C39" s="21">
        <v>9.8500003814697301</v>
      </c>
      <c r="D39" s="21">
        <v>9.8999996185302699</v>
      </c>
      <c r="E39" s="21">
        <v>9.8299999237060494</v>
      </c>
      <c r="F39" s="15">
        <v>22.122683959322099</v>
      </c>
      <c r="G39" s="10">
        <v>128</v>
      </c>
      <c r="I39" s="65">
        <f t="shared" si="15"/>
        <v>9.875</v>
      </c>
      <c r="K39" s="9">
        <f t="shared" si="16"/>
        <v>145</v>
      </c>
      <c r="L39" s="8">
        <v>149.62</v>
      </c>
      <c r="M39" s="8">
        <f t="shared" si="17"/>
        <v>0.29722222222222222</v>
      </c>
      <c r="N39" s="8">
        <v>1.7500000000000002E-2</v>
      </c>
      <c r="O39" s="8">
        <f t="shared" si="18"/>
        <v>0.37091673602227548</v>
      </c>
      <c r="P39" s="84">
        <f t="shared" si="19"/>
        <v>0.25386303243338026</v>
      </c>
      <c r="Q39" s="8">
        <v>0.96912177516374809</v>
      </c>
      <c r="R39" s="87">
        <v>0.21470616801807654</v>
      </c>
    </row>
    <row r="40" spans="1:18" x14ac:dyDescent="0.25">
      <c r="A40" s="9">
        <v>150</v>
      </c>
      <c r="B40" s="8" t="s">
        <v>92</v>
      </c>
      <c r="C40" s="21">
        <v>6.8500003814697301</v>
      </c>
      <c r="D40" s="21">
        <v>6.9499998092651403</v>
      </c>
      <c r="E40" s="21">
        <v>6.9499998092651403</v>
      </c>
      <c r="F40" s="15">
        <v>21.1658985094735</v>
      </c>
      <c r="G40" s="10">
        <v>985</v>
      </c>
      <c r="I40" s="65">
        <f t="shared" si="15"/>
        <v>6.9000000953674352</v>
      </c>
      <c r="K40" s="9">
        <f t="shared" si="16"/>
        <v>150</v>
      </c>
      <c r="L40" s="8">
        <v>149.62</v>
      </c>
      <c r="M40" s="8">
        <f t="shared" si="17"/>
        <v>0.29722222222222222</v>
      </c>
      <c r="N40" s="8">
        <v>1.7500000000000002E-2</v>
      </c>
      <c r="O40" s="8">
        <f t="shared" si="18"/>
        <v>7.9919997011671698E-2</v>
      </c>
      <c r="P40" s="84">
        <f t="shared" si="19"/>
        <v>-3.2519585614849147E-2</v>
      </c>
      <c r="Q40" s="8">
        <v>1.0025397674107739</v>
      </c>
      <c r="R40" s="87">
        <v>0.2062427003939965</v>
      </c>
    </row>
    <row r="41" spans="1:18" x14ac:dyDescent="0.25">
      <c r="A41" s="9">
        <v>155</v>
      </c>
      <c r="B41" s="8" t="s">
        <v>91</v>
      </c>
      <c r="C41" s="21">
        <v>4.5</v>
      </c>
      <c r="D41" s="21">
        <v>4.5500001907348597</v>
      </c>
      <c r="E41" s="21">
        <v>4.5199999809265101</v>
      </c>
      <c r="F41" s="15">
        <v>20.305516535063301</v>
      </c>
      <c r="G41" s="10">
        <v>34</v>
      </c>
      <c r="I41" s="65">
        <f t="shared" si="15"/>
        <v>4.5250000953674299</v>
      </c>
      <c r="K41" s="9">
        <f t="shared" si="16"/>
        <v>155</v>
      </c>
      <c r="L41" s="8">
        <v>149.62</v>
      </c>
      <c r="M41" s="8">
        <f t="shared" si="17"/>
        <v>0.29722222222222222</v>
      </c>
      <c r="N41" s="8">
        <v>1.7500000000000002E-2</v>
      </c>
      <c r="O41" s="8">
        <f t="shared" si="18"/>
        <v>-0.22394966794836091</v>
      </c>
      <c r="P41" s="84">
        <f t="shared" si="19"/>
        <v>-0.33227009637699689</v>
      </c>
      <c r="Q41" s="8">
        <v>1.0359577596577998</v>
      </c>
      <c r="R41" s="87">
        <v>0.19868712730073021</v>
      </c>
    </row>
    <row r="42" spans="1:18" x14ac:dyDescent="0.25">
      <c r="A42" s="9">
        <v>160</v>
      </c>
      <c r="B42" s="8" t="s">
        <v>90</v>
      </c>
      <c r="C42" s="21">
        <v>2.7399997711181601</v>
      </c>
      <c r="D42" s="21">
        <v>2.7600002288818399</v>
      </c>
      <c r="E42" s="21">
        <v>2.75</v>
      </c>
      <c r="F42" s="15">
        <v>19.574472355765</v>
      </c>
      <c r="G42" s="10">
        <v>133</v>
      </c>
      <c r="I42" s="65">
        <f t="shared" si="15"/>
        <v>2.75</v>
      </c>
      <c r="K42" s="9">
        <f t="shared" si="16"/>
        <v>160</v>
      </c>
      <c r="L42" s="8">
        <v>149.62</v>
      </c>
      <c r="M42" s="8">
        <f t="shared" si="17"/>
        <v>0.29722222222222222</v>
      </c>
      <c r="N42" s="8">
        <v>1.7500000000000002E-2</v>
      </c>
      <c r="O42" s="8">
        <f t="shared" si="18"/>
        <v>-0.54022757024751578</v>
      </c>
      <c r="P42" s="84">
        <f t="shared" si="19"/>
        <v>-0.64466517468907303</v>
      </c>
      <c r="Q42" s="8">
        <v>1.0693757519048255</v>
      </c>
      <c r="R42" s="87">
        <v>0.19156504372888283</v>
      </c>
    </row>
    <row r="43" spans="1:18" x14ac:dyDescent="0.25">
      <c r="A43" s="9">
        <v>165</v>
      </c>
      <c r="B43" s="8" t="s">
        <v>89</v>
      </c>
      <c r="C43" s="21">
        <v>1.55000019073486</v>
      </c>
      <c r="D43" s="21">
        <v>1.5699996948242201</v>
      </c>
      <c r="E43" s="21">
        <v>1.5700000524520901</v>
      </c>
      <c r="F43" s="15">
        <v>18.975642693113901</v>
      </c>
      <c r="G43" s="10">
        <v>52</v>
      </c>
      <c r="I43" s="65">
        <f t="shared" si="15"/>
        <v>1.5599999427795401</v>
      </c>
      <c r="K43" s="9">
        <f t="shared" si="16"/>
        <v>165</v>
      </c>
      <c r="L43" s="8">
        <v>149.62</v>
      </c>
      <c r="M43" s="8">
        <f t="shared" si="17"/>
        <v>0.29722222222222222</v>
      </c>
      <c r="N43" s="8">
        <v>1.7500000000000002E-2</v>
      </c>
      <c r="O43" s="8">
        <f t="shared" si="18"/>
        <v>-0.86173541859186142</v>
      </c>
      <c r="P43" s="84">
        <f t="shared" si="19"/>
        <v>-0.96326455804755751</v>
      </c>
      <c r="Q43" s="8">
        <v>1.1027937441518514</v>
      </c>
      <c r="R43" s="87">
        <v>0.18623018158627028</v>
      </c>
    </row>
    <row r="44" spans="1:18" ht="15.75" thickBot="1" x14ac:dyDescent="0.3">
      <c r="A44" s="11">
        <v>170</v>
      </c>
      <c r="B44" s="12" t="s">
        <v>88</v>
      </c>
      <c r="C44" s="26">
        <v>0.81999999284744296</v>
      </c>
      <c r="D44" s="26">
        <v>0.83999997377395597</v>
      </c>
      <c r="E44" s="26">
        <v>0.87000000476837203</v>
      </c>
      <c r="F44" s="41">
        <v>18.5362438072939</v>
      </c>
      <c r="G44" s="13">
        <v>59</v>
      </c>
      <c r="I44" s="66">
        <f t="shared" si="15"/>
        <v>0.82999998331069946</v>
      </c>
      <c r="K44" s="11">
        <f t="shared" si="16"/>
        <v>170</v>
      </c>
      <c r="L44" s="12">
        <v>149.62</v>
      </c>
      <c r="M44" s="12">
        <f t="shared" si="17"/>
        <v>0.29722222222222222</v>
      </c>
      <c r="N44" s="12">
        <v>1.7500000000000002E-2</v>
      </c>
      <c r="O44" s="12">
        <f t="shared" si="18"/>
        <v>-1.182247775446186</v>
      </c>
      <c r="P44" s="85">
        <f t="shared" si="19"/>
        <v>-1.2816810859108765</v>
      </c>
      <c r="Q44" s="12">
        <v>1.1362117363988771</v>
      </c>
      <c r="R44" s="88">
        <v>0.18238589987895737</v>
      </c>
    </row>
  </sheetData>
  <mergeCells count="2">
    <mergeCell ref="T3:U3"/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1C84-1646-439D-BEE8-D7B324B6BCEC}">
  <dimension ref="A1:Q28"/>
  <sheetViews>
    <sheetView tabSelected="1"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7" x14ac:dyDescent="0.25">
      <c r="A1" s="1" t="s">
        <v>134</v>
      </c>
      <c r="B1" s="1" t="s">
        <v>81</v>
      </c>
      <c r="C1" s="1" t="s">
        <v>74</v>
      </c>
      <c r="P1" s="1" t="s">
        <v>81</v>
      </c>
      <c r="Q1" s="1" t="s">
        <v>129</v>
      </c>
    </row>
    <row r="3" spans="1:17" x14ac:dyDescent="0.25">
      <c r="A3" s="1" t="s">
        <v>133</v>
      </c>
      <c r="B3" s="1">
        <v>0.97580537361315334</v>
      </c>
      <c r="C3" s="1">
        <v>0.20381426546974138</v>
      </c>
      <c r="O3" s="1" t="s">
        <v>132</v>
      </c>
      <c r="P3" s="1">
        <v>0.9022857906696965</v>
      </c>
      <c r="Q3" s="1">
        <v>0.24877457363014097</v>
      </c>
    </row>
    <row r="4" spans="1:17" x14ac:dyDescent="0.25">
      <c r="B4" s="1">
        <v>0.98248897206255847</v>
      </c>
      <c r="C4" s="1">
        <v>0.19598876496967357</v>
      </c>
      <c r="P4" s="1">
        <v>0.93570378291672229</v>
      </c>
      <c r="Q4" s="1">
        <v>0.23511407058550154</v>
      </c>
    </row>
    <row r="5" spans="1:17" x14ac:dyDescent="0.25">
      <c r="B5" s="1">
        <v>0.98917257051196361</v>
      </c>
      <c r="C5" s="1">
        <v>0.19051251540342856</v>
      </c>
      <c r="P5" s="1">
        <v>0.96912177516374809</v>
      </c>
      <c r="Q5" s="1">
        <v>0.22274345938166668</v>
      </c>
    </row>
    <row r="6" spans="1:17" x14ac:dyDescent="0.25">
      <c r="B6" s="1">
        <v>0.99585616896136875</v>
      </c>
      <c r="C6" s="1">
        <v>0.18431528453623627</v>
      </c>
      <c r="P6" s="1">
        <v>1.0025397674107739</v>
      </c>
      <c r="Q6" s="1">
        <v>0.2095028263333672</v>
      </c>
    </row>
    <row r="7" spans="1:17" x14ac:dyDescent="0.25">
      <c r="B7" s="1">
        <v>1.0025397674107739</v>
      </c>
      <c r="C7" s="1">
        <v>0.17939038829732967</v>
      </c>
      <c r="P7" s="1">
        <v>1.0359577596577998</v>
      </c>
      <c r="Q7" s="1">
        <v>0.19984422308178845</v>
      </c>
    </row>
    <row r="8" spans="1:17" x14ac:dyDescent="0.25">
      <c r="B8" s="1">
        <v>1.0192487635342868</v>
      </c>
      <c r="C8" s="1">
        <v>0.16883605874973442</v>
      </c>
      <c r="P8" s="1">
        <v>1.0693757519048255</v>
      </c>
      <c r="Q8" s="1">
        <v>0.19119465765790422</v>
      </c>
    </row>
    <row r="9" spans="1:17" x14ac:dyDescent="0.25">
      <c r="B9" s="1">
        <v>1.0359577596577998</v>
      </c>
      <c r="C9" s="1">
        <v>0.16219141265087408</v>
      </c>
      <c r="P9" s="1">
        <v>1.1027937441518514</v>
      </c>
      <c r="Q9" s="1">
        <v>0.18559237565137934</v>
      </c>
    </row>
    <row r="10" spans="1:17" x14ac:dyDescent="0.25">
      <c r="B10" s="1">
        <v>1.0526667557813125</v>
      </c>
      <c r="C10" s="1">
        <v>0.15841579298971542</v>
      </c>
      <c r="P10" s="1">
        <v>1.1362117363988771</v>
      </c>
      <c r="Q10" s="1">
        <v>0.18377160041571342</v>
      </c>
    </row>
    <row r="11" spans="1:17" x14ac:dyDescent="0.25">
      <c r="B11" s="1">
        <v>1.0693757519048255</v>
      </c>
      <c r="C11" s="1">
        <v>0.16340889851353582</v>
      </c>
    </row>
    <row r="12" spans="1:17" x14ac:dyDescent="0.25">
      <c r="B12" s="1">
        <v>1.0860847480283384</v>
      </c>
      <c r="C12" s="1">
        <v>0.17368205890581698</v>
      </c>
    </row>
    <row r="18" spans="1:17" x14ac:dyDescent="0.25">
      <c r="A18" s="1" t="s">
        <v>131</v>
      </c>
      <c r="B18" s="1" t="s">
        <v>81</v>
      </c>
      <c r="C18" s="1" t="s">
        <v>74</v>
      </c>
      <c r="O18" s="1" t="s">
        <v>130</v>
      </c>
      <c r="P18" s="1" t="s">
        <v>81</v>
      </c>
      <c r="Q18" s="1" t="s">
        <v>129</v>
      </c>
    </row>
    <row r="19" spans="1:17" x14ac:dyDescent="0.25">
      <c r="B19" s="1">
        <v>0.86886779842267103</v>
      </c>
      <c r="C19" s="1">
        <v>0.28906676009895155</v>
      </c>
      <c r="P19" s="1">
        <v>0.8688677984226707</v>
      </c>
      <c r="Q19" s="1">
        <v>0.2471204646957966</v>
      </c>
    </row>
    <row r="20" spans="1:17" x14ac:dyDescent="0.25">
      <c r="B20" s="1">
        <v>0.9022857906696965</v>
      </c>
      <c r="C20" s="1">
        <v>0.25483844998213911</v>
      </c>
      <c r="P20" s="1">
        <v>0.9022857906696965</v>
      </c>
      <c r="Q20" s="1">
        <v>0.23547768723244833</v>
      </c>
    </row>
    <row r="21" spans="1:17" x14ac:dyDescent="0.25">
      <c r="B21" s="1">
        <v>0.93570378291672229</v>
      </c>
      <c r="C21" s="1">
        <v>0.2253196580303613</v>
      </c>
      <c r="P21" s="1">
        <v>0.93570378291672229</v>
      </c>
      <c r="Q21" s="1">
        <v>0.22471309852500571</v>
      </c>
    </row>
    <row r="22" spans="1:17" x14ac:dyDescent="0.25">
      <c r="B22" s="1">
        <v>0.96912177516374809</v>
      </c>
      <c r="C22" s="1">
        <v>0.20377646176845385</v>
      </c>
      <c r="P22" s="1">
        <v>0.96912177516374809</v>
      </c>
      <c r="Q22" s="1">
        <v>0.21470616801807654</v>
      </c>
    </row>
    <row r="23" spans="1:17" x14ac:dyDescent="0.25">
      <c r="B23" s="1">
        <v>1.0025397674107739</v>
      </c>
      <c r="C23" s="1">
        <v>0.18351669959750863</v>
      </c>
      <c r="P23" s="1">
        <v>1.0025397674107739</v>
      </c>
      <c r="Q23" s="1">
        <v>0.2062427003939965</v>
      </c>
    </row>
    <row r="24" spans="1:17" x14ac:dyDescent="0.25">
      <c r="B24" s="1">
        <v>1.0359577596577998</v>
      </c>
      <c r="C24" s="1">
        <v>0.16943417200746205</v>
      </c>
      <c r="P24" s="1">
        <v>1.0359577596577998</v>
      </c>
      <c r="Q24" s="1">
        <v>0.19868712730073021</v>
      </c>
    </row>
    <row r="25" spans="1:17" x14ac:dyDescent="0.25">
      <c r="B25" s="1">
        <v>1.0693757519048255</v>
      </c>
      <c r="C25" s="1">
        <v>0.16090078790422946</v>
      </c>
      <c r="P25" s="1">
        <v>1.0693757519048255</v>
      </c>
      <c r="Q25" s="1">
        <v>0.19156504372888283</v>
      </c>
    </row>
    <row r="26" spans="1:17" x14ac:dyDescent="0.25">
      <c r="B26" s="1">
        <v>1.1027937441518514</v>
      </c>
      <c r="C26" s="1">
        <v>0.15981578867256008</v>
      </c>
      <c r="P26" s="1">
        <v>1.1027937441518514</v>
      </c>
      <c r="Q26" s="1">
        <v>0.18623018158627028</v>
      </c>
    </row>
    <row r="27" spans="1:17" x14ac:dyDescent="0.25">
      <c r="B27" s="1">
        <v>1.1362117363988771</v>
      </c>
      <c r="C27" s="1">
        <v>0.17241768789668202</v>
      </c>
      <c r="P27" s="1">
        <v>1.1362117363988771</v>
      </c>
      <c r="Q27" s="1">
        <v>0.18238589987895737</v>
      </c>
    </row>
    <row r="28" spans="1:17" x14ac:dyDescent="0.25">
      <c r="B28" s="1">
        <v>1.169629728645903</v>
      </c>
      <c r="C28" s="1">
        <v>0.18168118787747292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q y E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q r I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y E T y i K R 7 g O A A A A E Q A A A B M A H A B G b 3 J t d W x h c y 9 T Z W N 0 a W 9 u M S 5 t I K I Y A C i g F A A A A A A A A A A A A A A A A A A A A A A A A A A A A C t O T S 7 J z M 9 T C I b Q h t Y A U E s B A i 0 A F A A C A A g A 6 q y E T 8 D N o C q m A A A A + A A A A B I A A A A A A A A A A A A A A A A A A A A A A E N v b m Z p Z y 9 Q Y W N r Y W d l L n h t b F B L A Q I t A B Q A A g A I A O q s h E 8 P y u m r p A A A A O k A A A A T A A A A A A A A A A A A A A A A A P I A A A B b Q 2 9 u d G V u d F 9 U e X B l c 1 0 u e G 1 s U E s B A i 0 A F A A C A A g A 6 q y E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W T i a x d H B F D h c 1 J m s D V Q E E A A A A A A g A A A A A A E G Y A A A A B A A A g A A A A Q E Y g w 6 c R J w M p o c p N G g w S H S 8 R L N N 9 b 3 W V A + w N 2 A v r R F g A A A A A D o A A A A A C A A A g A A A A Q K d Z j D N i P 5 5 q V 2 6 A O Y 3 3 S d H r z h n 2 S P j I L 2 L b 9 I k h N 5 Z Q A A A A E j + R A S k a o r P W E 7 s T n V y r d B y Y k K X q X D T Y M Z a F n H r m J O G K J L C k M r 9 v 3 V L n y i 9 t 2 a S q m y + S f R d 5 B d X j Q H 6 1 O q R 3 q N y H r M j G A j / i D Z e 3 f k Y f 6 u 9 A A A A A M N K T m 2 Q q 9 4 m Y W q s J e K b 8 2 Z f 9 H w r j 7 4 9 u B U Q J D i H N U k / D 0 Y K c F V R h F 7 u n n D V c / 8 D 7 T E s H p G 8 t 8 + 8 X G H M b C v P N E Q = = < / D a t a M a s h u p > 
</file>

<file path=customXml/itemProps1.xml><?xml version="1.0" encoding="utf-8"?>
<ds:datastoreItem xmlns:ds="http://schemas.openxmlformats.org/officeDocument/2006/customXml" ds:itemID="{AB474405-EE18-478B-B60B-184052992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Apple</vt:lpstr>
      <vt:lpstr>Difference</vt:lpstr>
      <vt:lpstr>Arbitrage</vt:lpstr>
      <vt:lpstr>MSFT</vt:lpstr>
      <vt:lpstr>Msft Volatility smile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Tharun</cp:lastModifiedBy>
  <dcterms:created xsi:type="dcterms:W3CDTF">2013-04-03T15:49:21Z</dcterms:created>
  <dcterms:modified xsi:type="dcterms:W3CDTF">2019-12-12T15:27:04Z</dcterms:modified>
</cp:coreProperties>
</file>