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Weekly" sheetId="2" r:id="rId5"/>
    <sheet state="visible" name="Monthly" sheetId="3" r:id="rId6"/>
    <sheet state="visible" name="Top Trendlines" sheetId="4" r:id="rId7"/>
    <sheet state="visible" name="Pivot Table 1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<sst xmlns="http://schemas.openxmlformats.org/spreadsheetml/2006/main" count="248" uniqueCount="71">
  <si>
    <t>Company</t>
  </si>
  <si>
    <t>Ticker</t>
  </si>
  <si>
    <t>Tesla</t>
  </si>
  <si>
    <t>TSLA</t>
  </si>
  <si>
    <t>Google</t>
  </si>
  <si>
    <t>GOOGL</t>
  </si>
  <si>
    <t>Apple</t>
  </si>
  <si>
    <t>AAPL</t>
  </si>
  <si>
    <t>Microsoft</t>
  </si>
  <si>
    <t>MSFT</t>
  </si>
  <si>
    <t>Qualtrics</t>
  </si>
  <si>
    <t>XM</t>
  </si>
  <si>
    <t>Game Stop</t>
  </si>
  <si>
    <t>GME</t>
  </si>
  <si>
    <t>AMC</t>
  </si>
  <si>
    <t>Nokia</t>
  </si>
  <si>
    <t>NOK</t>
  </si>
  <si>
    <t>TJ MAXX</t>
  </si>
  <si>
    <t>TJX</t>
  </si>
  <si>
    <t>Olive Garden</t>
  </si>
  <si>
    <t>DRI</t>
  </si>
  <si>
    <t>Disney</t>
  </si>
  <si>
    <t>DIS</t>
  </si>
  <si>
    <t>Netflix</t>
  </si>
  <si>
    <t>NFLX</t>
  </si>
  <si>
    <t>Target</t>
  </si>
  <si>
    <t>TGT</t>
  </si>
  <si>
    <t>Buy Buy Baby</t>
  </si>
  <si>
    <t>BBBY</t>
  </si>
  <si>
    <t>Nike</t>
  </si>
  <si>
    <t>NKE</t>
  </si>
  <si>
    <t>Adidas</t>
  </si>
  <si>
    <t>ADDYY</t>
  </si>
  <si>
    <t>Hyundai</t>
  </si>
  <si>
    <t>HYMTF</t>
  </si>
  <si>
    <t>Toyota</t>
  </si>
  <si>
    <t>TM</t>
  </si>
  <si>
    <t>Facebook</t>
  </si>
  <si>
    <t>FB</t>
  </si>
  <si>
    <t>Uber</t>
  </si>
  <si>
    <t>UBER</t>
  </si>
  <si>
    <t>Amazon</t>
  </si>
  <si>
    <t>AMZN</t>
  </si>
  <si>
    <t>Gamida Cell</t>
  </si>
  <si>
    <t>GMDA</t>
  </si>
  <si>
    <t>Vivint</t>
  </si>
  <si>
    <t>VVNT</t>
  </si>
  <si>
    <t>Northwestern Mutual</t>
  </si>
  <si>
    <t>NWE</t>
  </si>
  <si>
    <t>Twitter</t>
  </si>
  <si>
    <t>TWTR</t>
  </si>
  <si>
    <t>Fastly</t>
  </si>
  <si>
    <t>FSLY</t>
  </si>
  <si>
    <t>Roku</t>
  </si>
  <si>
    <t>ROKU</t>
  </si>
  <si>
    <t>EVI Industries</t>
  </si>
  <si>
    <t>EVI</t>
  </si>
  <si>
    <t>Walmart</t>
  </si>
  <si>
    <t>WMT</t>
  </si>
  <si>
    <t>HBO</t>
  </si>
  <si>
    <t>T</t>
  </si>
  <si>
    <t>New York Knicks</t>
  </si>
  <si>
    <t>MSGS</t>
  </si>
  <si>
    <t>Atlanta Braves</t>
  </si>
  <si>
    <t>BATRK</t>
  </si>
  <si>
    <t>Purple</t>
  </si>
  <si>
    <t>PRPL</t>
  </si>
  <si>
    <t>ProofPoint</t>
  </si>
  <si>
    <t>PFPT</t>
  </si>
  <si>
    <t>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</si>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</sst>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Tesla, Netflix, Microsoft Stock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Daily!$A$2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Daily!$B$1:$CE$1</c:f>
            </c:strRef>
          </c:cat>
          <c:val>
            <c:numRef>
              <c:f>Daily!$B$2:$CE$2</c:f>
              <c:numCache/>
            </c:numRef>
          </c:val>
          <c:smooth val="0"/>
        </c:ser>
        <c:ser>
          <c:idx val="1"/>
          <c:order val="1"/>
          <c:tx>
            <c:strRef>
              <c:f>Daily!$A$13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Daily!$B$1:$CE$1</c:f>
            </c:strRef>
          </c:cat>
          <c:val>
            <c:numRef>
              <c:f>Daily!$B$13:$CE$13</c:f>
              <c:numCache/>
            </c:numRef>
          </c:val>
          <c:smooth val="0"/>
        </c:ser>
        <c:ser>
          <c:idx val="2"/>
          <c:order val="2"/>
          <c:tx>
            <c:strRef>
              <c:f>Daily!$A$5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Daily!$B$1:$CE$1</c:f>
            </c:strRef>
          </c:cat>
          <c:val>
            <c:numRef>
              <c:f>Daily!$B$5:$CE$5</c:f>
              <c:numCache/>
            </c:numRef>
          </c:val>
          <c:smooth val="0"/>
        </c:ser>
        <c:axId val="612826014"/>
        <c:axId val="911472172"/>
      </c:lineChart>
      <c:catAx>
        <c:axId val="612826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1472172"/>
      </c:catAx>
      <c:valAx>
        <c:axId val="911472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82601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1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5" sheet="Weekly"/>
  </cacheSource>
  <cacheFields>
    <cacheField name="high" numFmtId="0">
      <sharedItems containsString="0" containsBlank="1">
        <m/>
      </sharedItems>
    </cacheField>
    <cacheField name="Company" numFmtId="0">
      <sharedItems>
        <s v="Tesla"/>
        <s v="Google"/>
        <s v="Apple"/>
        <s v="Microsoft"/>
        <s v="Qualtrics"/>
        <s v="Game Stop"/>
        <s v="AMC"/>
        <s v="Nokia"/>
        <s v="TJ MAXX"/>
        <s v="Olive Garden"/>
        <s v="Disney"/>
        <s v="Netflix"/>
        <s v="Target"/>
        <s v="Buy Buy Baby"/>
        <s v="Nike"/>
        <s v="Adidas"/>
        <s v="Hyundai"/>
        <s v="Toyota"/>
        <s v="Facebook"/>
        <s v="Uber"/>
        <s v="Amazon"/>
        <s v="Gamida Cell"/>
        <s v="Vivint"/>
        <s v="Northwestern Mutual"/>
        <s v="Twitter"/>
        <s v="Fastly"/>
        <s v="Roku"/>
        <s v="EVI Industries"/>
        <s v="Walmart"/>
        <s v="HBO"/>
        <s v="New York Knicks"/>
        <s v="Atlanta Braves"/>
        <s v="Purple"/>
        <s v="ProofPoint"/>
      </sharedItems>
    </cacheField>
    <cacheField name="Ticker" numFmtId="0">
      <sharedItems>
        <s v="TSLA"/>
        <s v="GOOGL"/>
        <s v="AAPL"/>
        <s v="MSFT"/>
        <s v="XM"/>
        <s v="GME"/>
        <s v="AMC"/>
        <s v="NOK"/>
        <s v="TJX"/>
        <s v="DRI"/>
        <s v="DIS"/>
        <s v="NFLX"/>
        <s v="TGT"/>
        <s v="BBBY"/>
        <s v="NKE"/>
        <s v="ADDYY"/>
        <s v="HYMTF"/>
        <s v="TM"/>
        <s v="FB"/>
        <s v="UBER"/>
        <s v="AMZN"/>
        <s v="GMDA"/>
        <s v="VVNT"/>
        <s v="NWE"/>
        <s v="TWTR"/>
        <s v="FSLY"/>
        <s v="ROKU"/>
        <s v="EVI"/>
        <s v="WMT"/>
        <s v="T"/>
        <s v="MSGS"/>
        <s v="BATRK"/>
        <s v="PRPL"/>
        <s v="PFPT"/>
      </sharedItems>
    </cacheField>
    <cacheField name="1/1/2021" numFmtId="0">
      <sharedItems containsSemiMixedTypes="0" containsString="0" containsNumber="1">
        <n v="816.99"/>
        <n v="1777.82"/>
        <n v="133.61"/>
        <n v="223.0"/>
        <n v="0.0"/>
        <n v="19.45"/>
        <n v="2.23"/>
        <n v="4.09"/>
        <n v="70.45"/>
        <n v="124.57"/>
        <n v="182.59"/>
        <n v="540.8"/>
        <n v="192.35"/>
        <n v="21.57"/>
        <n v="145.64"/>
        <n v="183.78"/>
        <n v="44.37"/>
        <n v="155.81"/>
        <n v="275.0"/>
        <n v="56.25"/>
        <n v="3272.0"/>
        <n v="9.39"/>
        <n v="22.85"/>
        <n v="59.61"/>
        <n v="55.49"/>
        <n v="87.52"/>
        <n v="379.39"/>
        <n v="34.15"/>
        <n v="148.1"/>
        <n v="30.09"/>
        <n v="188.54"/>
        <n v="26.65"/>
        <n v="36.32"/>
        <n v="136.29"/>
      </sharedItems>
    </cacheField>
    <cacheField name="1/8/2021" numFmtId="0">
      <sharedItems containsSemiMixedTypes="0" containsString="0" containsNumber="1">
        <n v="884.49"/>
        <n v="1799.36"/>
        <n v="132.63"/>
        <n v="220.58"/>
        <n v="0.0"/>
        <n v="43.06"/>
        <n v="2.39"/>
        <n v="4.25"/>
        <n v="70.96"/>
        <n v="128.44"/>
        <n v="181.26"/>
        <n v="514.5"/>
        <n v="199.96"/>
        <n v="27.74"/>
        <n v="147.1"/>
        <n v="182.74"/>
        <n v="71.0"/>
        <n v="154.21"/>
        <n v="268.95"/>
        <n v="60.03"/>
        <n v="3190.64"/>
        <n v="9.7"/>
        <n v="25.1"/>
        <n v="58.9"/>
        <n v="52.7"/>
        <n v="92.7"/>
        <n v="423.0"/>
        <n v="33.89"/>
        <n v="149.93"/>
        <n v="29.77"/>
        <n v="185.96"/>
        <n v="26.56"/>
        <n v="37.8"/>
        <n v="140.81"/>
      </sharedItems>
    </cacheField>
    <cacheField name="1/15/2021" numFmtId="0">
      <sharedItems containsSemiMixedTypes="0" containsString="0" containsNumber="1">
        <n v="859.9"/>
        <n v="1932.08"/>
        <n v="139.67"/>
        <n v="226.3"/>
        <n v="0.0"/>
        <n v="45.52"/>
        <n v="3.34"/>
        <n v="4.23"/>
        <n v="68.87"/>
        <n v="126.25"/>
        <n v="177.88"/>
        <n v="593.29"/>
        <n v="198.85"/>
        <n v="28.6"/>
        <n v="143.81"/>
        <n v="177.49"/>
        <n v="58.75"/>
        <n v="152.71"/>
        <n v="273.6"/>
        <n v="57.98"/>
        <n v="3348.55"/>
        <n v="10.48"/>
        <n v="24.17"/>
        <n v="59.46"/>
        <n v="48.02"/>
        <n v="106.9"/>
        <n v="448.17"/>
        <n v="35.0"/>
        <n v="145.9"/>
        <n v="29.38"/>
        <n v="181.5"/>
        <n v="26.11"/>
        <n v="36.3"/>
        <n v="140.34"/>
      </sharedItems>
    </cacheField>
    <cacheField name="1/22/2021" numFmtId="0">
      <sharedItems containsSemiMixedTypes="0" containsString="0" containsNumber="1">
        <n v="900.4"/>
        <n v="1921.82"/>
        <n v="145.09"/>
        <n v="242.64"/>
        <n v="45.96"/>
        <n v="483.0"/>
        <n v="20.36"/>
        <n v="9.79"/>
        <n v="68.2"/>
        <n v="124.94"/>
        <n v="175.25"/>
        <n v="583.99"/>
        <n v="193.11"/>
        <n v="53.9"/>
        <n v="141.88"/>
        <n v="171.02"/>
        <n v="61.25"/>
        <n v="148.59"/>
        <n v="286.79"/>
        <n v="55.52"/>
        <n v="3363.89"/>
        <n v="8.99"/>
        <n v="20.87"/>
        <n v="56.41"/>
        <n v="52.25"/>
        <n v="122.75"/>
        <n v="443.85"/>
        <n v="36.34"/>
        <n v="147.86"/>
        <n v="30.2"/>
        <n v="176.6"/>
        <n v="27.53"/>
        <n v="41.08"/>
        <n v="140.91"/>
      </sharedItems>
    </cacheField>
    <cacheField name="1/29/2021" numFmtId="0">
      <sharedItems containsSemiMixedTypes="0" containsString="0" containsNumber="1">
        <n v="880.5"/>
        <n v="2106.62"/>
        <n v="137.4"/>
        <n v="245.09"/>
        <n v="57.28"/>
        <n v="413.98"/>
        <n v="17.25"/>
        <n v="5.22"/>
        <n v="69.82"/>
        <n v="129.64"/>
        <n v="181.38"/>
        <n v="559.48"/>
        <n v="189.04"/>
        <n v="40.9"/>
        <n v="141.05"/>
        <n v="168.49"/>
        <n v="59.0"/>
        <n v="148.88"/>
        <n v="269.2"/>
        <n v="58.13"/>
        <n v="3434.0"/>
        <n v="9.9"/>
        <n v="20.29"/>
        <n v="55.74"/>
        <n v="56.52"/>
        <n v="113.84"/>
        <n v="432.75"/>
        <n v="41.2"/>
        <n v="143.75"/>
        <n v="29.04"/>
        <n v="175.23"/>
        <n v="28.53"/>
        <n v="37.41"/>
        <n v="136.38"/>
      </sharedItems>
    </cacheField>
    <cacheField name="2/5/2021" numFmtId="0">
      <sharedItems containsSemiMixedTypes="0" containsString="0" containsNumber="1">
        <n v="877.77"/>
        <n v="2115.0"/>
        <n v="137.88"/>
        <n v="245.92"/>
        <n v="56.98"/>
        <n v="95.0"/>
        <n v="8.27"/>
        <n v="4.35"/>
        <n v="70.25"/>
        <n v="133.33"/>
        <n v="191.25"/>
        <n v="566.65"/>
        <n v="196.25"/>
        <n v="30.95"/>
        <n v="145.88"/>
        <n v="178.31"/>
        <n v="58.8"/>
        <n v="163.37"/>
        <n v="273.8"/>
        <n v="64.05"/>
        <n v="3377.0"/>
        <n v="15.0"/>
        <n v="20.1"/>
        <n v="57.89"/>
        <n v="69.25"/>
        <n v="119.95"/>
        <n v="484.85"/>
        <n v="44.49"/>
        <n v="146.32"/>
        <n v="29.07"/>
        <n v="184.85"/>
        <n v="29.45"/>
        <n v="40.23"/>
        <n v="135.56"/>
      </sharedItems>
    </cacheField>
    <cacheField name="2/12/2021" numFmtId="0">
      <sharedItems containsSemiMixedTypes="0" containsString="0" containsNumber="1">
        <n v="821.0"/>
        <n v="2145.14"/>
        <n v="136.01"/>
        <n v="246.13"/>
        <n v="46.95"/>
        <n v="55.24"/>
        <n v="6.25"/>
        <n v="4.22"/>
        <n v="68.83"/>
        <n v="130.91"/>
        <n v="193.85"/>
        <n v="563.63"/>
        <n v="194.22"/>
        <n v="28.65"/>
        <n v="145.39"/>
        <n v="179.29"/>
        <n v="55.4"/>
        <n v="161.31"/>
        <n v="276.6"/>
        <n v="61.31"/>
        <n v="3338.0"/>
        <n v="12.13"/>
        <n v="19.15"/>
        <n v="58.25"/>
        <n v="74.84"/>
        <n v="105.5"/>
        <n v="486.72"/>
        <n v="44.02"/>
        <n v="147.5"/>
        <n v="29.74"/>
        <n v="186.27"/>
        <n v="28.59"/>
        <n v="40.47"/>
        <n v="137.96"/>
      </sharedItems>
    </cacheField>
    <cacheField name="2/19/2021" numFmtId="0">
      <sharedItems containsSemiMixedTypes="0" containsString="0" containsNumber="1">
        <n v="796.79"/>
        <n v="2118.58"/>
        <n v="130.71"/>
        <n v="243.86"/>
        <n v="46.74"/>
        <n v="184.68"/>
        <n v="11.0"/>
        <n v="4.34"/>
        <n v="71.06"/>
        <n v="139.32"/>
        <n v="200.6"/>
        <n v="556.85"/>
        <n v="192.45"/>
        <n v="29.39"/>
        <n v="145.5"/>
        <n v="180.25"/>
        <n v="52.07"/>
        <n v="154.21"/>
        <n v="270.27"/>
        <n v="60.46"/>
        <n v="3333.5"/>
        <n v="11.78"/>
        <n v="19.67"/>
        <n v="61.1"/>
        <n v="80.75"/>
        <n v="83.36"/>
        <n v="483.7"/>
        <n v="41.26"/>
        <n v="139.42"/>
        <n v="29.81"/>
        <n v="201.15"/>
        <n v="30.04"/>
        <n v="40.36"/>
        <n v="139.22"/>
      </sharedItems>
    </cacheField>
    <cacheField name="2/26/2021" numFmtId="0">
      <sharedItems containsSemiMixedTypes="0" containsString="0" containsNumber="1">
        <n v="873.94"/>
        <n v="2094.74"/>
        <n v="128.72"/>
        <n v="237.47"/>
        <n v="40.83"/>
        <n v="147.87"/>
        <n v="9.45"/>
        <n v="4.1"/>
        <n v="68.31"/>
        <n v="141.76"/>
        <n v="197.96"/>
        <n v="556.99"/>
        <n v="193.58"/>
        <n v="31.98"/>
        <n v="139.15"/>
        <n v="178.22"/>
        <n v="49.8"/>
        <n v="150.33"/>
        <n v="266.71"/>
        <n v="57.8"/>
        <n v="3163.52"/>
        <n v="10.24"/>
        <n v="17.69"/>
        <n v="60.85"/>
        <n v="79.08"/>
        <n v="77.48"/>
        <n v="429.44"/>
        <n v="38.59"/>
        <n v="132.75"/>
        <n v="29.32"/>
        <n v="207.09"/>
        <n v="30.76"/>
        <n v="40.81"/>
        <n v="125.67"/>
      </sharedItems>
    </cacheField>
    <cacheField name="3/5/2021" numFmtId="0">
      <sharedItems containsSemiMixedTypes="0" containsString="0" containsNumber="1">
        <n v="717.85"/>
        <n v="2113.74"/>
        <n v="123.21"/>
        <n v="239.17"/>
        <n v="39.69"/>
        <n v="348.5"/>
        <n v="12.47"/>
        <n v="4.14"/>
        <n v="67.04"/>
        <n v="144.84"/>
        <n v="203.02"/>
        <n v="530.24"/>
        <n v="181.63"/>
        <n v="33.12"/>
        <n v="142.2"/>
        <n v="180.21"/>
        <n v="46.88"/>
        <n v="152.45"/>
        <n v="277.9"/>
        <n v="59.48"/>
        <n v="3131.78"/>
        <n v="9.16"/>
        <n v="16.3"/>
        <n v="62.79"/>
        <n v="69.46"/>
        <n v="75.73"/>
        <n v="376.28"/>
        <n v="37.55"/>
        <n v="133.49"/>
        <n v="30.39"/>
        <n v="202.61"/>
        <n v="31.76"/>
        <n v="35.0"/>
        <n v="132.4"/>
      </sharedItems>
    </cacheField>
    <cacheField name="3/12/2021" numFmtId="0">
      <sharedItems containsSemiMixedTypes="0" containsString="0" containsNumber="1">
        <n v="713.18"/>
        <n v="2113.68"/>
        <n v="127.22"/>
        <n v="240.06"/>
        <n v="38.75"/>
        <n v="295.5"/>
        <n v="14.54"/>
        <n v="4.39"/>
        <n v="68.05"/>
        <n v="147.93"/>
        <n v="198.54"/>
        <n v="533.42"/>
        <n v="181.79"/>
        <n v="33.33"/>
        <n v="146.66"/>
        <n v="180.11"/>
        <n v="49.4"/>
        <n v="159.55"/>
        <n v="286.23"/>
        <n v="61.02"/>
        <n v="3173.05"/>
        <n v="9.37"/>
        <n v="16.76"/>
        <n v="64.73"/>
        <n v="71.86"/>
        <n v="78.08"/>
        <n v="370.99"/>
        <n v="37.98"/>
        <n v="134.75"/>
        <n v="30.87"/>
        <n v="202.06"/>
        <n v="31.64"/>
        <n v="34.08"/>
        <n v="132.28"/>
      </sharedItems>
    </cacheField>
    <cacheField name="3/19/2021" numFmtId="0">
      <sharedItems containsSemiMixedTypes="0" containsString="0" containsNumber="1">
        <n v="657.23"/>
        <n v="2037.04"/>
        <n v="121.43"/>
        <n v="232.47"/>
        <n v="34.94"/>
        <n v="227.0"/>
        <n v="14.18"/>
        <n v="4.09"/>
        <n v="67.14"/>
        <n v="140.87"/>
        <n v="194.0"/>
        <n v="513.19"/>
        <n v="188.3"/>
        <n v="32.14"/>
        <n v="142.86"/>
        <n v="170.27"/>
        <n v="48.6"/>
        <n v="158.87"/>
        <n v="292.8"/>
        <n v="57.18"/>
        <n v="3077.29"/>
        <n v="9.19"/>
        <n v="15.08"/>
        <n v="64.25"/>
        <n v="67.11"/>
        <n v="72.11"/>
        <n v="350.55"/>
        <n v="35.17"/>
        <n v="132.5"/>
        <n v="30.06"/>
        <n v="194.29"/>
        <n v="30.59"/>
        <n v="33.95"/>
        <n v="128.03"/>
      </sharedItems>
    </cacheField>
    <cacheField name="3/26/2021" numFmtId="0">
      <sharedItems containsSemiMixedTypes="0" containsString="0" containsNumber="1" containsInteger="1">
        <n v="0.0"/>
      </sharedItems>
    </cacheField>
    <cacheField name="4/2/2021" numFmtId="0">
      <sharedItems containsSemiMixedTypes="0" containsString="0" containsNumber="1" containsInteger="1">
        <n v="0.0"/>
      </sharedItems>
    </cacheField>
    <cacheField name="4/9/2021" numFmtId="0">
      <sharedItems containsString="0" containsBlank="1">
        <m/>
      </sharedItems>
    </cacheField>
    <cacheField name="4/16/2021" numFmtId="0">
      <sharedItems containsString="0" containsBlank="1">
        <m/>
      </sharedItems>
    </cacheField>
    <cacheField name="4/23/2021" numFmtId="0">
      <sharedItems containsString="0" containsBlank="1">
        <m/>
      </sharedItems>
    </cacheField>
    <cacheField name="4/30/2021" numFmtId="0">
      <sharedItems containsString="0" containsBlank="1">
        <m/>
      </sharedItems>
    </cacheField>
    <cacheField name="5/7/2021" numFmtId="0">
      <sharedItems containsString="0" containsBlank="1">
        <m/>
      </sharedItems>
    </cacheField>
    <cacheField name="5/14/2021" numFmtId="0">
      <sharedItems containsString="0" containsBlank="1">
        <m/>
      </sharedItems>
    </cacheField>
    <cacheField name="5/21/2021" numFmtId="0">
      <sharedItems containsString="0" containsBlank="1">
        <m/>
      </sharedItems>
    </cacheField>
    <cacheField name="5/28/2021" numFmtId="0">
      <sharedItems containsString="0" containsBlank="1">
        <m/>
      </sharedItems>
    </cacheField>
    <cacheField name="6/4/2021" numFmtId="0">
      <sharedItems containsString="0" containsBlank="1">
        <m/>
      </sharedItems>
    </cacheField>
    <cacheField name="6/11/202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36" firstHeaderRow="0" firstDataRow="1" firstDataCol="0"/>
  <pivotFields>
    <pivotField name="high" compact="0" outline="0" multipleItemSelectionAllowed="1" showAll="0">
      <items>
        <item x="0"/>
        <item t="default"/>
      </items>
    </pivotField>
    <pivotField name="Company" axis="axisRow" compact="0" outline="0" multipleItemSelectionAllowed="1" showAll="0" sortType="ascending">
      <items>
        <item x="15"/>
        <item x="20"/>
        <item x="6"/>
        <item x="2"/>
        <item x="31"/>
        <item x="13"/>
        <item x="10"/>
        <item x="27"/>
        <item x="18"/>
        <item x="25"/>
        <item x="5"/>
        <item x="21"/>
        <item x="1"/>
        <item x="29"/>
        <item x="16"/>
        <item x="3"/>
        <item x="11"/>
        <item x="30"/>
        <item x="14"/>
        <item x="7"/>
        <item x="23"/>
        <item x="9"/>
        <item x="33"/>
        <item x="32"/>
        <item x="4"/>
        <item x="26"/>
        <item x="12"/>
        <item x="0"/>
        <item x="8"/>
        <item x="17"/>
        <item x="24"/>
        <item x="19"/>
        <item x="22"/>
        <item x="28"/>
        <item t="default"/>
      </items>
    </pivotField>
    <pivotField name="Tick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1/1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1/8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1/15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1/22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1/29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2/5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2/12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2/19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2/26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3/5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3/12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3/19/202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3/26/2021" compact="0" outline="0" multipleItemSelectionAllowed="1" showAll="0">
      <items>
        <item x="0"/>
        <item t="default"/>
      </items>
    </pivotField>
    <pivotField name="4/2/2021" compact="0" outline="0" multipleItemSelectionAllowed="1" showAll="0">
      <items>
        <item x="0"/>
        <item t="default"/>
      </items>
    </pivotField>
    <pivotField name="4/9/2021" compact="0" outline="0" multipleItemSelectionAllowed="1" showAll="0">
      <items>
        <item x="0"/>
        <item t="default"/>
      </items>
    </pivotField>
    <pivotField name="4/16/2021" compact="0" outline="0" multipleItemSelectionAllowed="1" showAll="0">
      <items>
        <item x="0"/>
        <item t="default"/>
      </items>
    </pivotField>
    <pivotField name="4/23/2021" compact="0" outline="0" multipleItemSelectionAllowed="1" showAll="0">
      <items>
        <item x="0"/>
        <item t="default"/>
      </items>
    </pivotField>
    <pivotField name="4/30/2021" compact="0" outline="0" multipleItemSelectionAllowed="1" showAll="0">
      <items>
        <item x="0"/>
        <item t="default"/>
      </items>
    </pivotField>
    <pivotField name="5/7/2021" compact="0" outline="0" multipleItemSelectionAllowed="1" showAll="0">
      <items>
        <item x="0"/>
        <item t="default"/>
      </items>
    </pivotField>
    <pivotField name="5/14/2021" compact="0" outline="0" multipleItemSelectionAllowed="1" showAll="0">
      <items>
        <item x="0"/>
        <item t="default"/>
      </items>
    </pivotField>
    <pivotField name="5/21/2021" compact="0" outline="0" multipleItemSelectionAllowed="1" showAll="0">
      <items>
        <item x="0"/>
        <item t="default"/>
      </items>
    </pivotField>
    <pivotField name="5/28/2021" compact="0" outline="0" multipleItemSelectionAllowed="1" showAll="0">
      <items>
        <item x="0"/>
        <item t="default"/>
      </items>
    </pivotField>
    <pivotField name="6/4/2021" compact="0" outline="0" multipleItemSelectionAllowed="1" showAll="0">
      <items>
        <item x="0"/>
        <item t="default"/>
      </items>
    </pivotField>
    <pivotField name="6/11/2021" compact="0" outline="0" multipleItemSelectionAllowed="1" showAll="0">
      <items>
        <item x="0"/>
        <item t="default"/>
      </items>
    </pivotField>
  </pivotFields>
  <rowFields>
    <field x="1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  <c r="B1" s="1" t="s">
        <v>1</v>
      </c>
      <c r="C1" s="2">
        <v>44197.0</v>
      </c>
      <c r="D1" s="2">
        <v>44198.0</v>
      </c>
      <c r="E1" s="2">
        <v>44199.0</v>
      </c>
      <c r="F1" s="2">
        <v>44200.0</v>
      </c>
      <c r="G1" s="2">
        <v>44201.0</v>
      </c>
      <c r="H1" s="2">
        <v>44202.0</v>
      </c>
      <c r="I1" s="2">
        <v>44203.0</v>
      </c>
      <c r="J1" s="2">
        <v>44204.0</v>
      </c>
      <c r="K1" s="2">
        <v>44205.0</v>
      </c>
      <c r="L1" s="2">
        <v>44206.0</v>
      </c>
      <c r="M1" s="2">
        <v>44207.0</v>
      </c>
      <c r="N1" s="2">
        <v>44208.0</v>
      </c>
      <c r="O1" s="2">
        <v>44209.0</v>
      </c>
      <c r="P1" s="2">
        <v>44210.0</v>
      </c>
      <c r="Q1" s="2">
        <v>44211.0</v>
      </c>
      <c r="R1" s="2">
        <v>44212.0</v>
      </c>
      <c r="S1" s="2">
        <v>44213.0</v>
      </c>
      <c r="T1" s="2">
        <v>44214.0</v>
      </c>
      <c r="U1" s="2">
        <v>44215.0</v>
      </c>
      <c r="V1" s="2">
        <v>44216.0</v>
      </c>
      <c r="W1" s="2">
        <v>44217.0</v>
      </c>
      <c r="X1" s="2">
        <v>44218.0</v>
      </c>
      <c r="Y1" s="2">
        <v>44219.0</v>
      </c>
      <c r="Z1" s="2">
        <v>44220.0</v>
      </c>
      <c r="AA1" s="2">
        <v>44221.0</v>
      </c>
      <c r="AB1" s="2">
        <v>44222.0</v>
      </c>
      <c r="AC1" s="2">
        <v>44223.0</v>
      </c>
      <c r="AD1" s="2">
        <v>44224.0</v>
      </c>
      <c r="AE1" s="2">
        <v>44225.0</v>
      </c>
      <c r="AF1" s="2">
        <v>44226.0</v>
      </c>
      <c r="AG1" s="2">
        <v>44227.0</v>
      </c>
      <c r="AH1" s="2">
        <v>44228.0</v>
      </c>
      <c r="AI1" s="2">
        <v>44229.0</v>
      </c>
      <c r="AJ1" s="2">
        <v>44230.0</v>
      </c>
      <c r="AK1" s="2">
        <v>44231.0</v>
      </c>
      <c r="AL1" s="2">
        <v>44232.0</v>
      </c>
      <c r="AM1" s="2">
        <v>44233.0</v>
      </c>
      <c r="AN1" s="2">
        <v>44234.0</v>
      </c>
      <c r="AO1" s="2">
        <v>44235.0</v>
      </c>
      <c r="AP1" s="2">
        <v>44236.0</v>
      </c>
      <c r="AQ1" s="2">
        <v>44237.0</v>
      </c>
      <c r="AR1" s="2">
        <v>44238.0</v>
      </c>
      <c r="AS1" s="2">
        <v>44239.0</v>
      </c>
      <c r="AT1" s="2">
        <v>44240.0</v>
      </c>
      <c r="AU1" s="2">
        <v>44241.0</v>
      </c>
      <c r="AV1" s="2">
        <v>44242.0</v>
      </c>
      <c r="AW1" s="2">
        <v>44243.0</v>
      </c>
      <c r="AX1" s="2">
        <v>44244.0</v>
      </c>
      <c r="AY1" s="2">
        <v>44245.0</v>
      </c>
      <c r="AZ1" s="2">
        <v>44246.0</v>
      </c>
      <c r="BA1" s="2">
        <v>44247.0</v>
      </c>
      <c r="BB1" s="2">
        <v>44248.0</v>
      </c>
      <c r="BC1" s="2">
        <v>44249.0</v>
      </c>
      <c r="BD1" s="2">
        <v>44250.0</v>
      </c>
      <c r="BE1" s="2">
        <v>44251.0</v>
      </c>
      <c r="BF1" s="2">
        <v>44252.0</v>
      </c>
      <c r="BG1" s="2">
        <v>44253.0</v>
      </c>
      <c r="BH1" s="2">
        <v>44254.0</v>
      </c>
      <c r="BI1" s="2">
        <v>44255.0</v>
      </c>
      <c r="BJ1" s="2">
        <v>44256.0</v>
      </c>
      <c r="BK1" s="2">
        <v>44257.0</v>
      </c>
      <c r="BL1" s="2">
        <v>44258.0</v>
      </c>
      <c r="BM1" s="2">
        <v>44259.0</v>
      </c>
      <c r="BN1" s="2">
        <v>44260.0</v>
      </c>
      <c r="BO1" s="2">
        <v>44261.0</v>
      </c>
      <c r="BP1" s="2">
        <v>44262.0</v>
      </c>
      <c r="BQ1" s="2">
        <v>44263.0</v>
      </c>
      <c r="BR1" s="2">
        <v>44264.0</v>
      </c>
      <c r="BS1" s="2">
        <v>44265.0</v>
      </c>
      <c r="BT1" s="2">
        <v>44266.0</v>
      </c>
      <c r="BU1" s="2">
        <v>44267.0</v>
      </c>
      <c r="BV1" s="2">
        <v>44268.0</v>
      </c>
      <c r="BW1" s="2">
        <v>44269.0</v>
      </c>
      <c r="BX1" s="2">
        <v>44270.0</v>
      </c>
      <c r="BY1" s="2">
        <v>44271.0</v>
      </c>
      <c r="BZ1" s="2">
        <v>44272.0</v>
      </c>
      <c r="CA1" s="2">
        <v>44273.0</v>
      </c>
      <c r="CB1" s="2">
        <v>44274.0</v>
      </c>
      <c r="CC1" s="2">
        <v>44275.0</v>
      </c>
      <c r="CD1" s="2">
        <v>44276.0</v>
      </c>
      <c r="CE1" s="2">
        <v>44277.0</v>
      </c>
    </row>
    <row r="2">
      <c r="A2" s="1" t="s">
        <v>2</v>
      </c>
      <c r="B2" s="1" t="s">
        <v>3</v>
      </c>
      <c r="C2" s="3">
        <f>IFERROR(__xludf.DUMMYFUNCTION("iferror(index(Googlefinance($B2, ""price"", C$1),2,2), 0)"),729.77)</f>
        <v>729.77</v>
      </c>
      <c r="D2" s="3">
        <f>IFERROR(__xludf.DUMMYFUNCTION("iferror(index(Googlefinance($B2, ""price"", D$1),2,2), 0)"),729.77)</f>
        <v>729.77</v>
      </c>
      <c r="E2" s="3">
        <f>IFERROR(__xludf.DUMMYFUNCTION("iferror(index(Googlefinance($B2, ""price"", E$1),2,2), 0)"),729.77)</f>
        <v>729.77</v>
      </c>
      <c r="F2" s="3">
        <f>IFERROR(__xludf.DUMMYFUNCTION("iferror(index(Googlefinance($B2, ""price"", F$1),2,2), 0)"),729.77)</f>
        <v>729.77</v>
      </c>
      <c r="G2" s="3">
        <f>IFERROR(__xludf.DUMMYFUNCTION("iferror(index(Googlefinance($B2, ""price"", G$1),2,2), 0)"),735.11)</f>
        <v>735.11</v>
      </c>
      <c r="H2" s="3">
        <f>IFERROR(__xludf.DUMMYFUNCTION("iferror(index(Googlefinance($B2, ""price"", H$1),2,2), 0)"),755.98)</f>
        <v>755.98</v>
      </c>
      <c r="I2" s="3">
        <f>IFERROR(__xludf.DUMMYFUNCTION("iferror(index(Googlefinance($B2, ""price"", I$1),2,2), 0)"),816.04)</f>
        <v>816.04</v>
      </c>
      <c r="J2" s="3">
        <f>IFERROR(__xludf.DUMMYFUNCTION("iferror(index(Googlefinance($B2, ""price"", J$1),2,2), 0)"),880.02)</f>
        <v>880.02</v>
      </c>
      <c r="K2" s="3">
        <f>IFERROR(__xludf.DUMMYFUNCTION("iferror(index(Googlefinance($B2, ""price"", K$1),2,2), 0)"),811.19)</f>
        <v>811.19</v>
      </c>
      <c r="L2" s="3">
        <f>IFERROR(__xludf.DUMMYFUNCTION("iferror(index(Googlefinance($B2, ""price"", L$1),2,2), 0)"),811.19)</f>
        <v>811.19</v>
      </c>
      <c r="M2" s="3">
        <f>IFERROR(__xludf.DUMMYFUNCTION("iferror(index(Googlefinance($B2, ""price"", M$1),2,2), 0)"),811.19)</f>
        <v>811.19</v>
      </c>
      <c r="N2" s="3">
        <f>IFERROR(__xludf.DUMMYFUNCTION("iferror(index(Googlefinance($B2, ""price"", N$1),2,2), 0)"),849.44)</f>
        <v>849.44</v>
      </c>
      <c r="O2" s="3">
        <f>IFERROR(__xludf.DUMMYFUNCTION("iferror(index(Googlefinance($B2, ""price"", O$1),2,2), 0)"),854.41)</f>
        <v>854.41</v>
      </c>
      <c r="P2" s="3">
        <f>IFERROR(__xludf.DUMMYFUNCTION("iferror(index(Googlefinance($B2, ""price"", P$1),2,2), 0)"),845.0)</f>
        <v>845</v>
      </c>
      <c r="Q2" s="3">
        <f>IFERROR(__xludf.DUMMYFUNCTION("iferror(index(Googlefinance($B2, ""price"", Q$1),2,2), 0)"),826.16)</f>
        <v>826.16</v>
      </c>
      <c r="R2" s="3">
        <f>IFERROR(__xludf.DUMMYFUNCTION("iferror(index(Googlefinance($B2, ""price"", R$1),2,2), 0)"),844.55)</f>
        <v>844.55</v>
      </c>
      <c r="S2" s="3">
        <f>IFERROR(__xludf.DUMMYFUNCTION("iferror(index(Googlefinance($B2, ""price"", S$1),2,2), 0)"),844.55)</f>
        <v>844.55</v>
      </c>
      <c r="T2" s="3">
        <f>IFERROR(__xludf.DUMMYFUNCTION("iferror(index(Googlefinance($B2, ""price"", T$1),2,2), 0)"),844.55)</f>
        <v>844.55</v>
      </c>
      <c r="U2" s="3">
        <f>IFERROR(__xludf.DUMMYFUNCTION("iferror(index(Googlefinance($B2, ""price"", U$1),2,2), 0)"),844.55)</f>
        <v>844.55</v>
      </c>
      <c r="V2" s="3">
        <f>IFERROR(__xludf.DUMMYFUNCTION("iferror(index(Googlefinance($B2, ""price"", V$1),2,2), 0)"),850.45)</f>
        <v>850.45</v>
      </c>
      <c r="W2" s="3">
        <f>IFERROR(__xludf.DUMMYFUNCTION("iferror(index(Googlefinance($B2, ""price"", W$1),2,2), 0)"),844.99)</f>
        <v>844.99</v>
      </c>
      <c r="X2" s="3">
        <f>IFERROR(__xludf.DUMMYFUNCTION("iferror(index(Googlefinance($B2, ""price"", X$1),2,2), 0)"),846.64)</f>
        <v>846.64</v>
      </c>
      <c r="Y2" s="3">
        <f>IFERROR(__xludf.DUMMYFUNCTION("iferror(index(Googlefinance($B2, ""price"", Y$1),2,2), 0)"),880.8)</f>
        <v>880.8</v>
      </c>
      <c r="Z2" s="3">
        <f>IFERROR(__xludf.DUMMYFUNCTION("iferror(index(Googlefinance($B2, ""price"", Z$1),2,2), 0)"),880.8)</f>
        <v>880.8</v>
      </c>
      <c r="AA2" s="3">
        <f>IFERROR(__xludf.DUMMYFUNCTION("iferror(index(Googlefinance($B2, ""price"", AA$1),2,2), 0)"),880.8)</f>
        <v>880.8</v>
      </c>
      <c r="AB2" s="3">
        <f>IFERROR(__xludf.DUMMYFUNCTION("iferror(index(Googlefinance($B2, ""price"", AB$1),2,2), 0)"),883.09)</f>
        <v>883.09</v>
      </c>
      <c r="AC2" s="3">
        <f>IFERROR(__xludf.DUMMYFUNCTION("iferror(index(Googlefinance($B2, ""price"", AC$1),2,2), 0)"),864.16)</f>
        <v>864.16</v>
      </c>
      <c r="AD2" s="3">
        <f>IFERROR(__xludf.DUMMYFUNCTION("iferror(index(Googlefinance($B2, ""price"", AD$1),2,2), 0)"),835.43)</f>
        <v>835.43</v>
      </c>
      <c r="AE2" s="3">
        <f>IFERROR(__xludf.DUMMYFUNCTION("iferror(index(Googlefinance($B2, ""price"", AE$1),2,2), 0)"),793.53)</f>
        <v>793.53</v>
      </c>
      <c r="AF2" s="3">
        <f>IFERROR(__xludf.DUMMYFUNCTION("iferror(index(Googlefinance($B2, ""price"", AF$1),2,2), 0)"),839.81)</f>
        <v>839.81</v>
      </c>
      <c r="AG2" s="3">
        <f>IFERROR(__xludf.DUMMYFUNCTION("iferror(index(Googlefinance($B2, ""price"", AG$1),2,2), 0)"),839.81)</f>
        <v>839.81</v>
      </c>
      <c r="AH2" s="3">
        <f>IFERROR(__xludf.DUMMYFUNCTION("iferror(index(Googlefinance($B2, ""price"", AH$1),2,2), 0)"),839.81)</f>
        <v>839.81</v>
      </c>
      <c r="AI2" s="3">
        <f>IFERROR(__xludf.DUMMYFUNCTION("iferror(index(Googlefinance($B2, ""price"", AI$1),2,2), 0)"),872.79)</f>
        <v>872.79</v>
      </c>
      <c r="AJ2" s="3">
        <f>IFERROR(__xludf.DUMMYFUNCTION("iferror(index(Googlefinance($B2, ""price"", AJ$1),2,2), 0)"),854.69)</f>
        <v>854.69</v>
      </c>
      <c r="AK2" s="3">
        <f>IFERROR(__xludf.DUMMYFUNCTION("iferror(index(Googlefinance($B2, ""price"", AK$1),2,2), 0)"),849.99)</f>
        <v>849.99</v>
      </c>
      <c r="AL2" s="3">
        <f>IFERROR(__xludf.DUMMYFUNCTION("iferror(index(Googlefinance($B2, ""price"", AL$1),2,2), 0)"),852.23)</f>
        <v>852.23</v>
      </c>
      <c r="AM2" s="3">
        <f>IFERROR(__xludf.DUMMYFUNCTION("iferror(index(Googlefinance($B2, ""price"", AM$1),2,2), 0)"),863.42)</f>
        <v>863.42</v>
      </c>
      <c r="AN2" s="3">
        <f>IFERROR(__xludf.DUMMYFUNCTION("iferror(index(Googlefinance($B2, ""price"", AN$1),2,2), 0)"),863.42)</f>
        <v>863.42</v>
      </c>
      <c r="AO2" s="3">
        <f>IFERROR(__xludf.DUMMYFUNCTION("iferror(index(Googlefinance($B2, ""price"", AO$1),2,2), 0)"),863.42)</f>
        <v>863.42</v>
      </c>
      <c r="AP2" s="3">
        <f>IFERROR(__xludf.DUMMYFUNCTION("iferror(index(Googlefinance($B2, ""price"", AP$1),2,2), 0)"),849.46)</f>
        <v>849.46</v>
      </c>
      <c r="AQ2" s="3">
        <f>IFERROR(__xludf.DUMMYFUNCTION("iferror(index(Googlefinance($B2, ""price"", AQ$1),2,2), 0)"),804.82)</f>
        <v>804.82</v>
      </c>
      <c r="AR2" s="3">
        <f>IFERROR(__xludf.DUMMYFUNCTION("iferror(index(Googlefinance($B2, ""price"", AR$1),2,2), 0)"),811.66)</f>
        <v>811.66</v>
      </c>
      <c r="AS2" s="3">
        <f>IFERROR(__xludf.DUMMYFUNCTION("iferror(index(Googlefinance($B2, ""price"", AS$1),2,2), 0)"),816.12)</f>
        <v>816.12</v>
      </c>
      <c r="AT2" s="3">
        <f>IFERROR(__xludf.DUMMYFUNCTION("iferror(index(Googlefinance($B2, ""price"", AT$1),2,2), 0)"),796.22)</f>
        <v>796.22</v>
      </c>
      <c r="AU2" s="3">
        <f>IFERROR(__xludf.DUMMYFUNCTION("iferror(index(Googlefinance($B2, ""price"", AU$1),2,2), 0)"),796.22)</f>
        <v>796.22</v>
      </c>
      <c r="AV2" s="3">
        <f>IFERROR(__xludf.DUMMYFUNCTION("iferror(index(Googlefinance($B2, ""price"", AV$1),2,2), 0)"),796.22)</f>
        <v>796.22</v>
      </c>
      <c r="AW2" s="3">
        <f>IFERROR(__xludf.DUMMYFUNCTION("iferror(index(Googlefinance($B2, ""price"", AW$1),2,2), 0)"),796.22)</f>
        <v>796.22</v>
      </c>
      <c r="AX2" s="3">
        <f>IFERROR(__xludf.DUMMYFUNCTION("iferror(index(Googlefinance($B2, ""price"", AX$1),2,2), 0)"),798.15)</f>
        <v>798.15</v>
      </c>
      <c r="AY2" s="3">
        <f>IFERROR(__xludf.DUMMYFUNCTION("iferror(index(Googlefinance($B2, ""price"", AY$1),2,2), 0)"),787.38)</f>
        <v>787.38</v>
      </c>
      <c r="AZ2" s="3">
        <f>IFERROR(__xludf.DUMMYFUNCTION("iferror(index(Googlefinance($B2, ""price"", AZ$1),2,2), 0)"),781.3)</f>
        <v>781.3</v>
      </c>
      <c r="BA2" s="3">
        <f>IFERROR(__xludf.DUMMYFUNCTION("iferror(index(Googlefinance($B2, ""price"", BA$1),2,2), 0)"),714.5)</f>
        <v>714.5</v>
      </c>
      <c r="BB2" s="3">
        <f>IFERROR(__xludf.DUMMYFUNCTION("iferror(index(Googlefinance($B2, ""price"", BB$1),2,2), 0)"),714.5)</f>
        <v>714.5</v>
      </c>
      <c r="BC2" s="3">
        <f>IFERROR(__xludf.DUMMYFUNCTION("iferror(index(Googlefinance($B2, ""price"", BC$1),2,2), 0)"),714.5)</f>
        <v>714.5</v>
      </c>
      <c r="BD2" s="3">
        <f>IFERROR(__xludf.DUMMYFUNCTION("iferror(index(Googlefinance($B2, ""price"", BD$1),2,2), 0)"),698.84)</f>
        <v>698.84</v>
      </c>
      <c r="BE2" s="3">
        <f>IFERROR(__xludf.DUMMYFUNCTION("iferror(index(Googlefinance($B2, ""price"", BE$1),2,2), 0)"),742.02)</f>
        <v>742.02</v>
      </c>
      <c r="BF2" s="3">
        <f>IFERROR(__xludf.DUMMYFUNCTION("iferror(index(Googlefinance($B2, ""price"", BF$1),2,2), 0)"),682.22)</f>
        <v>682.22</v>
      </c>
      <c r="BG2" s="3">
        <f>IFERROR(__xludf.DUMMYFUNCTION("iferror(index(Googlefinance($B2, ""price"", BG$1),2,2), 0)"),675.5)</f>
        <v>675.5</v>
      </c>
      <c r="BH2" s="3">
        <f>IFERROR(__xludf.DUMMYFUNCTION("iferror(index(Googlefinance($B2, ""price"", BH$1),2,2), 0)"),718.43)</f>
        <v>718.43</v>
      </c>
      <c r="BI2" s="3">
        <f>IFERROR(__xludf.DUMMYFUNCTION("iferror(index(Googlefinance($B2, ""price"", BI$1),2,2), 0)"),718.43)</f>
        <v>718.43</v>
      </c>
      <c r="BJ2" s="3">
        <f>IFERROR(__xludf.DUMMYFUNCTION("iferror(index(Googlefinance($B2, ""price"", BJ$1),2,2), 0)"),718.43)</f>
        <v>718.43</v>
      </c>
      <c r="BK2" s="3">
        <f>IFERROR(__xludf.DUMMYFUNCTION("iferror(index(Googlefinance($B2, ""price"", BK$1),2,2), 0)"),686.44)</f>
        <v>686.44</v>
      </c>
      <c r="BL2" s="3">
        <f>IFERROR(__xludf.DUMMYFUNCTION("iferror(index(Googlefinance($B2, ""price"", BL$1),2,2), 0)"),653.2)</f>
        <v>653.2</v>
      </c>
      <c r="BM2" s="3">
        <f>IFERROR(__xludf.DUMMYFUNCTION("iferror(index(Googlefinance($B2, ""price"", BM$1),2,2), 0)"),621.44)</f>
        <v>621.44</v>
      </c>
      <c r="BN2" s="3">
        <f>IFERROR(__xludf.DUMMYFUNCTION("iferror(index(Googlefinance($B2, ""price"", BN$1),2,2), 0)"),597.95)</f>
        <v>597.95</v>
      </c>
      <c r="BO2" s="3">
        <f>IFERROR(__xludf.DUMMYFUNCTION("iferror(index(Googlefinance($B2, ""price"", BO$1),2,2), 0)"),563.0)</f>
        <v>563</v>
      </c>
      <c r="BP2" s="3">
        <f>IFERROR(__xludf.DUMMYFUNCTION("iferror(index(Googlefinance($B2, ""price"", BP$1),2,2), 0)"),563.0)</f>
        <v>563</v>
      </c>
      <c r="BQ2" s="3">
        <f>IFERROR(__xludf.DUMMYFUNCTION("iferror(index(Googlefinance($B2, ""price"", BQ$1),2,2), 0)"),563.0)</f>
        <v>563</v>
      </c>
      <c r="BR2" s="3">
        <f>IFERROR(__xludf.DUMMYFUNCTION("iferror(index(Googlefinance($B2, ""price"", BR$1),2,2), 0)"),673.58)</f>
        <v>673.58</v>
      </c>
      <c r="BS2" s="3">
        <f>IFERROR(__xludf.DUMMYFUNCTION("iferror(index(Googlefinance($B2, ""price"", BS$1),2,2), 0)"),668.06)</f>
        <v>668.06</v>
      </c>
      <c r="BT2" s="3">
        <f>IFERROR(__xludf.DUMMYFUNCTION("iferror(index(Googlefinance($B2, ""price"", BT$1),2,2), 0)"),699.6)</f>
        <v>699.6</v>
      </c>
      <c r="BU2" s="3">
        <f>IFERROR(__xludf.DUMMYFUNCTION("iferror(index(Googlefinance($B2, ""price"", BU$1),2,2), 0)"),693.73)</f>
        <v>693.73</v>
      </c>
      <c r="BV2" s="3">
        <f>IFERROR(__xludf.DUMMYFUNCTION("iferror(index(Googlefinance($B2, ""price"", BV$1),2,2), 0)"),707.94)</f>
        <v>707.94</v>
      </c>
      <c r="BW2" s="3">
        <f>IFERROR(__xludf.DUMMYFUNCTION("iferror(index(Googlefinance($B2, ""price"", BW$1),2,2), 0)"),707.94)</f>
        <v>707.94</v>
      </c>
      <c r="BX2" s="3">
        <f>IFERROR(__xludf.DUMMYFUNCTION("iferror(index(Googlefinance($B2, ""price"", BX$1),2,2), 0)"),707.94)</f>
        <v>707.94</v>
      </c>
      <c r="BY2" s="3">
        <f>IFERROR(__xludf.DUMMYFUNCTION("iferror(index(Googlefinance($B2, ""price"", BY$1),2,2), 0)"),676.88)</f>
        <v>676.88</v>
      </c>
      <c r="BZ2" s="3">
        <f>IFERROR(__xludf.DUMMYFUNCTION("iferror(index(Googlefinance($B2, ""price"", BZ$1),2,2), 0)"),701.81)</f>
        <v>701.81</v>
      </c>
      <c r="CA2" s="3">
        <f>IFERROR(__xludf.DUMMYFUNCTION("iferror(index(Googlefinance($B2, ""price"", CA$1),2,2), 0)"),653.16)</f>
        <v>653.16</v>
      </c>
      <c r="CB2" s="3">
        <f>IFERROR(__xludf.DUMMYFUNCTION("iferror(index(Googlefinance($B2, ""price"", CB$1),2,2), 0)"),654.87)</f>
        <v>654.87</v>
      </c>
      <c r="CC2" s="3">
        <f>IFERROR(__xludf.DUMMYFUNCTION("iferror(index(Googlefinance($B2, ""price"", CC$1),2,2), 0)"),0.0)</f>
        <v>0</v>
      </c>
      <c r="CD2" s="3">
        <f>IFERROR(__xludf.DUMMYFUNCTION("iferror(index(Googlefinance($B2, ""price"", CD$1),2,2), 0)"),0.0)</f>
        <v>0</v>
      </c>
      <c r="CE2" s="3">
        <f>IFERROR(__xludf.DUMMYFUNCTION("iferror(index(Googlefinance($B2, ""price"", CE$1),2,2), 0)"),0.0)</f>
        <v>0</v>
      </c>
    </row>
    <row r="3">
      <c r="A3" s="1" t="s">
        <v>4</v>
      </c>
      <c r="B3" s="1" t="s">
        <v>5</v>
      </c>
      <c r="C3" s="3">
        <f>IFERROR(__xludf.DUMMYFUNCTION("iferror(index(Googlefinance($B3, ""price"", C$1),2,2), 0)"),1726.13)</f>
        <v>1726.13</v>
      </c>
      <c r="D3" s="3">
        <f>IFERROR(__xludf.DUMMYFUNCTION("iferror(index(Googlefinance($B3, ""price"", D$1),2,2), 0)"),1726.13)</f>
        <v>1726.13</v>
      </c>
      <c r="E3" s="3">
        <f>IFERROR(__xludf.DUMMYFUNCTION("iferror(index(Googlefinance($B3, ""price"", E$1),2,2), 0)"),1726.13)</f>
        <v>1726.13</v>
      </c>
      <c r="F3" s="3">
        <f>IFERROR(__xludf.DUMMYFUNCTION("iferror(index(Googlefinance($B3, ""price"", F$1),2,2), 0)"),1726.13)</f>
        <v>1726.13</v>
      </c>
      <c r="G3" s="3">
        <f>IFERROR(__xludf.DUMMYFUNCTION("iferror(index(Googlefinance($B3, ""price"", G$1),2,2), 0)"),1740.05)</f>
        <v>1740.05</v>
      </c>
      <c r="H3" s="3">
        <f>IFERROR(__xludf.DUMMYFUNCTION("iferror(index(Googlefinance($B3, ""price"", H$1),2,2), 0)"),1722.88)</f>
        <v>1722.88</v>
      </c>
      <c r="I3" s="3">
        <f>IFERROR(__xludf.DUMMYFUNCTION("iferror(index(Googlefinance($B3, ""price"", I$1),2,2), 0)"),1774.34)</f>
        <v>1774.34</v>
      </c>
      <c r="J3" s="3">
        <f>IFERROR(__xludf.DUMMYFUNCTION("iferror(index(Googlefinance($B3, ""price"", J$1),2,2), 0)"),1797.83)</f>
        <v>1797.83</v>
      </c>
      <c r="K3" s="3">
        <f>IFERROR(__xludf.DUMMYFUNCTION("iferror(index(Googlefinance($B3, ""price"", K$1),2,2), 0)"),1756.29)</f>
        <v>1756.29</v>
      </c>
      <c r="L3" s="3">
        <f>IFERROR(__xludf.DUMMYFUNCTION("iferror(index(Googlefinance($B3, ""price"", L$1),2,2), 0)"),1756.29)</f>
        <v>1756.29</v>
      </c>
      <c r="M3" s="3">
        <f>IFERROR(__xludf.DUMMYFUNCTION("iferror(index(Googlefinance($B3, ""price"", M$1),2,2), 0)"),1756.29)</f>
        <v>1756.29</v>
      </c>
      <c r="N3" s="3">
        <f>IFERROR(__xludf.DUMMYFUNCTION("iferror(index(Googlefinance($B3, ""price"", N$1),2,2), 0)"),1737.43)</f>
        <v>1737.43</v>
      </c>
      <c r="O3" s="3">
        <f>IFERROR(__xludf.DUMMYFUNCTION("iferror(index(Googlefinance($B3, ""price"", O$1),2,2), 0)"),1747.25)</f>
        <v>1747.25</v>
      </c>
      <c r="P3" s="3">
        <f>IFERROR(__xludf.DUMMYFUNCTION("iferror(index(Googlefinance($B3, ""price"", P$1),2,2), 0)"),1730.92)</f>
        <v>1730.92</v>
      </c>
      <c r="Q3" s="3">
        <f>IFERROR(__xludf.DUMMYFUNCTION("iferror(index(Googlefinance($B3, ""price"", Q$1),2,2), 0)"),1727.62)</f>
        <v>1727.62</v>
      </c>
      <c r="R3" s="3">
        <f>IFERROR(__xludf.DUMMYFUNCTION("iferror(index(Googlefinance($B3, ""price"", R$1),2,2), 0)"),1784.47)</f>
        <v>1784.47</v>
      </c>
      <c r="S3" s="3">
        <f>IFERROR(__xludf.DUMMYFUNCTION("iferror(index(Googlefinance($B3, ""price"", S$1),2,2), 0)"),1784.47)</f>
        <v>1784.47</v>
      </c>
      <c r="T3" s="3">
        <f>IFERROR(__xludf.DUMMYFUNCTION("iferror(index(Googlefinance($B3, ""price"", T$1),2,2), 0)"),1784.47)</f>
        <v>1784.47</v>
      </c>
      <c r="U3" s="3">
        <f>IFERROR(__xludf.DUMMYFUNCTION("iferror(index(Googlefinance($B3, ""price"", U$1),2,2), 0)"),1784.47)</f>
        <v>1784.47</v>
      </c>
      <c r="V3" s="3">
        <f>IFERROR(__xludf.DUMMYFUNCTION("iferror(index(Googlefinance($B3, ""price"", V$1),2,2), 0)"),1880.07)</f>
        <v>1880.07</v>
      </c>
      <c r="W3" s="3">
        <f>IFERROR(__xludf.DUMMYFUNCTION("iferror(index(Googlefinance($B3, ""price"", W$1),2,2), 0)"),1884.15)</f>
        <v>1884.15</v>
      </c>
      <c r="X3" s="3">
        <f>IFERROR(__xludf.DUMMYFUNCTION("iferror(index(Googlefinance($B3, ""price"", X$1),2,2), 0)"),1892.56)</f>
        <v>1892.56</v>
      </c>
      <c r="Y3" s="3">
        <f>IFERROR(__xludf.DUMMYFUNCTION("iferror(index(Googlefinance($B3, ""price"", Y$1),2,2), 0)"),1894.28)</f>
        <v>1894.28</v>
      </c>
      <c r="Z3" s="3">
        <f>IFERROR(__xludf.DUMMYFUNCTION("iferror(index(Googlefinance($B3, ""price"", Z$1),2,2), 0)"),1894.28)</f>
        <v>1894.28</v>
      </c>
      <c r="AA3" s="3">
        <f>IFERROR(__xludf.DUMMYFUNCTION("iferror(index(Googlefinance($B3, ""price"", AA$1),2,2), 0)"),1894.28)</f>
        <v>1894.28</v>
      </c>
      <c r="AB3" s="3">
        <f>IFERROR(__xludf.DUMMYFUNCTION("iferror(index(Googlefinance($B3, ""price"", AB$1),2,2), 0)"),1907.95)</f>
        <v>1907.95</v>
      </c>
      <c r="AC3" s="3">
        <f>IFERROR(__xludf.DUMMYFUNCTION("iferror(index(Googlefinance($B3, ""price"", AC$1),2,2), 0)"),1818.94)</f>
        <v>1818.94</v>
      </c>
      <c r="AD3" s="3">
        <f>IFERROR(__xludf.DUMMYFUNCTION("iferror(index(Googlefinance($B3, ""price"", AD$1),2,2), 0)"),1853.2)</f>
        <v>1853.2</v>
      </c>
      <c r="AE3" s="3">
        <f>IFERROR(__xludf.DUMMYFUNCTION("iferror(index(Googlefinance($B3, ""price"", AE$1),2,2), 0)"),1827.36)</f>
        <v>1827.36</v>
      </c>
      <c r="AF3" s="3">
        <f>IFERROR(__xludf.DUMMYFUNCTION("iferror(index(Googlefinance($B3, ""price"", AF$1),2,2), 0)"),1893.07)</f>
        <v>1893.07</v>
      </c>
      <c r="AG3" s="3">
        <f>IFERROR(__xludf.DUMMYFUNCTION("iferror(index(Googlefinance($B3, ""price"", AG$1),2,2), 0)"),1893.07)</f>
        <v>1893.07</v>
      </c>
      <c r="AH3" s="3">
        <f>IFERROR(__xludf.DUMMYFUNCTION("iferror(index(Googlefinance($B3, ""price"", AH$1),2,2), 0)"),1893.07)</f>
        <v>1893.07</v>
      </c>
      <c r="AI3" s="3">
        <f>IFERROR(__xludf.DUMMYFUNCTION("iferror(index(Googlefinance($B3, ""price"", AI$1),2,2), 0)"),1919.12)</f>
        <v>1919.12</v>
      </c>
      <c r="AJ3" s="3">
        <f>IFERROR(__xludf.DUMMYFUNCTION("iferror(index(Googlefinance($B3, ""price"", AJ$1),2,2), 0)"),2058.88)</f>
        <v>2058.88</v>
      </c>
      <c r="AK3" s="3">
        <f>IFERROR(__xludf.DUMMYFUNCTION("iferror(index(Googlefinance($B3, ""price"", AK$1),2,2), 0)"),2053.63)</f>
        <v>2053.63</v>
      </c>
      <c r="AL3" s="3">
        <f>IFERROR(__xludf.DUMMYFUNCTION("iferror(index(Googlefinance($B3, ""price"", AL$1),2,2), 0)"),2088.83)</f>
        <v>2088.83</v>
      </c>
      <c r="AM3" s="3">
        <f>IFERROR(__xludf.DUMMYFUNCTION("iferror(index(Googlefinance($B3, ""price"", AM$1),2,2), 0)"),2084.52)</f>
        <v>2084.52</v>
      </c>
      <c r="AN3" s="3">
        <f>IFERROR(__xludf.DUMMYFUNCTION("iferror(index(Googlefinance($B3, ""price"", AN$1),2,2), 0)"),2084.52)</f>
        <v>2084.52</v>
      </c>
      <c r="AO3" s="3">
        <f>IFERROR(__xludf.DUMMYFUNCTION("iferror(index(Googlefinance($B3, ""price"", AO$1),2,2), 0)"),2084.52)</f>
        <v>2084.52</v>
      </c>
      <c r="AP3" s="3">
        <f>IFERROR(__xludf.DUMMYFUNCTION("iferror(index(Googlefinance($B3, ""price"", AP$1),2,2), 0)"),2075.39)</f>
        <v>2075.39</v>
      </c>
      <c r="AQ3" s="3">
        <f>IFERROR(__xludf.DUMMYFUNCTION("iferror(index(Googlefinance($B3, ""price"", AQ$1),2,2), 0)"),2086.48)</f>
        <v>2086.48</v>
      </c>
      <c r="AR3" s="3">
        <f>IFERROR(__xludf.DUMMYFUNCTION("iferror(index(Googlefinance($B3, ""price"", AR$1),2,2), 0)"),2088.75)</f>
        <v>2088.75</v>
      </c>
      <c r="AS3" s="3">
        <f>IFERROR(__xludf.DUMMYFUNCTION("iferror(index(Googlefinance($B3, ""price"", AS$1),2,2), 0)"),2095.03)</f>
        <v>2095.03</v>
      </c>
      <c r="AT3" s="3">
        <f>IFERROR(__xludf.DUMMYFUNCTION("iferror(index(Googlefinance($B3, ""price"", AT$1),2,2), 0)"),2110.7)</f>
        <v>2110.7</v>
      </c>
      <c r="AU3" s="3">
        <f>IFERROR(__xludf.DUMMYFUNCTION("iferror(index(Googlefinance($B3, ""price"", AU$1),2,2), 0)"),2110.7)</f>
        <v>2110.7</v>
      </c>
      <c r="AV3" s="3">
        <f>IFERROR(__xludf.DUMMYFUNCTION("iferror(index(Googlefinance($B3, ""price"", AV$1),2,2), 0)"),2110.7)</f>
        <v>2110.7</v>
      </c>
      <c r="AW3" s="3">
        <f>IFERROR(__xludf.DUMMYFUNCTION("iferror(index(Googlefinance($B3, ""price"", AW$1),2,2), 0)"),2110.7)</f>
        <v>2110.7</v>
      </c>
      <c r="AX3" s="3">
        <f>IFERROR(__xludf.DUMMYFUNCTION("iferror(index(Googlefinance($B3, ""price"", AX$1),2,2), 0)"),2118.62)</f>
        <v>2118.62</v>
      </c>
      <c r="AY3" s="3">
        <f>IFERROR(__xludf.DUMMYFUNCTION("iferror(index(Googlefinance($B3, ""price"", AY$1),2,2), 0)"),2105.81)</f>
        <v>2105.81</v>
      </c>
      <c r="AZ3" s="3">
        <f>IFERROR(__xludf.DUMMYFUNCTION("iferror(index(Googlefinance($B3, ""price"", AZ$1),2,2), 0)"),2088.81)</f>
        <v>2088.81</v>
      </c>
      <c r="BA3" s="3">
        <f>IFERROR(__xludf.DUMMYFUNCTION("iferror(index(Googlefinance($B3, ""price"", BA$1),2,2), 0)"),2054.26)</f>
        <v>2054.26</v>
      </c>
      <c r="BB3" s="3">
        <f>IFERROR(__xludf.DUMMYFUNCTION("iferror(index(Googlefinance($B3, ""price"", BB$1),2,2), 0)"),2054.26)</f>
        <v>2054.26</v>
      </c>
      <c r="BC3" s="3">
        <f>IFERROR(__xludf.DUMMYFUNCTION("iferror(index(Googlefinance($B3, ""price"", BC$1),2,2), 0)"),2054.26)</f>
        <v>2054.26</v>
      </c>
      <c r="BD3" s="3">
        <f>IFERROR(__xludf.DUMMYFUNCTION("iferror(index(Googlefinance($B3, ""price"", BD$1),2,2), 0)"),2060.12)</f>
        <v>2060.12</v>
      </c>
      <c r="BE3" s="3">
        <f>IFERROR(__xludf.DUMMYFUNCTION("iferror(index(Googlefinance($B3, ""price"", BE$1),2,2), 0)"),2083.81)</f>
        <v>2083.81</v>
      </c>
      <c r="BF3" s="3">
        <f>IFERROR(__xludf.DUMMYFUNCTION("iferror(index(Googlefinance($B3, ""price"", BF$1),2,2), 0)"),2015.95)</f>
        <v>2015.95</v>
      </c>
      <c r="BG3" s="3">
        <f>IFERROR(__xludf.DUMMYFUNCTION("iferror(index(Googlefinance($B3, ""price"", BG$1),2,2), 0)"),2021.91)</f>
        <v>2021.91</v>
      </c>
      <c r="BH3" s="3">
        <f>IFERROR(__xludf.DUMMYFUNCTION("iferror(index(Googlefinance($B3, ""price"", BH$1),2,2), 0)"),2069.66)</f>
        <v>2069.66</v>
      </c>
      <c r="BI3" s="3">
        <f>IFERROR(__xludf.DUMMYFUNCTION("iferror(index(Googlefinance($B3, ""price"", BI$1),2,2), 0)"),2069.66)</f>
        <v>2069.66</v>
      </c>
      <c r="BJ3" s="3">
        <f>IFERROR(__xludf.DUMMYFUNCTION("iferror(index(Googlefinance($B3, ""price"", BJ$1),2,2), 0)"),2069.66)</f>
        <v>2069.66</v>
      </c>
      <c r="BK3" s="3">
        <f>IFERROR(__xludf.DUMMYFUNCTION("iferror(index(Googlefinance($B3, ""price"", BK$1),2,2), 0)"),2064.48)</f>
        <v>2064.48</v>
      </c>
      <c r="BL3" s="3">
        <f>IFERROR(__xludf.DUMMYFUNCTION("iferror(index(Googlefinance($B3, ""price"", BL$1),2,2), 0)"),2011.41)</f>
        <v>2011.41</v>
      </c>
      <c r="BM3" s="3">
        <f>IFERROR(__xludf.DUMMYFUNCTION("iferror(index(Googlefinance($B3, ""price"", BM$1),2,2), 0)"),2033.93)</f>
        <v>2033.93</v>
      </c>
      <c r="BN3" s="3">
        <f>IFERROR(__xludf.DUMMYFUNCTION("iferror(index(Googlefinance($B3, ""price"", BN$1),2,2), 0)"),2097.07)</f>
        <v>2097.07</v>
      </c>
      <c r="BO3" s="3">
        <f>IFERROR(__xludf.DUMMYFUNCTION("iferror(index(Googlefinance($B3, ""price"", BO$1),2,2), 0)"),2007.5)</f>
        <v>2007.5</v>
      </c>
      <c r="BP3" s="3">
        <f>IFERROR(__xludf.DUMMYFUNCTION("iferror(index(Googlefinance($B3, ""price"", BP$1),2,2), 0)"),2007.5)</f>
        <v>2007.5</v>
      </c>
      <c r="BQ3" s="3">
        <f>IFERROR(__xludf.DUMMYFUNCTION("iferror(index(Googlefinance($B3, ""price"", BQ$1),2,2), 0)"),2007.5)</f>
        <v>2007.5</v>
      </c>
      <c r="BR3" s="3">
        <f>IFERROR(__xludf.DUMMYFUNCTION("iferror(index(Googlefinance($B3, ""price"", BR$1),2,2), 0)"),2040.36)</f>
        <v>2040.36</v>
      </c>
      <c r="BS3" s="3">
        <f>IFERROR(__xludf.DUMMYFUNCTION("iferror(index(Googlefinance($B3, ""price"", BS$1),2,2), 0)"),2036.19)</f>
        <v>2036.19</v>
      </c>
      <c r="BT3" s="3">
        <f>IFERROR(__xludf.DUMMYFUNCTION("iferror(index(Googlefinance($B3, ""price"", BT$1),2,2), 0)"),2100.54)</f>
        <v>2100.54</v>
      </c>
      <c r="BU3" s="3">
        <f>IFERROR(__xludf.DUMMYFUNCTION("iferror(index(Googlefinance($B3, ""price"", BU$1),2,2), 0)"),2050.0)</f>
        <v>2050</v>
      </c>
      <c r="BV3" s="3">
        <f>IFERROR(__xludf.DUMMYFUNCTION("iferror(index(Googlefinance($B3, ""price"", BV$1),2,2), 0)"),2054.44)</f>
        <v>2054.44</v>
      </c>
      <c r="BW3" s="3">
        <f>IFERROR(__xludf.DUMMYFUNCTION("iferror(index(Googlefinance($B3, ""price"", BW$1),2,2), 0)"),2054.44)</f>
        <v>2054.44</v>
      </c>
      <c r="BX3" s="3">
        <f>IFERROR(__xludf.DUMMYFUNCTION("iferror(index(Googlefinance($B3, ""price"", BX$1),2,2), 0)"),2054.44)</f>
        <v>2054.44</v>
      </c>
      <c r="BY3" s="3">
        <f>IFERROR(__xludf.DUMMYFUNCTION("iferror(index(Googlefinance($B3, ""price"", BY$1),2,2), 0)"),2083.89)</f>
        <v>2083.89</v>
      </c>
      <c r="BZ3" s="3">
        <f>IFERROR(__xludf.DUMMYFUNCTION("iferror(index(Googlefinance($B3, ""price"", BZ$1),2,2), 0)"),2082.22)</f>
        <v>2082.22</v>
      </c>
      <c r="CA3" s="3">
        <f>IFERROR(__xludf.DUMMYFUNCTION("iferror(index(Googlefinance($B3, ""price"", CA$1),2,2), 0)"),2021.34)</f>
        <v>2021.34</v>
      </c>
      <c r="CB3" s="3">
        <f>IFERROR(__xludf.DUMMYFUNCTION("iferror(index(Googlefinance($B3, ""price"", CB$1),2,2), 0)"),2026.96)</f>
        <v>2026.96</v>
      </c>
      <c r="CC3" s="3">
        <f>IFERROR(__xludf.DUMMYFUNCTION("iferror(index(Googlefinance($B3, ""price"", CC$1),2,2), 0)"),0.0)</f>
        <v>0</v>
      </c>
      <c r="CD3" s="3">
        <f>IFERROR(__xludf.DUMMYFUNCTION("iferror(index(Googlefinance($B3, ""price"", CD$1),2,2), 0)"),0.0)</f>
        <v>0</v>
      </c>
    </row>
    <row r="4">
      <c r="A4" s="1" t="s">
        <v>6</v>
      </c>
      <c r="B4" s="1" t="s">
        <v>7</v>
      </c>
      <c r="C4" s="3">
        <f>IFERROR(__xludf.DUMMYFUNCTION("iferror(index(Googlefinance($B4, ""price"", C$1),2,2), 0)"),129.41)</f>
        <v>129.41</v>
      </c>
      <c r="D4" s="3">
        <f>IFERROR(__xludf.DUMMYFUNCTION("iferror(index(Googlefinance($B4, ""price"", D$1),2,2), 0)"),129.41)</f>
        <v>129.41</v>
      </c>
      <c r="E4" s="3">
        <f>IFERROR(__xludf.DUMMYFUNCTION("iferror(index(Googlefinance($B4, ""price"", E$1),2,2), 0)"),129.41)</f>
        <v>129.41</v>
      </c>
      <c r="F4" s="3">
        <f>IFERROR(__xludf.DUMMYFUNCTION("iferror(index(Googlefinance($B4, ""price"", F$1),2,2), 0)"),129.41)</f>
        <v>129.41</v>
      </c>
      <c r="G4" s="3">
        <f>IFERROR(__xludf.DUMMYFUNCTION("iferror(index(Googlefinance($B4, ""price"", G$1),2,2), 0)"),131.01)</f>
        <v>131.01</v>
      </c>
      <c r="H4" s="3">
        <f>IFERROR(__xludf.DUMMYFUNCTION("iferror(index(Googlefinance($B4, ""price"", H$1),2,2), 0)"),126.6)</f>
        <v>126.6</v>
      </c>
      <c r="I4" s="3">
        <f>IFERROR(__xludf.DUMMYFUNCTION("iferror(index(Googlefinance($B4, ""price"", I$1),2,2), 0)"),130.92)</f>
        <v>130.92</v>
      </c>
      <c r="J4" s="3">
        <f>IFERROR(__xludf.DUMMYFUNCTION("iferror(index(Googlefinance($B4, ""price"", J$1),2,2), 0)"),132.05)</f>
        <v>132.05</v>
      </c>
      <c r="K4" s="3">
        <f>IFERROR(__xludf.DUMMYFUNCTION("iferror(index(Googlefinance($B4, ""price"", K$1),2,2), 0)"),128.98)</f>
        <v>128.98</v>
      </c>
      <c r="L4" s="3">
        <f>IFERROR(__xludf.DUMMYFUNCTION("iferror(index(Googlefinance($B4, ""price"", L$1),2,2), 0)"),128.98)</f>
        <v>128.98</v>
      </c>
      <c r="M4" s="3">
        <f>IFERROR(__xludf.DUMMYFUNCTION("iferror(index(Googlefinance($B4, ""price"", M$1),2,2), 0)"),128.98)</f>
        <v>128.98</v>
      </c>
      <c r="N4" s="3">
        <f>IFERROR(__xludf.DUMMYFUNCTION("iferror(index(Googlefinance($B4, ""price"", N$1),2,2), 0)"),128.8)</f>
        <v>128.8</v>
      </c>
      <c r="O4" s="3">
        <f>IFERROR(__xludf.DUMMYFUNCTION("iferror(index(Googlefinance($B4, ""price"", O$1),2,2), 0)"),130.89)</f>
        <v>130.89</v>
      </c>
      <c r="P4" s="3">
        <f>IFERROR(__xludf.DUMMYFUNCTION("iferror(index(Googlefinance($B4, ""price"", P$1),2,2), 0)"),128.91)</f>
        <v>128.91</v>
      </c>
      <c r="Q4" s="3">
        <f>IFERROR(__xludf.DUMMYFUNCTION("iferror(index(Googlefinance($B4, ""price"", Q$1),2,2), 0)"),127.14)</f>
        <v>127.14</v>
      </c>
      <c r="R4" s="3">
        <f>IFERROR(__xludf.DUMMYFUNCTION("iferror(index(Googlefinance($B4, ""price"", R$1),2,2), 0)"),127.83)</f>
        <v>127.83</v>
      </c>
      <c r="S4" s="3">
        <f>IFERROR(__xludf.DUMMYFUNCTION("iferror(index(Googlefinance($B4, ""price"", S$1),2,2), 0)"),127.83)</f>
        <v>127.83</v>
      </c>
      <c r="T4" s="3">
        <f>IFERROR(__xludf.DUMMYFUNCTION("iferror(index(Googlefinance($B4, ""price"", T$1),2,2), 0)"),127.83)</f>
        <v>127.83</v>
      </c>
      <c r="U4" s="3">
        <f>IFERROR(__xludf.DUMMYFUNCTION("iferror(index(Googlefinance($B4, ""price"", U$1),2,2), 0)"),127.83)</f>
        <v>127.83</v>
      </c>
      <c r="V4" s="3">
        <f>IFERROR(__xludf.DUMMYFUNCTION("iferror(index(Googlefinance($B4, ""price"", V$1),2,2), 0)"),132.03)</f>
        <v>132.03</v>
      </c>
      <c r="W4" s="3">
        <f>IFERROR(__xludf.DUMMYFUNCTION("iferror(index(Googlefinance($B4, ""price"", W$1),2,2), 0)"),136.87)</f>
        <v>136.87</v>
      </c>
      <c r="X4" s="3">
        <f>IFERROR(__xludf.DUMMYFUNCTION("iferror(index(Googlefinance($B4, ""price"", X$1),2,2), 0)"),139.07)</f>
        <v>139.07</v>
      </c>
      <c r="Y4" s="3">
        <f>IFERROR(__xludf.DUMMYFUNCTION("iferror(index(Googlefinance($B4, ""price"", Y$1),2,2), 0)"),142.92)</f>
        <v>142.92</v>
      </c>
      <c r="Z4" s="3">
        <f>IFERROR(__xludf.DUMMYFUNCTION("iferror(index(Googlefinance($B4, ""price"", Z$1),2,2), 0)"),142.92)</f>
        <v>142.92</v>
      </c>
      <c r="AA4" s="3">
        <f>IFERROR(__xludf.DUMMYFUNCTION("iferror(index(Googlefinance($B4, ""price"", AA$1),2,2), 0)"),142.92)</f>
        <v>142.92</v>
      </c>
      <c r="AB4" s="3">
        <f>IFERROR(__xludf.DUMMYFUNCTION("iferror(index(Googlefinance($B4, ""price"", AB$1),2,2), 0)"),143.16)</f>
        <v>143.16</v>
      </c>
      <c r="AC4" s="3">
        <f>IFERROR(__xludf.DUMMYFUNCTION("iferror(index(Googlefinance($B4, ""price"", AC$1),2,2), 0)"),142.06)</f>
        <v>142.06</v>
      </c>
      <c r="AD4" s="3">
        <f>IFERROR(__xludf.DUMMYFUNCTION("iferror(index(Googlefinance($B4, ""price"", AD$1),2,2), 0)"),137.09)</f>
        <v>137.09</v>
      </c>
      <c r="AE4" s="3">
        <f>IFERROR(__xludf.DUMMYFUNCTION("iferror(index(Googlefinance($B4, ""price"", AE$1),2,2), 0)"),131.96)</f>
        <v>131.96</v>
      </c>
      <c r="AF4" s="3">
        <f>IFERROR(__xludf.DUMMYFUNCTION("iferror(index(Googlefinance($B4, ""price"", AF$1),2,2), 0)"),134.14)</f>
        <v>134.14</v>
      </c>
      <c r="AG4" s="3">
        <f>IFERROR(__xludf.DUMMYFUNCTION("iferror(index(Googlefinance($B4, ""price"", AG$1),2,2), 0)"),134.14)</f>
        <v>134.14</v>
      </c>
      <c r="AH4" s="3">
        <f>IFERROR(__xludf.DUMMYFUNCTION("iferror(index(Googlefinance($B4, ""price"", AH$1),2,2), 0)"),134.14)</f>
        <v>134.14</v>
      </c>
      <c r="AI4" s="3">
        <f>IFERROR(__xludf.DUMMYFUNCTION("iferror(index(Googlefinance($B4, ""price"", AI$1),2,2), 0)"),134.99)</f>
        <v>134.99</v>
      </c>
      <c r="AJ4" s="3">
        <f>IFERROR(__xludf.DUMMYFUNCTION("iferror(index(Googlefinance($B4, ""price"", AJ$1),2,2), 0)"),133.94)</f>
        <v>133.94</v>
      </c>
      <c r="AK4" s="3">
        <f>IFERROR(__xludf.DUMMYFUNCTION("iferror(index(Googlefinance($B4, ""price"", AK$1),2,2), 0)"),137.39)</f>
        <v>137.39</v>
      </c>
      <c r="AL4" s="3">
        <f>IFERROR(__xludf.DUMMYFUNCTION("iferror(index(Googlefinance($B4, ""price"", AL$1),2,2), 0)"),136.76)</f>
        <v>136.76</v>
      </c>
      <c r="AM4" s="3">
        <f>IFERROR(__xludf.DUMMYFUNCTION("iferror(index(Googlefinance($B4, ""price"", AM$1),2,2), 0)"),136.91)</f>
        <v>136.91</v>
      </c>
      <c r="AN4" s="3">
        <f>IFERROR(__xludf.DUMMYFUNCTION("iferror(index(Googlefinance($B4, ""price"", AN$1),2,2), 0)"),136.91)</f>
        <v>136.91</v>
      </c>
      <c r="AO4" s="3">
        <f>IFERROR(__xludf.DUMMYFUNCTION("iferror(index(Googlefinance($B4, ""price"", AO$1),2,2), 0)"),136.91)</f>
        <v>136.91</v>
      </c>
      <c r="AP4" s="3">
        <f>IFERROR(__xludf.DUMMYFUNCTION("iferror(index(Googlefinance($B4, ""price"", AP$1),2,2), 0)"),136.01)</f>
        <v>136.01</v>
      </c>
      <c r="AQ4" s="3">
        <f>IFERROR(__xludf.DUMMYFUNCTION("iferror(index(Googlefinance($B4, ""price"", AQ$1),2,2), 0)"),135.39)</f>
        <v>135.39</v>
      </c>
      <c r="AR4" s="3">
        <f>IFERROR(__xludf.DUMMYFUNCTION("iferror(index(Googlefinance($B4, ""price"", AR$1),2,2), 0)"),135.13)</f>
        <v>135.13</v>
      </c>
      <c r="AS4" s="3">
        <f>IFERROR(__xludf.DUMMYFUNCTION("iferror(index(Googlefinance($B4, ""price"", AS$1),2,2), 0)"),135.37)</f>
        <v>135.37</v>
      </c>
      <c r="AT4" s="3">
        <f>IFERROR(__xludf.DUMMYFUNCTION("iferror(index(Googlefinance($B4, ""price"", AT$1),2,2), 0)"),133.19)</f>
        <v>133.19</v>
      </c>
      <c r="AU4" s="3">
        <f>IFERROR(__xludf.DUMMYFUNCTION("iferror(index(Googlefinance($B4, ""price"", AU$1),2,2), 0)"),133.19)</f>
        <v>133.19</v>
      </c>
      <c r="AV4" s="3">
        <f>IFERROR(__xludf.DUMMYFUNCTION("iferror(index(Googlefinance($B4, ""price"", AV$1),2,2), 0)"),133.19)</f>
        <v>133.19</v>
      </c>
      <c r="AW4" s="3">
        <f>IFERROR(__xludf.DUMMYFUNCTION("iferror(index(Googlefinance($B4, ""price"", AW$1),2,2), 0)"),133.19)</f>
        <v>133.19</v>
      </c>
      <c r="AX4" s="3">
        <f>IFERROR(__xludf.DUMMYFUNCTION("iferror(index(Googlefinance($B4, ""price"", AX$1),2,2), 0)"),130.84)</f>
        <v>130.84</v>
      </c>
      <c r="AY4" s="3">
        <f>IFERROR(__xludf.DUMMYFUNCTION("iferror(index(Googlefinance($B4, ""price"", AY$1),2,2), 0)"),129.71)</f>
        <v>129.71</v>
      </c>
      <c r="AZ4" s="3">
        <f>IFERROR(__xludf.DUMMYFUNCTION("iferror(index(Googlefinance($B4, ""price"", AZ$1),2,2), 0)"),129.87)</f>
        <v>129.87</v>
      </c>
      <c r="BA4" s="3">
        <f>IFERROR(__xludf.DUMMYFUNCTION("iferror(index(Googlefinance($B4, ""price"", BA$1),2,2), 0)"),126.0)</f>
        <v>126</v>
      </c>
      <c r="BB4" s="3">
        <f>IFERROR(__xludf.DUMMYFUNCTION("iferror(index(Googlefinance($B4, ""price"", BB$1),2,2), 0)"),126.0)</f>
        <v>126</v>
      </c>
      <c r="BC4" s="3">
        <f>IFERROR(__xludf.DUMMYFUNCTION("iferror(index(Googlefinance($B4, ""price"", BC$1),2,2), 0)"),126.0)</f>
        <v>126</v>
      </c>
      <c r="BD4" s="3">
        <f>IFERROR(__xludf.DUMMYFUNCTION("iferror(index(Googlefinance($B4, ""price"", BD$1),2,2), 0)"),125.86)</f>
        <v>125.86</v>
      </c>
      <c r="BE4" s="3">
        <f>IFERROR(__xludf.DUMMYFUNCTION("iferror(index(Googlefinance($B4, ""price"", BE$1),2,2), 0)"),125.35)</f>
        <v>125.35</v>
      </c>
      <c r="BF4" s="3">
        <f>IFERROR(__xludf.DUMMYFUNCTION("iferror(index(Googlefinance($B4, ""price"", BF$1),2,2), 0)"),120.99)</f>
        <v>120.99</v>
      </c>
      <c r="BG4" s="3">
        <f>IFERROR(__xludf.DUMMYFUNCTION("iferror(index(Googlefinance($B4, ""price"", BG$1),2,2), 0)"),121.26)</f>
        <v>121.26</v>
      </c>
      <c r="BH4" s="3">
        <f>IFERROR(__xludf.DUMMYFUNCTION("iferror(index(Googlefinance($B4, ""price"", BH$1),2,2), 0)"),127.79)</f>
        <v>127.79</v>
      </c>
      <c r="BI4" s="3">
        <f>IFERROR(__xludf.DUMMYFUNCTION("iferror(index(Googlefinance($B4, ""price"", BI$1),2,2), 0)"),127.79)</f>
        <v>127.79</v>
      </c>
      <c r="BJ4" s="3">
        <f>IFERROR(__xludf.DUMMYFUNCTION("iferror(index(Googlefinance($B4, ""price"", BJ$1),2,2), 0)"),127.79)</f>
        <v>127.79</v>
      </c>
      <c r="BK4" s="3">
        <f>IFERROR(__xludf.DUMMYFUNCTION("iferror(index(Googlefinance($B4, ""price"", BK$1),2,2), 0)"),125.12)</f>
        <v>125.12</v>
      </c>
      <c r="BL4" s="3">
        <f>IFERROR(__xludf.DUMMYFUNCTION("iferror(index(Googlefinance($B4, ""price"", BL$1),2,2), 0)"),122.06)</f>
        <v>122.06</v>
      </c>
      <c r="BM4" s="3">
        <f>IFERROR(__xludf.DUMMYFUNCTION("iferror(index(Googlefinance($B4, ""price"", BM$1),2,2), 0)"),120.13)</f>
        <v>120.13</v>
      </c>
      <c r="BN4" s="3">
        <f>IFERROR(__xludf.DUMMYFUNCTION("iferror(index(Googlefinance($B4, ""price"", BN$1),2,2), 0)"),121.42)</f>
        <v>121.42</v>
      </c>
      <c r="BO4" s="3">
        <f>IFERROR(__xludf.DUMMYFUNCTION("iferror(index(Googlefinance($B4, ""price"", BO$1),2,2), 0)"),116.36)</f>
        <v>116.36</v>
      </c>
      <c r="BP4" s="3">
        <f>IFERROR(__xludf.DUMMYFUNCTION("iferror(index(Googlefinance($B4, ""price"", BP$1),2,2), 0)"),116.36)</f>
        <v>116.36</v>
      </c>
      <c r="BQ4" s="3">
        <f>IFERROR(__xludf.DUMMYFUNCTION("iferror(index(Googlefinance($B4, ""price"", BQ$1),2,2), 0)"),116.36)</f>
        <v>116.36</v>
      </c>
      <c r="BR4" s="3">
        <f>IFERROR(__xludf.DUMMYFUNCTION("iferror(index(Googlefinance($B4, ""price"", BR$1),2,2), 0)"),121.09)</f>
        <v>121.09</v>
      </c>
      <c r="BS4" s="3">
        <f>IFERROR(__xludf.DUMMYFUNCTION("iferror(index(Googlefinance($B4, ""price"", BS$1),2,2), 0)"),119.98)</f>
        <v>119.98</v>
      </c>
      <c r="BT4" s="3">
        <f>IFERROR(__xludf.DUMMYFUNCTION("iferror(index(Googlefinance($B4, ""price"", BT$1),2,2), 0)"),121.96)</f>
        <v>121.96</v>
      </c>
      <c r="BU4" s="3">
        <f>IFERROR(__xludf.DUMMYFUNCTION("iferror(index(Googlefinance($B4, ""price"", BU$1),2,2), 0)"),121.03)</f>
        <v>121.03</v>
      </c>
      <c r="BV4" s="3">
        <f>IFERROR(__xludf.DUMMYFUNCTION("iferror(index(Googlefinance($B4, ""price"", BV$1),2,2), 0)"),123.99)</f>
        <v>123.99</v>
      </c>
      <c r="BW4" s="3">
        <f>IFERROR(__xludf.DUMMYFUNCTION("iferror(index(Googlefinance($B4, ""price"", BW$1),2,2), 0)"),123.99)</f>
        <v>123.99</v>
      </c>
      <c r="BX4" s="3">
        <f>IFERROR(__xludf.DUMMYFUNCTION("iferror(index(Googlefinance($B4, ""price"", BX$1),2,2), 0)"),123.99)</f>
        <v>123.99</v>
      </c>
      <c r="BY4" s="3">
        <f>IFERROR(__xludf.DUMMYFUNCTION("iferror(index(Googlefinance($B4, ""price"", BY$1),2,2), 0)"),125.57)</f>
        <v>125.57</v>
      </c>
      <c r="BZ4" s="3">
        <f>IFERROR(__xludf.DUMMYFUNCTION("iferror(index(Googlefinance($B4, ""price"", BZ$1),2,2), 0)"),124.76)</f>
        <v>124.76</v>
      </c>
      <c r="CA4" s="3">
        <f>IFERROR(__xludf.DUMMYFUNCTION("iferror(index(Googlefinance($B4, ""price"", CA$1),2,2), 0)"),120.53)</f>
        <v>120.53</v>
      </c>
      <c r="CB4" s="3">
        <f>IFERROR(__xludf.DUMMYFUNCTION("iferror(index(Googlefinance($B4, ""price"", CB$1),2,2), 0)"),119.99)</f>
        <v>119.99</v>
      </c>
      <c r="CC4" s="3">
        <f>IFERROR(__xludf.DUMMYFUNCTION("iferror(index(Googlefinance($B4, ""price"", CC$1),2,2), 0)"),0.0)</f>
        <v>0</v>
      </c>
      <c r="CD4" s="3">
        <f>IFERROR(__xludf.DUMMYFUNCTION("iferror(index(Googlefinance($B4, ""price"", CD$1),2,2), 0)"),0.0)</f>
        <v>0</v>
      </c>
    </row>
    <row r="5">
      <c r="A5" s="1" t="s">
        <v>8</v>
      </c>
      <c r="B5" s="1" t="s">
        <v>9</v>
      </c>
      <c r="C5" s="3">
        <f>IFERROR(__xludf.DUMMYFUNCTION("iferror(index(Googlefinance($B5, ""price"", C$1),2,2), 0)"),217.69)</f>
        <v>217.69</v>
      </c>
      <c r="D5" s="3">
        <f>IFERROR(__xludf.DUMMYFUNCTION("iferror(index(Googlefinance($B5, ""price"", D$1),2,2), 0)"),217.69)</f>
        <v>217.69</v>
      </c>
      <c r="E5" s="3">
        <f>IFERROR(__xludf.DUMMYFUNCTION("iferror(index(Googlefinance($B5, ""price"", E$1),2,2), 0)"),217.69)</f>
        <v>217.69</v>
      </c>
      <c r="F5" s="3">
        <f>IFERROR(__xludf.DUMMYFUNCTION("iferror(index(Googlefinance($B5, ""price"", F$1),2,2), 0)"),217.69)</f>
        <v>217.69</v>
      </c>
      <c r="G5" s="3">
        <f>IFERROR(__xludf.DUMMYFUNCTION("iferror(index(Googlefinance($B5, ""price"", G$1),2,2), 0)"),217.9)</f>
        <v>217.9</v>
      </c>
      <c r="H5" s="3">
        <f>IFERROR(__xludf.DUMMYFUNCTION("iferror(index(Googlefinance($B5, ""price"", H$1),2,2), 0)"),212.25)</f>
        <v>212.25</v>
      </c>
      <c r="I5" s="3">
        <f>IFERROR(__xludf.DUMMYFUNCTION("iferror(index(Googlefinance($B5, ""price"", I$1),2,2), 0)"),218.29)</f>
        <v>218.29</v>
      </c>
      <c r="J5" s="3">
        <f>IFERROR(__xludf.DUMMYFUNCTION("iferror(index(Googlefinance($B5, ""price"", J$1),2,2), 0)"),219.62)</f>
        <v>219.62</v>
      </c>
      <c r="K5" s="3">
        <f>IFERROR(__xludf.DUMMYFUNCTION("iferror(index(Googlefinance($B5, ""price"", K$1),2,2), 0)"),217.49)</f>
        <v>217.49</v>
      </c>
      <c r="L5" s="3">
        <f>IFERROR(__xludf.DUMMYFUNCTION("iferror(index(Googlefinance($B5, ""price"", L$1),2,2), 0)"),217.49)</f>
        <v>217.49</v>
      </c>
      <c r="M5" s="3">
        <f>IFERROR(__xludf.DUMMYFUNCTION("iferror(index(Googlefinance($B5, ""price"", M$1),2,2), 0)"),217.49)</f>
        <v>217.49</v>
      </c>
      <c r="N5" s="3">
        <f>IFERROR(__xludf.DUMMYFUNCTION("iferror(index(Googlefinance($B5, ""price"", N$1),2,2), 0)"),214.93)</f>
        <v>214.93</v>
      </c>
      <c r="O5" s="3">
        <f>IFERROR(__xludf.DUMMYFUNCTION("iferror(index(Googlefinance($B5, ""price"", O$1),2,2), 0)"),216.34)</f>
        <v>216.34</v>
      </c>
      <c r="P5" s="3">
        <f>IFERROR(__xludf.DUMMYFUNCTION("iferror(index(Googlefinance($B5, ""price"", P$1),2,2), 0)"),213.02)</f>
        <v>213.02</v>
      </c>
      <c r="Q5" s="3">
        <f>IFERROR(__xludf.DUMMYFUNCTION("iferror(index(Googlefinance($B5, ""price"", Q$1),2,2), 0)"),212.65)</f>
        <v>212.65</v>
      </c>
      <c r="R5" s="3">
        <f>IFERROR(__xludf.DUMMYFUNCTION("iferror(index(Googlefinance($B5, ""price"", R$1),2,2), 0)"),216.44)</f>
        <v>216.44</v>
      </c>
      <c r="S5" s="3">
        <f>IFERROR(__xludf.DUMMYFUNCTION("iferror(index(Googlefinance($B5, ""price"", S$1),2,2), 0)"),216.44)</f>
        <v>216.44</v>
      </c>
      <c r="T5" s="3">
        <f>IFERROR(__xludf.DUMMYFUNCTION("iferror(index(Googlefinance($B5, ""price"", T$1),2,2), 0)"),216.44)</f>
        <v>216.44</v>
      </c>
      <c r="U5" s="3">
        <f>IFERROR(__xludf.DUMMYFUNCTION("iferror(index(Googlefinance($B5, ""price"", U$1),2,2), 0)"),216.44)</f>
        <v>216.44</v>
      </c>
      <c r="V5" s="3">
        <f>IFERROR(__xludf.DUMMYFUNCTION("iferror(index(Googlefinance($B5, ""price"", V$1),2,2), 0)"),224.34)</f>
        <v>224.34</v>
      </c>
      <c r="W5" s="3">
        <f>IFERROR(__xludf.DUMMYFUNCTION("iferror(index(Googlefinance($B5, ""price"", W$1),2,2), 0)"),224.97)</f>
        <v>224.97</v>
      </c>
      <c r="X5" s="3">
        <f>IFERROR(__xludf.DUMMYFUNCTION("iferror(index(Googlefinance($B5, ""price"", X$1),2,2), 0)"),225.95)</f>
        <v>225.95</v>
      </c>
      <c r="Y5" s="3">
        <f>IFERROR(__xludf.DUMMYFUNCTION("iferror(index(Googlefinance($B5, ""price"", Y$1),2,2), 0)"),229.53)</f>
        <v>229.53</v>
      </c>
      <c r="Z5" s="3">
        <f>IFERROR(__xludf.DUMMYFUNCTION("iferror(index(Googlefinance($B5, ""price"", Z$1),2,2), 0)"),229.53)</f>
        <v>229.53</v>
      </c>
      <c r="AA5" s="3">
        <f>IFERROR(__xludf.DUMMYFUNCTION("iferror(index(Googlefinance($B5, ""price"", AA$1),2,2), 0)"),229.53)</f>
        <v>229.53</v>
      </c>
      <c r="AB5" s="3">
        <f>IFERROR(__xludf.DUMMYFUNCTION("iferror(index(Googlefinance($B5, ""price"", AB$1),2,2), 0)"),232.33)</f>
        <v>232.33</v>
      </c>
      <c r="AC5" s="3">
        <f>IFERROR(__xludf.DUMMYFUNCTION("iferror(index(Googlefinance($B5, ""price"", AC$1),2,2), 0)"),232.9)</f>
        <v>232.9</v>
      </c>
      <c r="AD5" s="3">
        <f>IFERROR(__xludf.DUMMYFUNCTION("iferror(index(Googlefinance($B5, ""price"", AD$1),2,2), 0)"),238.93)</f>
        <v>238.93</v>
      </c>
      <c r="AE5" s="3">
        <f>IFERROR(__xludf.DUMMYFUNCTION("iferror(index(Googlefinance($B5, ""price"", AE$1),2,2), 0)"),231.96)</f>
        <v>231.96</v>
      </c>
      <c r="AF5" s="3">
        <f>IFERROR(__xludf.DUMMYFUNCTION("iferror(index(Googlefinance($B5, ""price"", AF$1),2,2), 0)"),239.65)</f>
        <v>239.65</v>
      </c>
      <c r="AG5" s="3">
        <f>IFERROR(__xludf.DUMMYFUNCTION("iferror(index(Googlefinance($B5, ""price"", AG$1),2,2), 0)"),239.65)</f>
        <v>239.65</v>
      </c>
      <c r="AH5" s="3">
        <f>IFERROR(__xludf.DUMMYFUNCTION("iferror(index(Googlefinance($B5, ""price"", AH$1),2,2), 0)"),239.65)</f>
        <v>239.65</v>
      </c>
      <c r="AI5" s="3">
        <f>IFERROR(__xludf.DUMMYFUNCTION("iferror(index(Googlefinance($B5, ""price"", AI$1),2,2), 0)"),239.51)</f>
        <v>239.51</v>
      </c>
      <c r="AJ5" s="3">
        <f>IFERROR(__xludf.DUMMYFUNCTION("iferror(index(Googlefinance($B5, ""price"", AJ$1),2,2), 0)"),243.0)</f>
        <v>243</v>
      </c>
      <c r="AK5" s="3">
        <f>IFERROR(__xludf.DUMMYFUNCTION("iferror(index(Googlefinance($B5, ""price"", AK$1),2,2), 0)"),242.01)</f>
        <v>242.01</v>
      </c>
      <c r="AL5" s="3">
        <f>IFERROR(__xludf.DUMMYFUNCTION("iferror(index(Googlefinance($B5, ""price"", AL$1),2,2), 0)"),242.2)</f>
        <v>242.2</v>
      </c>
      <c r="AM5" s="3">
        <f>IFERROR(__xludf.DUMMYFUNCTION("iferror(index(Googlefinance($B5, ""price"", AM$1),2,2), 0)"),242.47)</f>
        <v>242.47</v>
      </c>
      <c r="AN5" s="3">
        <f>IFERROR(__xludf.DUMMYFUNCTION("iferror(index(Googlefinance($B5, ""price"", AN$1),2,2), 0)"),242.47)</f>
        <v>242.47</v>
      </c>
      <c r="AO5" s="3">
        <f>IFERROR(__xludf.DUMMYFUNCTION("iferror(index(Googlefinance($B5, ""price"", AO$1),2,2), 0)"),242.47)</f>
        <v>242.47</v>
      </c>
      <c r="AP5" s="3">
        <f>IFERROR(__xludf.DUMMYFUNCTION("iferror(index(Googlefinance($B5, ""price"", AP$1),2,2), 0)"),243.77)</f>
        <v>243.77</v>
      </c>
      <c r="AQ5" s="3">
        <f>IFERROR(__xludf.DUMMYFUNCTION("iferror(index(Googlefinance($B5, ""price"", AQ$1),2,2), 0)"),242.82)</f>
        <v>242.82</v>
      </c>
      <c r="AR5" s="3">
        <f>IFERROR(__xludf.DUMMYFUNCTION("iferror(index(Googlefinance($B5, ""price"", AR$1),2,2), 0)"),244.49)</f>
        <v>244.49</v>
      </c>
      <c r="AS5" s="3">
        <f>IFERROR(__xludf.DUMMYFUNCTION("iferror(index(Googlefinance($B5, ""price"", AS$1),2,2), 0)"),244.99)</f>
        <v>244.99</v>
      </c>
      <c r="AT5" s="3">
        <f>IFERROR(__xludf.DUMMYFUNCTION("iferror(index(Googlefinance($B5, ""price"", AT$1),2,2), 0)"),243.7)</f>
        <v>243.7</v>
      </c>
      <c r="AU5" s="3">
        <f>IFERROR(__xludf.DUMMYFUNCTION("iferror(index(Googlefinance($B5, ""price"", AU$1),2,2), 0)"),243.7)</f>
        <v>243.7</v>
      </c>
      <c r="AV5" s="3">
        <f>IFERROR(__xludf.DUMMYFUNCTION("iferror(index(Googlefinance($B5, ""price"", AV$1),2,2), 0)"),243.7)</f>
        <v>243.7</v>
      </c>
      <c r="AW5" s="3">
        <f>IFERROR(__xludf.DUMMYFUNCTION("iferror(index(Googlefinance($B5, ""price"", AW$1),2,2), 0)"),243.7)</f>
        <v>243.7</v>
      </c>
      <c r="AX5" s="3">
        <f>IFERROR(__xludf.DUMMYFUNCTION("iferror(index(Googlefinance($B5, ""price"", AX$1),2,2), 0)"),244.2)</f>
        <v>244.2</v>
      </c>
      <c r="AY5" s="3">
        <f>IFERROR(__xludf.DUMMYFUNCTION("iferror(index(Googlefinance($B5, ""price"", AY$1),2,2), 0)"),243.79)</f>
        <v>243.79</v>
      </c>
      <c r="AZ5" s="3">
        <f>IFERROR(__xludf.DUMMYFUNCTION("iferror(index(Googlefinance($B5, ""price"", AZ$1),2,2), 0)"),240.97)</f>
        <v>240.97</v>
      </c>
      <c r="BA5" s="3">
        <f>IFERROR(__xludf.DUMMYFUNCTION("iferror(index(Googlefinance($B5, ""price"", BA$1),2,2), 0)"),234.51)</f>
        <v>234.51</v>
      </c>
      <c r="BB5" s="3">
        <f>IFERROR(__xludf.DUMMYFUNCTION("iferror(index(Googlefinance($B5, ""price"", BB$1),2,2), 0)"),234.51)</f>
        <v>234.51</v>
      </c>
      <c r="BC5" s="3">
        <f>IFERROR(__xludf.DUMMYFUNCTION("iferror(index(Googlefinance($B5, ""price"", BC$1),2,2), 0)"),234.51)</f>
        <v>234.51</v>
      </c>
      <c r="BD5" s="3">
        <f>IFERROR(__xludf.DUMMYFUNCTION("iferror(index(Googlefinance($B5, ""price"", BD$1),2,2), 0)"),233.27)</f>
        <v>233.27</v>
      </c>
      <c r="BE5" s="3">
        <f>IFERROR(__xludf.DUMMYFUNCTION("iferror(index(Googlefinance($B5, ""price"", BE$1),2,2), 0)"),234.55)</f>
        <v>234.55</v>
      </c>
      <c r="BF5" s="3">
        <f>IFERROR(__xludf.DUMMYFUNCTION("iferror(index(Googlefinance($B5, ""price"", BF$1),2,2), 0)"),228.99)</f>
        <v>228.99</v>
      </c>
      <c r="BG5" s="3">
        <f>IFERROR(__xludf.DUMMYFUNCTION("iferror(index(Googlefinance($B5, ""price"", BG$1),2,2), 0)"),232.38)</f>
        <v>232.38</v>
      </c>
      <c r="BH5" s="3">
        <f>IFERROR(__xludf.DUMMYFUNCTION("iferror(index(Googlefinance($B5, ""price"", BH$1),2,2), 0)"),236.94)</f>
        <v>236.94</v>
      </c>
      <c r="BI5" s="3">
        <f>IFERROR(__xludf.DUMMYFUNCTION("iferror(index(Googlefinance($B5, ""price"", BI$1),2,2), 0)"),236.94)</f>
        <v>236.94</v>
      </c>
      <c r="BJ5" s="3">
        <f>IFERROR(__xludf.DUMMYFUNCTION("iferror(index(Googlefinance($B5, ""price"", BJ$1),2,2), 0)"),236.94)</f>
        <v>236.94</v>
      </c>
      <c r="BK5" s="3">
        <f>IFERROR(__xludf.DUMMYFUNCTION("iferror(index(Googlefinance($B5, ""price"", BK$1),2,2), 0)"),233.87)</f>
        <v>233.87</v>
      </c>
      <c r="BL5" s="3">
        <f>IFERROR(__xludf.DUMMYFUNCTION("iferror(index(Googlefinance($B5, ""price"", BL$1),2,2), 0)"),227.56)</f>
        <v>227.56</v>
      </c>
      <c r="BM5" s="3">
        <f>IFERROR(__xludf.DUMMYFUNCTION("iferror(index(Googlefinance($B5, ""price"", BM$1),2,2), 0)"),226.73)</f>
        <v>226.73</v>
      </c>
      <c r="BN5" s="3">
        <f>IFERROR(__xludf.DUMMYFUNCTION("iferror(index(Googlefinance($B5, ""price"", BN$1),2,2), 0)"),231.6)</f>
        <v>231.6</v>
      </c>
      <c r="BO5" s="3">
        <f>IFERROR(__xludf.DUMMYFUNCTION("iferror(index(Googlefinance($B5, ""price"", BO$1),2,2), 0)"),227.39)</f>
        <v>227.39</v>
      </c>
      <c r="BP5" s="3">
        <f>IFERROR(__xludf.DUMMYFUNCTION("iferror(index(Googlefinance($B5, ""price"", BP$1),2,2), 0)"),227.39)</f>
        <v>227.39</v>
      </c>
      <c r="BQ5" s="3">
        <f>IFERROR(__xludf.DUMMYFUNCTION("iferror(index(Googlefinance($B5, ""price"", BQ$1),2,2), 0)"),227.39)</f>
        <v>227.39</v>
      </c>
      <c r="BR5" s="3">
        <f>IFERROR(__xludf.DUMMYFUNCTION("iferror(index(Googlefinance($B5, ""price"", BR$1),2,2), 0)"),233.78)</f>
        <v>233.78</v>
      </c>
      <c r="BS5" s="3">
        <f>IFERROR(__xludf.DUMMYFUNCTION("iferror(index(Googlefinance($B5, ""price"", BS$1),2,2), 0)"),232.42)</f>
        <v>232.42</v>
      </c>
      <c r="BT5" s="3">
        <f>IFERROR(__xludf.DUMMYFUNCTION("iferror(index(Googlefinance($B5, ""price"", BT$1),2,2), 0)"),237.13)</f>
        <v>237.13</v>
      </c>
      <c r="BU5" s="3">
        <f>IFERROR(__xludf.DUMMYFUNCTION("iferror(index(Googlefinance($B5, ""price"", BU$1),2,2), 0)"),235.75)</f>
        <v>235.75</v>
      </c>
      <c r="BV5" s="3">
        <f>IFERROR(__xludf.DUMMYFUNCTION("iferror(index(Googlefinance($B5, ""price"", BV$1),2,2), 0)"),234.81)</f>
        <v>234.81</v>
      </c>
      <c r="BW5" s="3">
        <f>IFERROR(__xludf.DUMMYFUNCTION("iferror(index(Googlefinance($B5, ""price"", BW$1),2,2), 0)"),234.81)</f>
        <v>234.81</v>
      </c>
      <c r="BX5" s="3">
        <f>IFERROR(__xludf.DUMMYFUNCTION("iferror(index(Googlefinance($B5, ""price"", BX$1),2,2), 0)"),234.81)</f>
        <v>234.81</v>
      </c>
      <c r="BY5" s="3">
        <f>IFERROR(__xludf.DUMMYFUNCTION("iferror(index(Googlefinance($B5, ""price"", BY$1),2,2), 0)"),237.71)</f>
        <v>237.71</v>
      </c>
      <c r="BZ5" s="3">
        <f>IFERROR(__xludf.DUMMYFUNCTION("iferror(index(Googlefinance($B5, ""price"", BZ$1),2,2), 0)"),237.04)</f>
        <v>237.04</v>
      </c>
      <c r="CA5" s="3">
        <f>IFERROR(__xludf.DUMMYFUNCTION("iferror(index(Googlefinance($B5, ""price"", CA$1),2,2), 0)"),230.72)</f>
        <v>230.72</v>
      </c>
      <c r="CB5" s="3">
        <f>IFERROR(__xludf.DUMMYFUNCTION("iferror(index(Googlefinance($B5, ""price"", CB$1),2,2), 0)"),230.35)</f>
        <v>230.35</v>
      </c>
      <c r="CC5" s="3">
        <f>IFERROR(__xludf.DUMMYFUNCTION("iferror(index(Googlefinance($B5, ""price"", CC$1),2,2), 0)"),0.0)</f>
        <v>0</v>
      </c>
      <c r="CD5" s="3">
        <f>IFERROR(__xludf.DUMMYFUNCTION("iferror(index(Googlefinance($B5, ""price"", CD$1),2,2), 0)"),0.0)</f>
        <v>0</v>
      </c>
    </row>
    <row r="6">
      <c r="A6" s="1" t="s">
        <v>10</v>
      </c>
      <c r="B6" s="1" t="s">
        <v>11</v>
      </c>
      <c r="C6" s="3">
        <f>IFERROR(__xludf.DUMMYFUNCTION("iferror(index(Googlefinance($B6, ""price"", C$1),2,2), 0)"),0.0)</f>
        <v>0</v>
      </c>
      <c r="D6" s="3">
        <f>IFERROR(__xludf.DUMMYFUNCTION("iferror(index(Googlefinance($B6, ""price"", D$1),2,2), 0)"),0.0)</f>
        <v>0</v>
      </c>
      <c r="E6" s="3">
        <f>IFERROR(__xludf.DUMMYFUNCTION("iferror(index(Googlefinance($B6, ""price"", E$1),2,2), 0)"),0.0)</f>
        <v>0</v>
      </c>
      <c r="F6" s="3">
        <f>IFERROR(__xludf.DUMMYFUNCTION("iferror(index(Googlefinance($B6, ""price"", F$1),2,2), 0)"),0.0)</f>
        <v>0</v>
      </c>
      <c r="G6" s="3">
        <f>IFERROR(__xludf.DUMMYFUNCTION("iferror(index(Googlefinance($B6, ""price"", G$1),2,2), 0)"),0.0)</f>
        <v>0</v>
      </c>
      <c r="H6" s="3">
        <f>IFERROR(__xludf.DUMMYFUNCTION("iferror(index(Googlefinance($B6, ""price"", H$1),2,2), 0)"),0.0)</f>
        <v>0</v>
      </c>
      <c r="I6" s="3">
        <f>IFERROR(__xludf.DUMMYFUNCTION("iferror(index(Googlefinance($B6, ""price"", I$1),2,2), 0)"),0.0)</f>
        <v>0</v>
      </c>
      <c r="J6" s="3">
        <f>IFERROR(__xludf.DUMMYFUNCTION("iferror(index(Googlefinance($B6, ""price"", J$1),2,2), 0)"),0.0)</f>
        <v>0</v>
      </c>
      <c r="K6" s="3">
        <f>IFERROR(__xludf.DUMMYFUNCTION("iferror(index(Googlefinance($B6, ""price"", K$1),2,2), 0)"),0.0)</f>
        <v>0</v>
      </c>
      <c r="L6" s="3">
        <f>IFERROR(__xludf.DUMMYFUNCTION("iferror(index(Googlefinance($B6, ""price"", L$1),2,2), 0)"),0.0)</f>
        <v>0</v>
      </c>
      <c r="M6" s="3">
        <f>IFERROR(__xludf.DUMMYFUNCTION("iferror(index(Googlefinance($B6, ""price"", M$1),2,2), 0)"),0.0)</f>
        <v>0</v>
      </c>
      <c r="N6" s="3">
        <f>IFERROR(__xludf.DUMMYFUNCTION("iferror(index(Googlefinance($B6, ""price"", N$1),2,2), 0)"),0.0)</f>
        <v>0</v>
      </c>
      <c r="O6" s="3">
        <f>IFERROR(__xludf.DUMMYFUNCTION("iferror(index(Googlefinance($B6, ""price"", O$1),2,2), 0)"),0.0)</f>
        <v>0</v>
      </c>
      <c r="P6" s="3">
        <f>IFERROR(__xludf.DUMMYFUNCTION("iferror(index(Googlefinance($B6, ""price"", P$1),2,2), 0)"),0.0)</f>
        <v>0</v>
      </c>
      <c r="Q6" s="3">
        <f>IFERROR(__xludf.DUMMYFUNCTION("iferror(index(Googlefinance($B6, ""price"", Q$1),2,2), 0)"),0.0)</f>
        <v>0</v>
      </c>
      <c r="R6" s="3">
        <f>IFERROR(__xludf.DUMMYFUNCTION("iferror(index(Googlefinance($B6, ""price"", R$1),2,2), 0)"),0.0)</f>
        <v>0</v>
      </c>
      <c r="S6" s="3">
        <f>IFERROR(__xludf.DUMMYFUNCTION("iferror(index(Googlefinance($B6, ""price"", S$1),2,2), 0)"),0.0)</f>
        <v>0</v>
      </c>
      <c r="T6" s="3">
        <f>IFERROR(__xludf.DUMMYFUNCTION("iferror(index(Googlefinance($B6, ""price"", T$1),2,2), 0)"),0.0)</f>
        <v>0</v>
      </c>
      <c r="U6" s="3">
        <f>IFERROR(__xludf.DUMMYFUNCTION("iferror(index(Googlefinance($B6, ""price"", U$1),2,2), 0)"),0.0)</f>
        <v>0</v>
      </c>
      <c r="V6" s="3">
        <f>IFERROR(__xludf.DUMMYFUNCTION("iferror(index(Googlefinance($B6, ""price"", V$1),2,2), 0)"),0.0)</f>
        <v>0</v>
      </c>
      <c r="W6" s="3">
        <f>IFERROR(__xludf.DUMMYFUNCTION("iferror(index(Googlefinance($B6, ""price"", W$1),2,2), 0)"),0.0)</f>
        <v>0</v>
      </c>
      <c r="X6" s="3">
        <f>IFERROR(__xludf.DUMMYFUNCTION("iferror(index(Googlefinance($B6, ""price"", X$1),2,2), 0)"),0.0)</f>
        <v>0</v>
      </c>
      <c r="Y6" s="3">
        <f>IFERROR(__xludf.DUMMYFUNCTION("iferror(index(Googlefinance($B6, ""price"", Y$1),2,2), 0)"),0.0)</f>
        <v>0</v>
      </c>
      <c r="Z6" s="3">
        <f>IFERROR(__xludf.DUMMYFUNCTION("iferror(index(Googlefinance($B6, ""price"", Z$1),2,2), 0)"),0.0)</f>
        <v>0</v>
      </c>
      <c r="AA6" s="3">
        <f>IFERROR(__xludf.DUMMYFUNCTION("iferror(index(Googlefinance($B6, ""price"", AA$1),2,2), 0)"),0.0)</f>
        <v>0</v>
      </c>
      <c r="AB6" s="3">
        <f>IFERROR(__xludf.DUMMYFUNCTION("iferror(index(Googlefinance($B6, ""price"", AB$1),2,2), 0)"),0.0)</f>
        <v>0</v>
      </c>
      <c r="AC6" s="3">
        <f>IFERROR(__xludf.DUMMYFUNCTION("iferror(index(Googlefinance($B6, ""price"", AC$1),2,2), 0)"),0.0)</f>
        <v>0</v>
      </c>
      <c r="AD6" s="3">
        <f>IFERROR(__xludf.DUMMYFUNCTION("iferror(index(Googlefinance($B6, ""price"", AD$1),2,2), 0)"),45.5)</f>
        <v>45.5</v>
      </c>
      <c r="AE6" s="3">
        <f>IFERROR(__xludf.DUMMYFUNCTION("iferror(index(Googlefinance($B6, ""price"", AE$1),2,2), 0)"),44.0)</f>
        <v>44</v>
      </c>
      <c r="AF6" s="3">
        <f>IFERROR(__xludf.DUMMYFUNCTION("iferror(index(Googlefinance($B6, ""price"", AF$1),2,2), 0)"),49.0)</f>
        <v>49</v>
      </c>
      <c r="AG6" s="3">
        <f>IFERROR(__xludf.DUMMYFUNCTION("iferror(index(Googlefinance($B6, ""price"", AG$1),2,2), 0)"),49.0)</f>
        <v>49</v>
      </c>
      <c r="AH6" s="3">
        <f>IFERROR(__xludf.DUMMYFUNCTION("iferror(index(Googlefinance($B6, ""price"", AH$1),2,2), 0)"),49.0)</f>
        <v>49</v>
      </c>
      <c r="AI6" s="3">
        <f>IFERROR(__xludf.DUMMYFUNCTION("iferror(index(Googlefinance($B6, ""price"", AI$1),2,2), 0)"),51.25)</f>
        <v>51.25</v>
      </c>
      <c r="AJ6" s="3">
        <f>IFERROR(__xludf.DUMMYFUNCTION("iferror(index(Googlefinance($B6, ""price"", AJ$1),2,2), 0)"),53.5)</f>
        <v>53.5</v>
      </c>
      <c r="AK6" s="3">
        <f>IFERROR(__xludf.DUMMYFUNCTION("iferror(index(Googlefinance($B6, ""price"", AK$1),2,2), 0)"),54.9)</f>
        <v>54.9</v>
      </c>
      <c r="AL6" s="3">
        <f>IFERROR(__xludf.DUMMYFUNCTION("iferror(index(Googlefinance($B6, ""price"", AL$1),2,2), 0)"),55.24)</f>
        <v>55.24</v>
      </c>
      <c r="AM6" s="3">
        <f>IFERROR(__xludf.DUMMYFUNCTION("iferror(index(Googlefinance($B6, ""price"", AM$1),2,2), 0)"),50.5)</f>
        <v>50.5</v>
      </c>
      <c r="AN6" s="3">
        <f>IFERROR(__xludf.DUMMYFUNCTION("iferror(index(Googlefinance($B6, ""price"", AN$1),2,2), 0)"),50.5)</f>
        <v>50.5</v>
      </c>
      <c r="AO6" s="3">
        <f>IFERROR(__xludf.DUMMYFUNCTION("iferror(index(Googlefinance($B6, ""price"", AO$1),2,2), 0)"),50.5)</f>
        <v>50.5</v>
      </c>
      <c r="AP6" s="3">
        <f>IFERROR(__xludf.DUMMYFUNCTION("iferror(index(Googlefinance($B6, ""price"", AP$1),2,2), 0)"),48.29)</f>
        <v>48.29</v>
      </c>
      <c r="AQ6" s="3">
        <f>IFERROR(__xludf.DUMMYFUNCTION("iferror(index(Googlefinance($B6, ""price"", AQ$1),2,2), 0)"),46.0)</f>
        <v>46</v>
      </c>
      <c r="AR6" s="3">
        <f>IFERROR(__xludf.DUMMYFUNCTION("iferror(index(Googlefinance($B6, ""price"", AR$1),2,2), 0)"),46.11)</f>
        <v>46.11</v>
      </c>
      <c r="AS6" s="3">
        <f>IFERROR(__xludf.DUMMYFUNCTION("iferror(index(Googlefinance($B6, ""price"", AS$1),2,2), 0)"),45.36)</f>
        <v>45.36</v>
      </c>
      <c r="AT6" s="3">
        <f>IFERROR(__xludf.DUMMYFUNCTION("iferror(index(Googlefinance($B6, ""price"", AT$1),2,2), 0)"),45.24)</f>
        <v>45.24</v>
      </c>
      <c r="AU6" s="3">
        <f>IFERROR(__xludf.DUMMYFUNCTION("iferror(index(Googlefinance($B6, ""price"", AU$1),2,2), 0)"),45.24)</f>
        <v>45.24</v>
      </c>
      <c r="AV6" s="3">
        <f>IFERROR(__xludf.DUMMYFUNCTION("iferror(index(Googlefinance($B6, ""price"", AV$1),2,2), 0)"),45.24)</f>
        <v>45.24</v>
      </c>
      <c r="AW6" s="3">
        <f>IFERROR(__xludf.DUMMYFUNCTION("iferror(index(Googlefinance($B6, ""price"", AW$1),2,2), 0)"),45.24)</f>
        <v>45.24</v>
      </c>
      <c r="AX6" s="3">
        <f>IFERROR(__xludf.DUMMYFUNCTION("iferror(index(Googlefinance($B6, ""price"", AX$1),2,2), 0)"),44.35)</f>
        <v>44.35</v>
      </c>
      <c r="AY6" s="3">
        <f>IFERROR(__xludf.DUMMYFUNCTION("iferror(index(Googlefinance($B6, ""price"", AY$1),2,2), 0)"),44.63)</f>
        <v>44.63</v>
      </c>
      <c r="AZ6" s="3">
        <f>IFERROR(__xludf.DUMMYFUNCTION("iferror(index(Googlefinance($B6, ""price"", AZ$1),2,2), 0)"),45.09)</f>
        <v>45.09</v>
      </c>
      <c r="BA6" s="3">
        <f>IFERROR(__xludf.DUMMYFUNCTION("iferror(index(Googlefinance($B6, ""price"", BA$1),2,2), 0)"),45.6)</f>
        <v>45.6</v>
      </c>
      <c r="BB6" s="3">
        <f>IFERROR(__xludf.DUMMYFUNCTION("iferror(index(Googlefinance($B6, ""price"", BB$1),2,2), 0)"),45.6)</f>
        <v>45.6</v>
      </c>
      <c r="BC6" s="3">
        <f>IFERROR(__xludf.DUMMYFUNCTION("iferror(index(Googlefinance($B6, ""price"", BC$1),2,2), 0)"),45.6)</f>
        <v>45.6</v>
      </c>
      <c r="BD6" s="3">
        <f>IFERROR(__xludf.DUMMYFUNCTION("iferror(index(Googlefinance($B6, ""price"", BD$1),2,2), 0)"),43.24)</f>
        <v>43.24</v>
      </c>
      <c r="BE6" s="3">
        <f>IFERROR(__xludf.DUMMYFUNCTION("iferror(index(Googlefinance($B6, ""price"", BE$1),2,2), 0)"),42.51)</f>
        <v>42.51</v>
      </c>
      <c r="BF6" s="3">
        <f>IFERROR(__xludf.DUMMYFUNCTION("iferror(index(Googlefinance($B6, ""price"", BF$1),2,2), 0)"),39.9)</f>
        <v>39.9</v>
      </c>
      <c r="BG6" s="3">
        <f>IFERROR(__xludf.DUMMYFUNCTION("iferror(index(Googlefinance($B6, ""price"", BG$1),2,2), 0)"),38.0)</f>
        <v>38</v>
      </c>
      <c r="BH6" s="3">
        <f>IFERROR(__xludf.DUMMYFUNCTION("iferror(index(Googlefinance($B6, ""price"", BH$1),2,2), 0)"),39.3)</f>
        <v>39.3</v>
      </c>
      <c r="BI6" s="3">
        <f>IFERROR(__xludf.DUMMYFUNCTION("iferror(index(Googlefinance($B6, ""price"", BI$1),2,2), 0)"),39.3)</f>
        <v>39.3</v>
      </c>
      <c r="BJ6" s="3">
        <f>IFERROR(__xludf.DUMMYFUNCTION("iferror(index(Googlefinance($B6, ""price"", BJ$1),2,2), 0)"),39.3)</f>
        <v>39.3</v>
      </c>
      <c r="BK6" s="3">
        <f>IFERROR(__xludf.DUMMYFUNCTION("iferror(index(Googlefinance($B6, ""price"", BK$1),2,2), 0)"),36.88)</f>
        <v>36.88</v>
      </c>
      <c r="BL6" s="3">
        <f>IFERROR(__xludf.DUMMYFUNCTION("iferror(index(Googlefinance($B6, ""price"", BL$1),2,2), 0)"),34.68)</f>
        <v>34.68</v>
      </c>
      <c r="BM6" s="3">
        <f>IFERROR(__xludf.DUMMYFUNCTION("iferror(index(Googlefinance($B6, ""price"", BM$1),2,2), 0)"),33.57)</f>
        <v>33.57</v>
      </c>
      <c r="BN6" s="3">
        <f>IFERROR(__xludf.DUMMYFUNCTION("iferror(index(Googlefinance($B6, ""price"", BN$1),2,2), 0)"),34.51)</f>
        <v>34.51</v>
      </c>
      <c r="BO6" s="3">
        <f>IFERROR(__xludf.DUMMYFUNCTION("iferror(index(Googlefinance($B6, ""price"", BO$1),2,2), 0)"),34.6)</f>
        <v>34.6</v>
      </c>
      <c r="BP6" s="3">
        <f>IFERROR(__xludf.DUMMYFUNCTION("iferror(index(Googlefinance($B6, ""price"", BP$1),2,2), 0)"),34.6)</f>
        <v>34.6</v>
      </c>
      <c r="BQ6" s="3">
        <f>IFERROR(__xludf.DUMMYFUNCTION("iferror(index(Googlefinance($B6, ""price"", BQ$1),2,2), 0)"),34.6)</f>
        <v>34.6</v>
      </c>
      <c r="BR6" s="3">
        <f>IFERROR(__xludf.DUMMYFUNCTION("iferror(index(Googlefinance($B6, ""price"", BR$1),2,2), 0)"),37.14)</f>
        <v>37.14</v>
      </c>
      <c r="BS6" s="3">
        <f>IFERROR(__xludf.DUMMYFUNCTION("iferror(index(Googlefinance($B6, ""price"", BS$1),2,2), 0)"),37.49)</f>
        <v>37.49</v>
      </c>
      <c r="BT6" s="3">
        <f>IFERROR(__xludf.DUMMYFUNCTION("iferror(index(Googlefinance($B6, ""price"", BT$1),2,2), 0)"),35.95)</f>
        <v>35.95</v>
      </c>
      <c r="BU6" s="3">
        <f>IFERROR(__xludf.DUMMYFUNCTION("iferror(index(Googlefinance($B6, ""price"", BU$1),2,2), 0)"),37.83)</f>
        <v>37.83</v>
      </c>
      <c r="BV6" s="3">
        <f>IFERROR(__xludf.DUMMYFUNCTION("iferror(index(Googlefinance($B6, ""price"", BV$1),2,2), 0)"),37.09)</f>
        <v>37.09</v>
      </c>
      <c r="BW6" s="3">
        <f>IFERROR(__xludf.DUMMYFUNCTION("iferror(index(Googlefinance($B6, ""price"", BW$1),2,2), 0)"),37.09)</f>
        <v>37.09</v>
      </c>
      <c r="BX6" s="3">
        <f>IFERROR(__xludf.DUMMYFUNCTION("iferror(index(Googlefinance($B6, ""price"", BX$1),2,2), 0)"),37.09)</f>
        <v>37.09</v>
      </c>
      <c r="BY6" s="3">
        <f>IFERROR(__xludf.DUMMYFUNCTION("iferror(index(Googlefinance($B6, ""price"", BY$1),2,2), 0)"),36.01)</f>
        <v>36.01</v>
      </c>
      <c r="BZ6" s="3">
        <f>IFERROR(__xludf.DUMMYFUNCTION("iferror(index(Googlefinance($B6, ""price"", BZ$1),2,2), 0)"),35.41)</f>
        <v>35.41</v>
      </c>
      <c r="CA6" s="3">
        <f>IFERROR(__xludf.DUMMYFUNCTION("iferror(index(Googlefinance($B6, ""price"", CA$1),2,2), 0)"),34.6)</f>
        <v>34.6</v>
      </c>
      <c r="CB6" s="3">
        <f>IFERROR(__xludf.DUMMYFUNCTION("iferror(index(Googlefinance($B6, ""price"", CB$1),2,2), 0)"),33.76)</f>
        <v>33.76</v>
      </c>
      <c r="CC6" s="3">
        <f>IFERROR(__xludf.DUMMYFUNCTION("iferror(index(Googlefinance($B6, ""price"", CC$1),2,2), 0)"),0.0)</f>
        <v>0</v>
      </c>
      <c r="CD6" s="3">
        <f>IFERROR(__xludf.DUMMYFUNCTION("iferror(index(Googlefinance($B6, ""price"", CD$1),2,2), 0)"),0.0)</f>
        <v>0</v>
      </c>
    </row>
    <row r="7">
      <c r="A7" s="1" t="s">
        <v>12</v>
      </c>
      <c r="B7" s="1" t="s">
        <v>13</v>
      </c>
      <c r="C7" s="3">
        <f>IFERROR(__xludf.DUMMYFUNCTION("iferror(index(Googlefinance($B7, ""price"", C$1),2,2), 0)"),17.25)</f>
        <v>17.25</v>
      </c>
      <c r="D7" s="3">
        <f>IFERROR(__xludf.DUMMYFUNCTION("iferror(index(Googlefinance($B7, ""price"", D$1),2,2), 0)"),17.25)</f>
        <v>17.25</v>
      </c>
      <c r="E7" s="3">
        <f>IFERROR(__xludf.DUMMYFUNCTION("iferror(index(Googlefinance($B7, ""price"", E$1),2,2), 0)"),17.25)</f>
        <v>17.25</v>
      </c>
      <c r="F7" s="3">
        <f>IFERROR(__xludf.DUMMYFUNCTION("iferror(index(Googlefinance($B7, ""price"", F$1),2,2), 0)"),17.25)</f>
        <v>17.25</v>
      </c>
      <c r="G7" s="3">
        <f>IFERROR(__xludf.DUMMYFUNCTION("iferror(index(Googlefinance($B7, ""price"", G$1),2,2), 0)"),17.37)</f>
        <v>17.37</v>
      </c>
      <c r="H7" s="3">
        <f>IFERROR(__xludf.DUMMYFUNCTION("iferror(index(Googlefinance($B7, ""price"", H$1),2,2), 0)"),18.36)</f>
        <v>18.36</v>
      </c>
      <c r="I7" s="3">
        <f>IFERROR(__xludf.DUMMYFUNCTION("iferror(index(Googlefinance($B7, ""price"", I$1),2,2), 0)"),18.08)</f>
        <v>18.08</v>
      </c>
      <c r="J7" s="3">
        <f>IFERROR(__xludf.DUMMYFUNCTION("iferror(index(Googlefinance($B7, ""price"", J$1),2,2), 0)"),17.69)</f>
        <v>17.69</v>
      </c>
      <c r="K7" s="3">
        <f>IFERROR(__xludf.DUMMYFUNCTION("iferror(index(Googlefinance($B7, ""price"", K$1),2,2), 0)"),19.94)</f>
        <v>19.94</v>
      </c>
      <c r="L7" s="3">
        <f>IFERROR(__xludf.DUMMYFUNCTION("iferror(index(Googlefinance($B7, ""price"", L$1),2,2), 0)"),19.94)</f>
        <v>19.94</v>
      </c>
      <c r="M7" s="3">
        <f>IFERROR(__xludf.DUMMYFUNCTION("iferror(index(Googlefinance($B7, ""price"", M$1),2,2), 0)"),19.94)</f>
        <v>19.94</v>
      </c>
      <c r="N7" s="3">
        <f>IFERROR(__xludf.DUMMYFUNCTION("iferror(index(Googlefinance($B7, ""price"", N$1),2,2), 0)"),19.95)</f>
        <v>19.95</v>
      </c>
      <c r="O7" s="3">
        <f>IFERROR(__xludf.DUMMYFUNCTION("iferror(index(Googlefinance($B7, ""price"", O$1),2,2), 0)"),31.4)</f>
        <v>31.4</v>
      </c>
      <c r="P7" s="3">
        <f>IFERROR(__xludf.DUMMYFUNCTION("iferror(index(Googlefinance($B7, ""price"", P$1),2,2), 0)"),39.91)</f>
        <v>39.91</v>
      </c>
      <c r="Q7" s="3">
        <f>IFERROR(__xludf.DUMMYFUNCTION("iferror(index(Googlefinance($B7, ""price"", Q$1),2,2), 0)"),35.5)</f>
        <v>35.5</v>
      </c>
      <c r="R7" s="3">
        <f>IFERROR(__xludf.DUMMYFUNCTION("iferror(index(Googlefinance($B7, ""price"", R$1),2,2), 0)"),39.36)</f>
        <v>39.36</v>
      </c>
      <c r="S7" s="3">
        <f>IFERROR(__xludf.DUMMYFUNCTION("iferror(index(Googlefinance($B7, ""price"", S$1),2,2), 0)"),39.36)</f>
        <v>39.36</v>
      </c>
      <c r="T7" s="3">
        <f>IFERROR(__xludf.DUMMYFUNCTION("iferror(index(Googlefinance($B7, ""price"", T$1),2,2), 0)"),39.36)</f>
        <v>39.36</v>
      </c>
      <c r="U7" s="3">
        <f>IFERROR(__xludf.DUMMYFUNCTION("iferror(index(Googlefinance($B7, ""price"", U$1),2,2), 0)"),39.36)</f>
        <v>39.36</v>
      </c>
      <c r="V7" s="3">
        <f>IFERROR(__xludf.DUMMYFUNCTION("iferror(index(Googlefinance($B7, ""price"", V$1),2,2), 0)"),39.12)</f>
        <v>39.12</v>
      </c>
      <c r="W7" s="3">
        <f>IFERROR(__xludf.DUMMYFUNCTION("iferror(index(Googlefinance($B7, ""price"", W$1),2,2), 0)"),43.03)</f>
        <v>43.03</v>
      </c>
      <c r="X7" s="3">
        <f>IFERROR(__xludf.DUMMYFUNCTION("iferror(index(Googlefinance($B7, ""price"", X$1),2,2), 0)"),65.01)</f>
        <v>65.01</v>
      </c>
      <c r="Y7" s="3">
        <f>IFERROR(__xludf.DUMMYFUNCTION("iferror(index(Googlefinance($B7, ""price"", Y$1),2,2), 0)"),76.79)</f>
        <v>76.79</v>
      </c>
      <c r="Z7" s="3">
        <f>IFERROR(__xludf.DUMMYFUNCTION("iferror(index(Googlefinance($B7, ""price"", Z$1),2,2), 0)"),76.79)</f>
        <v>76.79</v>
      </c>
      <c r="AA7" s="3">
        <f>IFERROR(__xludf.DUMMYFUNCTION("iferror(index(Googlefinance($B7, ""price"", AA$1),2,2), 0)"),76.79)</f>
        <v>76.79</v>
      </c>
      <c r="AB7" s="3">
        <f>IFERROR(__xludf.DUMMYFUNCTION("iferror(index(Googlefinance($B7, ""price"", AB$1),2,2), 0)"),147.98)</f>
        <v>147.98</v>
      </c>
      <c r="AC7" s="3">
        <f>IFERROR(__xludf.DUMMYFUNCTION("iferror(index(Googlefinance($B7, ""price"", AC$1),2,2), 0)"),347.51)</f>
        <v>347.51</v>
      </c>
      <c r="AD7" s="3">
        <f>IFERROR(__xludf.DUMMYFUNCTION("iferror(index(Googlefinance($B7, ""price"", AD$1),2,2), 0)"),193.6)</f>
        <v>193.6</v>
      </c>
      <c r="AE7" s="3">
        <f>IFERROR(__xludf.DUMMYFUNCTION("iferror(index(Googlefinance($B7, ""price"", AE$1),2,2), 0)"),325.0)</f>
        <v>325</v>
      </c>
      <c r="AF7" s="3">
        <f>IFERROR(__xludf.DUMMYFUNCTION("iferror(index(Googlefinance($B7, ""price"", AF$1),2,2), 0)"),225.0)</f>
        <v>225</v>
      </c>
      <c r="AG7" s="3">
        <f>IFERROR(__xludf.DUMMYFUNCTION("iferror(index(Googlefinance($B7, ""price"", AG$1),2,2), 0)"),225.0)</f>
        <v>225</v>
      </c>
      <c r="AH7" s="3">
        <f>IFERROR(__xludf.DUMMYFUNCTION("iferror(index(Googlefinance($B7, ""price"", AH$1),2,2), 0)"),225.0)</f>
        <v>225</v>
      </c>
      <c r="AI7" s="3">
        <f>IFERROR(__xludf.DUMMYFUNCTION("iferror(index(Googlefinance($B7, ""price"", AI$1),2,2), 0)"),90.0)</f>
        <v>90</v>
      </c>
      <c r="AJ7" s="3">
        <f>IFERROR(__xludf.DUMMYFUNCTION("iferror(index(Googlefinance($B7, ""price"", AJ$1),2,2), 0)"),92.41)</f>
        <v>92.41</v>
      </c>
      <c r="AK7" s="3">
        <f>IFERROR(__xludf.DUMMYFUNCTION("iferror(index(Googlefinance($B7, ""price"", AK$1),2,2), 0)"),53.5)</f>
        <v>53.5</v>
      </c>
      <c r="AL7" s="3">
        <f>IFERROR(__xludf.DUMMYFUNCTION("iferror(index(Googlefinance($B7, ""price"", AL$1),2,2), 0)"),63.77)</f>
        <v>63.77</v>
      </c>
      <c r="AM7" s="3">
        <f>IFERROR(__xludf.DUMMYFUNCTION("iferror(index(Googlefinance($B7, ""price"", AM$1),2,2), 0)"),60.0)</f>
        <v>60</v>
      </c>
      <c r="AN7" s="3">
        <f>IFERROR(__xludf.DUMMYFUNCTION("iferror(index(Googlefinance($B7, ""price"", AN$1),2,2), 0)"),60.0)</f>
        <v>60</v>
      </c>
      <c r="AO7" s="3">
        <f>IFERROR(__xludf.DUMMYFUNCTION("iferror(index(Googlefinance($B7, ""price"", AO$1),2,2), 0)"),60.0)</f>
        <v>60</v>
      </c>
      <c r="AP7" s="3">
        <f>IFERROR(__xludf.DUMMYFUNCTION("iferror(index(Googlefinance($B7, ""price"", AP$1),2,2), 0)"),50.31)</f>
        <v>50.31</v>
      </c>
      <c r="AQ7" s="3">
        <f>IFERROR(__xludf.DUMMYFUNCTION("iferror(index(Googlefinance($B7, ""price"", AQ$1),2,2), 0)"),51.2)</f>
        <v>51.2</v>
      </c>
      <c r="AR7" s="3">
        <f>IFERROR(__xludf.DUMMYFUNCTION("iferror(index(Googlefinance($B7, ""price"", AR$1),2,2), 0)"),51.1)</f>
        <v>51.1</v>
      </c>
      <c r="AS7" s="3">
        <f>IFERROR(__xludf.DUMMYFUNCTION("iferror(index(Googlefinance($B7, ""price"", AS$1),2,2), 0)"),52.4)</f>
        <v>52.4</v>
      </c>
      <c r="AT7" s="3">
        <f>IFERROR(__xludf.DUMMYFUNCTION("iferror(index(Googlefinance($B7, ""price"", AT$1),2,2), 0)"),49.51)</f>
        <v>49.51</v>
      </c>
      <c r="AU7" s="3">
        <f>IFERROR(__xludf.DUMMYFUNCTION("iferror(index(Googlefinance($B7, ""price"", AU$1),2,2), 0)"),49.51)</f>
        <v>49.51</v>
      </c>
      <c r="AV7" s="3">
        <f>IFERROR(__xludf.DUMMYFUNCTION("iferror(index(Googlefinance($B7, ""price"", AV$1),2,2), 0)"),49.51)</f>
        <v>49.51</v>
      </c>
      <c r="AW7" s="3">
        <f>IFERROR(__xludf.DUMMYFUNCTION("iferror(index(Googlefinance($B7, ""price"", AW$1),2,2), 0)"),49.51)</f>
        <v>49.51</v>
      </c>
      <c r="AX7" s="3">
        <f>IFERROR(__xludf.DUMMYFUNCTION("iferror(index(Googlefinance($B7, ""price"", AX$1),2,2), 0)"),45.94)</f>
        <v>45.94</v>
      </c>
      <c r="AY7" s="3">
        <f>IFERROR(__xludf.DUMMYFUNCTION("iferror(index(Googlefinance($B7, ""price"", AY$1),2,2), 0)"),40.69)</f>
        <v>40.69</v>
      </c>
      <c r="AZ7" s="3">
        <f>IFERROR(__xludf.DUMMYFUNCTION("iferror(index(Googlefinance($B7, ""price"", AZ$1),2,2), 0)"),40.59)</f>
        <v>40.59</v>
      </c>
      <c r="BA7" s="3">
        <f>IFERROR(__xludf.DUMMYFUNCTION("iferror(index(Googlefinance($B7, ""price"", BA$1),2,2), 0)"),46.0)</f>
        <v>46</v>
      </c>
      <c r="BB7" s="3">
        <f>IFERROR(__xludf.DUMMYFUNCTION("iferror(index(Googlefinance($B7, ""price"", BB$1),2,2), 0)"),46.0)</f>
        <v>46</v>
      </c>
      <c r="BC7" s="3">
        <f>IFERROR(__xludf.DUMMYFUNCTION("iferror(index(Googlefinance($B7, ""price"", BC$1),2,2), 0)"),46.0)</f>
        <v>46</v>
      </c>
      <c r="BD7" s="3">
        <f>IFERROR(__xludf.DUMMYFUNCTION("iferror(index(Googlefinance($B7, ""price"", BD$1),2,2), 0)"),44.97)</f>
        <v>44.97</v>
      </c>
      <c r="BE7" s="3">
        <f>IFERROR(__xludf.DUMMYFUNCTION("iferror(index(Googlefinance($B7, ""price"", BE$1),2,2), 0)"),91.71)</f>
        <v>91.71</v>
      </c>
      <c r="BF7" s="3">
        <f>IFERROR(__xludf.DUMMYFUNCTION("iferror(index(Googlefinance($B7, ""price"", BF$1),2,2), 0)"),108.73)</f>
        <v>108.73</v>
      </c>
      <c r="BG7" s="3">
        <f>IFERROR(__xludf.DUMMYFUNCTION("iferror(index(Googlefinance($B7, ""price"", BG$1),2,2), 0)"),101.74)</f>
        <v>101.74</v>
      </c>
      <c r="BH7" s="3">
        <f>IFERROR(__xludf.DUMMYFUNCTION("iferror(index(Googlefinance($B7, ""price"", BH$1),2,2), 0)"),120.4)</f>
        <v>120.4</v>
      </c>
      <c r="BI7" s="3">
        <f>IFERROR(__xludf.DUMMYFUNCTION("iferror(index(Googlefinance($B7, ""price"", BI$1),2,2), 0)"),120.4)</f>
        <v>120.4</v>
      </c>
      <c r="BJ7" s="3">
        <f>IFERROR(__xludf.DUMMYFUNCTION("iferror(index(Googlefinance($B7, ""price"", BJ$1),2,2), 0)"),120.4)</f>
        <v>120.4</v>
      </c>
      <c r="BK7" s="3">
        <f>IFERROR(__xludf.DUMMYFUNCTION("iferror(index(Googlefinance($B7, ""price"", BK$1),2,2), 0)"),118.18)</f>
        <v>118.18</v>
      </c>
      <c r="BL7" s="3">
        <f>IFERROR(__xludf.DUMMYFUNCTION("iferror(index(Googlefinance($B7, ""price"", BL$1),2,2), 0)"),124.18)</f>
        <v>124.18</v>
      </c>
      <c r="BM7" s="3">
        <f>IFERROR(__xludf.DUMMYFUNCTION("iferror(index(Googlefinance($B7, ""price"", BM$1),2,2), 0)"),132.35)</f>
        <v>132.35</v>
      </c>
      <c r="BN7" s="3">
        <f>IFERROR(__xludf.DUMMYFUNCTION("iferror(index(Googlefinance($B7, ""price"", BN$1),2,2), 0)"),137.74)</f>
        <v>137.74</v>
      </c>
      <c r="BO7" s="3">
        <f>IFERROR(__xludf.DUMMYFUNCTION("iferror(index(Googlefinance($B7, ""price"", BO$1),2,2), 0)"),194.5)</f>
        <v>194.5</v>
      </c>
      <c r="BP7" s="3">
        <f>IFERROR(__xludf.DUMMYFUNCTION("iferror(index(Googlefinance($B7, ""price"", BP$1),2,2), 0)"),194.5)</f>
        <v>194.5</v>
      </c>
      <c r="BQ7" s="3">
        <f>IFERROR(__xludf.DUMMYFUNCTION("iferror(index(Googlefinance($B7, ""price"", BQ$1),2,2), 0)"),194.5)</f>
        <v>194.5</v>
      </c>
      <c r="BR7" s="3">
        <f>IFERROR(__xludf.DUMMYFUNCTION("iferror(index(Googlefinance($B7, ""price"", BR$1),2,2), 0)"),246.9)</f>
        <v>246.9</v>
      </c>
      <c r="BS7" s="3">
        <f>IFERROR(__xludf.DUMMYFUNCTION("iferror(index(Googlefinance($B7, ""price"", BS$1),2,2), 0)"),265.0)</f>
        <v>265</v>
      </c>
      <c r="BT7" s="3">
        <f>IFERROR(__xludf.DUMMYFUNCTION("iferror(index(Googlefinance($B7, ""price"", BT$1),2,2), 0)"),260.0)</f>
        <v>260</v>
      </c>
      <c r="BU7" s="3">
        <f>IFERROR(__xludf.DUMMYFUNCTION("iferror(index(Googlefinance($B7, ""price"", BU$1),2,2), 0)"),264.5)</f>
        <v>264.5</v>
      </c>
      <c r="BV7" s="3">
        <f>IFERROR(__xludf.DUMMYFUNCTION("iferror(index(Googlefinance($B7, ""price"", BV$1),2,2), 0)"),220.14)</f>
        <v>220.14</v>
      </c>
      <c r="BW7" s="3">
        <f>IFERROR(__xludf.DUMMYFUNCTION("iferror(index(Googlefinance($B7, ""price"", BW$1),2,2), 0)"),220.14)</f>
        <v>220.14</v>
      </c>
      <c r="BX7" s="3">
        <f>IFERROR(__xludf.DUMMYFUNCTION("iferror(index(Googlefinance($B7, ""price"", BX$1),2,2), 0)"),220.14)</f>
        <v>220.14</v>
      </c>
      <c r="BY7" s="3">
        <f>IFERROR(__xludf.DUMMYFUNCTION("iferror(index(Googlefinance($B7, ""price"", BY$1),2,2), 0)"),208.17)</f>
        <v>208.17</v>
      </c>
      <c r="BZ7" s="3">
        <f>IFERROR(__xludf.DUMMYFUNCTION("iferror(index(Googlefinance($B7, ""price"", BZ$1),2,2), 0)"),209.81)</f>
        <v>209.81</v>
      </c>
      <c r="CA7" s="3">
        <f>IFERROR(__xludf.DUMMYFUNCTION("iferror(index(Googlefinance($B7, ""price"", CA$1),2,2), 0)"),201.75)</f>
        <v>201.75</v>
      </c>
      <c r="CB7" s="3">
        <f>IFERROR(__xludf.DUMMYFUNCTION("iferror(index(Googlefinance($B7, ""price"", CB$1),2,2), 0)"),200.27)</f>
        <v>200.27</v>
      </c>
      <c r="CC7" s="3">
        <f>IFERROR(__xludf.DUMMYFUNCTION("iferror(index(Googlefinance($B7, ""price"", CC$1),2,2), 0)"),0.0)</f>
        <v>0</v>
      </c>
      <c r="CD7" s="3">
        <f>IFERROR(__xludf.DUMMYFUNCTION("iferror(index(Googlefinance($B7, ""price"", CD$1),2,2), 0)"),0.0)</f>
        <v>0</v>
      </c>
    </row>
    <row r="8">
      <c r="A8" s="1" t="s">
        <v>14</v>
      </c>
      <c r="B8" s="1" t="s">
        <v>14</v>
      </c>
      <c r="C8" s="3">
        <f>IFERROR(__xludf.DUMMYFUNCTION("iferror(index(Googlefinance($B8, ""price"", C$1),2,2), 0)"),2.01)</f>
        <v>2.01</v>
      </c>
      <c r="D8" s="3">
        <f>IFERROR(__xludf.DUMMYFUNCTION("iferror(index(Googlefinance($B8, ""price"", D$1),2,2), 0)"),2.01)</f>
        <v>2.01</v>
      </c>
      <c r="E8" s="3">
        <f>IFERROR(__xludf.DUMMYFUNCTION("iferror(index(Googlefinance($B8, ""price"", E$1),2,2), 0)"),2.01)</f>
        <v>2.01</v>
      </c>
      <c r="F8" s="3">
        <f>IFERROR(__xludf.DUMMYFUNCTION("iferror(index(Googlefinance($B8, ""price"", F$1),2,2), 0)"),2.01)</f>
        <v>2.01</v>
      </c>
      <c r="G8" s="3">
        <f>IFERROR(__xludf.DUMMYFUNCTION("iferror(index(Googlefinance($B8, ""price"", G$1),2,2), 0)"),1.98)</f>
        <v>1.98</v>
      </c>
      <c r="H8" s="3">
        <f>IFERROR(__xludf.DUMMYFUNCTION("iferror(index(Googlefinance($B8, ""price"", H$1),2,2), 0)"),2.01)</f>
        <v>2.01</v>
      </c>
      <c r="I8" s="3">
        <f>IFERROR(__xludf.DUMMYFUNCTION("iferror(index(Googlefinance($B8, ""price"", I$1),2,2), 0)"),2.05)</f>
        <v>2.05</v>
      </c>
      <c r="J8" s="3">
        <f>IFERROR(__xludf.DUMMYFUNCTION("iferror(index(Googlefinance($B8, ""price"", J$1),2,2), 0)"),2.14)</f>
        <v>2.14</v>
      </c>
      <c r="K8" s="3">
        <f>IFERROR(__xludf.DUMMYFUNCTION("iferror(index(Googlefinance($B8, ""price"", K$1),2,2), 0)"),2.2)</f>
        <v>2.2</v>
      </c>
      <c r="L8" s="3">
        <f>IFERROR(__xludf.DUMMYFUNCTION("iferror(index(Googlefinance($B8, ""price"", L$1),2,2), 0)"),2.2)</f>
        <v>2.2</v>
      </c>
      <c r="M8" s="3">
        <f>IFERROR(__xludf.DUMMYFUNCTION("iferror(index(Googlefinance($B8, ""price"", M$1),2,2), 0)"),2.2)</f>
        <v>2.2</v>
      </c>
      <c r="N8" s="3">
        <f>IFERROR(__xludf.DUMMYFUNCTION("iferror(index(Googlefinance($B8, ""price"", N$1),2,2), 0)"),2.29)</f>
        <v>2.29</v>
      </c>
      <c r="O8" s="3">
        <f>IFERROR(__xludf.DUMMYFUNCTION("iferror(index(Googlefinance($B8, ""price"", O$1),2,2), 0)"),2.18)</f>
        <v>2.18</v>
      </c>
      <c r="P8" s="3">
        <f>IFERROR(__xludf.DUMMYFUNCTION("iferror(index(Googlefinance($B8, ""price"", P$1),2,2), 0)"),2.18)</f>
        <v>2.18</v>
      </c>
      <c r="Q8" s="3">
        <f>IFERROR(__xludf.DUMMYFUNCTION("iferror(index(Googlefinance($B8, ""price"", Q$1),2,2), 0)"),2.33)</f>
        <v>2.33</v>
      </c>
      <c r="R8" s="3">
        <f>IFERROR(__xludf.DUMMYFUNCTION("iferror(index(Googlefinance($B8, ""price"", R$1),2,2), 0)"),3.06)</f>
        <v>3.06</v>
      </c>
      <c r="S8" s="3">
        <f>IFERROR(__xludf.DUMMYFUNCTION("iferror(index(Googlefinance($B8, ""price"", S$1),2,2), 0)"),3.06)</f>
        <v>3.06</v>
      </c>
      <c r="T8" s="3">
        <f>IFERROR(__xludf.DUMMYFUNCTION("iferror(index(Googlefinance($B8, ""price"", T$1),2,2), 0)"),3.06)</f>
        <v>3.06</v>
      </c>
      <c r="U8" s="3">
        <f>IFERROR(__xludf.DUMMYFUNCTION("iferror(index(Googlefinance($B8, ""price"", U$1),2,2), 0)"),3.06)</f>
        <v>3.06</v>
      </c>
      <c r="V8" s="3">
        <f>IFERROR(__xludf.DUMMYFUNCTION("iferror(index(Googlefinance($B8, ""price"", V$1),2,2), 0)"),2.97)</f>
        <v>2.97</v>
      </c>
      <c r="W8" s="3">
        <f>IFERROR(__xludf.DUMMYFUNCTION("iferror(index(Googlefinance($B8, ""price"", W$1),2,2), 0)"),2.98)</f>
        <v>2.98</v>
      </c>
      <c r="X8" s="3">
        <f>IFERROR(__xludf.DUMMYFUNCTION("iferror(index(Googlefinance($B8, ""price"", X$1),2,2), 0)"),3.51)</f>
        <v>3.51</v>
      </c>
      <c r="Y8" s="3">
        <f>IFERROR(__xludf.DUMMYFUNCTION("iferror(index(Googlefinance($B8, ""price"", Y$1),2,2), 0)"),4.42)</f>
        <v>4.42</v>
      </c>
      <c r="Z8" s="3">
        <f>IFERROR(__xludf.DUMMYFUNCTION("iferror(index(Googlefinance($B8, ""price"", Z$1),2,2), 0)"),4.42)</f>
        <v>4.42</v>
      </c>
      <c r="AA8" s="3">
        <f>IFERROR(__xludf.DUMMYFUNCTION("iferror(index(Googlefinance($B8, ""price"", AA$1),2,2), 0)"),4.42)</f>
        <v>4.42</v>
      </c>
      <c r="AB8" s="3">
        <f>IFERROR(__xludf.DUMMYFUNCTION("iferror(index(Googlefinance($B8, ""price"", AB$1),2,2), 0)"),4.96)</f>
        <v>4.96</v>
      </c>
      <c r="AC8" s="3">
        <f>IFERROR(__xludf.DUMMYFUNCTION("iferror(index(Googlefinance($B8, ""price"", AC$1),2,2), 0)"),19.9)</f>
        <v>19.9</v>
      </c>
      <c r="AD8" s="3">
        <f>IFERROR(__xludf.DUMMYFUNCTION("iferror(index(Googlefinance($B8, ""price"", AD$1),2,2), 0)"),8.63)</f>
        <v>8.63</v>
      </c>
      <c r="AE8" s="3">
        <f>IFERROR(__xludf.DUMMYFUNCTION("iferror(index(Googlefinance($B8, ""price"", AE$1),2,2), 0)"),13.26)</f>
        <v>13.26</v>
      </c>
      <c r="AF8" s="3">
        <f>IFERROR(__xludf.DUMMYFUNCTION("iferror(index(Googlefinance($B8, ""price"", AF$1),2,2), 0)"),13.3)</f>
        <v>13.3</v>
      </c>
      <c r="AG8" s="3">
        <f>IFERROR(__xludf.DUMMYFUNCTION("iferror(index(Googlefinance($B8, ""price"", AG$1),2,2), 0)"),13.3)</f>
        <v>13.3</v>
      </c>
      <c r="AH8" s="3">
        <f>IFERROR(__xludf.DUMMYFUNCTION("iferror(index(Googlefinance($B8, ""price"", AH$1),2,2), 0)"),13.3)</f>
        <v>13.3</v>
      </c>
      <c r="AI8" s="3">
        <f>IFERROR(__xludf.DUMMYFUNCTION("iferror(index(Googlefinance($B8, ""price"", AI$1),2,2), 0)"),7.82)</f>
        <v>7.82</v>
      </c>
      <c r="AJ8" s="3">
        <f>IFERROR(__xludf.DUMMYFUNCTION("iferror(index(Googlefinance($B8, ""price"", AJ$1),2,2), 0)"),8.97)</f>
        <v>8.97</v>
      </c>
      <c r="AK8" s="3">
        <f>IFERROR(__xludf.DUMMYFUNCTION("iferror(index(Googlefinance($B8, ""price"", AK$1),2,2), 0)"),7.09)</f>
        <v>7.09</v>
      </c>
      <c r="AL8" s="3">
        <f>IFERROR(__xludf.DUMMYFUNCTION("iferror(index(Googlefinance($B8, ""price"", AL$1),2,2), 0)"),6.83)</f>
        <v>6.83</v>
      </c>
      <c r="AM8" s="3">
        <f>IFERROR(__xludf.DUMMYFUNCTION("iferror(index(Googlefinance($B8, ""price"", AM$1),2,2), 0)"),6.18)</f>
        <v>6.18</v>
      </c>
      <c r="AN8" s="3">
        <f>IFERROR(__xludf.DUMMYFUNCTION("iferror(index(Googlefinance($B8, ""price"", AN$1),2,2), 0)"),6.18)</f>
        <v>6.18</v>
      </c>
      <c r="AO8" s="3">
        <f>IFERROR(__xludf.DUMMYFUNCTION("iferror(index(Googlefinance($B8, ""price"", AO$1),2,2), 0)"),6.18)</f>
        <v>6.18</v>
      </c>
      <c r="AP8" s="3">
        <f>IFERROR(__xludf.DUMMYFUNCTION("iferror(index(Googlefinance($B8, ""price"", AP$1),2,2), 0)"),5.5)</f>
        <v>5.5</v>
      </c>
      <c r="AQ8" s="3">
        <f>IFERROR(__xludf.DUMMYFUNCTION("iferror(index(Googlefinance($B8, ""price"", AQ$1),2,2), 0)"),5.8)</f>
        <v>5.8</v>
      </c>
      <c r="AR8" s="3">
        <f>IFERROR(__xludf.DUMMYFUNCTION("iferror(index(Googlefinance($B8, ""price"", AR$1),2,2), 0)"),5.61)</f>
        <v>5.61</v>
      </c>
      <c r="AS8" s="3">
        <f>IFERROR(__xludf.DUMMYFUNCTION("iferror(index(Googlefinance($B8, ""price"", AS$1),2,2), 0)"),5.59)</f>
        <v>5.59</v>
      </c>
      <c r="AT8" s="3">
        <f>IFERROR(__xludf.DUMMYFUNCTION("iferror(index(Googlefinance($B8, ""price"", AT$1),2,2), 0)"),5.65)</f>
        <v>5.65</v>
      </c>
      <c r="AU8" s="3">
        <f>IFERROR(__xludf.DUMMYFUNCTION("iferror(index(Googlefinance($B8, ""price"", AU$1),2,2), 0)"),5.65)</f>
        <v>5.65</v>
      </c>
      <c r="AV8" s="3">
        <f>IFERROR(__xludf.DUMMYFUNCTION("iferror(index(Googlefinance($B8, ""price"", AV$1),2,2), 0)"),5.65)</f>
        <v>5.65</v>
      </c>
      <c r="AW8" s="3">
        <f>IFERROR(__xludf.DUMMYFUNCTION("iferror(index(Googlefinance($B8, ""price"", AW$1),2,2), 0)"),5.65)</f>
        <v>5.65</v>
      </c>
      <c r="AX8" s="3">
        <f>IFERROR(__xludf.DUMMYFUNCTION("iferror(index(Googlefinance($B8, ""price"", AX$1),2,2), 0)"),5.55)</f>
        <v>5.55</v>
      </c>
      <c r="AY8" s="3">
        <f>IFERROR(__xludf.DUMMYFUNCTION("iferror(index(Googlefinance($B8, ""price"", AY$1),2,2), 0)"),5.51)</f>
        <v>5.51</v>
      </c>
      <c r="AZ8" s="3">
        <f>IFERROR(__xludf.DUMMYFUNCTION("iferror(index(Googlefinance($B8, ""price"", AZ$1),2,2), 0)"),5.7)</f>
        <v>5.7</v>
      </c>
      <c r="BA8" s="3">
        <f>IFERROR(__xludf.DUMMYFUNCTION("iferror(index(Googlefinance($B8, ""price"", BA$1),2,2), 0)"),6.55)</f>
        <v>6.55</v>
      </c>
      <c r="BB8" s="3">
        <f>IFERROR(__xludf.DUMMYFUNCTION("iferror(index(Googlefinance($B8, ""price"", BB$1),2,2), 0)"),6.55)</f>
        <v>6.55</v>
      </c>
      <c r="BC8" s="3">
        <f>IFERROR(__xludf.DUMMYFUNCTION("iferror(index(Googlefinance($B8, ""price"", BC$1),2,2), 0)"),6.55)</f>
        <v>6.55</v>
      </c>
      <c r="BD8" s="3">
        <f>IFERROR(__xludf.DUMMYFUNCTION("iferror(index(Googlefinance($B8, ""price"", BD$1),2,2), 0)"),7.7)</f>
        <v>7.7</v>
      </c>
      <c r="BE8" s="3">
        <f>IFERROR(__xludf.DUMMYFUNCTION("iferror(index(Googlefinance($B8, ""price"", BE$1),2,2), 0)"),9.09)</f>
        <v>9.09</v>
      </c>
      <c r="BF8" s="3">
        <f>IFERROR(__xludf.DUMMYFUNCTION("iferror(index(Googlefinance($B8, ""price"", BF$1),2,2), 0)"),8.29)</f>
        <v>8.29</v>
      </c>
      <c r="BG8" s="3">
        <f>IFERROR(__xludf.DUMMYFUNCTION("iferror(index(Googlefinance($B8, ""price"", BG$1),2,2), 0)"),8.01)</f>
        <v>8.01</v>
      </c>
      <c r="BH8" s="3">
        <f>IFERROR(__xludf.DUMMYFUNCTION("iferror(index(Googlefinance($B8, ""price"", BH$1),2,2), 0)"),9.18)</f>
        <v>9.18</v>
      </c>
      <c r="BI8" s="3">
        <f>IFERROR(__xludf.DUMMYFUNCTION("iferror(index(Googlefinance($B8, ""price"", BI$1),2,2), 0)"),9.18)</f>
        <v>9.18</v>
      </c>
      <c r="BJ8" s="3">
        <f>IFERROR(__xludf.DUMMYFUNCTION("iferror(index(Googlefinance($B8, ""price"", BJ$1),2,2), 0)"),9.18)</f>
        <v>9.18</v>
      </c>
      <c r="BK8" s="3">
        <f>IFERROR(__xludf.DUMMYFUNCTION("iferror(index(Googlefinance($B8, ""price"", BK$1),2,2), 0)"),8.93)</f>
        <v>8.93</v>
      </c>
      <c r="BL8" s="3">
        <f>IFERROR(__xludf.DUMMYFUNCTION("iferror(index(Googlefinance($B8, ""price"", BL$1),2,2), 0)"),8.58)</f>
        <v>8.58</v>
      </c>
      <c r="BM8" s="3">
        <f>IFERROR(__xludf.DUMMYFUNCTION("iferror(index(Googlefinance($B8, ""price"", BM$1),2,2), 0)"),8.03)</f>
        <v>8.03</v>
      </c>
      <c r="BN8" s="3">
        <f>IFERROR(__xludf.DUMMYFUNCTION("iferror(index(Googlefinance($B8, ""price"", BN$1),2,2), 0)"),8.05)</f>
        <v>8.05</v>
      </c>
      <c r="BO8" s="3">
        <f>IFERROR(__xludf.DUMMYFUNCTION("iferror(index(Googlefinance($B8, ""price"", BO$1),2,2), 0)"),9.29)</f>
        <v>9.29</v>
      </c>
      <c r="BP8" s="3">
        <f>IFERROR(__xludf.DUMMYFUNCTION("iferror(index(Googlefinance($B8, ""price"", BP$1),2,2), 0)"),9.29)</f>
        <v>9.29</v>
      </c>
      <c r="BQ8" s="3">
        <f>IFERROR(__xludf.DUMMYFUNCTION("iferror(index(Googlefinance($B8, ""price"", BQ$1),2,2), 0)"),9.29)</f>
        <v>9.29</v>
      </c>
      <c r="BR8" s="3">
        <f>IFERROR(__xludf.DUMMYFUNCTION("iferror(index(Googlefinance($B8, ""price"", BR$1),2,2), 0)"),10.5)</f>
        <v>10.5</v>
      </c>
      <c r="BS8" s="3">
        <f>IFERROR(__xludf.DUMMYFUNCTION("iferror(index(Googlefinance($B8, ""price"", BS$1),2,2), 0)"),9.85)</f>
        <v>9.85</v>
      </c>
      <c r="BT8" s="3">
        <f>IFERROR(__xludf.DUMMYFUNCTION("iferror(index(Googlefinance($B8, ""price"", BT$1),2,2), 0)"),10.28)</f>
        <v>10.28</v>
      </c>
      <c r="BU8" s="3">
        <f>IFERROR(__xludf.DUMMYFUNCTION("iferror(index(Googlefinance($B8, ""price"", BU$1),2,2), 0)"),11.16)</f>
        <v>11.16</v>
      </c>
      <c r="BV8" s="3">
        <f>IFERROR(__xludf.DUMMYFUNCTION("iferror(index(Googlefinance($B8, ""price"", BV$1),2,2), 0)"),14.04)</f>
        <v>14.04</v>
      </c>
      <c r="BW8" s="3">
        <f>IFERROR(__xludf.DUMMYFUNCTION("iferror(index(Googlefinance($B8, ""price"", BW$1),2,2), 0)"),14.04)</f>
        <v>14.04</v>
      </c>
      <c r="BX8" s="3">
        <f>IFERROR(__xludf.DUMMYFUNCTION("iferror(index(Googlefinance($B8, ""price"", BX$1),2,2), 0)"),14.04)</f>
        <v>14.04</v>
      </c>
      <c r="BY8" s="3">
        <f>IFERROR(__xludf.DUMMYFUNCTION("iferror(index(Googlefinance($B8, ""price"", BY$1),2,2), 0)"),13.02)</f>
        <v>13.02</v>
      </c>
      <c r="BZ8" s="3">
        <f>IFERROR(__xludf.DUMMYFUNCTION("iferror(index(Googlefinance($B8, ""price"", BZ$1),2,2), 0)"),13.56)</f>
        <v>13.56</v>
      </c>
      <c r="CA8" s="3">
        <f>IFERROR(__xludf.DUMMYFUNCTION("iferror(index(Googlefinance($B8, ""price"", CA$1),2,2), 0)"),14.0)</f>
        <v>14</v>
      </c>
      <c r="CB8" s="3">
        <f>IFERROR(__xludf.DUMMYFUNCTION("iferror(index(Googlefinance($B8, ""price"", CB$1),2,2), 0)"),13.93)</f>
        <v>13.93</v>
      </c>
      <c r="CC8" s="3">
        <f>IFERROR(__xludf.DUMMYFUNCTION("iferror(index(Googlefinance($B8, ""price"", CC$1),2,2), 0)"),0.0)</f>
        <v>0</v>
      </c>
      <c r="CD8" s="3">
        <f>IFERROR(__xludf.DUMMYFUNCTION("iferror(index(Googlefinance($B8, ""price"", CD$1),2,2), 0)"),0.0)</f>
        <v>0</v>
      </c>
    </row>
    <row r="9">
      <c r="A9" s="1" t="s">
        <v>15</v>
      </c>
      <c r="B9" s="1" t="s">
        <v>16</v>
      </c>
      <c r="C9" s="3">
        <f>IFERROR(__xludf.DUMMYFUNCTION("iferror(index(Googlefinance($B9, ""price"", C$1),2,2), 0)"),3.89)</f>
        <v>3.89</v>
      </c>
      <c r="D9" s="3">
        <f>IFERROR(__xludf.DUMMYFUNCTION("iferror(index(Googlefinance($B9, ""price"", D$1),2,2), 0)"),3.89)</f>
        <v>3.89</v>
      </c>
      <c r="E9" s="3">
        <f>IFERROR(__xludf.DUMMYFUNCTION("iferror(index(Googlefinance($B9, ""price"", E$1),2,2), 0)"),3.89)</f>
        <v>3.89</v>
      </c>
      <c r="F9" s="3">
        <f>IFERROR(__xludf.DUMMYFUNCTION("iferror(index(Googlefinance($B9, ""price"", F$1),2,2), 0)"),3.89)</f>
        <v>3.89</v>
      </c>
      <c r="G9" s="3">
        <f>IFERROR(__xludf.DUMMYFUNCTION("iferror(index(Googlefinance($B9, ""price"", G$1),2,2), 0)"),4.04)</f>
        <v>4.04</v>
      </c>
      <c r="H9" s="3">
        <f>IFERROR(__xludf.DUMMYFUNCTION("iferror(index(Googlefinance($B9, ""price"", H$1),2,2), 0)"),4.04)</f>
        <v>4.04</v>
      </c>
      <c r="I9" s="3">
        <f>IFERROR(__xludf.DUMMYFUNCTION("iferror(index(Googlefinance($B9, ""price"", I$1),2,2), 0)"),3.99)</f>
        <v>3.99</v>
      </c>
      <c r="J9" s="3">
        <f>IFERROR(__xludf.DUMMYFUNCTION("iferror(index(Googlefinance($B9, ""price"", J$1),2,2), 0)"),3.93)</f>
        <v>3.93</v>
      </c>
      <c r="K9" s="3">
        <f>IFERROR(__xludf.DUMMYFUNCTION("iferror(index(Googlefinance($B9, ""price"", K$1),2,2), 0)"),3.87)</f>
        <v>3.87</v>
      </c>
      <c r="L9" s="3">
        <f>IFERROR(__xludf.DUMMYFUNCTION("iferror(index(Googlefinance($B9, ""price"", L$1),2,2), 0)"),3.87)</f>
        <v>3.87</v>
      </c>
      <c r="M9" s="3">
        <f>IFERROR(__xludf.DUMMYFUNCTION("iferror(index(Googlefinance($B9, ""price"", M$1),2,2), 0)"),3.87)</f>
        <v>3.87</v>
      </c>
      <c r="N9" s="3">
        <f>IFERROR(__xludf.DUMMYFUNCTION("iferror(index(Googlefinance($B9, ""price"", N$1),2,2), 0)"),4.01)</f>
        <v>4.01</v>
      </c>
      <c r="O9" s="3">
        <f>IFERROR(__xludf.DUMMYFUNCTION("iferror(index(Googlefinance($B9, ""price"", O$1),2,2), 0)"),3.98)</f>
        <v>3.98</v>
      </c>
      <c r="P9" s="3">
        <f>IFERROR(__xludf.DUMMYFUNCTION("iferror(index(Googlefinance($B9, ""price"", P$1),2,2), 0)"),4.09)</f>
        <v>4.09</v>
      </c>
      <c r="Q9" s="3">
        <f>IFERROR(__xludf.DUMMYFUNCTION("iferror(index(Googlefinance($B9, ""price"", Q$1),2,2), 0)"),4.08)</f>
        <v>4.08</v>
      </c>
      <c r="R9" s="3">
        <f>IFERROR(__xludf.DUMMYFUNCTION("iferror(index(Googlefinance($B9, ""price"", R$1),2,2), 0)"),4.13)</f>
        <v>4.13</v>
      </c>
      <c r="S9" s="3">
        <f>IFERROR(__xludf.DUMMYFUNCTION("iferror(index(Googlefinance($B9, ""price"", S$1),2,2), 0)"),4.13)</f>
        <v>4.13</v>
      </c>
      <c r="T9" s="3">
        <f>IFERROR(__xludf.DUMMYFUNCTION("iferror(index(Googlefinance($B9, ""price"", T$1),2,2), 0)"),4.13)</f>
        <v>4.13</v>
      </c>
      <c r="U9" s="3">
        <f>IFERROR(__xludf.DUMMYFUNCTION("iferror(index(Googlefinance($B9, ""price"", U$1),2,2), 0)"),4.13)</f>
        <v>4.13</v>
      </c>
      <c r="V9" s="3">
        <f>IFERROR(__xludf.DUMMYFUNCTION("iferror(index(Googlefinance($B9, ""price"", V$1),2,2), 0)"),4.2)</f>
        <v>4.2</v>
      </c>
      <c r="W9" s="3">
        <f>IFERROR(__xludf.DUMMYFUNCTION("iferror(index(Googlefinance($B9, ""price"", W$1),2,2), 0)"),4.22)</f>
        <v>4.22</v>
      </c>
      <c r="X9" s="3">
        <f>IFERROR(__xludf.DUMMYFUNCTION("iferror(index(Googlefinance($B9, ""price"", X$1),2,2), 0)"),4.2)</f>
        <v>4.2</v>
      </c>
      <c r="Y9" s="3">
        <f>IFERROR(__xludf.DUMMYFUNCTION("iferror(index(Googlefinance($B9, ""price"", Y$1),2,2), 0)"),4.85)</f>
        <v>4.85</v>
      </c>
      <c r="Z9" s="3">
        <f>IFERROR(__xludf.DUMMYFUNCTION("iferror(index(Googlefinance($B9, ""price"", Z$1),2,2), 0)"),4.85)</f>
        <v>4.85</v>
      </c>
      <c r="AA9" s="3">
        <f>IFERROR(__xludf.DUMMYFUNCTION("iferror(index(Googlefinance($B9, ""price"", AA$1),2,2), 0)"),4.85)</f>
        <v>4.85</v>
      </c>
      <c r="AB9" s="3">
        <f>IFERROR(__xludf.DUMMYFUNCTION("iferror(index(Googlefinance($B9, ""price"", AB$1),2,2), 0)"),4.73)</f>
        <v>4.73</v>
      </c>
      <c r="AC9" s="3">
        <f>IFERROR(__xludf.DUMMYFUNCTION("iferror(index(Googlefinance($B9, ""price"", AC$1),2,2), 0)"),6.55)</f>
        <v>6.55</v>
      </c>
      <c r="AD9" s="3">
        <f>IFERROR(__xludf.DUMMYFUNCTION("iferror(index(Googlefinance($B9, ""price"", AD$1),2,2), 0)"),4.69)</f>
        <v>4.69</v>
      </c>
      <c r="AE9" s="3">
        <f>IFERROR(__xludf.DUMMYFUNCTION("iferror(index(Googlefinance($B9, ""price"", AE$1),2,2), 0)"),4.56)</f>
        <v>4.56</v>
      </c>
      <c r="AF9" s="3">
        <f>IFERROR(__xludf.DUMMYFUNCTION("iferror(index(Googlefinance($B9, ""price"", AF$1),2,2), 0)"),4.89)</f>
        <v>4.89</v>
      </c>
      <c r="AG9" s="3">
        <f>IFERROR(__xludf.DUMMYFUNCTION("iferror(index(Googlefinance($B9, ""price"", AG$1),2,2), 0)"),4.89)</f>
        <v>4.89</v>
      </c>
      <c r="AH9" s="3">
        <f>IFERROR(__xludf.DUMMYFUNCTION("iferror(index(Googlefinance($B9, ""price"", AH$1),2,2), 0)"),4.89)</f>
        <v>4.89</v>
      </c>
      <c r="AI9" s="3">
        <f>IFERROR(__xludf.DUMMYFUNCTION("iferror(index(Googlefinance($B9, ""price"", AI$1),2,2), 0)"),4.53)</f>
        <v>4.53</v>
      </c>
      <c r="AJ9" s="3">
        <f>IFERROR(__xludf.DUMMYFUNCTION("iferror(index(Googlefinance($B9, ""price"", AJ$1),2,2), 0)"),4.7)</f>
        <v>4.7</v>
      </c>
      <c r="AK9" s="3">
        <f>IFERROR(__xludf.DUMMYFUNCTION("iferror(index(Googlefinance($B9, ""price"", AK$1),2,2), 0)"),4.37)</f>
        <v>4.37</v>
      </c>
      <c r="AL9" s="3">
        <f>IFERROR(__xludf.DUMMYFUNCTION("iferror(index(Googlefinance($B9, ""price"", AL$1),2,2), 0)"),4.22)</f>
        <v>4.22</v>
      </c>
      <c r="AM9" s="3">
        <f>IFERROR(__xludf.DUMMYFUNCTION("iferror(index(Googlefinance($B9, ""price"", AM$1),2,2), 0)"),4.26)</f>
        <v>4.26</v>
      </c>
      <c r="AN9" s="3">
        <f>IFERROR(__xludf.DUMMYFUNCTION("iferror(index(Googlefinance($B9, ""price"", AN$1),2,2), 0)"),4.26)</f>
        <v>4.26</v>
      </c>
      <c r="AO9" s="3">
        <f>IFERROR(__xludf.DUMMYFUNCTION("iferror(index(Googlefinance($B9, ""price"", AO$1),2,2), 0)"),4.26)</f>
        <v>4.26</v>
      </c>
      <c r="AP9" s="3">
        <f>IFERROR(__xludf.DUMMYFUNCTION("iferror(index(Googlefinance($B9, ""price"", AP$1),2,2), 0)"),4.19)</f>
        <v>4.19</v>
      </c>
      <c r="AQ9" s="3">
        <f>IFERROR(__xludf.DUMMYFUNCTION("iferror(index(Googlefinance($B9, ""price"", AQ$1),2,2), 0)"),4.17)</f>
        <v>4.17</v>
      </c>
      <c r="AR9" s="3">
        <f>IFERROR(__xludf.DUMMYFUNCTION("iferror(index(Googlefinance($B9, ""price"", AR$1),2,2), 0)"),4.1)</f>
        <v>4.1</v>
      </c>
      <c r="AS9" s="3">
        <f>IFERROR(__xludf.DUMMYFUNCTION("iferror(index(Googlefinance($B9, ""price"", AS$1),2,2), 0)"),4.17)</f>
        <v>4.17</v>
      </c>
      <c r="AT9" s="3">
        <f>IFERROR(__xludf.DUMMYFUNCTION("iferror(index(Googlefinance($B9, ""price"", AT$1),2,2), 0)"),4.13)</f>
        <v>4.13</v>
      </c>
      <c r="AU9" s="3">
        <f>IFERROR(__xludf.DUMMYFUNCTION("iferror(index(Googlefinance($B9, ""price"", AU$1),2,2), 0)"),4.13)</f>
        <v>4.13</v>
      </c>
      <c r="AV9" s="3">
        <f>IFERROR(__xludf.DUMMYFUNCTION("iferror(index(Googlefinance($B9, ""price"", AV$1),2,2), 0)"),4.13)</f>
        <v>4.13</v>
      </c>
      <c r="AW9" s="3">
        <f>IFERROR(__xludf.DUMMYFUNCTION("iferror(index(Googlefinance($B9, ""price"", AW$1),2,2), 0)"),4.13)</f>
        <v>4.13</v>
      </c>
      <c r="AX9" s="3">
        <f>IFERROR(__xludf.DUMMYFUNCTION("iferror(index(Googlefinance($B9, ""price"", AX$1),2,2), 0)"),4.11)</f>
        <v>4.11</v>
      </c>
      <c r="AY9" s="3">
        <f>IFERROR(__xludf.DUMMYFUNCTION("iferror(index(Googlefinance($B9, ""price"", AY$1),2,2), 0)"),4.12)</f>
        <v>4.12</v>
      </c>
      <c r="AZ9" s="3">
        <f>IFERROR(__xludf.DUMMYFUNCTION("iferror(index(Googlefinance($B9, ""price"", AZ$1),2,2), 0)"),4.07)</f>
        <v>4.07</v>
      </c>
      <c r="BA9" s="3">
        <f>IFERROR(__xludf.DUMMYFUNCTION("iferror(index(Googlefinance($B9, ""price"", BA$1),2,2), 0)"),3.96)</f>
        <v>3.96</v>
      </c>
      <c r="BB9" s="3">
        <f>IFERROR(__xludf.DUMMYFUNCTION("iferror(index(Googlefinance($B9, ""price"", BB$1),2,2), 0)"),3.96)</f>
        <v>3.96</v>
      </c>
      <c r="BC9" s="3">
        <f>IFERROR(__xludf.DUMMYFUNCTION("iferror(index(Googlefinance($B9, ""price"", BC$1),2,2), 0)"),3.96)</f>
        <v>3.96</v>
      </c>
      <c r="BD9" s="3">
        <f>IFERROR(__xludf.DUMMYFUNCTION("iferror(index(Googlefinance($B9, ""price"", BD$1),2,2), 0)"),3.95)</f>
        <v>3.95</v>
      </c>
      <c r="BE9" s="3">
        <f>IFERROR(__xludf.DUMMYFUNCTION("iferror(index(Googlefinance($B9, ""price"", BE$1),2,2), 0)"),4.04)</f>
        <v>4.04</v>
      </c>
      <c r="BF9" s="3">
        <f>IFERROR(__xludf.DUMMYFUNCTION("iferror(index(Googlefinance($B9, ""price"", BF$1),2,2), 0)"),4.05)</f>
        <v>4.05</v>
      </c>
      <c r="BG9" s="3">
        <f>IFERROR(__xludf.DUMMYFUNCTION("iferror(index(Googlefinance($B9, ""price"", BG$1),2,2), 0)"),3.92)</f>
        <v>3.92</v>
      </c>
      <c r="BH9" s="3">
        <f>IFERROR(__xludf.DUMMYFUNCTION("iferror(index(Googlefinance($B9, ""price"", BH$1),2,2), 0)"),4.04)</f>
        <v>4.04</v>
      </c>
      <c r="BI9" s="3">
        <f>IFERROR(__xludf.DUMMYFUNCTION("iferror(index(Googlefinance($B9, ""price"", BI$1),2,2), 0)"),4.04)</f>
        <v>4.04</v>
      </c>
      <c r="BJ9" s="3">
        <f>IFERROR(__xludf.DUMMYFUNCTION("iferror(index(Googlefinance($B9, ""price"", BJ$1),2,2), 0)"),4.04)</f>
        <v>4.04</v>
      </c>
      <c r="BK9" s="3">
        <f>IFERROR(__xludf.DUMMYFUNCTION("iferror(index(Googlefinance($B9, ""price"", BK$1),2,2), 0)"),4.04)</f>
        <v>4.04</v>
      </c>
      <c r="BL9" s="3">
        <f>IFERROR(__xludf.DUMMYFUNCTION("iferror(index(Googlefinance($B9, ""price"", BL$1),2,2), 0)"),3.98)</f>
        <v>3.98</v>
      </c>
      <c r="BM9" s="3">
        <f>IFERROR(__xludf.DUMMYFUNCTION("iferror(index(Googlefinance($B9, ""price"", BM$1),2,2), 0)"),3.82)</f>
        <v>3.82</v>
      </c>
      <c r="BN9" s="3">
        <f>IFERROR(__xludf.DUMMYFUNCTION("iferror(index(Googlefinance($B9, ""price"", BN$1),2,2), 0)"),3.88)</f>
        <v>3.88</v>
      </c>
      <c r="BO9" s="3">
        <f>IFERROR(__xludf.DUMMYFUNCTION("iferror(index(Googlefinance($B9, ""price"", BO$1),2,2), 0)"),3.87)</f>
        <v>3.87</v>
      </c>
      <c r="BP9" s="3">
        <f>IFERROR(__xludf.DUMMYFUNCTION("iferror(index(Googlefinance($B9, ""price"", BP$1),2,2), 0)"),3.87)</f>
        <v>3.87</v>
      </c>
      <c r="BQ9" s="3">
        <f>IFERROR(__xludf.DUMMYFUNCTION("iferror(index(Googlefinance($B9, ""price"", BQ$1),2,2), 0)"),3.87)</f>
        <v>3.87</v>
      </c>
      <c r="BR9" s="3">
        <f>IFERROR(__xludf.DUMMYFUNCTION("iferror(index(Googlefinance($B9, ""price"", BR$1),2,2), 0)"),3.96)</f>
        <v>3.96</v>
      </c>
      <c r="BS9" s="3">
        <f>IFERROR(__xludf.DUMMYFUNCTION("iferror(index(Googlefinance($B9, ""price"", BS$1),2,2), 0)"),3.96)</f>
        <v>3.96</v>
      </c>
      <c r="BT9" s="3">
        <f>IFERROR(__xludf.DUMMYFUNCTION("iferror(index(Googlefinance($B9, ""price"", BT$1),2,2), 0)"),4.1)</f>
        <v>4.1</v>
      </c>
      <c r="BU9" s="3">
        <f>IFERROR(__xludf.DUMMYFUNCTION("iferror(index(Googlefinance($B9, ""price"", BU$1),2,2), 0)"),4.22)</f>
        <v>4.22</v>
      </c>
      <c r="BV9" s="3">
        <f>IFERROR(__xludf.DUMMYFUNCTION("iferror(index(Googlefinance($B9, ""price"", BV$1),2,2), 0)"),4.3)</f>
        <v>4.3</v>
      </c>
      <c r="BW9" s="3">
        <f>IFERROR(__xludf.DUMMYFUNCTION("iferror(index(Googlefinance($B9, ""price"", BW$1),2,2), 0)"),4.3)</f>
        <v>4.3</v>
      </c>
      <c r="BX9" s="3">
        <f>IFERROR(__xludf.DUMMYFUNCTION("iferror(index(Googlefinance($B9, ""price"", BX$1),2,2), 0)"),4.3)</f>
        <v>4.3</v>
      </c>
      <c r="BY9" s="3">
        <f>IFERROR(__xludf.DUMMYFUNCTION("iferror(index(Googlefinance($B9, ""price"", BY$1),2,2), 0)"),4.24)</f>
        <v>4.24</v>
      </c>
      <c r="BZ9" s="3">
        <f>IFERROR(__xludf.DUMMYFUNCTION("iferror(index(Googlefinance($B9, ""price"", BZ$1),2,2), 0)"),4.28)</f>
        <v>4.28</v>
      </c>
      <c r="CA9" s="3">
        <f>IFERROR(__xludf.DUMMYFUNCTION("iferror(index(Googlefinance($B9, ""price"", CA$1),2,2), 0)"),3.91)</f>
        <v>3.91</v>
      </c>
      <c r="CB9" s="3">
        <f>IFERROR(__xludf.DUMMYFUNCTION("iferror(index(Googlefinance($B9, ""price"", CB$1),2,2), 0)"),4.02)</f>
        <v>4.02</v>
      </c>
      <c r="CC9" s="3">
        <f>IFERROR(__xludf.DUMMYFUNCTION("iferror(index(Googlefinance($B9, ""price"", CC$1),2,2), 0)"),0.0)</f>
        <v>0</v>
      </c>
      <c r="CD9" s="3">
        <f>IFERROR(__xludf.DUMMYFUNCTION("iferror(index(Googlefinance($B9, ""price"", CD$1),2,2), 0)"),0.0)</f>
        <v>0</v>
      </c>
    </row>
    <row r="10">
      <c r="A10" s="1" t="s">
        <v>17</v>
      </c>
      <c r="B10" s="1" t="s">
        <v>18</v>
      </c>
      <c r="C10" s="3">
        <f>IFERROR(__xludf.DUMMYFUNCTION("iferror(index(Googlefinance($B10, ""price"", C$1),2,2), 0)"),66.81)</f>
        <v>66.81</v>
      </c>
      <c r="D10" s="3">
        <f>IFERROR(__xludf.DUMMYFUNCTION("iferror(index(Googlefinance($B10, ""price"", D$1),2,2), 0)"),66.81)</f>
        <v>66.81</v>
      </c>
      <c r="E10" s="3">
        <f>IFERROR(__xludf.DUMMYFUNCTION("iferror(index(Googlefinance($B10, ""price"", E$1),2,2), 0)"),66.81)</f>
        <v>66.81</v>
      </c>
      <c r="F10" s="3">
        <f>IFERROR(__xludf.DUMMYFUNCTION("iferror(index(Googlefinance($B10, ""price"", F$1),2,2), 0)"),66.81)</f>
        <v>66.81</v>
      </c>
      <c r="G10" s="3">
        <f>IFERROR(__xludf.DUMMYFUNCTION("iferror(index(Googlefinance($B10, ""price"", G$1),2,2), 0)"),66.72)</f>
        <v>66.72</v>
      </c>
      <c r="H10" s="3">
        <f>IFERROR(__xludf.DUMMYFUNCTION("iferror(index(Googlefinance($B10, ""price"", H$1),2,2), 0)"),69.65)</f>
        <v>69.65</v>
      </c>
      <c r="I10" s="3">
        <f>IFERROR(__xludf.DUMMYFUNCTION("iferror(index(Googlefinance($B10, ""price"", I$1),2,2), 0)"),69.9)</f>
        <v>69.9</v>
      </c>
      <c r="J10" s="3">
        <f>IFERROR(__xludf.DUMMYFUNCTION("iferror(index(Googlefinance($B10, ""price"", J$1),2,2), 0)"),70.22)</f>
        <v>70.22</v>
      </c>
      <c r="K10" s="3">
        <f>IFERROR(__xludf.DUMMYFUNCTION("iferror(index(Googlefinance($B10, ""price"", K$1),2,2), 0)"),68.37)</f>
        <v>68.37</v>
      </c>
      <c r="L10" s="3">
        <f>IFERROR(__xludf.DUMMYFUNCTION("iferror(index(Googlefinance($B10, ""price"", L$1),2,2), 0)"),68.37)</f>
        <v>68.37</v>
      </c>
      <c r="M10" s="3">
        <f>IFERROR(__xludf.DUMMYFUNCTION("iferror(index(Googlefinance($B10, ""price"", M$1),2,2), 0)"),68.37)</f>
        <v>68.37</v>
      </c>
      <c r="N10" s="3">
        <f>IFERROR(__xludf.DUMMYFUNCTION("iferror(index(Googlefinance($B10, ""price"", N$1),2,2), 0)"),68.4)</f>
        <v>68.4</v>
      </c>
      <c r="O10" s="3">
        <f>IFERROR(__xludf.DUMMYFUNCTION("iferror(index(Googlefinance($B10, ""price"", O$1),2,2), 0)"),68.13)</f>
        <v>68.13</v>
      </c>
      <c r="P10" s="3">
        <f>IFERROR(__xludf.DUMMYFUNCTION("iferror(index(Googlefinance($B10, ""price"", P$1),2,2), 0)"),68.02)</f>
        <v>68.02</v>
      </c>
      <c r="Q10" s="3">
        <f>IFERROR(__xludf.DUMMYFUNCTION("iferror(index(Googlefinance($B10, ""price"", Q$1),2,2), 0)"),68.46)</f>
        <v>68.46</v>
      </c>
      <c r="R10" s="3">
        <f>IFERROR(__xludf.DUMMYFUNCTION("iferror(index(Googlefinance($B10, ""price"", R$1),2,2), 0)"),67.18)</f>
        <v>67.18</v>
      </c>
      <c r="S10" s="3">
        <f>IFERROR(__xludf.DUMMYFUNCTION("iferror(index(Googlefinance($B10, ""price"", S$1),2,2), 0)"),67.18)</f>
        <v>67.18</v>
      </c>
      <c r="T10" s="3">
        <f>IFERROR(__xludf.DUMMYFUNCTION("iferror(index(Googlefinance($B10, ""price"", T$1),2,2), 0)"),67.18)</f>
        <v>67.18</v>
      </c>
      <c r="U10" s="3">
        <f>IFERROR(__xludf.DUMMYFUNCTION("iferror(index(Googlefinance($B10, ""price"", U$1),2,2), 0)"),67.18)</f>
        <v>67.18</v>
      </c>
      <c r="V10" s="3">
        <f>IFERROR(__xludf.DUMMYFUNCTION("iferror(index(Googlefinance($B10, ""price"", V$1),2,2), 0)"),68.29)</f>
        <v>68.29</v>
      </c>
      <c r="W10" s="3">
        <f>IFERROR(__xludf.DUMMYFUNCTION("iferror(index(Googlefinance($B10, ""price"", W$1),2,2), 0)"),68.06)</f>
        <v>68.06</v>
      </c>
      <c r="X10" s="3">
        <f>IFERROR(__xludf.DUMMYFUNCTION("iferror(index(Googlefinance($B10, ""price"", X$1),2,2), 0)"),66.91)</f>
        <v>66.91</v>
      </c>
      <c r="Y10" s="3">
        <f>IFERROR(__xludf.DUMMYFUNCTION("iferror(index(Googlefinance($B10, ""price"", Y$1),2,2), 0)"),65.68)</f>
        <v>65.68</v>
      </c>
      <c r="Z10" s="3">
        <f>IFERROR(__xludf.DUMMYFUNCTION("iferror(index(Googlefinance($B10, ""price"", Z$1),2,2), 0)"),65.68)</f>
        <v>65.68</v>
      </c>
      <c r="AA10" s="3">
        <f>IFERROR(__xludf.DUMMYFUNCTION("iferror(index(Googlefinance($B10, ""price"", AA$1),2,2), 0)"),65.68)</f>
        <v>65.68</v>
      </c>
      <c r="AB10" s="3">
        <f>IFERROR(__xludf.DUMMYFUNCTION("iferror(index(Googlefinance($B10, ""price"", AB$1),2,2), 0)"),64.47)</f>
        <v>64.47</v>
      </c>
      <c r="AC10" s="3">
        <f>IFERROR(__xludf.DUMMYFUNCTION("iferror(index(Googlefinance($B10, ""price"", AC$1),2,2), 0)"),63.93)</f>
        <v>63.93</v>
      </c>
      <c r="AD10" s="3">
        <f>IFERROR(__xludf.DUMMYFUNCTION("iferror(index(Googlefinance($B10, ""price"", AD$1),2,2), 0)"),65.49)</f>
        <v>65.49</v>
      </c>
      <c r="AE10" s="3">
        <f>IFERROR(__xludf.DUMMYFUNCTION("iferror(index(Googlefinance($B10, ""price"", AE$1),2,2), 0)"),64.04)</f>
        <v>64.04</v>
      </c>
      <c r="AF10" s="3">
        <f>IFERROR(__xludf.DUMMYFUNCTION("iferror(index(Googlefinance($B10, ""price"", AF$1),2,2), 0)"),64.07)</f>
        <v>64.07</v>
      </c>
      <c r="AG10" s="3">
        <f>IFERROR(__xludf.DUMMYFUNCTION("iferror(index(Googlefinance($B10, ""price"", AG$1),2,2), 0)"),64.07)</f>
        <v>64.07</v>
      </c>
      <c r="AH10" s="3">
        <f>IFERROR(__xludf.DUMMYFUNCTION("iferror(index(Googlefinance($B10, ""price"", AH$1),2,2), 0)"),64.07)</f>
        <v>64.07</v>
      </c>
      <c r="AI10" s="3">
        <f>IFERROR(__xludf.DUMMYFUNCTION("iferror(index(Googlefinance($B10, ""price"", AI$1),2,2), 0)"),65.83)</f>
        <v>65.83</v>
      </c>
      <c r="AJ10" s="3">
        <f>IFERROR(__xludf.DUMMYFUNCTION("iferror(index(Googlefinance($B10, ""price"", AJ$1),2,2), 0)"),66.73)</f>
        <v>66.73</v>
      </c>
      <c r="AK10" s="3">
        <f>IFERROR(__xludf.DUMMYFUNCTION("iferror(index(Googlefinance($B10, ""price"", AK$1),2,2), 0)"),68.58)</f>
        <v>68.58</v>
      </c>
      <c r="AL10" s="3">
        <f>IFERROR(__xludf.DUMMYFUNCTION("iferror(index(Googlefinance($B10, ""price"", AL$1),2,2), 0)"),68.33)</f>
        <v>68.33</v>
      </c>
      <c r="AM10" s="3">
        <f>IFERROR(__xludf.DUMMYFUNCTION("iferror(index(Googlefinance($B10, ""price"", AM$1),2,2), 0)"),69.97)</f>
        <v>69.97</v>
      </c>
      <c r="AN10" s="3">
        <f>IFERROR(__xludf.DUMMYFUNCTION("iferror(index(Googlefinance($B10, ""price"", AN$1),2,2), 0)"),69.97)</f>
        <v>69.97</v>
      </c>
      <c r="AO10" s="3">
        <f>IFERROR(__xludf.DUMMYFUNCTION("iferror(index(Googlefinance($B10, ""price"", AO$1),2,2), 0)"),69.97)</f>
        <v>69.97</v>
      </c>
      <c r="AP10" s="3">
        <f>IFERROR(__xludf.DUMMYFUNCTION("iferror(index(Googlefinance($B10, ""price"", AP$1),2,2), 0)"),69.0)</f>
        <v>69</v>
      </c>
      <c r="AQ10" s="3">
        <f>IFERROR(__xludf.DUMMYFUNCTION("iferror(index(Googlefinance($B10, ""price"", AQ$1),2,2), 0)"),68.6)</f>
        <v>68.6</v>
      </c>
      <c r="AR10" s="3">
        <f>IFERROR(__xludf.DUMMYFUNCTION("iferror(index(Googlefinance($B10, ""price"", AR$1),2,2), 0)"),69.02)</f>
        <v>69.02</v>
      </c>
      <c r="AS10" s="3">
        <f>IFERROR(__xludf.DUMMYFUNCTION("iferror(index(Googlefinance($B10, ""price"", AS$1),2,2), 0)"),68.0)</f>
        <v>68</v>
      </c>
      <c r="AT10" s="3">
        <f>IFERROR(__xludf.DUMMYFUNCTION("iferror(index(Googlefinance($B10, ""price"", AT$1),2,2), 0)"),67.5)</f>
        <v>67.5</v>
      </c>
      <c r="AU10" s="3">
        <f>IFERROR(__xludf.DUMMYFUNCTION("iferror(index(Googlefinance($B10, ""price"", AU$1),2,2), 0)"),67.5)</f>
        <v>67.5</v>
      </c>
      <c r="AV10" s="3">
        <f>IFERROR(__xludf.DUMMYFUNCTION("iferror(index(Googlefinance($B10, ""price"", AV$1),2,2), 0)"),67.5)</f>
        <v>67.5</v>
      </c>
      <c r="AW10" s="3">
        <f>IFERROR(__xludf.DUMMYFUNCTION("iferror(index(Googlefinance($B10, ""price"", AW$1),2,2), 0)"),67.5)</f>
        <v>67.5</v>
      </c>
      <c r="AX10" s="3">
        <f>IFERROR(__xludf.DUMMYFUNCTION("iferror(index(Googlefinance($B10, ""price"", AX$1),2,2), 0)"),66.83)</f>
        <v>66.83</v>
      </c>
      <c r="AY10" s="3">
        <f>IFERROR(__xludf.DUMMYFUNCTION("iferror(index(Googlefinance($B10, ""price"", AY$1),2,2), 0)"),68.3)</f>
        <v>68.3</v>
      </c>
      <c r="AZ10" s="3">
        <f>IFERROR(__xludf.DUMMYFUNCTION("iferror(index(Googlefinance($B10, ""price"", AZ$1),2,2), 0)"),67.69)</f>
        <v>67.69</v>
      </c>
      <c r="BA10" s="3">
        <f>IFERROR(__xludf.DUMMYFUNCTION("iferror(index(Googlefinance($B10, ""price"", BA$1),2,2), 0)"),69.55)</f>
        <v>69.55</v>
      </c>
      <c r="BB10" s="3">
        <f>IFERROR(__xludf.DUMMYFUNCTION("iferror(index(Googlefinance($B10, ""price"", BB$1),2,2), 0)"),69.55)</f>
        <v>69.55</v>
      </c>
      <c r="BC10" s="3">
        <f>IFERROR(__xludf.DUMMYFUNCTION("iferror(index(Googlefinance($B10, ""price"", BC$1),2,2), 0)"),69.55)</f>
        <v>69.55</v>
      </c>
      <c r="BD10" s="3">
        <f>IFERROR(__xludf.DUMMYFUNCTION("iferror(index(Googlefinance($B10, ""price"", BD$1),2,2), 0)"),70.23)</f>
        <v>70.23</v>
      </c>
      <c r="BE10" s="3">
        <f>IFERROR(__xludf.DUMMYFUNCTION("iferror(index(Googlefinance($B10, ""price"", BE$1),2,2), 0)"),69.86)</f>
        <v>69.86</v>
      </c>
      <c r="BF10" s="3">
        <f>IFERROR(__xludf.DUMMYFUNCTION("iferror(index(Googlefinance($B10, ""price"", BF$1),2,2), 0)"),67.68)</f>
        <v>67.68</v>
      </c>
      <c r="BG10" s="3">
        <f>IFERROR(__xludf.DUMMYFUNCTION("iferror(index(Googlefinance($B10, ""price"", BG$1),2,2), 0)"),65.99)</f>
        <v>65.99</v>
      </c>
      <c r="BH10" s="3">
        <f>IFERROR(__xludf.DUMMYFUNCTION("iferror(index(Googlefinance($B10, ""price"", BH$1),2,2), 0)"),67.25)</f>
        <v>67.25</v>
      </c>
      <c r="BI10" s="3">
        <f>IFERROR(__xludf.DUMMYFUNCTION("iferror(index(Googlefinance($B10, ""price"", BI$1),2,2), 0)"),67.25)</f>
        <v>67.25</v>
      </c>
      <c r="BJ10" s="3">
        <f>IFERROR(__xludf.DUMMYFUNCTION("iferror(index(Googlefinance($B10, ""price"", BJ$1),2,2), 0)"),67.25)</f>
        <v>67.25</v>
      </c>
      <c r="BK10" s="3">
        <f>IFERROR(__xludf.DUMMYFUNCTION("iferror(index(Googlefinance($B10, ""price"", BK$1),2,2), 0)"),66.21)</f>
        <v>66.21</v>
      </c>
      <c r="BL10" s="3">
        <f>IFERROR(__xludf.DUMMYFUNCTION("iferror(index(Googlefinance($B10, ""price"", BL$1),2,2), 0)"),63.66)</f>
        <v>63.66</v>
      </c>
      <c r="BM10" s="3">
        <f>IFERROR(__xludf.DUMMYFUNCTION("iferror(index(Googlefinance($B10, ""price"", BM$1),2,2), 0)"),62.55)</f>
        <v>62.55</v>
      </c>
      <c r="BN10" s="3">
        <f>IFERROR(__xludf.DUMMYFUNCTION("iferror(index(Googlefinance($B10, ""price"", BN$1),2,2), 0)"),62.72)</f>
        <v>62.72</v>
      </c>
      <c r="BO10" s="3">
        <f>IFERROR(__xludf.DUMMYFUNCTION("iferror(index(Googlefinance($B10, ""price"", BO$1),2,2), 0)"),65.18)</f>
        <v>65.18</v>
      </c>
      <c r="BP10" s="3">
        <f>IFERROR(__xludf.DUMMYFUNCTION("iferror(index(Googlefinance($B10, ""price"", BP$1),2,2), 0)"),65.18)</f>
        <v>65.18</v>
      </c>
      <c r="BQ10" s="3">
        <f>IFERROR(__xludf.DUMMYFUNCTION("iferror(index(Googlefinance($B10, ""price"", BQ$1),2,2), 0)"),65.18)</f>
        <v>65.18</v>
      </c>
      <c r="BR10" s="3">
        <f>IFERROR(__xludf.DUMMYFUNCTION("iferror(index(Googlefinance($B10, ""price"", BR$1),2,2), 0)"),66.08)</f>
        <v>66.08</v>
      </c>
      <c r="BS10" s="3">
        <f>IFERROR(__xludf.DUMMYFUNCTION("iferror(index(Googlefinance($B10, ""price"", BS$1),2,2), 0)"),65.6)</f>
        <v>65.6</v>
      </c>
      <c r="BT10" s="3">
        <f>IFERROR(__xludf.DUMMYFUNCTION("iferror(index(Googlefinance($B10, ""price"", BT$1),2,2), 0)"),66.08)</f>
        <v>66.08</v>
      </c>
      <c r="BU10" s="3">
        <f>IFERROR(__xludf.DUMMYFUNCTION("iferror(index(Googlefinance($B10, ""price"", BU$1),2,2), 0)"),66.84)</f>
        <v>66.84</v>
      </c>
      <c r="BV10" s="3">
        <f>IFERROR(__xludf.DUMMYFUNCTION("iferror(index(Googlefinance($B10, ""price"", BV$1),2,2), 0)"),68.02)</f>
        <v>68.02</v>
      </c>
      <c r="BW10" s="3">
        <f>IFERROR(__xludf.DUMMYFUNCTION("iferror(index(Googlefinance($B10, ""price"", BW$1),2,2), 0)"),68.02)</f>
        <v>68.02</v>
      </c>
      <c r="BX10" s="3">
        <f>IFERROR(__xludf.DUMMYFUNCTION("iferror(index(Googlefinance($B10, ""price"", BX$1),2,2), 0)"),68.02)</f>
        <v>68.02</v>
      </c>
      <c r="BY10" s="3">
        <f>IFERROR(__xludf.DUMMYFUNCTION("iferror(index(Googlefinance($B10, ""price"", BY$1),2,2), 0)"),66.72)</f>
        <v>66.72</v>
      </c>
      <c r="BZ10" s="3">
        <f>IFERROR(__xludf.DUMMYFUNCTION("iferror(index(Googlefinance($B10, ""price"", BZ$1),2,2), 0)"),67.34)</f>
        <v>67.34</v>
      </c>
      <c r="CA10" s="3">
        <f>IFERROR(__xludf.DUMMYFUNCTION("iferror(index(Googlefinance($B10, ""price"", CA$1),2,2), 0)"),66.52)</f>
        <v>66.52</v>
      </c>
      <c r="CB10" s="3">
        <f>IFERROR(__xludf.DUMMYFUNCTION("iferror(index(Googlefinance($B10, ""price"", CB$1),2,2), 0)"),66.61)</f>
        <v>66.61</v>
      </c>
      <c r="CC10" s="3">
        <f>IFERROR(__xludf.DUMMYFUNCTION("iferror(index(Googlefinance($B10, ""price"", CC$1),2,2), 0)"),0.0)</f>
        <v>0</v>
      </c>
      <c r="CD10" s="3">
        <f>IFERROR(__xludf.DUMMYFUNCTION("iferror(index(Googlefinance($B10, ""price"", CD$1),2,2), 0)"),0.0)</f>
        <v>0</v>
      </c>
    </row>
    <row r="11">
      <c r="A11" s="1" t="s">
        <v>19</v>
      </c>
      <c r="B11" s="1" t="s">
        <v>20</v>
      </c>
      <c r="C11" s="3">
        <f>IFERROR(__xludf.DUMMYFUNCTION("iferror(index(Googlefinance($B11, ""price"", C$1),2,2), 0)"),116.24)</f>
        <v>116.24</v>
      </c>
      <c r="D11" s="3">
        <f>IFERROR(__xludf.DUMMYFUNCTION("iferror(index(Googlefinance($B11, ""price"", D$1),2,2), 0)"),116.24)</f>
        <v>116.24</v>
      </c>
      <c r="E11" s="3">
        <f>IFERROR(__xludf.DUMMYFUNCTION("iferror(index(Googlefinance($B11, ""price"", E$1),2,2), 0)"),116.24)</f>
        <v>116.24</v>
      </c>
      <c r="F11" s="3">
        <f>IFERROR(__xludf.DUMMYFUNCTION("iferror(index(Googlefinance($B11, ""price"", F$1),2,2), 0)"),116.24)</f>
        <v>116.24</v>
      </c>
      <c r="G11" s="3">
        <f>IFERROR(__xludf.DUMMYFUNCTION("iferror(index(Googlefinance($B11, ""price"", G$1),2,2), 0)"),118.1)</f>
        <v>118.1</v>
      </c>
      <c r="H11" s="3">
        <f>IFERROR(__xludf.DUMMYFUNCTION("iferror(index(Googlefinance($B11, ""price"", H$1),2,2), 0)"),120.9)</f>
        <v>120.9</v>
      </c>
      <c r="I11" s="3">
        <f>IFERROR(__xludf.DUMMYFUNCTION("iferror(index(Googlefinance($B11, ""price"", I$1),2,2), 0)"),123.95)</f>
        <v>123.95</v>
      </c>
      <c r="J11" s="3">
        <f>IFERROR(__xludf.DUMMYFUNCTION("iferror(index(Googlefinance($B11, ""price"", J$1),2,2), 0)"),124.35)</f>
        <v>124.35</v>
      </c>
      <c r="K11" s="3">
        <f>IFERROR(__xludf.DUMMYFUNCTION("iferror(index(Googlefinance($B11, ""price"", K$1),2,2), 0)"),125.26)</f>
        <v>125.26</v>
      </c>
      <c r="L11" s="3">
        <f>IFERROR(__xludf.DUMMYFUNCTION("iferror(index(Googlefinance($B11, ""price"", L$1),2,2), 0)"),125.26)</f>
        <v>125.26</v>
      </c>
      <c r="M11" s="3">
        <f>IFERROR(__xludf.DUMMYFUNCTION("iferror(index(Googlefinance($B11, ""price"", M$1),2,2), 0)"),125.26)</f>
        <v>125.26</v>
      </c>
      <c r="N11" s="3">
        <f>IFERROR(__xludf.DUMMYFUNCTION("iferror(index(Googlefinance($B11, ""price"", N$1),2,2), 0)"),127.33)</f>
        <v>127.33</v>
      </c>
      <c r="O11" s="3">
        <f>IFERROR(__xludf.DUMMYFUNCTION("iferror(index(Googlefinance($B11, ""price"", O$1),2,2), 0)"),124.86)</f>
        <v>124.86</v>
      </c>
      <c r="P11" s="3">
        <f>IFERROR(__xludf.DUMMYFUNCTION("iferror(index(Googlefinance($B11, ""price"", P$1),2,2), 0)"),123.1)</f>
        <v>123.1</v>
      </c>
      <c r="Q11" s="3">
        <f>IFERROR(__xludf.DUMMYFUNCTION("iferror(index(Googlefinance($B11, ""price"", Q$1),2,2), 0)"),121.08)</f>
        <v>121.08</v>
      </c>
      <c r="R11" s="3">
        <f>IFERROR(__xludf.DUMMYFUNCTION("iferror(index(Googlefinance($B11, ""price"", R$1),2,2), 0)"),124.12)</f>
        <v>124.12</v>
      </c>
      <c r="S11" s="3">
        <f>IFERROR(__xludf.DUMMYFUNCTION("iferror(index(Googlefinance($B11, ""price"", S$1),2,2), 0)"),124.12)</f>
        <v>124.12</v>
      </c>
      <c r="T11" s="3">
        <f>IFERROR(__xludf.DUMMYFUNCTION("iferror(index(Googlefinance($B11, ""price"", T$1),2,2), 0)"),124.12)</f>
        <v>124.12</v>
      </c>
      <c r="U11" s="3">
        <f>IFERROR(__xludf.DUMMYFUNCTION("iferror(index(Googlefinance($B11, ""price"", U$1),2,2), 0)"),124.12)</f>
        <v>124.12</v>
      </c>
      <c r="V11" s="3">
        <f>IFERROR(__xludf.DUMMYFUNCTION("iferror(index(Googlefinance($B11, ""price"", V$1),2,2), 0)"),124.56)</f>
        <v>124.56</v>
      </c>
      <c r="W11" s="3">
        <f>IFERROR(__xludf.DUMMYFUNCTION("iferror(index(Googlefinance($B11, ""price"", W$1),2,2), 0)"),124.96)</f>
        <v>124.96</v>
      </c>
      <c r="X11" s="3">
        <f>IFERROR(__xludf.DUMMYFUNCTION("iferror(index(Googlefinance($B11, ""price"", X$1),2,2), 0)"),121.98)</f>
        <v>121.98</v>
      </c>
      <c r="Y11" s="3">
        <f>IFERROR(__xludf.DUMMYFUNCTION("iferror(index(Googlefinance($B11, ""price"", Y$1),2,2), 0)"),120.0)</f>
        <v>120</v>
      </c>
      <c r="Z11" s="3">
        <f>IFERROR(__xludf.DUMMYFUNCTION("iferror(index(Googlefinance($B11, ""price"", Z$1),2,2), 0)"),120.0)</f>
        <v>120</v>
      </c>
      <c r="AA11" s="3">
        <f>IFERROR(__xludf.DUMMYFUNCTION("iferror(index(Googlefinance($B11, ""price"", AA$1),2,2), 0)"),120.0)</f>
        <v>120</v>
      </c>
      <c r="AB11" s="3">
        <f>IFERROR(__xludf.DUMMYFUNCTION("iferror(index(Googlefinance($B11, ""price"", AB$1),2,2), 0)"),118.58)</f>
        <v>118.58</v>
      </c>
      <c r="AC11" s="3">
        <f>IFERROR(__xludf.DUMMYFUNCTION("iferror(index(Googlefinance($B11, ""price"", AC$1),2,2), 0)"),112.1)</f>
        <v>112.1</v>
      </c>
      <c r="AD11" s="3">
        <f>IFERROR(__xludf.DUMMYFUNCTION("iferror(index(Googlefinance($B11, ""price"", AD$1),2,2), 0)"),118.78)</f>
        <v>118.78</v>
      </c>
      <c r="AE11" s="3">
        <f>IFERROR(__xludf.DUMMYFUNCTION("iferror(index(Googlefinance($B11, ""price"", AE$1),2,2), 0)"),116.89)</f>
        <v>116.89</v>
      </c>
      <c r="AF11" s="3">
        <f>IFERROR(__xludf.DUMMYFUNCTION("iferror(index(Googlefinance($B11, ""price"", AF$1),2,2), 0)"),119.36)</f>
        <v>119.36</v>
      </c>
      <c r="AG11" s="3">
        <f>IFERROR(__xludf.DUMMYFUNCTION("iferror(index(Googlefinance($B11, ""price"", AG$1),2,2), 0)"),119.36)</f>
        <v>119.36</v>
      </c>
      <c r="AH11" s="3">
        <f>IFERROR(__xludf.DUMMYFUNCTION("iferror(index(Googlefinance($B11, ""price"", AH$1),2,2), 0)"),119.36)</f>
        <v>119.36</v>
      </c>
      <c r="AI11" s="3">
        <f>IFERROR(__xludf.DUMMYFUNCTION("iferror(index(Googlefinance($B11, ""price"", AI$1),2,2), 0)"),122.82)</f>
        <v>122.82</v>
      </c>
      <c r="AJ11" s="3">
        <f>IFERROR(__xludf.DUMMYFUNCTION("iferror(index(Googlefinance($B11, ""price"", AJ$1),2,2), 0)"),125.54)</f>
        <v>125.54</v>
      </c>
      <c r="AK11" s="3">
        <f>IFERROR(__xludf.DUMMYFUNCTION("iferror(index(Googlefinance($B11, ""price"", AK$1),2,2), 0)"),128.69)</f>
        <v>128.69</v>
      </c>
      <c r="AL11" s="3">
        <f>IFERROR(__xludf.DUMMYFUNCTION("iferror(index(Googlefinance($B11, ""price"", AL$1),2,2), 0)"),131.98)</f>
        <v>131.98</v>
      </c>
      <c r="AM11" s="3">
        <f>IFERROR(__xludf.DUMMYFUNCTION("iferror(index(Googlefinance($B11, ""price"", AM$1),2,2), 0)"),130.27)</f>
        <v>130.27</v>
      </c>
      <c r="AN11" s="3">
        <f>IFERROR(__xludf.DUMMYFUNCTION("iferror(index(Googlefinance($B11, ""price"", AN$1),2,2), 0)"),130.27)</f>
        <v>130.27</v>
      </c>
      <c r="AO11" s="3">
        <f>IFERROR(__xludf.DUMMYFUNCTION("iferror(index(Googlefinance($B11, ""price"", AO$1),2,2), 0)"),130.27)</f>
        <v>130.27</v>
      </c>
      <c r="AP11" s="3">
        <f>IFERROR(__xludf.DUMMYFUNCTION("iferror(index(Googlefinance($B11, ""price"", AP$1),2,2), 0)"),129.36)</f>
        <v>129.36</v>
      </c>
      <c r="AQ11" s="3">
        <f>IFERROR(__xludf.DUMMYFUNCTION("iferror(index(Googlefinance($B11, ""price"", AQ$1),2,2), 0)"),128.98)</f>
        <v>128.98</v>
      </c>
      <c r="AR11" s="3">
        <f>IFERROR(__xludf.DUMMYFUNCTION("iferror(index(Googlefinance($B11, ""price"", AR$1),2,2), 0)"),128.92)</f>
        <v>128.92</v>
      </c>
      <c r="AS11" s="3">
        <f>IFERROR(__xludf.DUMMYFUNCTION("iferror(index(Googlefinance($B11, ""price"", AS$1),2,2), 0)"),128.45)</f>
        <v>128.45</v>
      </c>
      <c r="AT11" s="3">
        <f>IFERROR(__xludf.DUMMYFUNCTION("iferror(index(Googlefinance($B11, ""price"", AT$1),2,2), 0)"),128.93)</f>
        <v>128.93</v>
      </c>
      <c r="AU11" s="3">
        <f>IFERROR(__xludf.DUMMYFUNCTION("iferror(index(Googlefinance($B11, ""price"", AU$1),2,2), 0)"),128.93)</f>
        <v>128.93</v>
      </c>
      <c r="AV11" s="3">
        <f>IFERROR(__xludf.DUMMYFUNCTION("iferror(index(Googlefinance($B11, ""price"", AV$1),2,2), 0)"),128.93)</f>
        <v>128.93</v>
      </c>
      <c r="AW11" s="3">
        <f>IFERROR(__xludf.DUMMYFUNCTION("iferror(index(Googlefinance($B11, ""price"", AW$1),2,2), 0)"),128.93)</f>
        <v>128.93</v>
      </c>
      <c r="AX11" s="3">
        <f>IFERROR(__xludf.DUMMYFUNCTION("iferror(index(Googlefinance($B11, ""price"", AX$1),2,2), 0)"),128.27)</f>
        <v>128.27</v>
      </c>
      <c r="AY11" s="3">
        <f>IFERROR(__xludf.DUMMYFUNCTION("iferror(index(Googlefinance($B11, ""price"", AY$1),2,2), 0)"),129.98)</f>
        <v>129.98</v>
      </c>
      <c r="AZ11" s="3">
        <f>IFERROR(__xludf.DUMMYFUNCTION("iferror(index(Googlefinance($B11, ""price"", AZ$1),2,2), 0)"),134.01)</f>
        <v>134.01</v>
      </c>
      <c r="BA11" s="3">
        <f>IFERROR(__xludf.DUMMYFUNCTION("iferror(index(Googlefinance($B11, ""price"", BA$1),2,2), 0)"),135.0)</f>
        <v>135</v>
      </c>
      <c r="BB11" s="3">
        <f>IFERROR(__xludf.DUMMYFUNCTION("iferror(index(Googlefinance($B11, ""price"", BB$1),2,2), 0)"),135.0)</f>
        <v>135</v>
      </c>
      <c r="BC11" s="3">
        <f>IFERROR(__xludf.DUMMYFUNCTION("iferror(index(Googlefinance($B11, ""price"", BC$1),2,2), 0)"),135.0)</f>
        <v>135</v>
      </c>
      <c r="BD11" s="3">
        <f>IFERROR(__xludf.DUMMYFUNCTION("iferror(index(Googlefinance($B11, ""price"", BD$1),2,2), 0)"),134.31)</f>
        <v>134.31</v>
      </c>
      <c r="BE11" s="3">
        <f>IFERROR(__xludf.DUMMYFUNCTION("iferror(index(Googlefinance($B11, ""price"", BE$1),2,2), 0)"),138.78)</f>
        <v>138.78</v>
      </c>
      <c r="BF11" s="3">
        <f>IFERROR(__xludf.DUMMYFUNCTION("iferror(index(Googlefinance($B11, ""price"", BF$1),2,2), 0)"),136.0)</f>
        <v>136</v>
      </c>
      <c r="BG11" s="3">
        <f>IFERROR(__xludf.DUMMYFUNCTION("iferror(index(Googlefinance($B11, ""price"", BG$1),2,2), 0)"),137.33)</f>
        <v>137.33</v>
      </c>
      <c r="BH11" s="3">
        <f>IFERROR(__xludf.DUMMYFUNCTION("iferror(index(Googlefinance($B11, ""price"", BH$1),2,2), 0)"),139.02)</f>
        <v>139.02</v>
      </c>
      <c r="BI11" s="3">
        <f>IFERROR(__xludf.DUMMYFUNCTION("iferror(index(Googlefinance($B11, ""price"", BI$1),2,2), 0)"),139.02)</f>
        <v>139.02</v>
      </c>
      <c r="BJ11" s="3">
        <f>IFERROR(__xludf.DUMMYFUNCTION("iferror(index(Googlefinance($B11, ""price"", BJ$1),2,2), 0)"),139.02)</f>
        <v>139.02</v>
      </c>
      <c r="BK11" s="3">
        <f>IFERROR(__xludf.DUMMYFUNCTION("iferror(index(Googlefinance($B11, ""price"", BK$1),2,2), 0)"),138.96)</f>
        <v>138.96</v>
      </c>
      <c r="BL11" s="3">
        <f>IFERROR(__xludf.DUMMYFUNCTION("iferror(index(Googlefinance($B11, ""price"", BL$1),2,2), 0)"),138.03)</f>
        <v>138.03</v>
      </c>
      <c r="BM11" s="3">
        <f>IFERROR(__xludf.DUMMYFUNCTION("iferror(index(Googlefinance($B11, ""price"", BM$1),2,2), 0)"),136.64)</f>
        <v>136.64</v>
      </c>
      <c r="BN11" s="3">
        <f>IFERROR(__xludf.DUMMYFUNCTION("iferror(index(Googlefinance($B11, ""price"", BN$1),2,2), 0)"),140.66)</f>
        <v>140.66</v>
      </c>
      <c r="BO11" s="3">
        <f>IFERROR(__xludf.DUMMYFUNCTION("iferror(index(Googlefinance($B11, ""price"", BO$1),2,2), 0)"),143.03)</f>
        <v>143.03</v>
      </c>
      <c r="BP11" s="3">
        <f>IFERROR(__xludf.DUMMYFUNCTION("iferror(index(Googlefinance($B11, ""price"", BP$1),2,2), 0)"),143.03)</f>
        <v>143.03</v>
      </c>
      <c r="BQ11" s="3">
        <f>IFERROR(__xludf.DUMMYFUNCTION("iferror(index(Googlefinance($B11, ""price"", BQ$1),2,2), 0)"),143.03)</f>
        <v>143.03</v>
      </c>
      <c r="BR11" s="3">
        <f>IFERROR(__xludf.DUMMYFUNCTION("iferror(index(Googlefinance($B11, ""price"", BR$1),2,2), 0)"),139.32)</f>
        <v>139.32</v>
      </c>
      <c r="BS11" s="3">
        <f>IFERROR(__xludf.DUMMYFUNCTION("iferror(index(Googlefinance($B11, ""price"", BS$1),2,2), 0)"),142.09)</f>
        <v>142.09</v>
      </c>
      <c r="BT11" s="3">
        <f>IFERROR(__xludf.DUMMYFUNCTION("iferror(index(Googlefinance($B11, ""price"", BT$1),2,2), 0)"),141.04)</f>
        <v>141.04</v>
      </c>
      <c r="BU11" s="3">
        <f>IFERROR(__xludf.DUMMYFUNCTION("iferror(index(Googlefinance($B11, ""price"", BU$1),2,2), 0)"),145.41)</f>
        <v>145.41</v>
      </c>
      <c r="BV11" s="3">
        <f>IFERROR(__xludf.DUMMYFUNCTION("iferror(index(Googlefinance($B11, ""price"", BV$1),2,2), 0)"),146.24)</f>
        <v>146.24</v>
      </c>
      <c r="BW11" s="3">
        <f>IFERROR(__xludf.DUMMYFUNCTION("iferror(index(Googlefinance($B11, ""price"", BW$1),2,2), 0)"),146.24)</f>
        <v>146.24</v>
      </c>
      <c r="BX11" s="3">
        <f>IFERROR(__xludf.DUMMYFUNCTION("iferror(index(Googlefinance($B11, ""price"", BX$1),2,2), 0)"),146.24)</f>
        <v>146.24</v>
      </c>
      <c r="BY11" s="3">
        <f>IFERROR(__xludf.DUMMYFUNCTION("iferror(index(Googlefinance($B11, ""price"", BY$1),2,2), 0)"),140.54)</f>
        <v>140.54</v>
      </c>
      <c r="BZ11" s="3">
        <f>IFERROR(__xludf.DUMMYFUNCTION("iferror(index(Googlefinance($B11, ""price"", BZ$1),2,2), 0)"),141.25)</f>
        <v>141.25</v>
      </c>
      <c r="CA11" s="3">
        <f>IFERROR(__xludf.DUMMYFUNCTION("iferror(index(Googlefinance($B11, ""price"", CA$1),2,2), 0)"),139.97)</f>
        <v>139.97</v>
      </c>
      <c r="CB11" s="3">
        <f>IFERROR(__xludf.DUMMYFUNCTION("iferror(index(Googlefinance($B11, ""price"", CB$1),2,2), 0)"),139.79)</f>
        <v>139.79</v>
      </c>
      <c r="CC11" s="3">
        <f>IFERROR(__xludf.DUMMYFUNCTION("iferror(index(Googlefinance($B11, ""price"", CC$1),2,2), 0)"),0.0)</f>
        <v>0</v>
      </c>
      <c r="CD11" s="3">
        <f>IFERROR(__xludf.DUMMYFUNCTION("iferror(index(Googlefinance($B11, ""price"", CD$1),2,2), 0)"),0.0)</f>
        <v>0</v>
      </c>
    </row>
    <row r="12">
      <c r="A12" s="1" t="s">
        <v>21</v>
      </c>
      <c r="B12" s="1" t="s">
        <v>22</v>
      </c>
      <c r="C12" s="3">
        <f>IFERROR(__xludf.DUMMYFUNCTION("iferror(index(Googlefinance($B12, ""price"", C$1),2,2), 0)"),177.68)</f>
        <v>177.68</v>
      </c>
      <c r="D12" s="3">
        <f>IFERROR(__xludf.DUMMYFUNCTION("iferror(index(Googlefinance($B12, ""price"", D$1),2,2), 0)"),177.68)</f>
        <v>177.68</v>
      </c>
      <c r="E12" s="3">
        <f>IFERROR(__xludf.DUMMYFUNCTION("iferror(index(Googlefinance($B12, ""price"", E$1),2,2), 0)"),177.68)</f>
        <v>177.68</v>
      </c>
      <c r="F12" s="3">
        <f>IFERROR(__xludf.DUMMYFUNCTION("iferror(index(Googlefinance($B12, ""price"", F$1),2,2), 0)"),177.68)</f>
        <v>177.68</v>
      </c>
      <c r="G12" s="3">
        <f>IFERROR(__xludf.DUMMYFUNCTION("iferror(index(Googlefinance($B12, ""price"", G$1),2,2), 0)"),178.44)</f>
        <v>178.44</v>
      </c>
      <c r="H12" s="3">
        <f>IFERROR(__xludf.DUMMYFUNCTION("iferror(index(Googlefinance($B12, ""price"", H$1),2,2), 0)"),179.12)</f>
        <v>179.12</v>
      </c>
      <c r="I12" s="3">
        <f>IFERROR(__xludf.DUMMYFUNCTION("iferror(index(Googlefinance($B12, ""price"", I$1),2,2), 0)"),178.58)</f>
        <v>178.58</v>
      </c>
      <c r="J12" s="3">
        <f>IFERROR(__xludf.DUMMYFUNCTION("iferror(index(Googlefinance($B12, ""price"", J$1),2,2), 0)"),178.69)</f>
        <v>178.69</v>
      </c>
      <c r="K12" s="3">
        <f>IFERROR(__xludf.DUMMYFUNCTION("iferror(index(Googlefinance($B12, ""price"", K$1),2,2), 0)"),179.09)</f>
        <v>179.09</v>
      </c>
      <c r="L12" s="3">
        <f>IFERROR(__xludf.DUMMYFUNCTION("iferror(index(Googlefinance($B12, ""price"", L$1),2,2), 0)"),179.09)</f>
        <v>179.09</v>
      </c>
      <c r="M12" s="3">
        <f>IFERROR(__xludf.DUMMYFUNCTION("iferror(index(Googlefinance($B12, ""price"", M$1),2,2), 0)"),179.09)</f>
        <v>179.09</v>
      </c>
      <c r="N12" s="3">
        <f>IFERROR(__xludf.DUMMYFUNCTION("iferror(index(Googlefinance($B12, ""price"", N$1),2,2), 0)"),175.99)</f>
        <v>175.99</v>
      </c>
      <c r="O12" s="3">
        <f>IFERROR(__xludf.DUMMYFUNCTION("iferror(index(Googlefinance($B12, ""price"", O$1),2,2), 0)"),176.12)</f>
        <v>176.12</v>
      </c>
      <c r="P12" s="3">
        <f>IFERROR(__xludf.DUMMYFUNCTION("iferror(index(Googlefinance($B12, ""price"", P$1),2,2), 0)"),173.43)</f>
        <v>173.43</v>
      </c>
      <c r="Q12" s="3">
        <f>IFERROR(__xludf.DUMMYFUNCTION("iferror(index(Googlefinance($B12, ""price"", Q$1),2,2), 0)"),171.44)</f>
        <v>171.44</v>
      </c>
      <c r="R12" s="3">
        <f>IFERROR(__xludf.DUMMYFUNCTION("iferror(index(Googlefinance($B12, ""price"", R$1),2,2), 0)"),172.26)</f>
        <v>172.26</v>
      </c>
      <c r="S12" s="3">
        <f>IFERROR(__xludf.DUMMYFUNCTION("iferror(index(Googlefinance($B12, ""price"", S$1),2,2), 0)"),172.26)</f>
        <v>172.26</v>
      </c>
      <c r="T12" s="3">
        <f>IFERROR(__xludf.DUMMYFUNCTION("iferror(index(Googlefinance($B12, ""price"", T$1),2,2), 0)"),172.26)</f>
        <v>172.26</v>
      </c>
      <c r="U12" s="3">
        <f>IFERROR(__xludf.DUMMYFUNCTION("iferror(index(Googlefinance($B12, ""price"", U$1),2,2), 0)"),172.26)</f>
        <v>172.26</v>
      </c>
      <c r="V12" s="3">
        <f>IFERROR(__xludf.DUMMYFUNCTION("iferror(index(Googlefinance($B12, ""price"", V$1),2,2), 0)"),173.64)</f>
        <v>173.64</v>
      </c>
      <c r="W12" s="3">
        <f>IFERROR(__xludf.DUMMYFUNCTION("iferror(index(Googlefinance($B12, ""price"", W$1),2,2), 0)"),171.28)</f>
        <v>171.28</v>
      </c>
      <c r="X12" s="3">
        <f>IFERROR(__xludf.DUMMYFUNCTION("iferror(index(Googlefinance($B12, ""price"", X$1),2,2), 0)"),172.78)</f>
        <v>172.78</v>
      </c>
      <c r="Y12" s="3">
        <f>IFERROR(__xludf.DUMMYFUNCTION("iferror(index(Googlefinance($B12, ""price"", Y$1),2,2), 0)"),171.89)</f>
        <v>171.89</v>
      </c>
      <c r="Z12" s="3">
        <f>IFERROR(__xludf.DUMMYFUNCTION("iferror(index(Googlefinance($B12, ""price"", Z$1),2,2), 0)"),171.89)</f>
        <v>171.89</v>
      </c>
      <c r="AA12" s="3">
        <f>IFERROR(__xludf.DUMMYFUNCTION("iferror(index(Googlefinance($B12, ""price"", AA$1),2,2), 0)"),171.89)</f>
        <v>171.89</v>
      </c>
      <c r="AB12" s="3">
        <f>IFERROR(__xludf.DUMMYFUNCTION("iferror(index(Googlefinance($B12, ""price"", AB$1),2,2), 0)"),169.56)</f>
        <v>169.56</v>
      </c>
      <c r="AC12" s="3">
        <f>IFERROR(__xludf.DUMMYFUNCTION("iferror(index(Googlefinance($B12, ""price"", AC$1),2,2), 0)"),163.03)</f>
        <v>163.03</v>
      </c>
      <c r="AD12" s="3">
        <f>IFERROR(__xludf.DUMMYFUNCTION("iferror(index(Googlefinance($B12, ""price"", AD$1),2,2), 0)"),171.88)</f>
        <v>171.88</v>
      </c>
      <c r="AE12" s="3">
        <f>IFERROR(__xludf.DUMMYFUNCTION("iferror(index(Googlefinance($B12, ""price"", AE$1),2,2), 0)"),168.17)</f>
        <v>168.17</v>
      </c>
      <c r="AF12" s="3">
        <f>IFERROR(__xludf.DUMMYFUNCTION("iferror(index(Googlefinance($B12, ""price"", AF$1),2,2), 0)"),170.97)</f>
        <v>170.97</v>
      </c>
      <c r="AG12" s="3">
        <f>IFERROR(__xludf.DUMMYFUNCTION("iferror(index(Googlefinance($B12, ""price"", AG$1),2,2), 0)"),170.97)</f>
        <v>170.97</v>
      </c>
      <c r="AH12" s="3">
        <f>IFERROR(__xludf.DUMMYFUNCTION("iferror(index(Googlefinance($B12, ""price"", AH$1),2,2), 0)"),170.97)</f>
        <v>170.97</v>
      </c>
      <c r="AI12" s="3">
        <f>IFERROR(__xludf.DUMMYFUNCTION("iferror(index(Googlefinance($B12, ""price"", AI$1),2,2), 0)"),176.96)</f>
        <v>176.96</v>
      </c>
      <c r="AJ12" s="3">
        <f>IFERROR(__xludf.DUMMYFUNCTION("iferror(index(Googlefinance($B12, ""price"", AJ$1),2,2), 0)"),176.43)</f>
        <v>176.43</v>
      </c>
      <c r="AK12" s="3">
        <f>IFERROR(__xludf.DUMMYFUNCTION("iferror(index(Googlefinance($B12, ""price"", AK$1),2,2), 0)"),180.23)</f>
        <v>180.23</v>
      </c>
      <c r="AL12" s="3">
        <f>IFERROR(__xludf.DUMMYFUNCTION("iferror(index(Googlefinance($B12, ""price"", AL$1),2,2), 0)"),181.16)</f>
        <v>181.16</v>
      </c>
      <c r="AM12" s="3">
        <f>IFERROR(__xludf.DUMMYFUNCTION("iferror(index(Googlefinance($B12, ""price"", AM$1),2,2), 0)"),190.0)</f>
        <v>190</v>
      </c>
      <c r="AN12" s="3">
        <f>IFERROR(__xludf.DUMMYFUNCTION("iferror(index(Googlefinance($B12, ""price"", AN$1),2,2), 0)"),190.0)</f>
        <v>190</v>
      </c>
      <c r="AO12" s="3">
        <f>IFERROR(__xludf.DUMMYFUNCTION("iferror(index(Googlefinance($B12, ""price"", AO$1),2,2), 0)"),190.0)</f>
        <v>190</v>
      </c>
      <c r="AP12" s="3">
        <f>IFERROR(__xludf.DUMMYFUNCTION("iferror(index(Googlefinance($B12, ""price"", AP$1),2,2), 0)"),188.21)</f>
        <v>188.21</v>
      </c>
      <c r="AQ12" s="3">
        <f>IFERROR(__xludf.DUMMYFUNCTION("iferror(index(Googlefinance($B12, ""price"", AQ$1),2,2), 0)"),189.63)</f>
        <v>189.63</v>
      </c>
      <c r="AR12" s="3">
        <f>IFERROR(__xludf.DUMMYFUNCTION("iferror(index(Googlefinance($B12, ""price"", AR$1),2,2), 0)"),190.91)</f>
        <v>190.91</v>
      </c>
      <c r="AS12" s="3">
        <f>IFERROR(__xludf.DUMMYFUNCTION("iferror(index(Googlefinance($B12, ""price"", AS$1),2,2), 0)"),187.67)</f>
        <v>187.67</v>
      </c>
      <c r="AT12" s="3">
        <f>IFERROR(__xludf.DUMMYFUNCTION("iferror(index(Googlefinance($B12, ""price"", AT$1),2,2), 0)"),186.35)</f>
        <v>186.35</v>
      </c>
      <c r="AU12" s="3">
        <f>IFERROR(__xludf.DUMMYFUNCTION("iferror(index(Googlefinance($B12, ""price"", AU$1),2,2), 0)"),186.35)</f>
        <v>186.35</v>
      </c>
      <c r="AV12" s="3">
        <f>IFERROR(__xludf.DUMMYFUNCTION("iferror(index(Googlefinance($B12, ""price"", AV$1),2,2), 0)"),186.35)</f>
        <v>186.35</v>
      </c>
      <c r="AW12" s="3">
        <f>IFERROR(__xludf.DUMMYFUNCTION("iferror(index(Googlefinance($B12, ""price"", AW$1),2,2), 0)"),186.35)</f>
        <v>186.35</v>
      </c>
      <c r="AX12" s="3">
        <f>IFERROR(__xludf.DUMMYFUNCTION("iferror(index(Googlefinance($B12, ""price"", AX$1),2,2), 0)"),186.44)</f>
        <v>186.44</v>
      </c>
      <c r="AY12" s="3">
        <f>IFERROR(__xludf.DUMMYFUNCTION("iferror(index(Googlefinance($B12, ""price"", AY$1),2,2), 0)"),183.0)</f>
        <v>183</v>
      </c>
      <c r="AZ12" s="3">
        <f>IFERROR(__xludf.DUMMYFUNCTION("iferror(index(Googlefinance($B12, ""price"", AZ$1),2,2), 0)"),183.65)</f>
        <v>183.65</v>
      </c>
      <c r="BA12" s="3">
        <f>IFERROR(__xludf.DUMMYFUNCTION("iferror(index(Googlefinance($B12, ""price"", BA$1),2,2), 0)"),191.76)</f>
        <v>191.76</v>
      </c>
      <c r="BB12" s="3">
        <f>IFERROR(__xludf.DUMMYFUNCTION("iferror(index(Googlefinance($B12, ""price"", BB$1),2,2), 0)"),191.76)</f>
        <v>191.76</v>
      </c>
      <c r="BC12" s="3">
        <f>IFERROR(__xludf.DUMMYFUNCTION("iferror(index(Googlefinance($B12, ""price"", BC$1),2,2), 0)"),191.76)</f>
        <v>191.76</v>
      </c>
      <c r="BD12" s="3">
        <f>IFERROR(__xludf.DUMMYFUNCTION("iferror(index(Googlefinance($B12, ""price"", BD$1),2,2), 0)"),197.09)</f>
        <v>197.09</v>
      </c>
      <c r="BE12" s="3">
        <f>IFERROR(__xludf.DUMMYFUNCTION("iferror(index(Googlefinance($B12, ""price"", BE$1),2,2), 0)"),197.51)</f>
        <v>197.51</v>
      </c>
      <c r="BF12" s="3">
        <f>IFERROR(__xludf.DUMMYFUNCTION("iferror(index(Googlefinance($B12, ""price"", BF$1),2,2), 0)"),190.98)</f>
        <v>190.98</v>
      </c>
      <c r="BG12" s="3">
        <f>IFERROR(__xludf.DUMMYFUNCTION("iferror(index(Googlefinance($B12, ""price"", BG$1),2,2), 0)"),189.04)</f>
        <v>189.04</v>
      </c>
      <c r="BH12" s="3">
        <f>IFERROR(__xludf.DUMMYFUNCTION("iferror(index(Googlefinance($B12, ""price"", BH$1),2,2), 0)"),194.98)</f>
        <v>194.98</v>
      </c>
      <c r="BI12" s="3">
        <f>IFERROR(__xludf.DUMMYFUNCTION("iferror(index(Googlefinance($B12, ""price"", BI$1),2,2), 0)"),194.98)</f>
        <v>194.98</v>
      </c>
      <c r="BJ12" s="3">
        <f>IFERROR(__xludf.DUMMYFUNCTION("iferror(index(Googlefinance($B12, ""price"", BJ$1),2,2), 0)"),194.98)</f>
        <v>194.98</v>
      </c>
      <c r="BK12" s="3">
        <f>IFERROR(__xludf.DUMMYFUNCTION("iferror(index(Googlefinance($B12, ""price"", BK$1),2,2), 0)"),193.94)</f>
        <v>193.94</v>
      </c>
      <c r="BL12" s="3">
        <f>IFERROR(__xludf.DUMMYFUNCTION("iferror(index(Googlefinance($B12, ""price"", BL$1),2,2), 0)"),192.26)</f>
        <v>192.26</v>
      </c>
      <c r="BM12" s="3">
        <f>IFERROR(__xludf.DUMMYFUNCTION("iferror(index(Googlefinance($B12, ""price"", BM$1),2,2), 0)"),188.03)</f>
        <v>188.03</v>
      </c>
      <c r="BN12" s="3">
        <f>IFERROR(__xludf.DUMMYFUNCTION("iferror(index(Googlefinance($B12, ""price"", BN$1),2,2), 0)"),189.99)</f>
        <v>189.99</v>
      </c>
      <c r="BO12" s="3">
        <f>IFERROR(__xludf.DUMMYFUNCTION("iferror(index(Googlefinance($B12, ""price"", BO$1),2,2), 0)"),201.91)</f>
        <v>201.91</v>
      </c>
      <c r="BP12" s="3">
        <f>IFERROR(__xludf.DUMMYFUNCTION("iferror(index(Googlefinance($B12, ""price"", BP$1),2,2), 0)"),201.91)</f>
        <v>201.91</v>
      </c>
      <c r="BQ12" s="3">
        <f>IFERROR(__xludf.DUMMYFUNCTION("iferror(index(Googlefinance($B12, ""price"", BQ$1),2,2), 0)"),201.91)</f>
        <v>201.91</v>
      </c>
      <c r="BR12" s="3">
        <f>IFERROR(__xludf.DUMMYFUNCTION("iferror(index(Googlefinance($B12, ""price"", BR$1),2,2), 0)"),194.51)</f>
        <v>194.51</v>
      </c>
      <c r="BS12" s="3">
        <f>IFERROR(__xludf.DUMMYFUNCTION("iferror(index(Googlefinance($B12, ""price"", BS$1),2,2), 0)"),195.06)</f>
        <v>195.06</v>
      </c>
      <c r="BT12" s="3">
        <f>IFERROR(__xludf.DUMMYFUNCTION("iferror(index(Googlefinance($B12, ""price"", BT$1),2,2), 0)"),196.75)</f>
        <v>196.75</v>
      </c>
      <c r="BU12" s="3">
        <f>IFERROR(__xludf.DUMMYFUNCTION("iferror(index(Googlefinance($B12, ""price"", BU$1),2,2), 0)"),197.16)</f>
        <v>197.16</v>
      </c>
      <c r="BV12" s="3">
        <f>IFERROR(__xludf.DUMMYFUNCTION("iferror(index(Googlefinance($B12, ""price"", BV$1),2,2), 0)"),196.76)</f>
        <v>196.76</v>
      </c>
      <c r="BW12" s="3">
        <f>IFERROR(__xludf.DUMMYFUNCTION("iferror(index(Googlefinance($B12, ""price"", BW$1),2,2), 0)"),196.76)</f>
        <v>196.76</v>
      </c>
      <c r="BX12" s="3">
        <f>IFERROR(__xludf.DUMMYFUNCTION("iferror(index(Googlefinance($B12, ""price"", BX$1),2,2), 0)"),196.76)</f>
        <v>196.76</v>
      </c>
      <c r="BY12" s="3">
        <f>IFERROR(__xludf.DUMMYFUNCTION("iferror(index(Googlefinance($B12, ""price"", BY$1),2,2), 0)"),194.24)</f>
        <v>194.24</v>
      </c>
      <c r="BZ12" s="3">
        <f>IFERROR(__xludf.DUMMYFUNCTION("iferror(index(Googlefinance($B12, ""price"", BZ$1),2,2), 0)"),195.24)</f>
        <v>195.24</v>
      </c>
      <c r="CA12" s="3">
        <f>IFERROR(__xludf.DUMMYFUNCTION("iferror(index(Googlefinance($B12, ""price"", CA$1),2,2), 0)"),192.28)</f>
        <v>192.28</v>
      </c>
      <c r="CB12" s="3">
        <f>IFERROR(__xludf.DUMMYFUNCTION("iferror(index(Googlefinance($B12, ""price"", CB$1),2,2), 0)"),191.14)</f>
        <v>191.14</v>
      </c>
      <c r="CC12" s="3">
        <f>IFERROR(__xludf.DUMMYFUNCTION("iferror(index(Googlefinance($B12, ""price"", CC$1),2,2), 0)"),0.0)</f>
        <v>0</v>
      </c>
      <c r="CD12" s="3">
        <f>IFERROR(__xludf.DUMMYFUNCTION("iferror(index(Googlefinance($B12, ""price"", CD$1),2,2), 0)"),0.0)</f>
        <v>0</v>
      </c>
    </row>
    <row r="13">
      <c r="A13" s="1" t="s">
        <v>23</v>
      </c>
      <c r="B13" s="1" t="s">
        <v>24</v>
      </c>
      <c r="C13" s="3">
        <f>IFERROR(__xludf.DUMMYFUNCTION("iferror(index(Googlefinance($B13, ""price"", C$1),2,2), 0)"),522.86)</f>
        <v>522.86</v>
      </c>
      <c r="D13" s="3">
        <f>IFERROR(__xludf.DUMMYFUNCTION("iferror(index(Googlefinance($B13, ""price"", D$1),2,2), 0)"),522.86)</f>
        <v>522.86</v>
      </c>
      <c r="E13" s="3">
        <f>IFERROR(__xludf.DUMMYFUNCTION("iferror(index(Googlefinance($B13, ""price"", E$1),2,2), 0)"),522.86)</f>
        <v>522.86</v>
      </c>
      <c r="F13" s="3">
        <f>IFERROR(__xludf.DUMMYFUNCTION("iferror(index(Googlefinance($B13, ""price"", F$1),2,2), 0)"),522.86)</f>
        <v>522.86</v>
      </c>
      <c r="G13" s="3">
        <f>IFERROR(__xludf.DUMMYFUNCTION("iferror(index(Googlefinance($B13, ""price"", G$1),2,2), 0)"),520.8)</f>
        <v>520.8</v>
      </c>
      <c r="H13" s="3">
        <f>IFERROR(__xludf.DUMMYFUNCTION("iferror(index(Googlefinance($B13, ""price"", H$1),2,2), 0)"),500.49)</f>
        <v>500.49</v>
      </c>
      <c r="I13" s="3">
        <f>IFERROR(__xludf.DUMMYFUNCTION("iferror(index(Googlefinance($B13, ""price"", I$1),2,2), 0)"),508.89)</f>
        <v>508.89</v>
      </c>
      <c r="J13" s="3">
        <f>IFERROR(__xludf.DUMMYFUNCTION("iferror(index(Googlefinance($B13, ""price"", J$1),2,2), 0)"),510.4)</f>
        <v>510.4</v>
      </c>
      <c r="K13" s="3">
        <f>IFERROR(__xludf.DUMMYFUNCTION("iferror(index(Googlefinance($B13, ""price"", K$1),2,2), 0)"),499.1)</f>
        <v>499.1</v>
      </c>
      <c r="L13" s="3">
        <f>IFERROR(__xludf.DUMMYFUNCTION("iferror(index(Googlefinance($B13, ""price"", L$1),2,2), 0)"),499.1)</f>
        <v>499.1</v>
      </c>
      <c r="M13" s="3">
        <f>IFERROR(__xludf.DUMMYFUNCTION("iferror(index(Googlefinance($B13, ""price"", M$1),2,2), 0)"),499.1)</f>
        <v>499.1</v>
      </c>
      <c r="N13" s="3">
        <f>IFERROR(__xludf.DUMMYFUNCTION("iferror(index(Googlefinance($B13, ""price"", N$1),2,2), 0)"),494.25)</f>
        <v>494.25</v>
      </c>
      <c r="O13" s="3">
        <f>IFERROR(__xludf.DUMMYFUNCTION("iferror(index(Googlefinance($B13, ""price"", O$1),2,2), 0)"),507.79)</f>
        <v>507.79</v>
      </c>
      <c r="P13" s="3">
        <f>IFERROR(__xludf.DUMMYFUNCTION("iferror(index(Googlefinance($B13, ""price"", P$1),2,2), 0)"),500.86)</f>
        <v>500.86</v>
      </c>
      <c r="Q13" s="3">
        <f>IFERROR(__xludf.DUMMYFUNCTION("iferror(index(Googlefinance($B13, ""price"", Q$1),2,2), 0)"),497.98)</f>
        <v>497.98</v>
      </c>
      <c r="R13" s="3">
        <f>IFERROR(__xludf.DUMMYFUNCTION("iferror(index(Googlefinance($B13, ""price"", R$1),2,2), 0)"),501.77)</f>
        <v>501.77</v>
      </c>
      <c r="S13" s="3">
        <f>IFERROR(__xludf.DUMMYFUNCTION("iferror(index(Googlefinance($B13, ""price"", S$1),2,2), 0)"),501.77)</f>
        <v>501.77</v>
      </c>
      <c r="T13" s="3">
        <f>IFERROR(__xludf.DUMMYFUNCTION("iferror(index(Googlefinance($B13, ""price"", T$1),2,2), 0)"),501.77)</f>
        <v>501.77</v>
      </c>
      <c r="U13" s="3">
        <f>IFERROR(__xludf.DUMMYFUNCTION("iferror(index(Googlefinance($B13, ""price"", U$1),2,2), 0)"),501.77)</f>
        <v>501.77</v>
      </c>
      <c r="V13" s="3">
        <f>IFERROR(__xludf.DUMMYFUNCTION("iferror(index(Googlefinance($B13, ""price"", V$1),2,2), 0)"),586.34)</f>
        <v>586.34</v>
      </c>
      <c r="W13" s="3">
        <f>IFERROR(__xludf.DUMMYFUNCTION("iferror(index(Googlefinance($B13, ""price"", W$1),2,2), 0)"),579.84)</f>
        <v>579.84</v>
      </c>
      <c r="X13" s="3">
        <f>IFERROR(__xludf.DUMMYFUNCTION("iferror(index(Googlefinance($B13, ""price"", X$1),2,2), 0)"),565.17)</f>
        <v>565.17</v>
      </c>
      <c r="Y13" s="3">
        <f>IFERROR(__xludf.DUMMYFUNCTION("iferror(index(Googlefinance($B13, ""price"", Y$1),2,2), 0)"),556.78)</f>
        <v>556.78</v>
      </c>
      <c r="Z13" s="3">
        <f>IFERROR(__xludf.DUMMYFUNCTION("iferror(index(Googlefinance($B13, ""price"", Z$1),2,2), 0)"),556.78)</f>
        <v>556.78</v>
      </c>
      <c r="AA13" s="3">
        <f>IFERROR(__xludf.DUMMYFUNCTION("iferror(index(Googlefinance($B13, ""price"", AA$1),2,2), 0)"),556.78)</f>
        <v>556.78</v>
      </c>
      <c r="AB13" s="3">
        <f>IFERROR(__xludf.DUMMYFUNCTION("iferror(index(Googlefinance($B13, ""price"", AB$1),2,2), 0)"),561.93)</f>
        <v>561.93</v>
      </c>
      <c r="AC13" s="3">
        <f>IFERROR(__xludf.DUMMYFUNCTION("iferror(index(Googlefinance($B13, ""price"", AC$1),2,2), 0)"),523.28)</f>
        <v>523.28</v>
      </c>
      <c r="AD13" s="3">
        <f>IFERROR(__xludf.DUMMYFUNCTION("iferror(index(Googlefinance($B13, ""price"", AD$1),2,2), 0)"),538.6)</f>
        <v>538.6</v>
      </c>
      <c r="AE13" s="3">
        <f>IFERROR(__xludf.DUMMYFUNCTION("iferror(index(Googlefinance($B13, ""price"", AE$1),2,2), 0)"),532.39)</f>
        <v>532.39</v>
      </c>
      <c r="AF13" s="3">
        <f>IFERROR(__xludf.DUMMYFUNCTION("iferror(index(Googlefinance($B13, ""price"", AF$1),2,2), 0)"),539.04)</f>
        <v>539.04</v>
      </c>
      <c r="AG13" s="3">
        <f>IFERROR(__xludf.DUMMYFUNCTION("iferror(index(Googlefinance($B13, ""price"", AG$1),2,2), 0)"),539.04)</f>
        <v>539.04</v>
      </c>
      <c r="AH13" s="3">
        <f>IFERROR(__xludf.DUMMYFUNCTION("iferror(index(Googlefinance($B13, ""price"", AH$1),2,2), 0)"),539.04)</f>
        <v>539.04</v>
      </c>
      <c r="AI13" s="3">
        <f>IFERROR(__xludf.DUMMYFUNCTION("iferror(index(Googlefinance($B13, ""price"", AI$1),2,2), 0)"),548.16)</f>
        <v>548.16</v>
      </c>
      <c r="AJ13" s="3">
        <f>IFERROR(__xludf.DUMMYFUNCTION("iferror(index(Googlefinance($B13, ""price"", AJ$1),2,2), 0)"),539.45)</f>
        <v>539.45</v>
      </c>
      <c r="AK13" s="3">
        <f>IFERROR(__xludf.DUMMYFUNCTION("iferror(index(Googlefinance($B13, ""price"", AK$1),2,2), 0)"),552.16)</f>
        <v>552.16</v>
      </c>
      <c r="AL13" s="3">
        <f>IFERROR(__xludf.DUMMYFUNCTION("iferror(index(Googlefinance($B13, ""price"", AL$1),2,2), 0)"),550.79)</f>
        <v>550.79</v>
      </c>
      <c r="AM13" s="3">
        <f>IFERROR(__xludf.DUMMYFUNCTION("iferror(index(Googlefinance($B13, ""price"", AM$1),2,2), 0)"),547.92)</f>
        <v>547.92</v>
      </c>
      <c r="AN13" s="3">
        <f>IFERROR(__xludf.DUMMYFUNCTION("iferror(index(Googlefinance($B13, ""price"", AN$1),2,2), 0)"),547.92)</f>
        <v>547.92</v>
      </c>
      <c r="AO13" s="3">
        <f>IFERROR(__xludf.DUMMYFUNCTION("iferror(index(Googlefinance($B13, ""price"", AO$1),2,2), 0)"),547.92)</f>
        <v>547.92</v>
      </c>
      <c r="AP13" s="3">
        <f>IFERROR(__xludf.DUMMYFUNCTION("iferror(index(Googlefinance($B13, ""price"", AP$1),2,2), 0)"),559.07)</f>
        <v>559.07</v>
      </c>
      <c r="AQ13" s="3">
        <f>IFERROR(__xludf.DUMMYFUNCTION("iferror(index(Googlefinance($B13, ""price"", AQ$1),2,2), 0)"),563.59)</f>
        <v>563.59</v>
      </c>
      <c r="AR13" s="3">
        <f>IFERROR(__xludf.DUMMYFUNCTION("iferror(index(Googlefinance($B13, ""price"", AR$1),2,2), 0)"),557.59)</f>
        <v>557.59</v>
      </c>
      <c r="AS13" s="3">
        <f>IFERROR(__xludf.DUMMYFUNCTION("iferror(index(Googlefinance($B13, ""price"", AS$1),2,2), 0)"),556.52)</f>
        <v>556.52</v>
      </c>
      <c r="AT13" s="3">
        <f>IFERROR(__xludf.DUMMYFUNCTION("iferror(index(Googlefinance($B13, ""price"", AT$1),2,2), 0)"),557.28)</f>
        <v>557.28</v>
      </c>
      <c r="AU13" s="3">
        <f>IFERROR(__xludf.DUMMYFUNCTION("iferror(index(Googlefinance($B13, ""price"", AU$1),2,2), 0)"),557.28)</f>
        <v>557.28</v>
      </c>
      <c r="AV13" s="3">
        <f>IFERROR(__xludf.DUMMYFUNCTION("iferror(index(Googlefinance($B13, ""price"", AV$1),2,2), 0)"),557.28)</f>
        <v>557.28</v>
      </c>
      <c r="AW13" s="3">
        <f>IFERROR(__xludf.DUMMYFUNCTION("iferror(index(Googlefinance($B13, ""price"", AW$1),2,2), 0)"),557.28)</f>
        <v>557.28</v>
      </c>
      <c r="AX13" s="3">
        <f>IFERROR(__xludf.DUMMYFUNCTION("iferror(index(Googlefinance($B13, ""price"", AX$1),2,2), 0)"),551.34)</f>
        <v>551.34</v>
      </c>
      <c r="AY13" s="3">
        <f>IFERROR(__xludf.DUMMYFUNCTION("iferror(index(Googlefinance($B13, ""price"", AY$1),2,2), 0)"),548.22)</f>
        <v>548.22</v>
      </c>
      <c r="AZ13" s="3">
        <f>IFERROR(__xludf.DUMMYFUNCTION("iferror(index(Googlefinance($B13, ""price"", AZ$1),2,2), 0)"),540.22)</f>
        <v>540.22</v>
      </c>
      <c r="BA13" s="3">
        <f>IFERROR(__xludf.DUMMYFUNCTION("iferror(index(Googlefinance($B13, ""price"", BA$1),2,2), 0)"),533.78)</f>
        <v>533.78</v>
      </c>
      <c r="BB13" s="3">
        <f>IFERROR(__xludf.DUMMYFUNCTION("iferror(index(Googlefinance($B13, ""price"", BB$1),2,2), 0)"),533.78)</f>
        <v>533.78</v>
      </c>
      <c r="BC13" s="3">
        <f>IFERROR(__xludf.DUMMYFUNCTION("iferror(index(Googlefinance($B13, ""price"", BC$1),2,2), 0)"),533.78)</f>
        <v>533.78</v>
      </c>
      <c r="BD13" s="3">
        <f>IFERROR(__xludf.DUMMYFUNCTION("iferror(index(Googlefinance($B13, ""price"", BD$1),2,2), 0)"),546.15)</f>
        <v>546.15</v>
      </c>
      <c r="BE13" s="3">
        <f>IFERROR(__xludf.DUMMYFUNCTION("iferror(index(Googlefinance($B13, ""price"", BE$1),2,2), 0)"),553.41)</f>
        <v>553.41</v>
      </c>
      <c r="BF13" s="3">
        <f>IFERROR(__xludf.DUMMYFUNCTION("iferror(index(Googlefinance($B13, ""price"", BF$1),2,2), 0)"),546.7)</f>
        <v>546.7</v>
      </c>
      <c r="BG13" s="3">
        <f>IFERROR(__xludf.DUMMYFUNCTION("iferror(index(Googlefinance($B13, ""price"", BG$1),2,2), 0)"),538.85)</f>
        <v>538.85</v>
      </c>
      <c r="BH13" s="3">
        <f>IFERROR(__xludf.DUMMYFUNCTION("iferror(index(Googlefinance($B13, ""price"", BH$1),2,2), 0)"),550.64)</f>
        <v>550.64</v>
      </c>
      <c r="BI13" s="3">
        <f>IFERROR(__xludf.DUMMYFUNCTION("iferror(index(Googlefinance($B13, ""price"", BI$1),2,2), 0)"),550.64)</f>
        <v>550.64</v>
      </c>
      <c r="BJ13" s="3">
        <f>IFERROR(__xludf.DUMMYFUNCTION("iferror(index(Googlefinance($B13, ""price"", BJ$1),2,2), 0)"),550.64)</f>
        <v>550.64</v>
      </c>
      <c r="BK13" s="3">
        <f>IFERROR(__xludf.DUMMYFUNCTION("iferror(index(Googlefinance($B13, ""price"", BK$1),2,2), 0)"),547.82)</f>
        <v>547.82</v>
      </c>
      <c r="BL13" s="3">
        <f>IFERROR(__xludf.DUMMYFUNCTION("iferror(index(Googlefinance($B13, ""price"", BL$1),2,2), 0)"),520.7)</f>
        <v>520.7</v>
      </c>
      <c r="BM13" s="3">
        <f>IFERROR(__xludf.DUMMYFUNCTION("iferror(index(Googlefinance($B13, ""price"", BM$1),2,2), 0)"),511.29)</f>
        <v>511.29</v>
      </c>
      <c r="BN13" s="3">
        <f>IFERROR(__xludf.DUMMYFUNCTION("iferror(index(Googlefinance($B13, ""price"", BN$1),2,2), 0)"),516.39)</f>
        <v>516.39</v>
      </c>
      <c r="BO13" s="3">
        <f>IFERROR(__xludf.DUMMYFUNCTION("iferror(index(Googlefinance($B13, ""price"", BO$1),2,2), 0)"),493.33)</f>
        <v>493.33</v>
      </c>
      <c r="BP13" s="3">
        <f>IFERROR(__xludf.DUMMYFUNCTION("iferror(index(Googlefinance($B13, ""price"", BP$1),2,2), 0)"),493.33)</f>
        <v>493.33</v>
      </c>
      <c r="BQ13" s="3">
        <f>IFERROR(__xludf.DUMMYFUNCTION("iferror(index(Googlefinance($B13, ""price"", BQ$1),2,2), 0)"),493.33)</f>
        <v>493.33</v>
      </c>
      <c r="BR13" s="3">
        <f>IFERROR(__xludf.DUMMYFUNCTION("iferror(index(Googlefinance($B13, ""price"", BR$1),2,2), 0)"),506.44)</f>
        <v>506.44</v>
      </c>
      <c r="BS13" s="3">
        <f>IFERROR(__xludf.DUMMYFUNCTION("iferror(index(Googlefinance($B13, ""price"", BS$1),2,2), 0)"),504.54)</f>
        <v>504.54</v>
      </c>
      <c r="BT13" s="3">
        <f>IFERROR(__xludf.DUMMYFUNCTION("iferror(index(Googlefinance($B13, ""price"", BT$1),2,2), 0)"),523.06)</f>
        <v>523.06</v>
      </c>
      <c r="BU13" s="3">
        <f>IFERROR(__xludf.DUMMYFUNCTION("iferror(index(Googlefinance($B13, ""price"", BU$1),2,2), 0)"),518.02)</f>
        <v>518.02</v>
      </c>
      <c r="BV13" s="3">
        <f>IFERROR(__xludf.DUMMYFUNCTION("iferror(index(Googlefinance($B13, ""price"", BV$1),2,2), 0)"),520.25)</f>
        <v>520.25</v>
      </c>
      <c r="BW13" s="3">
        <f>IFERROR(__xludf.DUMMYFUNCTION("iferror(index(Googlefinance($B13, ""price"", BW$1),2,2), 0)"),520.25)</f>
        <v>520.25</v>
      </c>
      <c r="BX13" s="3">
        <f>IFERROR(__xludf.DUMMYFUNCTION("iferror(index(Googlefinance($B13, ""price"", BX$1),2,2), 0)"),520.25)</f>
        <v>520.25</v>
      </c>
      <c r="BY13" s="3">
        <f>IFERROR(__xludf.DUMMYFUNCTION("iferror(index(Googlefinance($B13, ""price"", BY$1),2,2), 0)"),524.03)</f>
        <v>524.03</v>
      </c>
      <c r="BZ13" s="3">
        <f>IFERROR(__xludf.DUMMYFUNCTION("iferror(index(Googlefinance($B13, ""price"", BZ$1),2,2), 0)"),524.44)</f>
        <v>524.44</v>
      </c>
      <c r="CA13" s="3">
        <f>IFERROR(__xludf.DUMMYFUNCTION("iferror(index(Googlefinance($B13, ""price"", CA$1),2,2), 0)"),504.79)</f>
        <v>504.79</v>
      </c>
      <c r="CB13" s="3">
        <f>IFERROR(__xludf.DUMMYFUNCTION("iferror(index(Googlefinance($B13, ""price"", CB$1),2,2), 0)"),512.18)</f>
        <v>512.18</v>
      </c>
      <c r="CC13" s="3">
        <f>IFERROR(__xludf.DUMMYFUNCTION("iferror(index(Googlefinance($B13, ""price"", CC$1),2,2), 0)"),0.0)</f>
        <v>0</v>
      </c>
      <c r="CD13" s="3">
        <f>IFERROR(__xludf.DUMMYFUNCTION("iferror(index(Googlefinance($B13, ""price"", CD$1),2,2), 0)"),0.0)</f>
        <v>0</v>
      </c>
    </row>
    <row r="14">
      <c r="A14" s="1" t="s">
        <v>25</v>
      </c>
      <c r="B14" s="1" t="s">
        <v>26</v>
      </c>
      <c r="C14" s="3">
        <f>IFERROR(__xludf.DUMMYFUNCTION("iferror(index(Googlefinance($B14, ""price"", C$1),2,2), 0)"),177.63)</f>
        <v>177.63</v>
      </c>
      <c r="D14" s="3">
        <f>IFERROR(__xludf.DUMMYFUNCTION("iferror(index(Googlefinance($B14, ""price"", D$1),2,2), 0)"),177.63)</f>
        <v>177.63</v>
      </c>
      <c r="E14" s="3">
        <f>IFERROR(__xludf.DUMMYFUNCTION("iferror(index(Googlefinance($B14, ""price"", E$1),2,2), 0)"),177.63)</f>
        <v>177.63</v>
      </c>
      <c r="F14" s="3">
        <f>IFERROR(__xludf.DUMMYFUNCTION("iferror(index(Googlefinance($B14, ""price"", F$1),2,2), 0)"),177.63)</f>
        <v>177.63</v>
      </c>
      <c r="G14" s="3">
        <f>IFERROR(__xludf.DUMMYFUNCTION("iferror(index(Googlefinance($B14, ""price"", G$1),2,2), 0)"),180.37)</f>
        <v>180.37</v>
      </c>
      <c r="H14" s="3">
        <f>IFERROR(__xludf.DUMMYFUNCTION("iferror(index(Googlefinance($B14, ""price"", H$1),2,2), 0)"),188.92)</f>
        <v>188.92</v>
      </c>
      <c r="I14" s="3">
        <f>IFERROR(__xludf.DUMMYFUNCTION("iferror(index(Googlefinance($B14, ""price"", I$1),2,2), 0)"),191.1)</f>
        <v>191.1</v>
      </c>
      <c r="J14" s="3">
        <f>IFERROR(__xludf.DUMMYFUNCTION("iferror(index(Googlefinance($B14, ""price"", J$1),2,2), 0)"),193.6)</f>
        <v>193.6</v>
      </c>
      <c r="K14" s="3">
        <f>IFERROR(__xludf.DUMMYFUNCTION("iferror(index(Googlefinance($B14, ""price"", K$1),2,2), 0)"),195.28)</f>
        <v>195.28</v>
      </c>
      <c r="L14" s="3">
        <f>IFERROR(__xludf.DUMMYFUNCTION("iferror(index(Googlefinance($B14, ""price"", L$1),2,2), 0)"),195.28)</f>
        <v>195.28</v>
      </c>
      <c r="M14" s="3">
        <f>IFERROR(__xludf.DUMMYFUNCTION("iferror(index(Googlefinance($B14, ""price"", M$1),2,2), 0)"),195.28)</f>
        <v>195.28</v>
      </c>
      <c r="N14" s="3">
        <f>IFERROR(__xludf.DUMMYFUNCTION("iferror(index(Googlefinance($B14, ""price"", N$1),2,2), 0)"),199.1)</f>
        <v>199.1</v>
      </c>
      <c r="O14" s="3">
        <f>IFERROR(__xludf.DUMMYFUNCTION("iferror(index(Googlefinance($B14, ""price"", O$1),2,2), 0)"),196.82)</f>
        <v>196.82</v>
      </c>
      <c r="P14" s="3">
        <f>IFERROR(__xludf.DUMMYFUNCTION("iferror(index(Googlefinance($B14, ""price"", P$1),2,2), 0)"),198.01)</f>
        <v>198.01</v>
      </c>
      <c r="Q14" s="3">
        <f>IFERROR(__xludf.DUMMYFUNCTION("iferror(index(Googlefinance($B14, ""price"", Q$1),2,2), 0)"),194.8)</f>
        <v>194.8</v>
      </c>
      <c r="R14" s="3">
        <f>IFERROR(__xludf.DUMMYFUNCTION("iferror(index(Googlefinance($B14, ""price"", R$1),2,2), 0)"),188.16)</f>
        <v>188.16</v>
      </c>
      <c r="S14" s="3">
        <f>IFERROR(__xludf.DUMMYFUNCTION("iferror(index(Googlefinance($B14, ""price"", S$1),2,2), 0)"),188.16)</f>
        <v>188.16</v>
      </c>
      <c r="T14" s="3">
        <f>IFERROR(__xludf.DUMMYFUNCTION("iferror(index(Googlefinance($B14, ""price"", T$1),2,2), 0)"),188.16)</f>
        <v>188.16</v>
      </c>
      <c r="U14" s="3">
        <f>IFERROR(__xludf.DUMMYFUNCTION("iferror(index(Googlefinance($B14, ""price"", U$1),2,2), 0)"),188.16)</f>
        <v>188.16</v>
      </c>
      <c r="V14" s="3">
        <f>IFERROR(__xludf.DUMMYFUNCTION("iferror(index(Googlefinance($B14, ""price"", V$1),2,2), 0)"),188.3)</f>
        <v>188.3</v>
      </c>
      <c r="W14" s="3">
        <f>IFERROR(__xludf.DUMMYFUNCTION("iferror(index(Googlefinance($B14, ""price"", W$1),2,2), 0)"),191.27)</f>
        <v>191.27</v>
      </c>
      <c r="X14" s="3">
        <f>IFERROR(__xludf.DUMMYFUNCTION("iferror(index(Googlefinance($B14, ""price"", X$1),2,2), 0)"),191.91)</f>
        <v>191.91</v>
      </c>
      <c r="Y14" s="3">
        <f>IFERROR(__xludf.DUMMYFUNCTION("iferror(index(Googlefinance($B14, ""price"", Y$1),2,2), 0)"),190.15)</f>
        <v>190.15</v>
      </c>
      <c r="Z14" s="3">
        <f>IFERROR(__xludf.DUMMYFUNCTION("iferror(index(Googlefinance($B14, ""price"", Z$1),2,2), 0)"),190.15)</f>
        <v>190.15</v>
      </c>
      <c r="AA14" s="3">
        <f>IFERROR(__xludf.DUMMYFUNCTION("iferror(index(Googlefinance($B14, ""price"", AA$1),2,2), 0)"),190.15)</f>
        <v>190.15</v>
      </c>
      <c r="AB14" s="3">
        <f>IFERROR(__xludf.DUMMYFUNCTION("iferror(index(Googlefinance($B14, ""price"", AB$1),2,2), 0)"),187.7)</f>
        <v>187.7</v>
      </c>
      <c r="AC14" s="3">
        <f>IFERROR(__xludf.DUMMYFUNCTION("iferror(index(Googlefinance($B14, ""price"", AC$1),2,2), 0)"),178.28)</f>
        <v>178.28</v>
      </c>
      <c r="AD14" s="3">
        <f>IFERROR(__xludf.DUMMYFUNCTION("iferror(index(Googlefinance($B14, ""price"", AD$1),2,2), 0)"),183.58)</f>
        <v>183.58</v>
      </c>
      <c r="AE14" s="3">
        <f>IFERROR(__xludf.DUMMYFUNCTION("iferror(index(Googlefinance($B14, ""price"", AE$1),2,2), 0)"),181.17)</f>
        <v>181.17</v>
      </c>
      <c r="AF14" s="3">
        <f>IFERROR(__xludf.DUMMYFUNCTION("iferror(index(Googlefinance($B14, ""price"", AF$1),2,2), 0)"),183.57)</f>
        <v>183.57</v>
      </c>
      <c r="AG14" s="3">
        <f>IFERROR(__xludf.DUMMYFUNCTION("iferror(index(Googlefinance($B14, ""price"", AG$1),2,2), 0)"),183.57)</f>
        <v>183.57</v>
      </c>
      <c r="AH14" s="3">
        <f>IFERROR(__xludf.DUMMYFUNCTION("iferror(index(Googlefinance($B14, ""price"", AH$1),2,2), 0)"),183.57)</f>
        <v>183.57</v>
      </c>
      <c r="AI14" s="3">
        <f>IFERROR(__xludf.DUMMYFUNCTION("iferror(index(Googlefinance($B14, ""price"", AI$1),2,2), 0)"),185.59)</f>
        <v>185.59</v>
      </c>
      <c r="AJ14" s="3">
        <f>IFERROR(__xludf.DUMMYFUNCTION("iferror(index(Googlefinance($B14, ""price"", AJ$1),2,2), 0)"),185.11)</f>
        <v>185.11</v>
      </c>
      <c r="AK14" s="3">
        <f>IFERROR(__xludf.DUMMYFUNCTION("iferror(index(Googlefinance($B14, ""price"", AK$1),2,2), 0)"),188.59)</f>
        <v>188.59</v>
      </c>
      <c r="AL14" s="3">
        <f>IFERROR(__xludf.DUMMYFUNCTION("iferror(index(Googlefinance($B14, ""price"", AL$1),2,2), 0)"),188.86)</f>
        <v>188.86</v>
      </c>
      <c r="AM14" s="3">
        <f>IFERROR(__xludf.DUMMYFUNCTION("iferror(index(Googlefinance($B14, ""price"", AM$1),2,2), 0)"),193.95)</f>
        <v>193.95</v>
      </c>
      <c r="AN14" s="3">
        <f>IFERROR(__xludf.DUMMYFUNCTION("iferror(index(Googlefinance($B14, ""price"", AN$1),2,2), 0)"),193.95)</f>
        <v>193.95</v>
      </c>
      <c r="AO14" s="3">
        <f>IFERROR(__xludf.DUMMYFUNCTION("iferror(index(Googlefinance($B14, ""price"", AO$1),2,2), 0)"),193.95)</f>
        <v>193.95</v>
      </c>
      <c r="AP14" s="3">
        <f>IFERROR(__xludf.DUMMYFUNCTION("iferror(index(Googlefinance($B14, ""price"", AP$1),2,2), 0)"),194.29)</f>
        <v>194.29</v>
      </c>
      <c r="AQ14" s="3">
        <f>IFERROR(__xludf.DUMMYFUNCTION("iferror(index(Googlefinance($B14, ""price"", AQ$1),2,2), 0)"),192.44)</f>
        <v>192.44</v>
      </c>
      <c r="AR14" s="3">
        <f>IFERROR(__xludf.DUMMYFUNCTION("iferror(index(Googlefinance($B14, ""price"", AR$1),2,2), 0)"),190.41)</f>
        <v>190.41</v>
      </c>
      <c r="AS14" s="3">
        <f>IFERROR(__xludf.DUMMYFUNCTION("iferror(index(Googlefinance($B14, ""price"", AS$1),2,2), 0)"),191.43)</f>
        <v>191.43</v>
      </c>
      <c r="AT14" s="3">
        <f>IFERROR(__xludf.DUMMYFUNCTION("iferror(index(Googlefinance($B14, ""price"", AT$1),2,2), 0)"),190.59)</f>
        <v>190.59</v>
      </c>
      <c r="AU14" s="3">
        <f>IFERROR(__xludf.DUMMYFUNCTION("iferror(index(Googlefinance($B14, ""price"", AU$1),2,2), 0)"),190.59)</f>
        <v>190.59</v>
      </c>
      <c r="AV14" s="3">
        <f>IFERROR(__xludf.DUMMYFUNCTION("iferror(index(Googlefinance($B14, ""price"", AV$1),2,2), 0)"),190.59)</f>
        <v>190.59</v>
      </c>
      <c r="AW14" s="3">
        <f>IFERROR(__xludf.DUMMYFUNCTION("iferror(index(Googlefinance($B14, ""price"", AW$1),2,2), 0)"),190.59)</f>
        <v>190.59</v>
      </c>
      <c r="AX14" s="3">
        <f>IFERROR(__xludf.DUMMYFUNCTION("iferror(index(Googlefinance($B14, ""price"", AX$1),2,2), 0)"),193.6)</f>
        <v>193.6</v>
      </c>
      <c r="AY14" s="3">
        <f>IFERROR(__xludf.DUMMYFUNCTION("iferror(index(Googlefinance($B14, ""price"", AY$1),2,2), 0)"),191.41)</f>
        <v>191.41</v>
      </c>
      <c r="AZ14" s="3">
        <f>IFERROR(__xludf.DUMMYFUNCTION("iferror(index(Googlefinance($B14, ""price"", AZ$1),2,2), 0)"),188.82)</f>
        <v>188.82</v>
      </c>
      <c r="BA14" s="3">
        <f>IFERROR(__xludf.DUMMYFUNCTION("iferror(index(Googlefinance($B14, ""price"", BA$1),2,2), 0)"),188.99)</f>
        <v>188.99</v>
      </c>
      <c r="BB14" s="3">
        <f>IFERROR(__xludf.DUMMYFUNCTION("iferror(index(Googlefinance($B14, ""price"", BB$1),2,2), 0)"),188.99)</f>
        <v>188.99</v>
      </c>
      <c r="BC14" s="3">
        <f>IFERROR(__xludf.DUMMYFUNCTION("iferror(index(Googlefinance($B14, ""price"", BC$1),2,2), 0)"),188.99)</f>
        <v>188.99</v>
      </c>
      <c r="BD14" s="3">
        <f>IFERROR(__xludf.DUMMYFUNCTION("iferror(index(Googlefinance($B14, ""price"", BD$1),2,2), 0)"),186.36)</f>
        <v>186.36</v>
      </c>
      <c r="BE14" s="3">
        <f>IFERROR(__xludf.DUMMYFUNCTION("iferror(index(Googlefinance($B14, ""price"", BE$1),2,2), 0)"),187.08)</f>
        <v>187.08</v>
      </c>
      <c r="BF14" s="3">
        <f>IFERROR(__xludf.DUMMYFUNCTION("iferror(index(Googlefinance($B14, ""price"", BF$1),2,2), 0)"),185.08)</f>
        <v>185.08</v>
      </c>
      <c r="BG14" s="3">
        <f>IFERROR(__xludf.DUMMYFUNCTION("iferror(index(Googlefinance($B14, ""price"", BG$1),2,2), 0)"),183.44)</f>
        <v>183.44</v>
      </c>
      <c r="BH14" s="3">
        <f>IFERROR(__xludf.DUMMYFUNCTION("iferror(index(Googlefinance($B14, ""price"", BH$1),2,2), 0)"),186.09)</f>
        <v>186.09</v>
      </c>
      <c r="BI14" s="3">
        <f>IFERROR(__xludf.DUMMYFUNCTION("iferror(index(Googlefinance($B14, ""price"", BI$1),2,2), 0)"),186.09)</f>
        <v>186.09</v>
      </c>
      <c r="BJ14" s="3">
        <f>IFERROR(__xludf.DUMMYFUNCTION("iferror(index(Googlefinance($B14, ""price"", BJ$1),2,2), 0)"),186.09)</f>
        <v>186.09</v>
      </c>
      <c r="BK14" s="3">
        <f>IFERROR(__xludf.DUMMYFUNCTION("iferror(index(Googlefinance($B14, ""price"", BK$1),2,2), 0)"),173.49)</f>
        <v>173.49</v>
      </c>
      <c r="BL14" s="3">
        <f>IFERROR(__xludf.DUMMYFUNCTION("iferror(index(Googlefinance($B14, ""price"", BL$1),2,2), 0)"),173.61)</f>
        <v>173.61</v>
      </c>
      <c r="BM14" s="3">
        <f>IFERROR(__xludf.DUMMYFUNCTION("iferror(index(Googlefinance($B14, ""price"", BM$1),2,2), 0)"),169.82)</f>
        <v>169.82</v>
      </c>
      <c r="BN14" s="3">
        <f>IFERROR(__xludf.DUMMYFUNCTION("iferror(index(Googlefinance($B14, ""price"", BN$1),2,2), 0)"),172.61)</f>
        <v>172.61</v>
      </c>
      <c r="BO14" s="3">
        <f>IFERROR(__xludf.DUMMYFUNCTION("iferror(index(Googlefinance($B14, ""price"", BO$1),2,2), 0)"),176.87)</f>
        <v>176.87</v>
      </c>
      <c r="BP14" s="3">
        <f>IFERROR(__xludf.DUMMYFUNCTION("iferror(index(Googlefinance($B14, ""price"", BP$1),2,2), 0)"),176.87)</f>
        <v>176.87</v>
      </c>
      <c r="BQ14" s="3">
        <f>IFERROR(__xludf.DUMMYFUNCTION("iferror(index(Googlefinance($B14, ""price"", BQ$1),2,2), 0)"),176.87)</f>
        <v>176.87</v>
      </c>
      <c r="BR14" s="3">
        <f>IFERROR(__xludf.DUMMYFUNCTION("iferror(index(Googlefinance($B14, ""price"", BR$1),2,2), 0)"),179.18)</f>
        <v>179.18</v>
      </c>
      <c r="BS14" s="3">
        <f>IFERROR(__xludf.DUMMYFUNCTION("iferror(index(Googlefinance($B14, ""price"", BS$1),2,2), 0)"),178.58)</f>
        <v>178.58</v>
      </c>
      <c r="BT14" s="3">
        <f>IFERROR(__xludf.DUMMYFUNCTION("iferror(index(Googlefinance($B14, ""price"", BT$1),2,2), 0)"),179.32)</f>
        <v>179.32</v>
      </c>
      <c r="BU14" s="3">
        <f>IFERROR(__xludf.DUMMYFUNCTION("iferror(index(Googlefinance($B14, ""price"", BU$1),2,2), 0)"),180.01)</f>
        <v>180.01</v>
      </c>
      <c r="BV14" s="3">
        <f>IFERROR(__xludf.DUMMYFUNCTION("iferror(index(Googlefinance($B14, ""price"", BV$1),2,2), 0)"),181.1)</f>
        <v>181.1</v>
      </c>
      <c r="BW14" s="3">
        <f>IFERROR(__xludf.DUMMYFUNCTION("iferror(index(Googlefinance($B14, ""price"", BW$1),2,2), 0)"),181.1)</f>
        <v>181.1</v>
      </c>
      <c r="BX14" s="3">
        <f>IFERROR(__xludf.DUMMYFUNCTION("iferror(index(Googlefinance($B14, ""price"", BX$1),2,2), 0)"),181.1)</f>
        <v>181.1</v>
      </c>
      <c r="BY14" s="3">
        <f>IFERROR(__xludf.DUMMYFUNCTION("iferror(index(Googlefinance($B14, ""price"", BY$1),2,2), 0)"),180.21)</f>
        <v>180.21</v>
      </c>
      <c r="BZ14" s="3">
        <f>IFERROR(__xludf.DUMMYFUNCTION("iferror(index(Googlefinance($B14, ""price"", BZ$1),2,2), 0)"),178.4)</f>
        <v>178.4</v>
      </c>
      <c r="CA14" s="3">
        <f>IFERROR(__xludf.DUMMYFUNCTION("iferror(index(Googlefinance($B14, ""price"", CA$1),2,2), 0)"),179.61)</f>
        <v>179.61</v>
      </c>
      <c r="CB14" s="3">
        <f>IFERROR(__xludf.DUMMYFUNCTION("iferror(index(Googlefinance($B14, ""price"", CB$1),2,2), 0)"),187.55)</f>
        <v>187.55</v>
      </c>
      <c r="CC14" s="3">
        <f>IFERROR(__xludf.DUMMYFUNCTION("iferror(index(Googlefinance($B14, ""price"", CC$1),2,2), 0)"),0.0)</f>
        <v>0</v>
      </c>
      <c r="CD14" s="3">
        <f>IFERROR(__xludf.DUMMYFUNCTION("iferror(index(Googlefinance($B14, ""price"", CD$1),2,2), 0)"),0.0)</f>
        <v>0</v>
      </c>
    </row>
    <row r="15">
      <c r="A15" s="1" t="s">
        <v>27</v>
      </c>
      <c r="B15" s="1" t="s">
        <v>28</v>
      </c>
      <c r="C15" s="3">
        <f>IFERROR(__xludf.DUMMYFUNCTION("iferror(index(Googlefinance($B15, ""price"", C$1),2,2), 0)"),18.03)</f>
        <v>18.03</v>
      </c>
      <c r="D15" s="3">
        <f>IFERROR(__xludf.DUMMYFUNCTION("iferror(index(Googlefinance($B15, ""price"", D$1),2,2), 0)"),18.03)</f>
        <v>18.03</v>
      </c>
      <c r="E15" s="3">
        <f>IFERROR(__xludf.DUMMYFUNCTION("iferror(index(Googlefinance($B15, ""price"", E$1),2,2), 0)"),18.03)</f>
        <v>18.03</v>
      </c>
      <c r="F15" s="3">
        <f>IFERROR(__xludf.DUMMYFUNCTION("iferror(index(Googlefinance($B15, ""price"", F$1),2,2), 0)"),18.03)</f>
        <v>18.03</v>
      </c>
      <c r="G15" s="3">
        <f>IFERROR(__xludf.DUMMYFUNCTION("iferror(index(Googlefinance($B15, ""price"", G$1),2,2), 0)"),19.76)</f>
        <v>19.76</v>
      </c>
      <c r="H15" s="3">
        <f>IFERROR(__xludf.DUMMYFUNCTION("iferror(index(Googlefinance($B15, ""price"", H$1),2,2), 0)"),21.03)</f>
        <v>21.03</v>
      </c>
      <c r="I15" s="3">
        <f>IFERROR(__xludf.DUMMYFUNCTION("iferror(index(Googlefinance($B15, ""price"", I$1),2,2), 0)"),18.73)</f>
        <v>18.73</v>
      </c>
      <c r="J15" s="3">
        <f>IFERROR(__xludf.DUMMYFUNCTION("iferror(index(Googlefinance($B15, ""price"", J$1),2,2), 0)"),18.94)</f>
        <v>18.94</v>
      </c>
      <c r="K15" s="3">
        <f>IFERROR(__xludf.DUMMYFUNCTION("iferror(index(Googlefinance($B15, ""price"", K$1),2,2), 0)"),20.49)</f>
        <v>20.49</v>
      </c>
      <c r="L15" s="3">
        <f>IFERROR(__xludf.DUMMYFUNCTION("iferror(index(Googlefinance($B15, ""price"", L$1),2,2), 0)"),20.49)</f>
        <v>20.49</v>
      </c>
      <c r="M15" s="3">
        <f>IFERROR(__xludf.DUMMYFUNCTION("iferror(index(Googlefinance($B15, ""price"", M$1),2,2), 0)"),20.49)</f>
        <v>20.49</v>
      </c>
      <c r="N15" s="3">
        <f>IFERROR(__xludf.DUMMYFUNCTION("iferror(index(Googlefinance($B15, ""price"", N$1),2,2), 0)"),21.53)</f>
        <v>21.53</v>
      </c>
      <c r="O15" s="3">
        <f>IFERROR(__xludf.DUMMYFUNCTION("iferror(index(Googlefinance($B15, ""price"", O$1),2,2), 0)"),23.02)</f>
        <v>23.02</v>
      </c>
      <c r="P15" s="3">
        <f>IFERROR(__xludf.DUMMYFUNCTION("iferror(index(Googlefinance($B15, ""price"", P$1),2,2), 0)"),27.34)</f>
        <v>27.34</v>
      </c>
      <c r="Q15" s="3">
        <f>IFERROR(__xludf.DUMMYFUNCTION("iferror(index(Googlefinance($B15, ""price"", Q$1),2,2), 0)"),25.6)</f>
        <v>25.6</v>
      </c>
      <c r="R15" s="3">
        <f>IFERROR(__xludf.DUMMYFUNCTION("iferror(index(Googlefinance($B15, ""price"", R$1),2,2), 0)"),25.03)</f>
        <v>25.03</v>
      </c>
      <c r="S15" s="3">
        <f>IFERROR(__xludf.DUMMYFUNCTION("iferror(index(Googlefinance($B15, ""price"", S$1),2,2), 0)"),25.03)</f>
        <v>25.03</v>
      </c>
      <c r="T15" s="3">
        <f>IFERROR(__xludf.DUMMYFUNCTION("iferror(index(Googlefinance($B15, ""price"", T$1),2,2), 0)"),25.03)</f>
        <v>25.03</v>
      </c>
      <c r="U15" s="3">
        <f>IFERROR(__xludf.DUMMYFUNCTION("iferror(index(Googlefinance($B15, ""price"", U$1),2,2), 0)"),25.03)</f>
        <v>25.03</v>
      </c>
      <c r="V15" s="3">
        <f>IFERROR(__xludf.DUMMYFUNCTION("iferror(index(Googlefinance($B15, ""price"", V$1),2,2), 0)"),24.97)</f>
        <v>24.97</v>
      </c>
      <c r="W15" s="3">
        <f>IFERROR(__xludf.DUMMYFUNCTION("iferror(index(Googlefinance($B15, ""price"", W$1),2,2), 0)"),26.87)</f>
        <v>26.87</v>
      </c>
      <c r="X15" s="3">
        <f>IFERROR(__xludf.DUMMYFUNCTION("iferror(index(Googlefinance($B15, ""price"", X$1),2,2), 0)"),30.21)</f>
        <v>30.21</v>
      </c>
      <c r="Y15" s="3">
        <f>IFERROR(__xludf.DUMMYFUNCTION("iferror(index(Googlefinance($B15, ""price"", Y$1),2,2), 0)"),30.68)</f>
        <v>30.68</v>
      </c>
      <c r="Z15" s="3">
        <f>IFERROR(__xludf.DUMMYFUNCTION("iferror(index(Googlefinance($B15, ""price"", Z$1),2,2), 0)"),30.68)</f>
        <v>30.68</v>
      </c>
      <c r="AA15" s="3">
        <f>IFERROR(__xludf.DUMMYFUNCTION("iferror(index(Googlefinance($B15, ""price"", AA$1),2,2), 0)"),30.68)</f>
        <v>30.68</v>
      </c>
      <c r="AB15" s="3">
        <f>IFERROR(__xludf.DUMMYFUNCTION("iferror(index(Googlefinance($B15, ""price"", AB$1),2,2), 0)"),36.87)</f>
        <v>36.87</v>
      </c>
      <c r="AC15" s="3">
        <f>IFERROR(__xludf.DUMMYFUNCTION("iferror(index(Googlefinance($B15, ""price"", AC$1),2,2), 0)"),52.89)</f>
        <v>52.89</v>
      </c>
      <c r="AD15" s="3">
        <f>IFERROR(__xludf.DUMMYFUNCTION("iferror(index(Googlefinance($B15, ""price"", AD$1),2,2), 0)"),33.64)</f>
        <v>33.64</v>
      </c>
      <c r="AE15" s="3">
        <f>IFERROR(__xludf.DUMMYFUNCTION("iferror(index(Googlefinance($B15, ""price"", AE$1),2,2), 0)"),35.33)</f>
        <v>35.33</v>
      </c>
      <c r="AF15" s="3">
        <f>IFERROR(__xludf.DUMMYFUNCTION("iferror(index(Googlefinance($B15, ""price"", AF$1),2,2), 0)"),30.26)</f>
        <v>30.26</v>
      </c>
      <c r="AG15" s="3">
        <f>IFERROR(__xludf.DUMMYFUNCTION("iferror(index(Googlefinance($B15, ""price"", AG$1),2,2), 0)"),30.26)</f>
        <v>30.26</v>
      </c>
      <c r="AH15" s="3">
        <f>IFERROR(__xludf.DUMMYFUNCTION("iferror(index(Googlefinance($B15, ""price"", AH$1),2,2), 0)"),30.26)</f>
        <v>30.26</v>
      </c>
      <c r="AI15" s="3">
        <f>IFERROR(__xludf.DUMMYFUNCTION("iferror(index(Googlefinance($B15, ""price"", AI$1),2,2), 0)"),25.38)</f>
        <v>25.38</v>
      </c>
      <c r="AJ15" s="3">
        <f>IFERROR(__xludf.DUMMYFUNCTION("iferror(index(Googlefinance($B15, ""price"", AJ$1),2,2), 0)"),28.02)</f>
        <v>28.02</v>
      </c>
      <c r="AK15" s="3">
        <f>IFERROR(__xludf.DUMMYFUNCTION("iferror(index(Googlefinance($B15, ""price"", AK$1),2,2), 0)"),27.01)</f>
        <v>27.01</v>
      </c>
      <c r="AL15" s="3">
        <f>IFERROR(__xludf.DUMMYFUNCTION("iferror(index(Googlefinance($B15, ""price"", AL$1),2,2), 0)"),26.54)</f>
        <v>26.54</v>
      </c>
      <c r="AM15" s="3">
        <f>IFERROR(__xludf.DUMMYFUNCTION("iferror(index(Googlefinance($B15, ""price"", AM$1),2,2), 0)"),26.27)</f>
        <v>26.27</v>
      </c>
      <c r="AN15" s="3">
        <f>IFERROR(__xludf.DUMMYFUNCTION("iferror(index(Googlefinance($B15, ""price"", AN$1),2,2), 0)"),26.27)</f>
        <v>26.27</v>
      </c>
      <c r="AO15" s="3">
        <f>IFERROR(__xludf.DUMMYFUNCTION("iferror(index(Googlefinance($B15, ""price"", AO$1),2,2), 0)"),26.27)</f>
        <v>26.27</v>
      </c>
      <c r="AP15" s="3">
        <f>IFERROR(__xludf.DUMMYFUNCTION("iferror(index(Googlefinance($B15, ""price"", AP$1),2,2), 0)"),27.12)</f>
        <v>27.12</v>
      </c>
      <c r="AQ15" s="3">
        <f>IFERROR(__xludf.DUMMYFUNCTION("iferror(index(Googlefinance($B15, ""price"", AQ$1),2,2), 0)"),29.02)</f>
        <v>29.02</v>
      </c>
      <c r="AR15" s="3">
        <f>IFERROR(__xludf.DUMMYFUNCTION("iferror(index(Googlefinance($B15, ""price"", AR$1),2,2), 0)"),27.59)</f>
        <v>27.59</v>
      </c>
      <c r="AS15" s="3">
        <f>IFERROR(__xludf.DUMMYFUNCTION("iferror(index(Googlefinance($B15, ""price"", AS$1),2,2), 0)"),28.15)</f>
        <v>28.15</v>
      </c>
      <c r="AT15" s="3">
        <f>IFERROR(__xludf.DUMMYFUNCTION("iferror(index(Googlefinance($B15, ""price"", AT$1),2,2), 0)"),27.78)</f>
        <v>27.78</v>
      </c>
      <c r="AU15" s="3">
        <f>IFERROR(__xludf.DUMMYFUNCTION("iferror(index(Googlefinance($B15, ""price"", AU$1),2,2), 0)"),27.78)</f>
        <v>27.78</v>
      </c>
      <c r="AV15" s="3">
        <f>IFERROR(__xludf.DUMMYFUNCTION("iferror(index(Googlefinance($B15, ""price"", AV$1),2,2), 0)"),27.78)</f>
        <v>27.78</v>
      </c>
      <c r="AW15" s="3">
        <f>IFERROR(__xludf.DUMMYFUNCTION("iferror(index(Googlefinance($B15, ""price"", AW$1),2,2), 0)"),27.78)</f>
        <v>27.78</v>
      </c>
      <c r="AX15" s="3">
        <f>IFERROR(__xludf.DUMMYFUNCTION("iferror(index(Googlefinance($B15, ""price"", AX$1),2,2), 0)"),26.38)</f>
        <v>26.38</v>
      </c>
      <c r="AY15" s="3">
        <f>IFERROR(__xludf.DUMMYFUNCTION("iferror(index(Googlefinance($B15, ""price"", AY$1),2,2), 0)"),26.29)</f>
        <v>26.29</v>
      </c>
      <c r="AZ15" s="3">
        <f>IFERROR(__xludf.DUMMYFUNCTION("iferror(index(Googlefinance($B15, ""price"", AZ$1),2,2), 0)"),26.47)</f>
        <v>26.47</v>
      </c>
      <c r="BA15" s="3">
        <f>IFERROR(__xludf.DUMMYFUNCTION("iferror(index(Googlefinance($B15, ""price"", BA$1),2,2), 0)"),26.27)</f>
        <v>26.27</v>
      </c>
      <c r="BB15" s="3">
        <f>IFERROR(__xludf.DUMMYFUNCTION("iferror(index(Googlefinance($B15, ""price"", BB$1),2,2), 0)"),26.27)</f>
        <v>26.27</v>
      </c>
      <c r="BC15" s="3">
        <f>IFERROR(__xludf.DUMMYFUNCTION("iferror(index(Googlefinance($B15, ""price"", BC$1),2,2), 0)"),26.27)</f>
        <v>26.27</v>
      </c>
      <c r="BD15" s="3">
        <f>IFERROR(__xludf.DUMMYFUNCTION("iferror(index(Googlefinance($B15, ""price"", BD$1),2,2), 0)"),25.99)</f>
        <v>25.99</v>
      </c>
      <c r="BE15" s="3">
        <f>IFERROR(__xludf.DUMMYFUNCTION("iferror(index(Googlefinance($B15, ""price"", BE$1),2,2), 0)"),27.38)</f>
        <v>27.38</v>
      </c>
      <c r="BF15" s="3">
        <f>IFERROR(__xludf.DUMMYFUNCTION("iferror(index(Googlefinance($B15, ""price"", BF$1),2,2), 0)"),26.29)</f>
        <v>26.29</v>
      </c>
      <c r="BG15" s="3">
        <f>IFERROR(__xludf.DUMMYFUNCTION("iferror(index(Googlefinance($B15, ""price"", BG$1),2,2), 0)"),26.86)</f>
        <v>26.86</v>
      </c>
      <c r="BH15" s="3">
        <f>IFERROR(__xludf.DUMMYFUNCTION("iferror(index(Googlefinance($B15, ""price"", BH$1),2,2), 0)"),27.86)</f>
        <v>27.86</v>
      </c>
      <c r="BI15" s="3">
        <f>IFERROR(__xludf.DUMMYFUNCTION("iferror(index(Googlefinance($B15, ""price"", BI$1),2,2), 0)"),27.86)</f>
        <v>27.86</v>
      </c>
      <c r="BJ15" s="3">
        <f>IFERROR(__xludf.DUMMYFUNCTION("iferror(index(Googlefinance($B15, ""price"", BJ$1),2,2), 0)"),27.86)</f>
        <v>27.86</v>
      </c>
      <c r="BK15" s="3">
        <f>IFERROR(__xludf.DUMMYFUNCTION("iferror(index(Googlefinance($B15, ""price"", BK$1),2,2), 0)"),27.73)</f>
        <v>27.73</v>
      </c>
      <c r="BL15" s="3">
        <f>IFERROR(__xludf.DUMMYFUNCTION("iferror(index(Googlefinance($B15, ""price"", BL$1),2,2), 0)"),29.03)</f>
        <v>29.03</v>
      </c>
      <c r="BM15" s="3">
        <f>IFERROR(__xludf.DUMMYFUNCTION("iferror(index(Googlefinance($B15, ""price"", BM$1),2,2), 0)"),28.66)</f>
        <v>28.66</v>
      </c>
      <c r="BN15" s="3">
        <f>IFERROR(__xludf.DUMMYFUNCTION("iferror(index(Googlefinance($B15, ""price"", BN$1),2,2), 0)"),28.09)</f>
        <v>28.09</v>
      </c>
      <c r="BO15" s="3">
        <f>IFERROR(__xludf.DUMMYFUNCTION("iferror(index(Googlefinance($B15, ""price"", BO$1),2,2), 0)"),30.97)</f>
        <v>30.97</v>
      </c>
      <c r="BP15" s="3">
        <f>IFERROR(__xludf.DUMMYFUNCTION("iferror(index(Googlefinance($B15, ""price"", BP$1),2,2), 0)"),30.97)</f>
        <v>30.97</v>
      </c>
      <c r="BQ15" s="3">
        <f>IFERROR(__xludf.DUMMYFUNCTION("iferror(index(Googlefinance($B15, ""price"", BQ$1),2,2), 0)"),30.97)</f>
        <v>30.97</v>
      </c>
      <c r="BR15" s="3">
        <f>IFERROR(__xludf.DUMMYFUNCTION("iferror(index(Googlefinance($B15, ""price"", BR$1),2,2), 0)"),29.79)</f>
        <v>29.79</v>
      </c>
      <c r="BS15" s="3">
        <f>IFERROR(__xludf.DUMMYFUNCTION("iferror(index(Googlefinance($B15, ""price"", BS$1),2,2), 0)"),28.21)</f>
        <v>28.21</v>
      </c>
      <c r="BT15" s="3">
        <f>IFERROR(__xludf.DUMMYFUNCTION("iferror(index(Googlefinance($B15, ""price"", BT$1),2,2), 0)"),28.71)</f>
        <v>28.71</v>
      </c>
      <c r="BU15" s="3">
        <f>IFERROR(__xludf.DUMMYFUNCTION("iferror(index(Googlefinance($B15, ""price"", BU$1),2,2), 0)"),30.16)</f>
        <v>30.16</v>
      </c>
      <c r="BV15" s="3">
        <f>IFERROR(__xludf.DUMMYFUNCTION("iferror(index(Googlefinance($B15, ""price"", BV$1),2,2), 0)"),32.6)</f>
        <v>32.6</v>
      </c>
      <c r="BW15" s="3">
        <f>IFERROR(__xludf.DUMMYFUNCTION("iferror(index(Googlefinance($B15, ""price"", BW$1),2,2), 0)"),32.6)</f>
        <v>32.6</v>
      </c>
      <c r="BX15" s="3">
        <f>IFERROR(__xludf.DUMMYFUNCTION("iferror(index(Googlefinance($B15, ""price"", BX$1),2,2), 0)"),32.6)</f>
        <v>32.6</v>
      </c>
      <c r="BY15" s="3">
        <f>IFERROR(__xludf.DUMMYFUNCTION("iferror(index(Googlefinance($B15, ""price"", BY$1),2,2), 0)"),31.11)</f>
        <v>31.11</v>
      </c>
      <c r="BZ15" s="3">
        <f>IFERROR(__xludf.DUMMYFUNCTION("iferror(index(Googlefinance($B15, ""price"", BZ$1),2,2), 0)"),30.97)</f>
        <v>30.97</v>
      </c>
      <c r="CA15" s="3">
        <f>IFERROR(__xludf.DUMMYFUNCTION("iferror(index(Googlefinance($B15, ""price"", CA$1),2,2), 0)"),30.59)</f>
        <v>30.59</v>
      </c>
      <c r="CB15" s="3">
        <f>IFERROR(__xludf.DUMMYFUNCTION("iferror(index(Googlefinance($B15, ""price"", CB$1),2,2), 0)"),31.58)</f>
        <v>31.58</v>
      </c>
      <c r="CC15" s="3">
        <f>IFERROR(__xludf.DUMMYFUNCTION("iferror(index(Googlefinance($B15, ""price"", CC$1),2,2), 0)"),0.0)</f>
        <v>0</v>
      </c>
      <c r="CD15" s="3">
        <f>IFERROR(__xludf.DUMMYFUNCTION("iferror(index(Googlefinance($B15, ""price"", CD$1),2,2), 0)"),0.0)</f>
        <v>0</v>
      </c>
    </row>
    <row r="16">
      <c r="A16" s="1" t="s">
        <v>29</v>
      </c>
      <c r="B16" s="1" t="s">
        <v>30</v>
      </c>
      <c r="C16" s="3">
        <f>IFERROR(__xludf.DUMMYFUNCTION("iferror(index(Googlefinance($B16, ""price"", C$1),2,2), 0)"),140.1)</f>
        <v>140.1</v>
      </c>
      <c r="D16" s="3">
        <f>IFERROR(__xludf.DUMMYFUNCTION("iferror(index(Googlefinance($B16, ""price"", D$1),2,2), 0)"),140.1)</f>
        <v>140.1</v>
      </c>
      <c r="E16" s="3">
        <f>IFERROR(__xludf.DUMMYFUNCTION("iferror(index(Googlefinance($B16, ""price"", E$1),2,2), 0)"),140.1)</f>
        <v>140.1</v>
      </c>
      <c r="F16" s="3">
        <f>IFERROR(__xludf.DUMMYFUNCTION("iferror(index(Googlefinance($B16, ""price"", F$1),2,2), 0)"),140.1)</f>
        <v>140.1</v>
      </c>
      <c r="G16" s="3">
        <f>IFERROR(__xludf.DUMMYFUNCTION("iferror(index(Googlefinance($B16, ""price"", G$1),2,2), 0)"),141.23)</f>
        <v>141.23</v>
      </c>
      <c r="H16" s="3">
        <f>IFERROR(__xludf.DUMMYFUNCTION("iferror(index(Googlefinance($B16, ""price"", H$1),2,2), 0)"),142.35)</f>
        <v>142.35</v>
      </c>
      <c r="I16" s="3">
        <f>IFERROR(__xludf.DUMMYFUNCTION("iferror(index(Googlefinance($B16, ""price"", I$1),2,2), 0)"),144.95)</f>
        <v>144.95</v>
      </c>
      <c r="J16" s="3">
        <f>IFERROR(__xludf.DUMMYFUNCTION("iferror(index(Googlefinance($B16, ""price"", J$1),2,2), 0)"),146.35)</f>
        <v>146.35</v>
      </c>
      <c r="K16" s="3">
        <f>IFERROR(__xludf.DUMMYFUNCTION("iferror(index(Googlefinance($B16, ""price"", K$1),2,2), 0)"),147.05)</f>
        <v>147.05</v>
      </c>
      <c r="L16" s="3">
        <f>IFERROR(__xludf.DUMMYFUNCTION("iferror(index(Googlefinance($B16, ""price"", L$1),2,2), 0)"),147.05)</f>
        <v>147.05</v>
      </c>
      <c r="M16" s="3">
        <f>IFERROR(__xludf.DUMMYFUNCTION("iferror(index(Googlefinance($B16, ""price"", M$1),2,2), 0)"),147.05)</f>
        <v>147.05</v>
      </c>
      <c r="N16" s="3">
        <f>IFERROR(__xludf.DUMMYFUNCTION("iferror(index(Googlefinance($B16, ""price"", N$1),2,2), 0)"),145.05)</f>
        <v>145.05</v>
      </c>
      <c r="O16" s="3">
        <f>IFERROR(__xludf.DUMMYFUNCTION("iferror(index(Googlefinance($B16, ""price"", O$1),2,2), 0)"),143.04)</f>
        <v>143.04</v>
      </c>
      <c r="P16" s="3">
        <f>IFERROR(__xludf.DUMMYFUNCTION("iferror(index(Googlefinance($B16, ""price"", P$1),2,2), 0)"),141.3)</f>
        <v>141.3</v>
      </c>
      <c r="Q16" s="3">
        <f>IFERROR(__xludf.DUMMYFUNCTION("iferror(index(Googlefinance($B16, ""price"", Q$1),2,2), 0)"),140.72)</f>
        <v>140.72</v>
      </c>
      <c r="R16" s="3">
        <f>IFERROR(__xludf.DUMMYFUNCTION("iferror(index(Googlefinance($B16, ""price"", R$1),2,2), 0)"),139.27)</f>
        <v>139.27</v>
      </c>
      <c r="S16" s="3">
        <f>IFERROR(__xludf.DUMMYFUNCTION("iferror(index(Googlefinance($B16, ""price"", S$1),2,2), 0)"),139.27)</f>
        <v>139.27</v>
      </c>
      <c r="T16" s="3">
        <f>IFERROR(__xludf.DUMMYFUNCTION("iferror(index(Googlefinance($B16, ""price"", T$1),2,2), 0)"),139.27)</f>
        <v>139.27</v>
      </c>
      <c r="U16" s="3">
        <f>IFERROR(__xludf.DUMMYFUNCTION("iferror(index(Googlefinance($B16, ""price"", U$1),2,2), 0)"),139.27)</f>
        <v>139.27</v>
      </c>
      <c r="V16" s="3">
        <f>IFERROR(__xludf.DUMMYFUNCTION("iferror(index(Googlefinance($B16, ""price"", V$1),2,2), 0)"),142.8)</f>
        <v>142.8</v>
      </c>
      <c r="W16" s="3">
        <f>IFERROR(__xludf.DUMMYFUNCTION("iferror(index(Googlefinance($B16, ""price"", W$1),2,2), 0)"),141.61)</f>
        <v>141.61</v>
      </c>
      <c r="X16" s="3">
        <f>IFERROR(__xludf.DUMMYFUNCTION("iferror(index(Googlefinance($B16, ""price"", X$1),2,2), 0)"),139.35)</f>
        <v>139.35</v>
      </c>
      <c r="Y16" s="3">
        <f>IFERROR(__xludf.DUMMYFUNCTION("iferror(index(Googlefinance($B16, ""price"", Y$1),2,2), 0)"),137.55)</f>
        <v>137.55</v>
      </c>
      <c r="Z16" s="3">
        <f>IFERROR(__xludf.DUMMYFUNCTION("iferror(index(Googlefinance($B16, ""price"", Z$1),2,2), 0)"),137.55)</f>
        <v>137.55</v>
      </c>
      <c r="AA16" s="3">
        <f>IFERROR(__xludf.DUMMYFUNCTION("iferror(index(Googlefinance($B16, ""price"", AA$1),2,2), 0)"),137.55)</f>
        <v>137.55</v>
      </c>
      <c r="AB16" s="3">
        <f>IFERROR(__xludf.DUMMYFUNCTION("iferror(index(Googlefinance($B16, ""price"", AB$1),2,2), 0)"),135.1)</f>
        <v>135.1</v>
      </c>
      <c r="AC16" s="3">
        <f>IFERROR(__xludf.DUMMYFUNCTION("iferror(index(Googlefinance($B16, ""price"", AC$1),2,2), 0)"),131.02)</f>
        <v>131.02</v>
      </c>
      <c r="AD16" s="3">
        <f>IFERROR(__xludf.DUMMYFUNCTION("iferror(index(Googlefinance($B16, ""price"", AD$1),2,2), 0)"),134.72)</f>
        <v>134.72</v>
      </c>
      <c r="AE16" s="3">
        <f>IFERROR(__xludf.DUMMYFUNCTION("iferror(index(Googlefinance($B16, ""price"", AE$1),2,2), 0)"),133.59)</f>
        <v>133.59</v>
      </c>
      <c r="AF16" s="3">
        <f>IFERROR(__xludf.DUMMYFUNCTION("iferror(index(Googlefinance($B16, ""price"", AF$1),2,2), 0)"),135.71)</f>
        <v>135.71</v>
      </c>
      <c r="AG16" s="3">
        <f>IFERROR(__xludf.DUMMYFUNCTION("iferror(index(Googlefinance($B16, ""price"", AG$1),2,2), 0)"),135.71)</f>
        <v>135.71</v>
      </c>
      <c r="AH16" s="3">
        <f>IFERROR(__xludf.DUMMYFUNCTION("iferror(index(Googlefinance($B16, ""price"", AH$1),2,2), 0)"),135.71)</f>
        <v>135.71</v>
      </c>
      <c r="AI16" s="3">
        <f>IFERROR(__xludf.DUMMYFUNCTION("iferror(index(Googlefinance($B16, ""price"", AI$1),2,2), 0)"),139.59)</f>
        <v>139.59</v>
      </c>
      <c r="AJ16" s="3">
        <f>IFERROR(__xludf.DUMMYFUNCTION("iferror(index(Googlefinance($B16, ""price"", AJ$1),2,2), 0)"),138.63)</f>
        <v>138.63</v>
      </c>
      <c r="AK16" s="3">
        <f>IFERROR(__xludf.DUMMYFUNCTION("iferror(index(Googlefinance($B16, ""price"", AK$1),2,2), 0)"),140.63)</f>
        <v>140.63</v>
      </c>
      <c r="AL16" s="3">
        <f>IFERROR(__xludf.DUMMYFUNCTION("iferror(index(Googlefinance($B16, ""price"", AL$1),2,2), 0)"),145.11)</f>
        <v>145.11</v>
      </c>
      <c r="AM16" s="3">
        <f>IFERROR(__xludf.DUMMYFUNCTION("iferror(index(Googlefinance($B16, ""price"", AM$1),2,2), 0)"),143.41)</f>
        <v>143.41</v>
      </c>
      <c r="AN16" s="3">
        <f>IFERROR(__xludf.DUMMYFUNCTION("iferror(index(Googlefinance($B16, ""price"", AN$1),2,2), 0)"),143.41)</f>
        <v>143.41</v>
      </c>
      <c r="AO16" s="3">
        <f>IFERROR(__xludf.DUMMYFUNCTION("iferror(index(Googlefinance($B16, ""price"", AO$1),2,2), 0)"),143.41)</f>
        <v>143.41</v>
      </c>
      <c r="AP16" s="3">
        <f>IFERROR(__xludf.DUMMYFUNCTION("iferror(index(Googlefinance($B16, ""price"", AP$1),2,2), 0)"),141.79)</f>
        <v>141.79</v>
      </c>
      <c r="AQ16" s="3">
        <f>IFERROR(__xludf.DUMMYFUNCTION("iferror(index(Googlefinance($B16, ""price"", AQ$1),2,2), 0)"),142.46)</f>
        <v>142.46</v>
      </c>
      <c r="AR16" s="3">
        <f>IFERROR(__xludf.DUMMYFUNCTION("iferror(index(Googlefinance($B16, ""price"", AR$1),2,2), 0)"),143.54)</f>
        <v>143.54</v>
      </c>
      <c r="AS16" s="3">
        <f>IFERROR(__xludf.DUMMYFUNCTION("iferror(index(Googlefinance($B16, ""price"", AS$1),2,2), 0)"),142.12)</f>
        <v>142.12</v>
      </c>
      <c r="AT16" s="3">
        <f>IFERROR(__xludf.DUMMYFUNCTION("iferror(index(Googlefinance($B16, ""price"", AT$1),2,2), 0)"),141.71)</f>
        <v>141.71</v>
      </c>
      <c r="AU16" s="3">
        <f>IFERROR(__xludf.DUMMYFUNCTION("iferror(index(Googlefinance($B16, ""price"", AU$1),2,2), 0)"),141.71)</f>
        <v>141.71</v>
      </c>
      <c r="AV16" s="3">
        <f>IFERROR(__xludf.DUMMYFUNCTION("iferror(index(Googlefinance($B16, ""price"", AV$1),2,2), 0)"),141.71)</f>
        <v>141.71</v>
      </c>
      <c r="AW16" s="3">
        <f>IFERROR(__xludf.DUMMYFUNCTION("iferror(index(Googlefinance($B16, ""price"", AW$1),2,2), 0)"),141.71)</f>
        <v>141.71</v>
      </c>
      <c r="AX16" s="3">
        <f>IFERROR(__xludf.DUMMYFUNCTION("iferror(index(Googlefinance($B16, ""price"", AX$1),2,2), 0)"),143.99)</f>
        <v>143.99</v>
      </c>
      <c r="AY16" s="3">
        <f>IFERROR(__xludf.DUMMYFUNCTION("iferror(index(Googlefinance($B16, ""price"", AY$1),2,2), 0)"),145.09)</f>
        <v>145.09</v>
      </c>
      <c r="AZ16" s="3">
        <f>IFERROR(__xludf.DUMMYFUNCTION("iferror(index(Googlefinance($B16, ""price"", AZ$1),2,2), 0)"),142.02)</f>
        <v>142.02</v>
      </c>
      <c r="BA16" s="3">
        <f>IFERROR(__xludf.DUMMYFUNCTION("iferror(index(Googlefinance($B16, ""price"", BA$1),2,2), 0)"),136.67)</f>
        <v>136.67</v>
      </c>
      <c r="BB16" s="3">
        <f>IFERROR(__xludf.DUMMYFUNCTION("iferror(index(Googlefinance($B16, ""price"", BB$1),2,2), 0)"),136.67)</f>
        <v>136.67</v>
      </c>
      <c r="BC16" s="3">
        <f>IFERROR(__xludf.DUMMYFUNCTION("iferror(index(Googlefinance($B16, ""price"", BC$1),2,2), 0)"),136.67)</f>
        <v>136.67</v>
      </c>
      <c r="BD16" s="3">
        <f>IFERROR(__xludf.DUMMYFUNCTION("iferror(index(Googlefinance($B16, ""price"", BD$1),2,2), 0)"),136.13)</f>
        <v>136.13</v>
      </c>
      <c r="BE16" s="3">
        <f>IFERROR(__xludf.DUMMYFUNCTION("iferror(index(Googlefinance($B16, ""price"", BE$1),2,2), 0)"),135.65)</f>
        <v>135.65</v>
      </c>
      <c r="BF16" s="3">
        <f>IFERROR(__xludf.DUMMYFUNCTION("iferror(index(Googlefinance($B16, ""price"", BF$1),2,2), 0)"),135.54)</f>
        <v>135.54</v>
      </c>
      <c r="BG16" s="3">
        <f>IFERROR(__xludf.DUMMYFUNCTION("iferror(index(Googlefinance($B16, ""price"", BG$1),2,2), 0)"),134.78)</f>
        <v>134.78</v>
      </c>
      <c r="BH16" s="3">
        <f>IFERROR(__xludf.DUMMYFUNCTION("iferror(index(Googlefinance($B16, ""price"", BH$1),2,2), 0)"),137.65)</f>
        <v>137.65</v>
      </c>
      <c r="BI16" s="3">
        <f>IFERROR(__xludf.DUMMYFUNCTION("iferror(index(Googlefinance($B16, ""price"", BI$1),2,2), 0)"),137.65)</f>
        <v>137.65</v>
      </c>
      <c r="BJ16" s="3">
        <f>IFERROR(__xludf.DUMMYFUNCTION("iferror(index(Googlefinance($B16, ""price"", BJ$1),2,2), 0)"),137.65)</f>
        <v>137.65</v>
      </c>
      <c r="BK16" s="3">
        <f>IFERROR(__xludf.DUMMYFUNCTION("iferror(index(Googlefinance($B16, ""price"", BK$1),2,2), 0)"),137.02)</f>
        <v>137.02</v>
      </c>
      <c r="BL16" s="3">
        <f>IFERROR(__xludf.DUMMYFUNCTION("iferror(index(Googlefinance($B16, ""price"", BL$1),2,2), 0)"),134.26)</f>
        <v>134.26</v>
      </c>
      <c r="BM16" s="3">
        <f>IFERROR(__xludf.DUMMYFUNCTION("iferror(index(Googlefinance($B16, ""price"", BM$1),2,2), 0)"),132.04)</f>
        <v>132.04</v>
      </c>
      <c r="BN16" s="3">
        <f>IFERROR(__xludf.DUMMYFUNCTION("iferror(index(Googlefinance($B16, ""price"", BN$1),2,2), 0)"),133.35)</f>
        <v>133.35</v>
      </c>
      <c r="BO16" s="3">
        <f>IFERROR(__xludf.DUMMYFUNCTION("iferror(index(Googlefinance($B16, ""price"", BO$1),2,2), 0)"),134.56)</f>
        <v>134.56</v>
      </c>
      <c r="BP16" s="3">
        <f>IFERROR(__xludf.DUMMYFUNCTION("iferror(index(Googlefinance($B16, ""price"", BP$1),2,2), 0)"),134.56)</f>
        <v>134.56</v>
      </c>
      <c r="BQ16" s="3">
        <f>IFERROR(__xludf.DUMMYFUNCTION("iferror(index(Googlefinance($B16, ""price"", BQ$1),2,2), 0)"),134.56)</f>
        <v>134.56</v>
      </c>
      <c r="BR16" s="3">
        <f>IFERROR(__xludf.DUMMYFUNCTION("iferror(index(Googlefinance($B16, ""price"", BR$1),2,2), 0)"),135.95)</f>
        <v>135.95</v>
      </c>
      <c r="BS16" s="3">
        <f>IFERROR(__xludf.DUMMYFUNCTION("iferror(index(Googlefinance($B16, ""price"", BS$1),2,2), 0)"),137.59)</f>
        <v>137.59</v>
      </c>
      <c r="BT16" s="3">
        <f>IFERROR(__xludf.DUMMYFUNCTION("iferror(index(Googlefinance($B16, ""price"", BT$1),2,2), 0)"),141.19)</f>
        <v>141.19</v>
      </c>
      <c r="BU16" s="3">
        <f>IFERROR(__xludf.DUMMYFUNCTION("iferror(index(Googlefinance($B16, ""price"", BU$1),2,2), 0)"),140.45)</f>
        <v>140.45</v>
      </c>
      <c r="BV16" s="3">
        <f>IFERROR(__xludf.DUMMYFUNCTION("iferror(index(Googlefinance($B16, ""price"", BV$1),2,2), 0)"),144.94)</f>
        <v>144.94</v>
      </c>
      <c r="BW16" s="3">
        <f>IFERROR(__xludf.DUMMYFUNCTION("iferror(index(Googlefinance($B16, ""price"", BW$1),2,2), 0)"),144.94)</f>
        <v>144.94</v>
      </c>
      <c r="BX16" s="3">
        <f>IFERROR(__xludf.DUMMYFUNCTION("iferror(index(Googlefinance($B16, ""price"", BX$1),2,2), 0)"),144.94)</f>
        <v>144.94</v>
      </c>
      <c r="BY16" s="3">
        <f>IFERROR(__xludf.DUMMYFUNCTION("iferror(index(Googlefinance($B16, ""price"", BY$1),2,2), 0)"),144.65)</f>
        <v>144.65</v>
      </c>
      <c r="BZ16" s="3">
        <f>IFERROR(__xludf.DUMMYFUNCTION("iferror(index(Googlefinance($B16, ""price"", BZ$1),2,2), 0)"),144.82)</f>
        <v>144.82</v>
      </c>
      <c r="CA16" s="3">
        <f>IFERROR(__xludf.DUMMYFUNCTION("iferror(index(Googlefinance($B16, ""price"", CA$1),2,2), 0)"),143.17)</f>
        <v>143.17</v>
      </c>
      <c r="CB16" s="3">
        <f>IFERROR(__xludf.DUMMYFUNCTION("iferror(index(Googlefinance($B16, ""price"", CB$1),2,2), 0)"),137.49)</f>
        <v>137.49</v>
      </c>
      <c r="CC16" s="3">
        <f>IFERROR(__xludf.DUMMYFUNCTION("iferror(index(Googlefinance($B16, ""price"", CC$1),2,2), 0)"),0.0)</f>
        <v>0</v>
      </c>
      <c r="CD16" s="3">
        <f>IFERROR(__xludf.DUMMYFUNCTION("iferror(index(Googlefinance($B16, ""price"", CD$1),2,2), 0)"),0.0)</f>
        <v>0</v>
      </c>
    </row>
    <row r="17">
      <c r="A17" s="1" t="s">
        <v>31</v>
      </c>
      <c r="B17" s="1" t="s">
        <v>32</v>
      </c>
      <c r="C17" s="3">
        <f>IFERROR(__xludf.DUMMYFUNCTION("iferror(index(Googlefinance($B17, ""price"", C$1),2,2), 0)"),180.84)</f>
        <v>180.84</v>
      </c>
      <c r="D17" s="3">
        <f>IFERROR(__xludf.DUMMYFUNCTION("iferror(index(Googlefinance($B17, ""price"", D$1),2,2), 0)"),180.84)</f>
        <v>180.84</v>
      </c>
      <c r="E17" s="3">
        <f>IFERROR(__xludf.DUMMYFUNCTION("iferror(index(Googlefinance($B17, ""price"", E$1),2,2), 0)"),180.84)</f>
        <v>180.84</v>
      </c>
      <c r="F17" s="3">
        <f>IFERROR(__xludf.DUMMYFUNCTION("iferror(index(Googlefinance($B17, ""price"", F$1),2,2), 0)"),180.84)</f>
        <v>180.84</v>
      </c>
      <c r="G17" s="3">
        <f>IFERROR(__xludf.DUMMYFUNCTION("iferror(index(Googlefinance($B17, ""price"", G$1),2,2), 0)"),178.72)</f>
        <v>178.72</v>
      </c>
      <c r="H17" s="3">
        <f>IFERROR(__xludf.DUMMYFUNCTION("iferror(index(Googlefinance($B17, ""price"", H$1),2,2), 0)"),179.7)</f>
        <v>179.7</v>
      </c>
      <c r="I17" s="3">
        <f>IFERROR(__xludf.DUMMYFUNCTION("iferror(index(Googlefinance($B17, ""price"", I$1),2,2), 0)"),178.22)</f>
        <v>178.22</v>
      </c>
      <c r="J17" s="3">
        <f>IFERROR(__xludf.DUMMYFUNCTION("iferror(index(Googlefinance($B17, ""price"", J$1),2,2), 0)"),181.07)</f>
        <v>181.07</v>
      </c>
      <c r="K17" s="3">
        <f>IFERROR(__xludf.DUMMYFUNCTION("iferror(index(Googlefinance($B17, ""price"", K$1),2,2), 0)"),177.85)</f>
        <v>177.85</v>
      </c>
      <c r="L17" s="3">
        <f>IFERROR(__xludf.DUMMYFUNCTION("iferror(index(Googlefinance($B17, ""price"", L$1),2,2), 0)"),177.85)</f>
        <v>177.85</v>
      </c>
      <c r="M17" s="3">
        <f>IFERROR(__xludf.DUMMYFUNCTION("iferror(index(Googlefinance($B17, ""price"", M$1),2,2), 0)"),177.85)</f>
        <v>177.85</v>
      </c>
      <c r="N17" s="3">
        <f>IFERROR(__xludf.DUMMYFUNCTION("iferror(index(Googlefinance($B17, ""price"", N$1),2,2), 0)"),175.93)</f>
        <v>175.93</v>
      </c>
      <c r="O17" s="3">
        <f>IFERROR(__xludf.DUMMYFUNCTION("iferror(index(Googlefinance($B17, ""price"", O$1),2,2), 0)"),177.51)</f>
        <v>177.51</v>
      </c>
      <c r="P17" s="3">
        <f>IFERROR(__xludf.DUMMYFUNCTION("iferror(index(Googlefinance($B17, ""price"", P$1),2,2), 0)"),175.77)</f>
        <v>175.77</v>
      </c>
      <c r="Q17" s="3">
        <f>IFERROR(__xludf.DUMMYFUNCTION("iferror(index(Googlefinance($B17, ""price"", Q$1),2,2), 0)"),169.87)</f>
        <v>169.87</v>
      </c>
      <c r="R17" s="3">
        <f>IFERROR(__xludf.DUMMYFUNCTION("iferror(index(Googlefinance($B17, ""price"", R$1),2,2), 0)"),174.3)</f>
        <v>174.3</v>
      </c>
      <c r="S17" s="3">
        <f>IFERROR(__xludf.DUMMYFUNCTION("iferror(index(Googlefinance($B17, ""price"", S$1),2,2), 0)"),174.3)</f>
        <v>174.3</v>
      </c>
      <c r="T17" s="3">
        <f>IFERROR(__xludf.DUMMYFUNCTION("iferror(index(Googlefinance($B17, ""price"", T$1),2,2), 0)"),174.3)</f>
        <v>174.3</v>
      </c>
      <c r="U17" s="3">
        <f>IFERROR(__xludf.DUMMYFUNCTION("iferror(index(Googlefinance($B17, ""price"", U$1),2,2), 0)"),174.3)</f>
        <v>174.3</v>
      </c>
      <c r="V17" s="3">
        <f>IFERROR(__xludf.DUMMYFUNCTION("iferror(index(Googlefinance($B17, ""price"", V$1),2,2), 0)"),173.49)</f>
        <v>173.49</v>
      </c>
      <c r="W17" s="3">
        <f>IFERROR(__xludf.DUMMYFUNCTION("iferror(index(Googlefinance($B17, ""price"", W$1),2,2), 0)"),174.18)</f>
        <v>174.18</v>
      </c>
      <c r="X17" s="3">
        <f>IFERROR(__xludf.DUMMYFUNCTION("iferror(index(Googlefinance($B17, ""price"", X$1),2,2), 0)"),169.7)</f>
        <v>169.7</v>
      </c>
      <c r="Y17" s="3">
        <f>IFERROR(__xludf.DUMMYFUNCTION("iferror(index(Googlefinance($B17, ""price"", Y$1),2,2), 0)"),164.6)</f>
        <v>164.6</v>
      </c>
      <c r="Z17" s="3">
        <f>IFERROR(__xludf.DUMMYFUNCTION("iferror(index(Googlefinance($B17, ""price"", Z$1),2,2), 0)"),164.6)</f>
        <v>164.6</v>
      </c>
      <c r="AA17" s="3">
        <f>IFERROR(__xludf.DUMMYFUNCTION("iferror(index(Googlefinance($B17, ""price"", AA$1),2,2), 0)"),164.6)</f>
        <v>164.6</v>
      </c>
      <c r="AB17" s="3">
        <f>IFERROR(__xludf.DUMMYFUNCTION("iferror(index(Googlefinance($B17, ""price"", AB$1),2,2), 0)"),168.91)</f>
        <v>168.91</v>
      </c>
      <c r="AC17" s="3">
        <f>IFERROR(__xludf.DUMMYFUNCTION("iferror(index(Googlefinance($B17, ""price"", AC$1),2,2), 0)"),163.03)</f>
        <v>163.03</v>
      </c>
      <c r="AD17" s="3">
        <f>IFERROR(__xludf.DUMMYFUNCTION("iferror(index(Googlefinance($B17, ""price"", AD$1),2,2), 0)"),160.99)</f>
        <v>160.99</v>
      </c>
      <c r="AE17" s="3">
        <f>IFERROR(__xludf.DUMMYFUNCTION("iferror(index(Googlefinance($B17, ""price"", AE$1),2,2), 0)"),159.84)</f>
        <v>159.84</v>
      </c>
      <c r="AF17" s="3">
        <f>IFERROR(__xludf.DUMMYFUNCTION("iferror(index(Googlefinance($B17, ""price"", AF$1),2,2), 0)"),164.13)</f>
        <v>164.13</v>
      </c>
      <c r="AG17" s="3">
        <f>IFERROR(__xludf.DUMMYFUNCTION("iferror(index(Googlefinance($B17, ""price"", AG$1),2,2), 0)"),164.13)</f>
        <v>164.13</v>
      </c>
      <c r="AH17" s="3">
        <f>IFERROR(__xludf.DUMMYFUNCTION("iferror(index(Googlefinance($B17, ""price"", AH$1),2,2), 0)"),164.13)</f>
        <v>164.13</v>
      </c>
      <c r="AI17" s="3">
        <f>IFERROR(__xludf.DUMMYFUNCTION("iferror(index(Googlefinance($B17, ""price"", AI$1),2,2), 0)"),168.24)</f>
        <v>168.24</v>
      </c>
      <c r="AJ17" s="3">
        <f>IFERROR(__xludf.DUMMYFUNCTION("iferror(index(Googlefinance($B17, ""price"", AJ$1),2,2), 0)"),167.0)</f>
        <v>167</v>
      </c>
      <c r="AK17" s="3">
        <f>IFERROR(__xludf.DUMMYFUNCTION("iferror(index(Googlefinance($B17, ""price"", AK$1),2,2), 0)"),164.85)</f>
        <v>164.85</v>
      </c>
      <c r="AL17" s="3">
        <f>IFERROR(__xludf.DUMMYFUNCTION("iferror(index(Googlefinance($B17, ""price"", AL$1),2,2), 0)"),168.55)</f>
        <v>168.55</v>
      </c>
      <c r="AM17" s="3">
        <f>IFERROR(__xludf.DUMMYFUNCTION("iferror(index(Googlefinance($B17, ""price"", AM$1),2,2), 0)"),169.59)</f>
        <v>169.59</v>
      </c>
      <c r="AN17" s="3">
        <f>IFERROR(__xludf.DUMMYFUNCTION("iferror(index(Googlefinance($B17, ""price"", AN$1),2,2), 0)"),169.59)</f>
        <v>169.59</v>
      </c>
      <c r="AO17" s="3">
        <f>IFERROR(__xludf.DUMMYFUNCTION("iferror(index(Googlefinance($B17, ""price"", AO$1),2,2), 0)"),169.59)</f>
        <v>169.59</v>
      </c>
      <c r="AP17" s="3">
        <f>IFERROR(__xludf.DUMMYFUNCTION("iferror(index(Googlefinance($B17, ""price"", AP$1),2,2), 0)"),172.96)</f>
        <v>172.96</v>
      </c>
      <c r="AQ17" s="3">
        <f>IFERROR(__xludf.DUMMYFUNCTION("iferror(index(Googlefinance($B17, ""price"", AQ$1),2,2), 0)"),169.75)</f>
        <v>169.75</v>
      </c>
      <c r="AR17" s="3">
        <f>IFERROR(__xludf.DUMMYFUNCTION("iferror(index(Googlefinance($B17, ""price"", AR$1),2,2), 0)"),178.19)</f>
        <v>178.19</v>
      </c>
      <c r="AS17" s="3">
        <f>IFERROR(__xludf.DUMMYFUNCTION("iferror(index(Googlefinance($B17, ""price"", AS$1),2,2), 0)"),177.08)</f>
        <v>177.08</v>
      </c>
      <c r="AT17" s="3">
        <f>IFERROR(__xludf.DUMMYFUNCTION("iferror(index(Googlefinance($B17, ""price"", AT$1),2,2), 0)"),179.18)</f>
        <v>179.18</v>
      </c>
      <c r="AU17" s="3">
        <f>IFERROR(__xludf.DUMMYFUNCTION("iferror(index(Googlefinance($B17, ""price"", AU$1),2,2), 0)"),179.18)</f>
        <v>179.18</v>
      </c>
      <c r="AV17" s="3">
        <f>IFERROR(__xludf.DUMMYFUNCTION("iferror(index(Googlefinance($B17, ""price"", AV$1),2,2), 0)"),179.18)</f>
        <v>179.18</v>
      </c>
      <c r="AW17" s="3">
        <f>IFERROR(__xludf.DUMMYFUNCTION("iferror(index(Googlefinance($B17, ""price"", AW$1),2,2), 0)"),179.18)</f>
        <v>179.18</v>
      </c>
      <c r="AX17" s="3">
        <f>IFERROR(__xludf.DUMMYFUNCTION("iferror(index(Googlefinance($B17, ""price"", AX$1),2,2), 0)"),176.5)</f>
        <v>176.5</v>
      </c>
      <c r="AY17" s="3">
        <f>IFERROR(__xludf.DUMMYFUNCTION("iferror(index(Googlefinance($B17, ""price"", AY$1),2,2), 0)"),174.98)</f>
        <v>174.98</v>
      </c>
      <c r="AZ17" s="3">
        <f>IFERROR(__xludf.DUMMYFUNCTION("iferror(index(Googlefinance($B17, ""price"", AZ$1),2,2), 0)"),178.02)</f>
        <v>178.02</v>
      </c>
      <c r="BA17" s="3">
        <f>IFERROR(__xludf.DUMMYFUNCTION("iferror(index(Googlefinance($B17, ""price"", BA$1),2,2), 0)"),177.44)</f>
        <v>177.44</v>
      </c>
      <c r="BB17" s="3">
        <f>IFERROR(__xludf.DUMMYFUNCTION("iferror(index(Googlefinance($B17, ""price"", BB$1),2,2), 0)"),177.44)</f>
        <v>177.44</v>
      </c>
      <c r="BC17" s="3">
        <f>IFERROR(__xludf.DUMMYFUNCTION("iferror(index(Googlefinance($B17, ""price"", BC$1),2,2), 0)"),177.44)</f>
        <v>177.44</v>
      </c>
      <c r="BD17" s="3">
        <f>IFERROR(__xludf.DUMMYFUNCTION("iferror(index(Googlefinance($B17, ""price"", BD$1),2,2), 0)"),177.07)</f>
        <v>177.07</v>
      </c>
      <c r="BE17" s="3">
        <f>IFERROR(__xludf.DUMMYFUNCTION("iferror(index(Googlefinance($B17, ""price"", BE$1),2,2), 0)"),176.22)</f>
        <v>176.22</v>
      </c>
      <c r="BF17" s="3">
        <f>IFERROR(__xludf.DUMMYFUNCTION("iferror(index(Googlefinance($B17, ""price"", BF$1),2,2), 0)"),177.52)</f>
        <v>177.52</v>
      </c>
      <c r="BG17" s="3">
        <f>IFERROR(__xludf.DUMMYFUNCTION("iferror(index(Googlefinance($B17, ""price"", BG$1),2,2), 0)"),175.64)</f>
        <v>175.64</v>
      </c>
      <c r="BH17" s="3">
        <f>IFERROR(__xludf.DUMMYFUNCTION("iferror(index(Googlefinance($B17, ""price"", BH$1),2,2), 0)"),177.57)</f>
        <v>177.57</v>
      </c>
      <c r="BI17" s="3">
        <f>IFERROR(__xludf.DUMMYFUNCTION("iferror(index(Googlefinance($B17, ""price"", BI$1),2,2), 0)"),177.57)</f>
        <v>177.57</v>
      </c>
      <c r="BJ17" s="3">
        <f>IFERROR(__xludf.DUMMYFUNCTION("iferror(index(Googlefinance($B17, ""price"", BJ$1),2,2), 0)"),177.57)</f>
        <v>177.57</v>
      </c>
      <c r="BK17" s="3">
        <f>IFERROR(__xludf.DUMMYFUNCTION("iferror(index(Googlefinance($B17, ""price"", BK$1),2,2), 0)"),176.3)</f>
        <v>176.3</v>
      </c>
      <c r="BL17" s="3">
        <f>IFERROR(__xludf.DUMMYFUNCTION("iferror(index(Googlefinance($B17, ""price"", BL$1),2,2), 0)"),174.48)</f>
        <v>174.48</v>
      </c>
      <c r="BM17" s="3">
        <f>IFERROR(__xludf.DUMMYFUNCTION("iferror(index(Googlefinance($B17, ""price"", BM$1),2,2), 0)"),167.11)</f>
        <v>167.11</v>
      </c>
      <c r="BN17" s="3">
        <f>IFERROR(__xludf.DUMMYFUNCTION("iferror(index(Googlefinance($B17, ""price"", BN$1),2,2), 0)"),163.48)</f>
        <v>163.48</v>
      </c>
      <c r="BO17" s="3">
        <f>IFERROR(__xludf.DUMMYFUNCTION("iferror(index(Googlefinance($B17, ""price"", BO$1),2,2), 0)"),165.98)</f>
        <v>165.98</v>
      </c>
      <c r="BP17" s="3">
        <f>IFERROR(__xludf.DUMMYFUNCTION("iferror(index(Googlefinance($B17, ""price"", BP$1),2,2), 0)"),165.98)</f>
        <v>165.98</v>
      </c>
      <c r="BQ17" s="3">
        <f>IFERROR(__xludf.DUMMYFUNCTION("iferror(index(Googlefinance($B17, ""price"", BQ$1),2,2), 0)"),165.98)</f>
        <v>165.98</v>
      </c>
      <c r="BR17" s="3">
        <f>IFERROR(__xludf.DUMMYFUNCTION("iferror(index(Googlefinance($B17, ""price"", BR$1),2,2), 0)"),163.41)</f>
        <v>163.41</v>
      </c>
      <c r="BS17" s="3">
        <f>IFERROR(__xludf.DUMMYFUNCTION("iferror(index(Googlefinance($B17, ""price"", BS$1),2,2), 0)"),173.16)</f>
        <v>173.16</v>
      </c>
      <c r="BT17" s="3">
        <f>IFERROR(__xludf.DUMMYFUNCTION("iferror(index(Googlefinance($B17, ""price"", BT$1),2,2), 0)"),179.97)</f>
        <v>179.97</v>
      </c>
      <c r="BU17" s="3">
        <f>IFERROR(__xludf.DUMMYFUNCTION("iferror(index(Googlefinance($B17, ""price"", BU$1),2,2), 0)"),180.11)</f>
        <v>180.11</v>
      </c>
      <c r="BV17" s="3">
        <f>IFERROR(__xludf.DUMMYFUNCTION("iferror(index(Googlefinance($B17, ""price"", BV$1),2,2), 0)"),174.77)</f>
        <v>174.77</v>
      </c>
      <c r="BW17" s="3">
        <f>IFERROR(__xludf.DUMMYFUNCTION("iferror(index(Googlefinance($B17, ""price"", BW$1),2,2), 0)"),174.77)</f>
        <v>174.77</v>
      </c>
      <c r="BX17" s="3">
        <f>IFERROR(__xludf.DUMMYFUNCTION("iferror(index(Googlefinance($B17, ""price"", BX$1),2,2), 0)"),174.77)</f>
        <v>174.77</v>
      </c>
      <c r="BY17" s="3">
        <f>IFERROR(__xludf.DUMMYFUNCTION("iferror(index(Googlefinance($B17, ""price"", BY$1),2,2), 0)"),171.64)</f>
        <v>171.64</v>
      </c>
      <c r="BZ17" s="3">
        <f>IFERROR(__xludf.DUMMYFUNCTION("iferror(index(Googlefinance($B17, ""price"", BZ$1),2,2), 0)"),172.09)</f>
        <v>172.09</v>
      </c>
      <c r="CA17" s="3">
        <f>IFERROR(__xludf.DUMMYFUNCTION("iferror(index(Googlefinance($B17, ""price"", CA$1),2,2), 0)"),170.51)</f>
        <v>170.51</v>
      </c>
      <c r="CB17" s="3">
        <f>IFERROR(__xludf.DUMMYFUNCTION("iferror(index(Googlefinance($B17, ""price"", CB$1),2,2), 0)"),168.16)</f>
        <v>168.16</v>
      </c>
      <c r="CC17" s="3">
        <f>IFERROR(__xludf.DUMMYFUNCTION("iferror(index(Googlefinance($B17, ""price"", CC$1),2,2), 0)"),0.0)</f>
        <v>0</v>
      </c>
      <c r="CD17" s="3">
        <f>IFERROR(__xludf.DUMMYFUNCTION("iferror(index(Googlefinance($B17, ""price"", CD$1),2,2), 0)"),0.0)</f>
        <v>0</v>
      </c>
    </row>
    <row r="18">
      <c r="A18" s="1" t="s">
        <v>33</v>
      </c>
      <c r="B18" s="1" t="s">
        <v>34</v>
      </c>
      <c r="C18" s="3">
        <f>IFERROR(__xludf.DUMMYFUNCTION("iferror(index(Googlefinance($B18, ""price"", C$1),2,2), 0)"),44.37)</f>
        <v>44.37</v>
      </c>
      <c r="D18" s="3">
        <f>IFERROR(__xludf.DUMMYFUNCTION("iferror(index(Googlefinance($B18, ""price"", D$1),2,2), 0)"),44.37)</f>
        <v>44.37</v>
      </c>
      <c r="E18" s="3">
        <f>IFERROR(__xludf.DUMMYFUNCTION("iferror(index(Googlefinance($B18, ""price"", E$1),2,2), 0)"),44.37)</f>
        <v>44.37</v>
      </c>
      <c r="F18" s="3">
        <f>IFERROR(__xludf.DUMMYFUNCTION("iferror(index(Googlefinance($B18, ""price"", F$1),2,2), 0)"),44.37)</f>
        <v>44.37</v>
      </c>
      <c r="G18" s="3">
        <f>IFERROR(__xludf.DUMMYFUNCTION("iferror(index(Googlefinance($B18, ""price"", G$1),2,2), 0)"),44.0)</f>
        <v>44</v>
      </c>
      <c r="H18" s="3">
        <f>IFERROR(__xludf.DUMMYFUNCTION("iferror(index(Googlefinance($B18, ""price"", H$1),2,2), 0)"),43.0)</f>
        <v>43</v>
      </c>
      <c r="I18" s="3">
        <f>IFERROR(__xludf.DUMMYFUNCTION("iferror(index(Googlefinance($B18, ""price"", I$1),2,2), 0)"),42.3)</f>
        <v>42.3</v>
      </c>
      <c r="J18" s="3">
        <f>IFERROR(__xludf.DUMMYFUNCTION("iferror(index(Googlefinance($B18, ""price"", J$1),2,2), 0)"),54.35)</f>
        <v>54.35</v>
      </c>
      <c r="K18" s="3">
        <f>IFERROR(__xludf.DUMMYFUNCTION("iferror(index(Googlefinance($B18, ""price"", K$1),2,2), 0)"),68.44)</f>
        <v>68.44</v>
      </c>
      <c r="L18" s="3">
        <f>IFERROR(__xludf.DUMMYFUNCTION("iferror(index(Googlefinance($B18, ""price"", L$1),2,2), 0)"),68.44)</f>
        <v>68.44</v>
      </c>
      <c r="M18" s="3">
        <f>IFERROR(__xludf.DUMMYFUNCTION("iferror(index(Googlefinance($B18, ""price"", M$1),2,2), 0)"),68.44)</f>
        <v>68.44</v>
      </c>
      <c r="N18" s="3">
        <f>IFERROR(__xludf.DUMMYFUNCTION("iferror(index(Googlefinance($B18, ""price"", N$1),2,2), 0)"),60.0)</f>
        <v>60</v>
      </c>
      <c r="O18" s="3">
        <f>IFERROR(__xludf.DUMMYFUNCTION("iferror(index(Googlefinance($B18, ""price"", O$1),2,2), 0)"),56.3)</f>
        <v>56.3</v>
      </c>
      <c r="P18" s="3">
        <f>IFERROR(__xludf.DUMMYFUNCTION("iferror(index(Googlefinance($B18, ""price"", P$1),2,2), 0)"),54.2)</f>
        <v>54.2</v>
      </c>
      <c r="Q18" s="3">
        <f>IFERROR(__xludf.DUMMYFUNCTION("iferror(index(Googlefinance($B18, ""price"", Q$1),2,2), 0)"),52.0)</f>
        <v>52</v>
      </c>
      <c r="R18" s="3">
        <f>IFERROR(__xludf.DUMMYFUNCTION("iferror(index(Googlefinance($B18, ""price"", R$1),2,2), 0)"),57.75)</f>
        <v>57.75</v>
      </c>
      <c r="S18" s="3">
        <f>IFERROR(__xludf.DUMMYFUNCTION("iferror(index(Googlefinance($B18, ""price"", S$1),2,2), 0)"),57.75)</f>
        <v>57.75</v>
      </c>
      <c r="T18" s="3">
        <f>IFERROR(__xludf.DUMMYFUNCTION("iferror(index(Googlefinance($B18, ""price"", T$1),2,2), 0)"),57.75)</f>
        <v>57.75</v>
      </c>
      <c r="U18" s="3">
        <f>IFERROR(__xludf.DUMMYFUNCTION("iferror(index(Googlefinance($B18, ""price"", U$1),2,2), 0)"),57.75)</f>
        <v>57.75</v>
      </c>
      <c r="V18" s="3">
        <f>IFERROR(__xludf.DUMMYFUNCTION("iferror(index(Googlefinance($B18, ""price"", V$1),2,2), 0)"),54.75)</f>
        <v>54.75</v>
      </c>
      <c r="W18" s="3">
        <f>IFERROR(__xludf.DUMMYFUNCTION("iferror(index(Googlefinance($B18, ""price"", W$1),2,2), 0)"),57.13)</f>
        <v>57.13</v>
      </c>
      <c r="X18" s="3">
        <f>IFERROR(__xludf.DUMMYFUNCTION("iferror(index(Googlefinance($B18, ""price"", X$1),2,2), 0)"),56.46)</f>
        <v>56.46</v>
      </c>
      <c r="Y18" s="3">
        <f>IFERROR(__xludf.DUMMYFUNCTION("iferror(index(Googlefinance($B18, ""price"", Y$1),2,2), 0)"),59.0)</f>
        <v>59</v>
      </c>
      <c r="Z18" s="3">
        <f>IFERROR(__xludf.DUMMYFUNCTION("iferror(index(Googlefinance($B18, ""price"", Z$1),2,2), 0)"),59.0)</f>
        <v>59</v>
      </c>
      <c r="AA18" s="3">
        <f>IFERROR(__xludf.DUMMYFUNCTION("iferror(index(Googlefinance($B18, ""price"", AA$1),2,2), 0)"),59.0)</f>
        <v>59</v>
      </c>
      <c r="AB18" s="3">
        <f>IFERROR(__xludf.DUMMYFUNCTION("iferror(index(Googlefinance($B18, ""price"", AB$1),2,2), 0)"),56.7)</f>
        <v>56.7</v>
      </c>
      <c r="AC18" s="3">
        <f>IFERROR(__xludf.DUMMYFUNCTION("iferror(index(Googlefinance($B18, ""price"", AC$1),2,2), 0)"),53.74)</f>
        <v>53.74</v>
      </c>
      <c r="AD18" s="3">
        <f>IFERROR(__xludf.DUMMYFUNCTION("iferror(index(Googlefinance($B18, ""price"", AD$1),2,2), 0)"),54.15)</f>
        <v>54.15</v>
      </c>
      <c r="AE18" s="3">
        <f>IFERROR(__xludf.DUMMYFUNCTION("iferror(index(Googlefinance($B18, ""price"", AE$1),2,2), 0)"),50.49)</f>
        <v>50.49</v>
      </c>
      <c r="AF18" s="3">
        <f>IFERROR(__xludf.DUMMYFUNCTION("iferror(index(Googlefinance($B18, ""price"", AF$1),2,2), 0)"),54.59)</f>
        <v>54.59</v>
      </c>
      <c r="AG18" s="3">
        <f>IFERROR(__xludf.DUMMYFUNCTION("iferror(index(Googlefinance($B18, ""price"", AG$1),2,2), 0)"),54.59)</f>
        <v>54.59</v>
      </c>
      <c r="AH18" s="3">
        <f>IFERROR(__xludf.DUMMYFUNCTION("iferror(index(Googlefinance($B18, ""price"", AH$1),2,2), 0)"),54.59)</f>
        <v>54.59</v>
      </c>
      <c r="AI18" s="3">
        <f>IFERROR(__xludf.DUMMYFUNCTION("iferror(index(Googlefinance($B18, ""price"", AI$1),2,2), 0)"),54.72)</f>
        <v>54.72</v>
      </c>
      <c r="AJ18" s="3">
        <f>IFERROR(__xludf.DUMMYFUNCTION("iferror(index(Googlefinance($B18, ""price"", AJ$1),2,2), 0)"),56.1)</f>
        <v>56.1</v>
      </c>
      <c r="AK18" s="3">
        <f>IFERROR(__xludf.DUMMYFUNCTION("iferror(index(Googlefinance($B18, ""price"", AK$1),2,2), 0)"),58.49)</f>
        <v>58.49</v>
      </c>
      <c r="AL18" s="3">
        <f>IFERROR(__xludf.DUMMYFUNCTION("iferror(index(Googlefinance($B18, ""price"", AL$1),2,2), 0)"),56.94)</f>
        <v>56.94</v>
      </c>
      <c r="AM18" s="3">
        <f>IFERROR(__xludf.DUMMYFUNCTION("iferror(index(Googlefinance($B18, ""price"", AM$1),2,2), 0)"),53.05)</f>
        <v>53.05</v>
      </c>
      <c r="AN18" s="3">
        <f>IFERROR(__xludf.DUMMYFUNCTION("iferror(index(Googlefinance($B18, ""price"", AN$1),2,2), 0)"),53.05)</f>
        <v>53.05</v>
      </c>
      <c r="AO18" s="3">
        <f>IFERROR(__xludf.DUMMYFUNCTION("iferror(index(Googlefinance($B18, ""price"", AO$1),2,2), 0)"),53.05)</f>
        <v>53.05</v>
      </c>
      <c r="AP18" s="3">
        <f>IFERROR(__xludf.DUMMYFUNCTION("iferror(index(Googlefinance($B18, ""price"", AP$1),2,2), 0)"),52.85)</f>
        <v>52.85</v>
      </c>
      <c r="AQ18" s="3">
        <f>IFERROR(__xludf.DUMMYFUNCTION("iferror(index(Googlefinance($B18, ""price"", AQ$1),2,2), 0)"),53.5)</f>
        <v>53.5</v>
      </c>
      <c r="AR18" s="3">
        <f>IFERROR(__xludf.DUMMYFUNCTION("iferror(index(Googlefinance($B18, ""price"", AR$1),2,2), 0)"),54.79)</f>
        <v>54.79</v>
      </c>
      <c r="AS18" s="3">
        <f>IFERROR(__xludf.DUMMYFUNCTION("iferror(index(Googlefinance($B18, ""price"", AS$1),2,2), 0)"),54.65)</f>
        <v>54.65</v>
      </c>
      <c r="AT18" s="3">
        <f>IFERROR(__xludf.DUMMYFUNCTION("iferror(index(Googlefinance($B18, ""price"", AT$1),2,2), 0)"),53.0)</f>
        <v>53</v>
      </c>
      <c r="AU18" s="3">
        <f>IFERROR(__xludf.DUMMYFUNCTION("iferror(index(Googlefinance($B18, ""price"", AU$1),2,2), 0)"),53.0)</f>
        <v>53</v>
      </c>
      <c r="AV18" s="3">
        <f>IFERROR(__xludf.DUMMYFUNCTION("iferror(index(Googlefinance($B18, ""price"", AV$1),2,2), 0)"),53.0)</f>
        <v>53</v>
      </c>
      <c r="AW18" s="3">
        <f>IFERROR(__xludf.DUMMYFUNCTION("iferror(index(Googlefinance($B18, ""price"", AW$1),2,2), 0)"),53.0)</f>
        <v>53</v>
      </c>
      <c r="AX18" s="3">
        <f>IFERROR(__xludf.DUMMYFUNCTION("iferror(index(Googlefinance($B18, ""price"", AX$1),2,2), 0)"),52.63)</f>
        <v>52.63</v>
      </c>
      <c r="AY18" s="3">
        <f>IFERROR(__xludf.DUMMYFUNCTION("iferror(index(Googlefinance($B18, ""price"", AY$1),2,2), 0)"),50.41)</f>
        <v>50.41</v>
      </c>
      <c r="AZ18" s="3">
        <f>IFERROR(__xludf.DUMMYFUNCTION("iferror(index(Googlefinance($B18, ""price"", AZ$1),2,2), 0)"),50.88)</f>
        <v>50.88</v>
      </c>
      <c r="BA18" s="3">
        <f>IFERROR(__xludf.DUMMYFUNCTION("iferror(index(Googlefinance($B18, ""price"", BA$1),2,2), 0)"),49.8)</f>
        <v>49.8</v>
      </c>
      <c r="BB18" s="3">
        <f>IFERROR(__xludf.DUMMYFUNCTION("iferror(index(Googlefinance($B18, ""price"", BB$1),2,2), 0)"),49.8)</f>
        <v>49.8</v>
      </c>
      <c r="BC18" s="3">
        <f>IFERROR(__xludf.DUMMYFUNCTION("iferror(index(Googlefinance($B18, ""price"", BC$1),2,2), 0)"),49.8)</f>
        <v>49.8</v>
      </c>
      <c r="BD18" s="3">
        <f>IFERROR(__xludf.DUMMYFUNCTION("iferror(index(Googlefinance($B18, ""price"", BD$1),2,2), 0)"),47.75)</f>
        <v>47.75</v>
      </c>
      <c r="BE18" s="3">
        <f>IFERROR(__xludf.DUMMYFUNCTION("iferror(index(Googlefinance($B18, ""price"", BE$1),2,2), 0)"),48.74)</f>
        <v>48.74</v>
      </c>
      <c r="BF18" s="3">
        <f>IFERROR(__xludf.DUMMYFUNCTION("iferror(index(Googlefinance($B18, ""price"", BF$1),2,2), 0)"),48.15)</f>
        <v>48.15</v>
      </c>
      <c r="BG18" s="3">
        <f>IFERROR(__xludf.DUMMYFUNCTION("iferror(index(Googlefinance($B18, ""price"", BG$1),2,2), 0)"),47.48)</f>
        <v>47.48</v>
      </c>
      <c r="BH18" s="3">
        <f>IFERROR(__xludf.DUMMYFUNCTION("iferror(index(Googlefinance($B18, ""price"", BH$1),2,2), 0)"),49.26)</f>
        <v>49.26</v>
      </c>
      <c r="BI18" s="3">
        <f>IFERROR(__xludf.DUMMYFUNCTION("iferror(index(Googlefinance($B18, ""price"", BI$1),2,2), 0)"),49.26)</f>
        <v>49.26</v>
      </c>
      <c r="BJ18" s="3">
        <f>IFERROR(__xludf.DUMMYFUNCTION("iferror(index(Googlefinance($B18, ""price"", BJ$1),2,2), 0)"),49.26)</f>
        <v>49.26</v>
      </c>
      <c r="BK18" s="3">
        <f>IFERROR(__xludf.DUMMYFUNCTION("iferror(index(Googlefinance($B18, ""price"", BK$1),2,2), 0)"),48.03)</f>
        <v>48.03</v>
      </c>
      <c r="BL18" s="3">
        <f>IFERROR(__xludf.DUMMYFUNCTION("iferror(index(Googlefinance($B18, ""price"", BL$1),2,2), 0)"),48.89)</f>
        <v>48.89</v>
      </c>
      <c r="BM18" s="3">
        <f>IFERROR(__xludf.DUMMYFUNCTION("iferror(index(Googlefinance($B18, ""price"", BM$1),2,2), 0)"),46.7)</f>
        <v>46.7</v>
      </c>
      <c r="BN18" s="3">
        <f>IFERROR(__xludf.DUMMYFUNCTION("iferror(index(Googlefinance($B18, ""price"", BN$1),2,2), 0)"),45.74)</f>
        <v>45.74</v>
      </c>
      <c r="BO18" s="3">
        <f>IFERROR(__xludf.DUMMYFUNCTION("iferror(index(Googlefinance($B18, ""price"", BO$1),2,2), 0)"),45.5)</f>
        <v>45.5</v>
      </c>
      <c r="BP18" s="3">
        <f>IFERROR(__xludf.DUMMYFUNCTION("iferror(index(Googlefinance($B18, ""price"", BP$1),2,2), 0)"),45.5)</f>
        <v>45.5</v>
      </c>
      <c r="BQ18" s="3">
        <f>IFERROR(__xludf.DUMMYFUNCTION("iferror(index(Googlefinance($B18, ""price"", BQ$1),2,2), 0)"),45.5)</f>
        <v>45.5</v>
      </c>
      <c r="BR18" s="3">
        <f>IFERROR(__xludf.DUMMYFUNCTION("iferror(index(Googlefinance($B18, ""price"", BR$1),2,2), 0)"),46.65)</f>
        <v>46.65</v>
      </c>
      <c r="BS18" s="3">
        <f>IFERROR(__xludf.DUMMYFUNCTION("iferror(index(Googlefinance($B18, ""price"", BS$1),2,2), 0)"),46.35)</f>
        <v>46.35</v>
      </c>
      <c r="BT18" s="3">
        <f>IFERROR(__xludf.DUMMYFUNCTION("iferror(index(Googlefinance($B18, ""price"", BT$1),2,2), 0)"),46.75)</f>
        <v>46.75</v>
      </c>
      <c r="BU18" s="3">
        <f>IFERROR(__xludf.DUMMYFUNCTION("iferror(index(Googlefinance($B18, ""price"", BU$1),2,2), 0)"),46.89)</f>
        <v>46.89</v>
      </c>
      <c r="BV18" s="3">
        <f>IFERROR(__xludf.DUMMYFUNCTION("iferror(index(Googlefinance($B18, ""price"", BV$1),2,2), 0)"),46.51)</f>
        <v>46.51</v>
      </c>
      <c r="BW18" s="3">
        <f>IFERROR(__xludf.DUMMYFUNCTION("iferror(index(Googlefinance($B18, ""price"", BW$1),2,2), 0)"),46.51)</f>
        <v>46.51</v>
      </c>
      <c r="BX18" s="3">
        <f>IFERROR(__xludf.DUMMYFUNCTION("iferror(index(Googlefinance($B18, ""price"", BX$1),2,2), 0)"),46.51)</f>
        <v>46.51</v>
      </c>
      <c r="BY18" s="3">
        <f>IFERROR(__xludf.DUMMYFUNCTION("iferror(index(Googlefinance($B18, ""price"", BY$1),2,2), 0)"),46.61)</f>
        <v>46.61</v>
      </c>
      <c r="BZ18" s="3">
        <f>IFERROR(__xludf.DUMMYFUNCTION("iferror(index(Googlefinance($B18, ""price"", BZ$1),2,2), 0)"),47.0)</f>
        <v>47</v>
      </c>
      <c r="CA18" s="3">
        <f>IFERROR(__xludf.DUMMYFUNCTION("iferror(index(Googlefinance($B18, ""price"", CA$1),2,2), 0)"),49.0)</f>
        <v>49</v>
      </c>
      <c r="CB18" s="3">
        <f>IFERROR(__xludf.DUMMYFUNCTION("iferror(index(Googlefinance($B18, ""price"", CB$1),2,2), 0)"),48.6)</f>
        <v>48.6</v>
      </c>
      <c r="CC18" s="3">
        <f>IFERROR(__xludf.DUMMYFUNCTION("iferror(index(Googlefinance($B18, ""price"", CC$1),2,2), 0)"),0.0)</f>
        <v>0</v>
      </c>
      <c r="CD18" s="3">
        <f>IFERROR(__xludf.DUMMYFUNCTION("iferror(index(Googlefinance($B18, ""price"", CD$1),2,2), 0)"),0.0)</f>
        <v>0</v>
      </c>
    </row>
    <row r="19">
      <c r="A19" s="1" t="s">
        <v>35</v>
      </c>
      <c r="B19" s="1" t="s">
        <v>36</v>
      </c>
      <c r="C19" s="3">
        <f>IFERROR(__xludf.DUMMYFUNCTION("iferror(index(Googlefinance($B19, ""price"", C$1),2,2), 0)"),153.29)</f>
        <v>153.29</v>
      </c>
      <c r="D19" s="3">
        <f>IFERROR(__xludf.DUMMYFUNCTION("iferror(index(Googlefinance($B19, ""price"", D$1),2,2), 0)"),153.29)</f>
        <v>153.29</v>
      </c>
      <c r="E19" s="3">
        <f>IFERROR(__xludf.DUMMYFUNCTION("iferror(index(Googlefinance($B19, ""price"", E$1),2,2), 0)"),153.29)</f>
        <v>153.29</v>
      </c>
      <c r="F19" s="3">
        <f>IFERROR(__xludf.DUMMYFUNCTION("iferror(index(Googlefinance($B19, ""price"", F$1),2,2), 0)"),153.29)</f>
        <v>153.29</v>
      </c>
      <c r="G19" s="3">
        <f>IFERROR(__xludf.DUMMYFUNCTION("iferror(index(Googlefinance($B19, ""price"", G$1),2,2), 0)"),153.4)</f>
        <v>153.4</v>
      </c>
      <c r="H19" s="3">
        <f>IFERROR(__xludf.DUMMYFUNCTION("iferror(index(Googlefinance($B19, ""price"", H$1),2,2), 0)"),153.53)</f>
        <v>153.53</v>
      </c>
      <c r="I19" s="3">
        <f>IFERROR(__xludf.DUMMYFUNCTION("iferror(index(Googlefinance($B19, ""price"", I$1),2,2), 0)"),152.67)</f>
        <v>152.67</v>
      </c>
      <c r="J19" s="3">
        <f>IFERROR(__xludf.DUMMYFUNCTION("iferror(index(Googlefinance($B19, ""price"", J$1),2,2), 0)"),152.85)</f>
        <v>152.85</v>
      </c>
      <c r="K19" s="3">
        <f>IFERROR(__xludf.DUMMYFUNCTION("iferror(index(Googlefinance($B19, ""price"", K$1),2,2), 0)"),153.39)</f>
        <v>153.39</v>
      </c>
      <c r="L19" s="3">
        <f>IFERROR(__xludf.DUMMYFUNCTION("iferror(index(Googlefinance($B19, ""price"", L$1),2,2), 0)"),153.39)</f>
        <v>153.39</v>
      </c>
      <c r="M19" s="3">
        <f>IFERROR(__xludf.DUMMYFUNCTION("iferror(index(Googlefinance($B19, ""price"", M$1),2,2), 0)"),153.39)</f>
        <v>153.39</v>
      </c>
      <c r="N19" s="3">
        <f>IFERROR(__xludf.DUMMYFUNCTION("iferror(index(Googlefinance($B19, ""price"", N$1),2,2), 0)"),151.75)</f>
        <v>151.75</v>
      </c>
      <c r="O19" s="3">
        <f>IFERROR(__xludf.DUMMYFUNCTION("iferror(index(Googlefinance($B19, ""price"", O$1),2,2), 0)"),150.65)</f>
        <v>150.65</v>
      </c>
      <c r="P19" s="3">
        <f>IFERROR(__xludf.DUMMYFUNCTION("iferror(index(Googlefinance($B19, ""price"", P$1),2,2), 0)"),151.34)</f>
        <v>151.34</v>
      </c>
      <c r="Q19" s="3">
        <f>IFERROR(__xludf.DUMMYFUNCTION("iferror(index(Googlefinance($B19, ""price"", Q$1),2,2), 0)"),148.41)</f>
        <v>148.41</v>
      </c>
      <c r="R19" s="3">
        <f>IFERROR(__xludf.DUMMYFUNCTION("iferror(index(Googlefinance($B19, ""price"", R$1),2,2), 0)"),148.13)</f>
        <v>148.13</v>
      </c>
      <c r="S19" s="3">
        <f>IFERROR(__xludf.DUMMYFUNCTION("iferror(index(Googlefinance($B19, ""price"", S$1),2,2), 0)"),148.13)</f>
        <v>148.13</v>
      </c>
      <c r="T19" s="3">
        <f>IFERROR(__xludf.DUMMYFUNCTION("iferror(index(Googlefinance($B19, ""price"", T$1),2,2), 0)"),148.13)</f>
        <v>148.13</v>
      </c>
      <c r="U19" s="3">
        <f>IFERROR(__xludf.DUMMYFUNCTION("iferror(index(Googlefinance($B19, ""price"", U$1),2,2), 0)"),148.13)</f>
        <v>148.13</v>
      </c>
      <c r="V19" s="3">
        <f>IFERROR(__xludf.DUMMYFUNCTION("iferror(index(Googlefinance($B19, ""price"", V$1),2,2), 0)"),149.98)</f>
        <v>149.98</v>
      </c>
      <c r="W19" s="3">
        <f>IFERROR(__xludf.DUMMYFUNCTION("iferror(index(Googlefinance($B19, ""price"", W$1),2,2), 0)"),151.34)</f>
        <v>151.34</v>
      </c>
      <c r="X19" s="3">
        <f>IFERROR(__xludf.DUMMYFUNCTION("iferror(index(Googlefinance($B19, ""price"", X$1),2,2), 0)"),147.95)</f>
        <v>147.95</v>
      </c>
      <c r="Y19" s="3">
        <f>IFERROR(__xludf.DUMMYFUNCTION("iferror(index(Googlefinance($B19, ""price"", Y$1),2,2), 0)"),146.72)</f>
        <v>146.72</v>
      </c>
      <c r="Z19" s="3">
        <f>IFERROR(__xludf.DUMMYFUNCTION("iferror(index(Googlefinance($B19, ""price"", Z$1),2,2), 0)"),146.72)</f>
        <v>146.72</v>
      </c>
      <c r="AA19" s="3">
        <f>IFERROR(__xludf.DUMMYFUNCTION("iferror(index(Googlefinance($B19, ""price"", AA$1),2,2), 0)"),146.72)</f>
        <v>146.72</v>
      </c>
      <c r="AB19" s="3">
        <f>IFERROR(__xludf.DUMMYFUNCTION("iferror(index(Googlefinance($B19, ""price"", AB$1),2,2), 0)"),145.98)</f>
        <v>145.98</v>
      </c>
      <c r="AC19" s="3">
        <f>IFERROR(__xludf.DUMMYFUNCTION("iferror(index(Googlefinance($B19, ""price"", AC$1),2,2), 0)"),142.64)</f>
        <v>142.64</v>
      </c>
      <c r="AD19" s="3">
        <f>IFERROR(__xludf.DUMMYFUNCTION("iferror(index(Googlefinance($B19, ""price"", AD$1),2,2), 0)"),143.3)</f>
        <v>143.3</v>
      </c>
      <c r="AE19" s="3">
        <f>IFERROR(__xludf.DUMMYFUNCTION("iferror(index(Googlefinance($B19, ""price"", AE$1),2,2), 0)"),140.52)</f>
        <v>140.52</v>
      </c>
      <c r="AF19" s="3">
        <f>IFERROR(__xludf.DUMMYFUNCTION("iferror(index(Googlefinance($B19, ""price"", AF$1),2,2), 0)"),140.41)</f>
        <v>140.41</v>
      </c>
      <c r="AG19" s="3">
        <f>IFERROR(__xludf.DUMMYFUNCTION("iferror(index(Googlefinance($B19, ""price"", AG$1),2,2), 0)"),140.41)</f>
        <v>140.41</v>
      </c>
      <c r="AH19" s="3">
        <f>IFERROR(__xludf.DUMMYFUNCTION("iferror(index(Googlefinance($B19, ""price"", AH$1),2,2), 0)"),140.41)</f>
        <v>140.41</v>
      </c>
      <c r="AI19" s="3">
        <f>IFERROR(__xludf.DUMMYFUNCTION("iferror(index(Googlefinance($B19, ""price"", AI$1),2,2), 0)"),143.12)</f>
        <v>143.12</v>
      </c>
      <c r="AJ19" s="3">
        <f>IFERROR(__xludf.DUMMYFUNCTION("iferror(index(Googlefinance($B19, ""price"", AJ$1),2,2), 0)"),148.07)</f>
        <v>148.07</v>
      </c>
      <c r="AK19" s="3">
        <f>IFERROR(__xludf.DUMMYFUNCTION("iferror(index(Googlefinance($B19, ""price"", AK$1),2,2), 0)"),148.02)</f>
        <v>148.02</v>
      </c>
      <c r="AL19" s="3">
        <f>IFERROR(__xludf.DUMMYFUNCTION("iferror(index(Googlefinance($B19, ""price"", AL$1),2,2), 0)"),150.86)</f>
        <v>150.86</v>
      </c>
      <c r="AM19" s="3">
        <f>IFERROR(__xludf.DUMMYFUNCTION("iferror(index(Googlefinance($B19, ""price"", AM$1),2,2), 0)"),152.93)</f>
        <v>152.93</v>
      </c>
      <c r="AN19" s="3">
        <f>IFERROR(__xludf.DUMMYFUNCTION("iferror(index(Googlefinance($B19, ""price"", AN$1),2,2), 0)"),152.93)</f>
        <v>152.93</v>
      </c>
      <c r="AO19" s="3">
        <f>IFERROR(__xludf.DUMMYFUNCTION("iferror(index(Googlefinance($B19, ""price"", AO$1),2,2), 0)"),152.93)</f>
        <v>152.93</v>
      </c>
      <c r="AP19" s="3">
        <f>IFERROR(__xludf.DUMMYFUNCTION("iferror(index(Googlefinance($B19, ""price"", AP$1),2,2), 0)"),154.0)</f>
        <v>154</v>
      </c>
      <c r="AQ19" s="3">
        <f>IFERROR(__xludf.DUMMYFUNCTION("iferror(index(Googlefinance($B19, ""price"", AQ$1),2,2), 0)"),161.56)</f>
        <v>161.56</v>
      </c>
      <c r="AR19" s="3">
        <f>IFERROR(__xludf.DUMMYFUNCTION("iferror(index(Googlefinance($B19, ""price"", AR$1),2,2), 0)"),158.94)</f>
        <v>158.94</v>
      </c>
      <c r="AS19" s="3">
        <f>IFERROR(__xludf.DUMMYFUNCTION("iferror(index(Googlefinance($B19, ""price"", AS$1),2,2), 0)"),160.49)</f>
        <v>160.49</v>
      </c>
      <c r="AT19" s="3">
        <f>IFERROR(__xludf.DUMMYFUNCTION("iferror(index(Googlefinance($B19, ""price"", AT$1),2,2), 0)"),156.48)</f>
        <v>156.48</v>
      </c>
      <c r="AU19" s="3">
        <f>IFERROR(__xludf.DUMMYFUNCTION("iferror(index(Googlefinance($B19, ""price"", AU$1),2,2), 0)"),156.48)</f>
        <v>156.48</v>
      </c>
      <c r="AV19" s="3">
        <f>IFERROR(__xludf.DUMMYFUNCTION("iferror(index(Googlefinance($B19, ""price"", AV$1),2,2), 0)"),156.48)</f>
        <v>156.48</v>
      </c>
      <c r="AW19" s="3">
        <f>IFERROR(__xludf.DUMMYFUNCTION("iferror(index(Googlefinance($B19, ""price"", AW$1),2,2), 0)"),156.48)</f>
        <v>156.48</v>
      </c>
      <c r="AX19" s="3">
        <f>IFERROR(__xludf.DUMMYFUNCTION("iferror(index(Googlefinance($B19, ""price"", AX$1),2,2), 0)"),156.53)</f>
        <v>156.53</v>
      </c>
      <c r="AY19" s="3">
        <f>IFERROR(__xludf.DUMMYFUNCTION("iferror(index(Googlefinance($B19, ""price"", AY$1),2,2), 0)"),153.45)</f>
        <v>153.45</v>
      </c>
      <c r="AZ19" s="3">
        <f>IFERROR(__xludf.DUMMYFUNCTION("iferror(index(Googlefinance($B19, ""price"", AZ$1),2,2), 0)"),153.55)</f>
        <v>153.55</v>
      </c>
      <c r="BA19" s="3">
        <f>IFERROR(__xludf.DUMMYFUNCTION("iferror(index(Googlefinance($B19, ""price"", BA$1),2,2), 0)"),152.44)</f>
        <v>152.44</v>
      </c>
      <c r="BB19" s="3">
        <f>IFERROR(__xludf.DUMMYFUNCTION("iferror(index(Googlefinance($B19, ""price"", BB$1),2,2), 0)"),152.44)</f>
        <v>152.44</v>
      </c>
      <c r="BC19" s="3">
        <f>IFERROR(__xludf.DUMMYFUNCTION("iferror(index(Googlefinance($B19, ""price"", BC$1),2,2), 0)"),152.44)</f>
        <v>152.44</v>
      </c>
      <c r="BD19" s="3">
        <f>IFERROR(__xludf.DUMMYFUNCTION("iferror(index(Googlefinance($B19, ""price"", BD$1),2,2), 0)"),152.73)</f>
        <v>152.73</v>
      </c>
      <c r="BE19" s="3">
        <f>IFERROR(__xludf.DUMMYFUNCTION("iferror(index(Googlefinance($B19, ""price"", BE$1),2,2), 0)"),152.45)</f>
        <v>152.45</v>
      </c>
      <c r="BF19" s="3">
        <f>IFERROR(__xludf.DUMMYFUNCTION("iferror(index(Googlefinance($B19, ""price"", BF$1),2,2), 0)"),149.26)</f>
        <v>149.26</v>
      </c>
      <c r="BG19" s="3">
        <f>IFERROR(__xludf.DUMMYFUNCTION("iferror(index(Googlefinance($B19, ""price"", BG$1),2,2), 0)"),147.93)</f>
        <v>147.93</v>
      </c>
      <c r="BH19" s="3">
        <f>IFERROR(__xludf.DUMMYFUNCTION("iferror(index(Googlefinance($B19, ""price"", BH$1),2,2), 0)"),149.34)</f>
        <v>149.34</v>
      </c>
      <c r="BI19" s="3">
        <f>IFERROR(__xludf.DUMMYFUNCTION("iferror(index(Googlefinance($B19, ""price"", BI$1),2,2), 0)"),149.34)</f>
        <v>149.34</v>
      </c>
      <c r="BJ19" s="3">
        <f>IFERROR(__xludf.DUMMYFUNCTION("iferror(index(Googlefinance($B19, ""price"", BJ$1),2,2), 0)"),149.34)</f>
        <v>149.34</v>
      </c>
      <c r="BK19" s="3">
        <f>IFERROR(__xludf.DUMMYFUNCTION("iferror(index(Googlefinance($B19, ""price"", BK$1),2,2), 0)"),149.21)</f>
        <v>149.21</v>
      </c>
      <c r="BL19" s="3">
        <f>IFERROR(__xludf.DUMMYFUNCTION("iferror(index(Googlefinance($B19, ""price"", BL$1),2,2), 0)"),148.83)</f>
        <v>148.83</v>
      </c>
      <c r="BM19" s="3">
        <f>IFERROR(__xludf.DUMMYFUNCTION("iferror(index(Googlefinance($B19, ""price"", BM$1),2,2), 0)"),146.85)</f>
        <v>146.85</v>
      </c>
      <c r="BN19" s="3">
        <f>IFERROR(__xludf.DUMMYFUNCTION("iferror(index(Googlefinance($B19, ""price"", BN$1),2,2), 0)"),148.52)</f>
        <v>148.52</v>
      </c>
      <c r="BO19" s="3">
        <f>IFERROR(__xludf.DUMMYFUNCTION("iferror(index(Googlefinance($B19, ""price"", BO$1),2,2), 0)"),148.23)</f>
        <v>148.23</v>
      </c>
      <c r="BP19" s="3">
        <f>IFERROR(__xludf.DUMMYFUNCTION("iferror(index(Googlefinance($B19, ""price"", BP$1),2,2), 0)"),148.23)</f>
        <v>148.23</v>
      </c>
      <c r="BQ19" s="3">
        <f>IFERROR(__xludf.DUMMYFUNCTION("iferror(index(Googlefinance($B19, ""price"", BQ$1),2,2), 0)"),148.23)</f>
        <v>148.23</v>
      </c>
      <c r="BR19" s="3">
        <f>IFERROR(__xludf.DUMMYFUNCTION("iferror(index(Googlefinance($B19, ""price"", BR$1),2,2), 0)"),151.54)</f>
        <v>151.54</v>
      </c>
      <c r="BS19" s="3">
        <f>IFERROR(__xludf.DUMMYFUNCTION("iferror(index(Googlefinance($B19, ""price"", BS$1),2,2), 0)"),151.88)</f>
        <v>151.88</v>
      </c>
      <c r="BT19" s="3">
        <f>IFERROR(__xludf.DUMMYFUNCTION("iferror(index(Googlefinance($B19, ""price"", BT$1),2,2), 0)"),150.36)</f>
        <v>150.36</v>
      </c>
      <c r="BU19" s="3">
        <f>IFERROR(__xludf.DUMMYFUNCTION("iferror(index(Googlefinance($B19, ""price"", BU$1),2,2), 0)"),150.53)</f>
        <v>150.53</v>
      </c>
      <c r="BV19" s="3">
        <f>IFERROR(__xludf.DUMMYFUNCTION("iferror(index(Googlefinance($B19, ""price"", BV$1),2,2), 0)"),152.9)</f>
        <v>152.9</v>
      </c>
      <c r="BW19" s="3">
        <f>IFERROR(__xludf.DUMMYFUNCTION("iferror(index(Googlefinance($B19, ""price"", BW$1),2,2), 0)"),152.9)</f>
        <v>152.9</v>
      </c>
      <c r="BX19" s="3">
        <f>IFERROR(__xludf.DUMMYFUNCTION("iferror(index(Googlefinance($B19, ""price"", BX$1),2,2), 0)"),152.9)</f>
        <v>152.9</v>
      </c>
      <c r="BY19" s="3">
        <f>IFERROR(__xludf.DUMMYFUNCTION("iferror(index(Googlefinance($B19, ""price"", BY$1),2,2), 0)"),152.1)</f>
        <v>152.1</v>
      </c>
      <c r="BZ19" s="3">
        <f>IFERROR(__xludf.DUMMYFUNCTION("iferror(index(Googlefinance($B19, ""price"", BZ$1),2,2), 0)"),153.64)</f>
        <v>153.64</v>
      </c>
      <c r="CA19" s="3">
        <f>IFERROR(__xludf.DUMMYFUNCTION("iferror(index(Googlefinance($B19, ""price"", CA$1),2,2), 0)"),157.71)</f>
        <v>157.71</v>
      </c>
      <c r="CB19" s="3">
        <f>IFERROR(__xludf.DUMMYFUNCTION("iferror(index(Googlefinance($B19, ""price"", CB$1),2,2), 0)"),158.58)</f>
        <v>158.58</v>
      </c>
      <c r="CC19" s="3">
        <f>IFERROR(__xludf.DUMMYFUNCTION("iferror(index(Googlefinance($B19, ""price"", CC$1),2,2), 0)"),0.0)</f>
        <v>0</v>
      </c>
      <c r="CD19" s="3">
        <f>IFERROR(__xludf.DUMMYFUNCTION("iferror(index(Googlefinance($B19, ""price"", CD$1),2,2), 0)"),0.0)</f>
        <v>0</v>
      </c>
    </row>
    <row r="20">
      <c r="A20" s="1" t="s">
        <v>37</v>
      </c>
      <c r="B20" s="1" t="s">
        <v>38</v>
      </c>
      <c r="C20" s="3">
        <f>IFERROR(__xludf.DUMMYFUNCTION("iferror(index(Googlefinance($B20, ""price"", C$1),2,2), 0)"),268.94)</f>
        <v>268.94</v>
      </c>
      <c r="D20" s="3">
        <f>IFERROR(__xludf.DUMMYFUNCTION("iferror(index(Googlefinance($B20, ""price"", D$1),2,2), 0)"),268.94)</f>
        <v>268.94</v>
      </c>
      <c r="E20" s="3">
        <f>IFERROR(__xludf.DUMMYFUNCTION("iferror(index(Googlefinance($B20, ""price"", E$1),2,2), 0)"),268.94)</f>
        <v>268.94</v>
      </c>
      <c r="F20" s="3">
        <f>IFERROR(__xludf.DUMMYFUNCTION("iferror(index(Googlefinance($B20, ""price"", F$1),2,2), 0)"),268.94)</f>
        <v>268.94</v>
      </c>
      <c r="G20" s="3">
        <f>IFERROR(__xludf.DUMMYFUNCTION("iferror(index(Googlefinance($B20, ""price"", G$1),2,2), 0)"),270.97)</f>
        <v>270.97</v>
      </c>
      <c r="H20" s="3">
        <f>IFERROR(__xludf.DUMMYFUNCTION("iferror(index(Googlefinance($B20, ""price"", H$1),2,2), 0)"),263.31)</f>
        <v>263.31</v>
      </c>
      <c r="I20" s="3">
        <f>IFERROR(__xludf.DUMMYFUNCTION("iferror(index(Googlefinance($B20, ""price"", I$1),2,2), 0)"),268.74)</f>
        <v>268.74</v>
      </c>
      <c r="J20" s="3">
        <f>IFERROR(__xludf.DUMMYFUNCTION("iferror(index(Googlefinance($B20, ""price"", J$1),2,2), 0)"),267.57)</f>
        <v>267.57</v>
      </c>
      <c r="K20" s="3">
        <f>IFERROR(__xludf.DUMMYFUNCTION("iferror(index(Googlefinance($B20, ""price"", K$1),2,2), 0)"),256.84)</f>
        <v>256.84</v>
      </c>
      <c r="L20" s="3">
        <f>IFERROR(__xludf.DUMMYFUNCTION("iferror(index(Googlefinance($B20, ""price"", L$1),2,2), 0)"),256.84)</f>
        <v>256.84</v>
      </c>
      <c r="M20" s="3">
        <f>IFERROR(__xludf.DUMMYFUNCTION("iferror(index(Googlefinance($B20, ""price"", M$1),2,2), 0)"),256.84)</f>
        <v>256.84</v>
      </c>
      <c r="N20" s="3">
        <f>IFERROR(__xludf.DUMMYFUNCTION("iferror(index(Googlefinance($B20, ""price"", N$1),2,2), 0)"),251.09)</f>
        <v>251.09</v>
      </c>
      <c r="O20" s="3">
        <f>IFERROR(__xludf.DUMMYFUNCTION("iferror(index(Googlefinance($B20, ""price"", O$1),2,2), 0)"),251.64)</f>
        <v>251.64</v>
      </c>
      <c r="P20" s="3">
        <f>IFERROR(__xludf.DUMMYFUNCTION("iferror(index(Googlefinance($B20, ""price"", P$1),2,2), 0)"),245.64)</f>
        <v>245.64</v>
      </c>
      <c r="Q20" s="3">
        <f>IFERROR(__xludf.DUMMYFUNCTION("iferror(index(Googlefinance($B20, ""price"", Q$1),2,2), 0)"),251.36)</f>
        <v>251.36</v>
      </c>
      <c r="R20" s="3">
        <f>IFERROR(__xludf.DUMMYFUNCTION("iferror(index(Googlefinance($B20, ""price"", R$1),2,2), 0)"),261.1)</f>
        <v>261.1</v>
      </c>
      <c r="S20" s="3">
        <f>IFERROR(__xludf.DUMMYFUNCTION("iferror(index(Googlefinance($B20, ""price"", S$1),2,2), 0)"),261.1)</f>
        <v>261.1</v>
      </c>
      <c r="T20" s="3">
        <f>IFERROR(__xludf.DUMMYFUNCTION("iferror(index(Googlefinance($B20, ""price"", T$1),2,2), 0)"),261.1)</f>
        <v>261.1</v>
      </c>
      <c r="U20" s="3">
        <f>IFERROR(__xludf.DUMMYFUNCTION("iferror(index(Googlefinance($B20, ""price"", U$1),2,2), 0)"),261.1)</f>
        <v>261.1</v>
      </c>
      <c r="V20" s="3">
        <f>IFERROR(__xludf.DUMMYFUNCTION("iferror(index(Googlefinance($B20, ""price"", V$1),2,2), 0)"),267.48)</f>
        <v>267.48</v>
      </c>
      <c r="W20" s="3">
        <f>IFERROR(__xludf.DUMMYFUNCTION("iferror(index(Googlefinance($B20, ""price"", W$1),2,2), 0)"),272.87)</f>
        <v>272.87</v>
      </c>
      <c r="X20" s="3">
        <f>IFERROR(__xludf.DUMMYFUNCTION("iferror(index(Googlefinance($B20, ""price"", X$1),2,2), 0)"),274.5)</f>
        <v>274.5</v>
      </c>
      <c r="Y20" s="3">
        <f>IFERROR(__xludf.DUMMYFUNCTION("iferror(index(Googlefinance($B20, ""price"", Y$1),2,2), 0)"),278.01)</f>
        <v>278.01</v>
      </c>
      <c r="Z20" s="3">
        <f>IFERROR(__xludf.DUMMYFUNCTION("iferror(index(Googlefinance($B20, ""price"", Z$1),2,2), 0)"),278.01)</f>
        <v>278.01</v>
      </c>
      <c r="AA20" s="3">
        <f>IFERROR(__xludf.DUMMYFUNCTION("iferror(index(Googlefinance($B20, ""price"", AA$1),2,2), 0)"),278.01)</f>
        <v>278.01</v>
      </c>
      <c r="AB20" s="3">
        <f>IFERROR(__xludf.DUMMYFUNCTION("iferror(index(Googlefinance($B20, ""price"", AB$1),2,2), 0)"),282.05)</f>
        <v>282.05</v>
      </c>
      <c r="AC20" s="3">
        <f>IFERROR(__xludf.DUMMYFUNCTION("iferror(index(Googlefinance($B20, ""price"", AC$1),2,2), 0)"),272.14)</f>
        <v>272.14</v>
      </c>
      <c r="AD20" s="3">
        <f>IFERROR(__xludf.DUMMYFUNCTION("iferror(index(Googlefinance($B20, ""price"", AD$1),2,2), 0)"),265.0)</f>
        <v>265</v>
      </c>
      <c r="AE20" s="3">
        <f>IFERROR(__xludf.DUMMYFUNCTION("iferror(index(Googlefinance($B20, ""price"", AE$1),2,2), 0)"),258.33)</f>
        <v>258.33</v>
      </c>
      <c r="AF20" s="3">
        <f>IFERROR(__xludf.DUMMYFUNCTION("iferror(index(Googlefinance($B20, ""price"", AF$1),2,2), 0)"),262.01)</f>
        <v>262.01</v>
      </c>
      <c r="AG20" s="3">
        <f>IFERROR(__xludf.DUMMYFUNCTION("iferror(index(Googlefinance($B20, ""price"", AG$1),2,2), 0)"),262.01)</f>
        <v>262.01</v>
      </c>
      <c r="AH20" s="3">
        <f>IFERROR(__xludf.DUMMYFUNCTION("iferror(index(Googlefinance($B20, ""price"", AH$1),2,2), 0)"),262.01)</f>
        <v>262.01</v>
      </c>
      <c r="AI20" s="3">
        <f>IFERROR(__xludf.DUMMYFUNCTION("iferror(index(Googlefinance($B20, ""price"", AI$1),2,2), 0)"),267.08)</f>
        <v>267.08</v>
      </c>
      <c r="AJ20" s="3">
        <f>IFERROR(__xludf.DUMMYFUNCTION("iferror(index(Googlefinance($B20, ""price"", AJ$1),2,2), 0)"),266.65)</f>
        <v>266.65</v>
      </c>
      <c r="AK20" s="3">
        <f>IFERROR(__xludf.DUMMYFUNCTION("iferror(index(Googlefinance($B20, ""price"", AK$1),2,2), 0)"),266.49)</f>
        <v>266.49</v>
      </c>
      <c r="AL20" s="3">
        <f>IFERROR(__xludf.DUMMYFUNCTION("iferror(index(Googlefinance($B20, ""price"", AL$1),2,2), 0)"),268.1)</f>
        <v>268.1</v>
      </c>
      <c r="AM20" s="3">
        <f>IFERROR(__xludf.DUMMYFUNCTION("iferror(index(Googlefinance($B20, ""price"", AM$1),2,2), 0)"),266.58)</f>
        <v>266.58</v>
      </c>
      <c r="AN20" s="3">
        <f>IFERROR(__xludf.DUMMYFUNCTION("iferror(index(Googlefinance($B20, ""price"", AN$1),2,2), 0)"),266.58)</f>
        <v>266.58</v>
      </c>
      <c r="AO20" s="3">
        <f>IFERROR(__xludf.DUMMYFUNCTION("iferror(index(Googlefinance($B20, ""price"", AO$1),2,2), 0)"),266.58)</f>
        <v>266.58</v>
      </c>
      <c r="AP20" s="3">
        <f>IFERROR(__xludf.DUMMYFUNCTION("iferror(index(Googlefinance($B20, ""price"", AP$1),2,2), 0)"),269.45)</f>
        <v>269.45</v>
      </c>
      <c r="AQ20" s="3">
        <f>IFERROR(__xludf.DUMMYFUNCTION("iferror(index(Googlefinance($B20, ""price"", AQ$1),2,2), 0)"),271.87)</f>
        <v>271.87</v>
      </c>
      <c r="AR20" s="3">
        <f>IFERROR(__xludf.DUMMYFUNCTION("iferror(index(Googlefinance($B20, ""price"", AR$1),2,2), 0)"),270.39)</f>
        <v>270.39</v>
      </c>
      <c r="AS20" s="3">
        <f>IFERROR(__xludf.DUMMYFUNCTION("iferror(index(Googlefinance($B20, ""price"", AS$1),2,2), 0)"),270.5)</f>
        <v>270.5</v>
      </c>
      <c r="AT20" s="3">
        <f>IFERROR(__xludf.DUMMYFUNCTION("iferror(index(Googlefinance($B20, ""price"", AT$1),2,2), 0)"),273.97)</f>
        <v>273.97</v>
      </c>
      <c r="AU20" s="3">
        <f>IFERROR(__xludf.DUMMYFUNCTION("iferror(index(Googlefinance($B20, ""price"", AU$1),2,2), 0)"),273.97)</f>
        <v>273.97</v>
      </c>
      <c r="AV20" s="3">
        <f>IFERROR(__xludf.DUMMYFUNCTION("iferror(index(Googlefinance($B20, ""price"", AV$1),2,2), 0)"),273.97)</f>
        <v>273.97</v>
      </c>
      <c r="AW20" s="3">
        <f>IFERROR(__xludf.DUMMYFUNCTION("iferror(index(Googlefinance($B20, ""price"", AW$1),2,2), 0)"),273.97)</f>
        <v>273.97</v>
      </c>
      <c r="AX20" s="3">
        <f>IFERROR(__xludf.DUMMYFUNCTION("iferror(index(Googlefinance($B20, ""price"", AX$1),2,2), 0)"),273.57)</f>
        <v>273.57</v>
      </c>
      <c r="AY20" s="3">
        <f>IFERROR(__xludf.DUMMYFUNCTION("iferror(index(Googlefinance($B20, ""price"", AY$1),2,2), 0)"),269.39)</f>
        <v>269.39</v>
      </c>
      <c r="AZ20" s="3">
        <f>IFERROR(__xludf.DUMMYFUNCTION("iferror(index(Googlefinance($B20, ""price"", AZ$1),2,2), 0)"),261.56)</f>
        <v>261.56</v>
      </c>
      <c r="BA20" s="3">
        <f>IFERROR(__xludf.DUMMYFUNCTION("iferror(index(Googlefinance($B20, ""price"", BA$1),2,2), 0)"),260.33)</f>
        <v>260.33</v>
      </c>
      <c r="BB20" s="3">
        <f>IFERROR(__xludf.DUMMYFUNCTION("iferror(index(Googlefinance($B20, ""price"", BB$1),2,2), 0)"),260.33)</f>
        <v>260.33</v>
      </c>
      <c r="BC20" s="3">
        <f>IFERROR(__xludf.DUMMYFUNCTION("iferror(index(Googlefinance($B20, ""price"", BC$1),2,2), 0)"),260.33)</f>
        <v>260.33</v>
      </c>
      <c r="BD20" s="3">
        <f>IFERROR(__xludf.DUMMYFUNCTION("iferror(index(Googlefinance($B20, ""price"", BD$1),2,2), 0)"),265.86)</f>
        <v>265.86</v>
      </c>
      <c r="BE20" s="3">
        <f>IFERROR(__xludf.DUMMYFUNCTION("iferror(index(Googlefinance($B20, ""price"", BE$1),2,2), 0)"),264.31)</f>
        <v>264.31</v>
      </c>
      <c r="BF20" s="3">
        <f>IFERROR(__xludf.DUMMYFUNCTION("iferror(index(Googlefinance($B20, ""price"", BF$1),2,2), 0)"),254.69)</f>
        <v>254.69</v>
      </c>
      <c r="BG20" s="3">
        <f>IFERROR(__xludf.DUMMYFUNCTION("iferror(index(Googlefinance($B20, ""price"", BG$1),2,2), 0)"),257.62)</f>
        <v>257.62</v>
      </c>
      <c r="BH20" s="3">
        <f>IFERROR(__xludf.DUMMYFUNCTION("iferror(index(Googlefinance($B20, ""price"", BH$1),2,2), 0)"),264.91)</f>
        <v>264.91</v>
      </c>
      <c r="BI20" s="3">
        <f>IFERROR(__xludf.DUMMYFUNCTION("iferror(index(Googlefinance($B20, ""price"", BI$1),2,2), 0)"),264.91)</f>
        <v>264.91</v>
      </c>
      <c r="BJ20" s="3">
        <f>IFERROR(__xludf.DUMMYFUNCTION("iferror(index(Googlefinance($B20, ""price"", BJ$1),2,2), 0)"),264.91)</f>
        <v>264.91</v>
      </c>
      <c r="BK20" s="3">
        <f>IFERROR(__xludf.DUMMYFUNCTION("iferror(index(Googlefinance($B20, ""price"", BK$1),2,2), 0)"),259.0)</f>
        <v>259</v>
      </c>
      <c r="BL20" s="3">
        <f>IFERROR(__xludf.DUMMYFUNCTION("iferror(index(Googlefinance($B20, ""price"", BL$1),2,2), 0)"),255.41)</f>
        <v>255.41</v>
      </c>
      <c r="BM20" s="3">
        <f>IFERROR(__xludf.DUMMYFUNCTION("iferror(index(Googlefinance($B20, ""price"", BM$1),2,2), 0)"),257.64)</f>
        <v>257.64</v>
      </c>
      <c r="BN20" s="3">
        <f>IFERROR(__xludf.DUMMYFUNCTION("iferror(index(Googlefinance($B20, ""price"", BN$1),2,2), 0)"),264.28)</f>
        <v>264.28</v>
      </c>
      <c r="BO20" s="3">
        <f>IFERROR(__xludf.DUMMYFUNCTION("iferror(index(Googlefinance($B20, ""price"", BO$1),2,2), 0)"),255.31)</f>
        <v>255.31</v>
      </c>
      <c r="BP20" s="3">
        <f>IFERROR(__xludf.DUMMYFUNCTION("iferror(index(Googlefinance($B20, ""price"", BP$1),2,2), 0)"),255.31)</f>
        <v>255.31</v>
      </c>
      <c r="BQ20" s="3">
        <f>IFERROR(__xludf.DUMMYFUNCTION("iferror(index(Googlefinance($B20, ""price"", BQ$1),2,2), 0)"),255.31)</f>
        <v>255.31</v>
      </c>
      <c r="BR20" s="3">
        <f>IFERROR(__xludf.DUMMYFUNCTION("iferror(index(Googlefinance($B20, ""price"", BR$1),2,2), 0)"),265.74)</f>
        <v>265.74</v>
      </c>
      <c r="BS20" s="3">
        <f>IFERROR(__xludf.DUMMYFUNCTION("iferror(index(Googlefinance($B20, ""price"", BS$1),2,2), 0)"),264.9)</f>
        <v>264.9</v>
      </c>
      <c r="BT20" s="3">
        <f>IFERROR(__xludf.DUMMYFUNCTION("iferror(index(Googlefinance($B20, ""price"", BT$1),2,2), 0)"),273.88)</f>
        <v>273.88</v>
      </c>
      <c r="BU20" s="3">
        <f>IFERROR(__xludf.DUMMYFUNCTION("iferror(index(Googlefinance($B20, ""price"", BU$1),2,2), 0)"),268.4)</f>
        <v>268.4</v>
      </c>
      <c r="BV20" s="3">
        <f>IFERROR(__xludf.DUMMYFUNCTION("iferror(index(Googlefinance($B20, ""price"", BV$1),2,2), 0)"),273.75)</f>
        <v>273.75</v>
      </c>
      <c r="BW20" s="3">
        <f>IFERROR(__xludf.DUMMYFUNCTION("iferror(index(Googlefinance($B20, ""price"", BW$1),2,2), 0)"),273.75)</f>
        <v>273.75</v>
      </c>
      <c r="BX20" s="3">
        <f>IFERROR(__xludf.DUMMYFUNCTION("iferror(index(Googlefinance($B20, ""price"", BX$1),2,2), 0)"),273.75)</f>
        <v>273.75</v>
      </c>
      <c r="BY20" s="3">
        <f>IFERROR(__xludf.DUMMYFUNCTION("iferror(index(Googlefinance($B20, ""price"", BY$1),2,2), 0)"),279.28)</f>
        <v>279.28</v>
      </c>
      <c r="BZ20" s="3">
        <f>IFERROR(__xludf.DUMMYFUNCTION("iferror(index(Googlefinance($B20, ""price"", BZ$1),2,2), 0)"),284.01)</f>
        <v>284.01</v>
      </c>
      <c r="CA20" s="3">
        <f>IFERROR(__xludf.DUMMYFUNCTION("iferror(index(Googlefinance($B20, ""price"", CA$1),2,2), 0)"),278.62)</f>
        <v>278.62</v>
      </c>
      <c r="CB20" s="3">
        <f>IFERROR(__xludf.DUMMYFUNCTION("iferror(index(Googlefinance($B20, ""price"", CB$1),2,2), 0)"),290.11)</f>
        <v>290.11</v>
      </c>
      <c r="CC20" s="3">
        <f>IFERROR(__xludf.DUMMYFUNCTION("iferror(index(Googlefinance($B20, ""price"", CC$1),2,2), 0)"),0.0)</f>
        <v>0</v>
      </c>
      <c r="CD20" s="3">
        <f>IFERROR(__xludf.DUMMYFUNCTION("iferror(index(Googlefinance($B20, ""price"", CD$1),2,2), 0)"),0.0)</f>
        <v>0</v>
      </c>
    </row>
    <row r="21">
      <c r="A21" s="1" t="s">
        <v>39</v>
      </c>
      <c r="B21" s="1" t="s">
        <v>40</v>
      </c>
      <c r="C21" s="3">
        <f>IFERROR(__xludf.DUMMYFUNCTION("iferror(index(Googlefinance($B21, ""price"", C$1),2,2), 0)"),51.14)</f>
        <v>51.14</v>
      </c>
      <c r="D21" s="3">
        <f>IFERROR(__xludf.DUMMYFUNCTION("iferror(index(Googlefinance($B21, ""price"", D$1),2,2), 0)"),51.14)</f>
        <v>51.14</v>
      </c>
      <c r="E21" s="3">
        <f>IFERROR(__xludf.DUMMYFUNCTION("iferror(index(Googlefinance($B21, ""price"", E$1),2,2), 0)"),51.14)</f>
        <v>51.14</v>
      </c>
      <c r="F21" s="3">
        <f>IFERROR(__xludf.DUMMYFUNCTION("iferror(index(Googlefinance($B21, ""price"", F$1),2,2), 0)"),51.14)</f>
        <v>51.14</v>
      </c>
      <c r="G21" s="3">
        <f>IFERROR(__xludf.DUMMYFUNCTION("iferror(index(Googlefinance($B21, ""price"", G$1),2,2), 0)"),54.01)</f>
        <v>54.01</v>
      </c>
      <c r="H21" s="3">
        <f>IFERROR(__xludf.DUMMYFUNCTION("iferror(index(Googlefinance($B21, ""price"", H$1),2,2), 0)"),52.48)</f>
        <v>52.48</v>
      </c>
      <c r="I21" s="3">
        <f>IFERROR(__xludf.DUMMYFUNCTION("iferror(index(Googlefinance($B21, ""price"", I$1),2,2), 0)"),56.13)</f>
        <v>56.13</v>
      </c>
      <c r="J21" s="3">
        <f>IFERROR(__xludf.DUMMYFUNCTION("iferror(index(Googlefinance($B21, ""price"", J$1),2,2), 0)"),53.28)</f>
        <v>53.28</v>
      </c>
      <c r="K21" s="3">
        <f>IFERROR(__xludf.DUMMYFUNCTION("iferror(index(Googlefinance($B21, ""price"", K$1),2,2), 0)"),54.59)</f>
        <v>54.59</v>
      </c>
      <c r="L21" s="3">
        <f>IFERROR(__xludf.DUMMYFUNCTION("iferror(index(Googlefinance($B21, ""price"", L$1),2,2), 0)"),54.59)</f>
        <v>54.59</v>
      </c>
      <c r="M21" s="3">
        <f>IFERROR(__xludf.DUMMYFUNCTION("iferror(index(Googlefinance($B21, ""price"", M$1),2,2), 0)"),54.59)</f>
        <v>54.59</v>
      </c>
      <c r="N21" s="3">
        <f>IFERROR(__xludf.DUMMYFUNCTION("iferror(index(Googlefinance($B21, ""price"", N$1),2,2), 0)"),58.54)</f>
        <v>58.54</v>
      </c>
      <c r="O21" s="3">
        <f>IFERROR(__xludf.DUMMYFUNCTION("iferror(index(Googlefinance($B21, ""price"", O$1),2,2), 0)"),59.4)</f>
        <v>59.4</v>
      </c>
      <c r="P21" s="3">
        <f>IFERROR(__xludf.DUMMYFUNCTION("iferror(index(Googlefinance($B21, ""price"", P$1),2,2), 0)"),56.91)</f>
        <v>56.91</v>
      </c>
      <c r="Q21" s="3">
        <f>IFERROR(__xludf.DUMMYFUNCTION("iferror(index(Googlefinance($B21, ""price"", Q$1),2,2), 0)"),55.52)</f>
        <v>55.52</v>
      </c>
      <c r="R21" s="3">
        <f>IFERROR(__xludf.DUMMYFUNCTION("iferror(index(Googlefinance($B21, ""price"", R$1),2,2), 0)"),56.3)</f>
        <v>56.3</v>
      </c>
      <c r="S21" s="3">
        <f>IFERROR(__xludf.DUMMYFUNCTION("iferror(index(Googlefinance($B21, ""price"", S$1),2,2), 0)"),56.3)</f>
        <v>56.3</v>
      </c>
      <c r="T21" s="3">
        <f>IFERROR(__xludf.DUMMYFUNCTION("iferror(index(Googlefinance($B21, ""price"", T$1),2,2), 0)"),56.3)</f>
        <v>56.3</v>
      </c>
      <c r="U21" s="3">
        <f>IFERROR(__xludf.DUMMYFUNCTION("iferror(index(Googlefinance($B21, ""price"", U$1),2,2), 0)"),56.3)</f>
        <v>56.3</v>
      </c>
      <c r="V21" s="3">
        <f>IFERROR(__xludf.DUMMYFUNCTION("iferror(index(Googlefinance($B21, ""price"", V$1),2,2), 0)"),56.38)</f>
        <v>56.38</v>
      </c>
      <c r="W21" s="3">
        <f>IFERROR(__xludf.DUMMYFUNCTION("iferror(index(Googlefinance($B21, ""price"", W$1),2,2), 0)"),55.79)</f>
        <v>55.79</v>
      </c>
      <c r="X21" s="3">
        <f>IFERROR(__xludf.DUMMYFUNCTION("iferror(index(Googlefinance($B21, ""price"", X$1),2,2), 0)"),54.31)</f>
        <v>54.31</v>
      </c>
      <c r="Y21" s="3">
        <f>IFERROR(__xludf.DUMMYFUNCTION("iferror(index(Googlefinance($B21, ""price"", Y$1),2,2), 0)"),54.29)</f>
        <v>54.29</v>
      </c>
      <c r="Z21" s="3">
        <f>IFERROR(__xludf.DUMMYFUNCTION("iferror(index(Googlefinance($B21, ""price"", Z$1),2,2), 0)"),54.29)</f>
        <v>54.29</v>
      </c>
      <c r="AA21" s="3">
        <f>IFERROR(__xludf.DUMMYFUNCTION("iferror(index(Googlefinance($B21, ""price"", AA$1),2,2), 0)"),54.29)</f>
        <v>54.29</v>
      </c>
      <c r="AB21" s="3">
        <f>IFERROR(__xludf.DUMMYFUNCTION("iferror(index(Googlefinance($B21, ""price"", AB$1),2,2), 0)"),51.92)</f>
        <v>51.92</v>
      </c>
      <c r="AC21" s="3">
        <f>IFERROR(__xludf.DUMMYFUNCTION("iferror(index(Googlefinance($B21, ""price"", AC$1),2,2), 0)"),48.11)</f>
        <v>48.11</v>
      </c>
      <c r="AD21" s="3">
        <f>IFERROR(__xludf.DUMMYFUNCTION("iferror(index(Googlefinance($B21, ""price"", AD$1),2,2), 0)"),51.58)</f>
        <v>51.58</v>
      </c>
      <c r="AE21" s="3">
        <f>IFERROR(__xludf.DUMMYFUNCTION("iferror(index(Googlefinance($B21, ""price"", AE$1),2,2), 0)"),50.93)</f>
        <v>50.93</v>
      </c>
      <c r="AF21" s="3">
        <f>IFERROR(__xludf.DUMMYFUNCTION("iferror(index(Googlefinance($B21, ""price"", AF$1),2,2), 0)"),52.76)</f>
        <v>52.76</v>
      </c>
      <c r="AG21" s="3">
        <f>IFERROR(__xludf.DUMMYFUNCTION("iferror(index(Googlefinance($B21, ""price"", AG$1),2,2), 0)"),52.76)</f>
        <v>52.76</v>
      </c>
      <c r="AH21" s="3">
        <f>IFERROR(__xludf.DUMMYFUNCTION("iferror(index(Googlefinance($B21, ""price"", AH$1),2,2), 0)"),52.76)</f>
        <v>52.76</v>
      </c>
      <c r="AI21" s="3">
        <f>IFERROR(__xludf.DUMMYFUNCTION("iferror(index(Googlefinance($B21, ""price"", AI$1),2,2), 0)"),56.46)</f>
        <v>56.46</v>
      </c>
      <c r="AJ21" s="3">
        <f>IFERROR(__xludf.DUMMYFUNCTION("iferror(index(Googlefinance($B21, ""price"", AJ$1),2,2), 0)"),57.12)</f>
        <v>57.12</v>
      </c>
      <c r="AK21" s="3">
        <f>IFERROR(__xludf.DUMMYFUNCTION("iferror(index(Googlefinance($B21, ""price"", AK$1),2,2), 0)"),57.85)</f>
        <v>57.85</v>
      </c>
      <c r="AL21" s="3">
        <f>IFERROR(__xludf.DUMMYFUNCTION("iferror(index(Googlefinance($B21, ""price"", AL$1),2,2), 0)"),58.58)</f>
        <v>58.58</v>
      </c>
      <c r="AM21" s="3">
        <f>IFERROR(__xludf.DUMMYFUNCTION("iferror(index(Googlefinance($B21, ""price"", AM$1),2,2), 0)"),59.29)</f>
        <v>59.29</v>
      </c>
      <c r="AN21" s="3">
        <f>IFERROR(__xludf.DUMMYFUNCTION("iferror(index(Googlefinance($B21, ""price"", AN$1),2,2), 0)"),59.29)</f>
        <v>59.29</v>
      </c>
      <c r="AO21" s="3">
        <f>IFERROR(__xludf.DUMMYFUNCTION("iferror(index(Googlefinance($B21, ""price"", AO$1),2,2), 0)"),59.29)</f>
        <v>59.29</v>
      </c>
      <c r="AP21" s="3">
        <f>IFERROR(__xludf.DUMMYFUNCTION("iferror(index(Googlefinance($B21, ""price"", AP$1),2,2), 0)"),59.61)</f>
        <v>59.61</v>
      </c>
      <c r="AQ21" s="3">
        <f>IFERROR(__xludf.DUMMYFUNCTION("iferror(index(Googlefinance($B21, ""price"", AQ$1),2,2), 0)"),63.18)</f>
        <v>63.18</v>
      </c>
      <c r="AR21" s="3">
        <f>IFERROR(__xludf.DUMMYFUNCTION("iferror(index(Googlefinance($B21, ""price"", AR$1),2,2), 0)"),60.71)</f>
        <v>60.71</v>
      </c>
      <c r="AS21" s="3">
        <f>IFERROR(__xludf.DUMMYFUNCTION("iferror(index(Googlefinance($B21, ""price"", AS$1),2,2), 0)"),60.63)</f>
        <v>60.63</v>
      </c>
      <c r="AT21" s="3">
        <f>IFERROR(__xludf.DUMMYFUNCTION("iferror(index(Googlefinance($B21, ""price"", AT$1),2,2), 0)"),60.52)</f>
        <v>60.52</v>
      </c>
      <c r="AU21" s="3">
        <f>IFERROR(__xludf.DUMMYFUNCTION("iferror(index(Googlefinance($B21, ""price"", AU$1),2,2), 0)"),60.52)</f>
        <v>60.52</v>
      </c>
      <c r="AV21" s="3">
        <f>IFERROR(__xludf.DUMMYFUNCTION("iferror(index(Googlefinance($B21, ""price"", AV$1),2,2), 0)"),60.52)</f>
        <v>60.52</v>
      </c>
      <c r="AW21" s="3">
        <f>IFERROR(__xludf.DUMMYFUNCTION("iferror(index(Googlefinance($B21, ""price"", AW$1),2,2), 0)"),60.52)</f>
        <v>60.52</v>
      </c>
      <c r="AX21" s="3">
        <f>IFERROR(__xludf.DUMMYFUNCTION("iferror(index(Googlefinance($B21, ""price"", AX$1),2,2), 0)"),60.81)</f>
        <v>60.81</v>
      </c>
      <c r="AY21" s="3">
        <f>IFERROR(__xludf.DUMMYFUNCTION("iferror(index(Googlefinance($B21, ""price"", AY$1),2,2), 0)"),59.0)</f>
        <v>59</v>
      </c>
      <c r="AZ21" s="3">
        <f>IFERROR(__xludf.DUMMYFUNCTION("iferror(index(Googlefinance($B21, ""price"", AZ$1),2,2), 0)"),58.39)</f>
        <v>58.39</v>
      </c>
      <c r="BA21" s="3">
        <f>IFERROR(__xludf.DUMMYFUNCTION("iferror(index(Googlefinance($B21, ""price"", BA$1),2,2), 0)"),55.31)</f>
        <v>55.31</v>
      </c>
      <c r="BB21" s="3">
        <f>IFERROR(__xludf.DUMMYFUNCTION("iferror(index(Googlefinance($B21, ""price"", BB$1),2,2), 0)"),55.31)</f>
        <v>55.31</v>
      </c>
      <c r="BC21" s="3">
        <f>IFERROR(__xludf.DUMMYFUNCTION("iferror(index(Googlefinance($B21, ""price"", BC$1),2,2), 0)"),55.31)</f>
        <v>55.31</v>
      </c>
      <c r="BD21" s="3">
        <f>IFERROR(__xludf.DUMMYFUNCTION("iferror(index(Googlefinance($B21, ""price"", BD$1),2,2), 0)"),56.0)</f>
        <v>56</v>
      </c>
      <c r="BE21" s="3">
        <f>IFERROR(__xludf.DUMMYFUNCTION("iferror(index(Googlefinance($B21, ""price"", BE$1),2,2), 0)"),53.91)</f>
        <v>53.91</v>
      </c>
      <c r="BF21" s="3">
        <f>IFERROR(__xludf.DUMMYFUNCTION("iferror(index(Googlefinance($B21, ""price"", BF$1),2,2), 0)"),51.45)</f>
        <v>51.45</v>
      </c>
      <c r="BG21" s="3">
        <f>IFERROR(__xludf.DUMMYFUNCTION("iferror(index(Googlefinance($B21, ""price"", BG$1),2,2), 0)"),51.75)</f>
        <v>51.75</v>
      </c>
      <c r="BH21" s="3">
        <f>IFERROR(__xludf.DUMMYFUNCTION("iferror(index(Googlefinance($B21, ""price"", BH$1),2,2), 0)"),54.4)</f>
        <v>54.4</v>
      </c>
      <c r="BI21" s="3">
        <f>IFERROR(__xludf.DUMMYFUNCTION("iferror(index(Googlefinance($B21, ""price"", BI$1),2,2), 0)"),54.4)</f>
        <v>54.4</v>
      </c>
      <c r="BJ21" s="3">
        <f>IFERROR(__xludf.DUMMYFUNCTION("iferror(index(Googlefinance($B21, ""price"", BJ$1),2,2), 0)"),54.4)</f>
        <v>54.4</v>
      </c>
      <c r="BK21" s="3">
        <f>IFERROR(__xludf.DUMMYFUNCTION("iferror(index(Googlefinance($B21, ""price"", BK$1),2,2), 0)"),54.65)</f>
        <v>54.65</v>
      </c>
      <c r="BL21" s="3">
        <f>IFERROR(__xludf.DUMMYFUNCTION("iferror(index(Googlefinance($B21, ""price"", BL$1),2,2), 0)"),56.11)</f>
        <v>56.11</v>
      </c>
      <c r="BM21" s="3">
        <f>IFERROR(__xludf.DUMMYFUNCTION("iferror(index(Googlefinance($B21, ""price"", BM$1),2,2), 0)"),53.07)</f>
        <v>53.07</v>
      </c>
      <c r="BN21" s="3">
        <f>IFERROR(__xludf.DUMMYFUNCTION("iferror(index(Googlefinance($B21, ""price"", BN$1),2,2), 0)"),55.54)</f>
        <v>55.54</v>
      </c>
      <c r="BO21" s="3">
        <f>IFERROR(__xludf.DUMMYFUNCTION("iferror(index(Googlefinance($B21, ""price"", BO$1),2,2), 0)"),53.2)</f>
        <v>53.2</v>
      </c>
      <c r="BP21" s="3">
        <f>IFERROR(__xludf.DUMMYFUNCTION("iferror(index(Googlefinance($B21, ""price"", BP$1),2,2), 0)"),53.2)</f>
        <v>53.2</v>
      </c>
      <c r="BQ21" s="3">
        <f>IFERROR(__xludf.DUMMYFUNCTION("iferror(index(Googlefinance($B21, ""price"", BQ$1),2,2), 0)"),53.2)</f>
        <v>53.2</v>
      </c>
      <c r="BR21" s="3">
        <f>IFERROR(__xludf.DUMMYFUNCTION("iferror(index(Googlefinance($B21, ""price"", BR$1),2,2), 0)"),55.25)</f>
        <v>55.25</v>
      </c>
      <c r="BS21" s="3">
        <f>IFERROR(__xludf.DUMMYFUNCTION("iferror(index(Googlefinance($B21, ""price"", BS$1),2,2), 0)"),57.68)</f>
        <v>57.68</v>
      </c>
      <c r="BT21" s="3">
        <f>IFERROR(__xludf.DUMMYFUNCTION("iferror(index(Googlefinance($B21, ""price"", BT$1),2,2), 0)"),58.95)</f>
        <v>58.95</v>
      </c>
      <c r="BU21" s="3">
        <f>IFERROR(__xludf.DUMMYFUNCTION("iferror(index(Googlefinance($B21, ""price"", BU$1),2,2), 0)"),60.35)</f>
        <v>60.35</v>
      </c>
      <c r="BV21" s="3">
        <f>IFERROR(__xludf.DUMMYFUNCTION("iferror(index(Googlefinance($B21, ""price"", BV$1),2,2), 0)"),60.19)</f>
        <v>60.19</v>
      </c>
      <c r="BW21" s="3">
        <f>IFERROR(__xludf.DUMMYFUNCTION("iferror(index(Googlefinance($B21, ""price"", BW$1),2,2), 0)"),60.19)</f>
        <v>60.19</v>
      </c>
      <c r="BX21" s="3">
        <f>IFERROR(__xludf.DUMMYFUNCTION("iferror(index(Googlefinance($B21, ""price"", BX$1),2,2), 0)"),60.19)</f>
        <v>60.19</v>
      </c>
      <c r="BY21" s="3">
        <f>IFERROR(__xludf.DUMMYFUNCTION("iferror(index(Googlefinance($B21, ""price"", BY$1),2,2), 0)"),58.85)</f>
        <v>58.85</v>
      </c>
      <c r="BZ21" s="3">
        <f>IFERROR(__xludf.DUMMYFUNCTION("iferror(index(Googlefinance($B21, ""price"", BZ$1),2,2), 0)"),56.36)</f>
        <v>56.36</v>
      </c>
      <c r="CA21" s="3">
        <f>IFERROR(__xludf.DUMMYFUNCTION("iferror(index(Googlefinance($B21, ""price"", CA$1),2,2), 0)"),55.69)</f>
        <v>55.69</v>
      </c>
      <c r="CB21" s="3">
        <f>IFERROR(__xludf.DUMMYFUNCTION("iferror(index(Googlefinance($B21, ""price"", CB$1),2,2), 0)"),57.08)</f>
        <v>57.08</v>
      </c>
      <c r="CC21" s="3">
        <f>IFERROR(__xludf.DUMMYFUNCTION("iferror(index(Googlefinance($B21, ""price"", CC$1),2,2), 0)"),0.0)</f>
        <v>0</v>
      </c>
      <c r="CD21" s="3">
        <f>IFERROR(__xludf.DUMMYFUNCTION("iferror(index(Googlefinance($B21, ""price"", CD$1),2,2), 0)"),0.0)</f>
        <v>0</v>
      </c>
    </row>
    <row r="22">
      <c r="A22" s="1" t="s">
        <v>41</v>
      </c>
      <c r="B22" s="1" t="s">
        <v>42</v>
      </c>
      <c r="C22" s="3">
        <f>IFERROR(__xludf.DUMMYFUNCTION("iferror(index(Googlefinance($B22, ""price"", C$1),2,2), 0)"),3186.63)</f>
        <v>3186.63</v>
      </c>
      <c r="D22" s="3">
        <f>IFERROR(__xludf.DUMMYFUNCTION("iferror(index(Googlefinance($B22, ""price"", D$1),2,2), 0)"),3186.63)</f>
        <v>3186.63</v>
      </c>
      <c r="E22" s="3">
        <f>IFERROR(__xludf.DUMMYFUNCTION("iferror(index(Googlefinance($B22, ""price"", E$1),2,2), 0)"),3186.63)</f>
        <v>3186.63</v>
      </c>
      <c r="F22" s="3">
        <f>IFERROR(__xludf.DUMMYFUNCTION("iferror(index(Googlefinance($B22, ""price"", F$1),2,2), 0)"),3186.63)</f>
        <v>3186.63</v>
      </c>
      <c r="G22" s="3">
        <f>IFERROR(__xludf.DUMMYFUNCTION("iferror(index(Googlefinance($B22, ""price"", G$1),2,2), 0)"),3218.51)</f>
        <v>3218.51</v>
      </c>
      <c r="H22" s="3">
        <f>IFERROR(__xludf.DUMMYFUNCTION("iferror(index(Googlefinance($B22, ""price"", H$1),2,2), 0)"),3138.38)</f>
        <v>3138.38</v>
      </c>
      <c r="I22" s="3">
        <f>IFERROR(__xludf.DUMMYFUNCTION("iferror(index(Googlefinance($B22, ""price"", I$1),2,2), 0)"),3162.16)</f>
        <v>3162.16</v>
      </c>
      <c r="J22" s="3">
        <f>IFERROR(__xludf.DUMMYFUNCTION("iferror(index(Googlefinance($B22, ""price"", J$1),2,2), 0)"),3182.7)</f>
        <v>3182.7</v>
      </c>
      <c r="K22" s="3">
        <f>IFERROR(__xludf.DUMMYFUNCTION("iferror(index(Googlefinance($B22, ""price"", K$1),2,2), 0)"),3114.21)</f>
        <v>3114.21</v>
      </c>
      <c r="L22" s="3">
        <f>IFERROR(__xludf.DUMMYFUNCTION("iferror(index(Googlefinance($B22, ""price"", L$1),2,2), 0)"),3114.21)</f>
        <v>3114.21</v>
      </c>
      <c r="M22" s="3">
        <f>IFERROR(__xludf.DUMMYFUNCTION("iferror(index(Googlefinance($B22, ""price"", M$1),2,2), 0)"),3114.21)</f>
        <v>3114.21</v>
      </c>
      <c r="N22" s="3">
        <f>IFERROR(__xludf.DUMMYFUNCTION("iferror(index(Googlefinance($B22, ""price"", N$1),2,2), 0)"),3120.83)</f>
        <v>3120.83</v>
      </c>
      <c r="O22" s="3">
        <f>IFERROR(__xludf.DUMMYFUNCTION("iferror(index(Googlefinance($B22, ""price"", O$1),2,2), 0)"),3165.89)</f>
        <v>3165.89</v>
      </c>
      <c r="P22" s="3">
        <f>IFERROR(__xludf.DUMMYFUNCTION("iferror(index(Googlefinance($B22, ""price"", P$1),2,2), 0)"),3127.47)</f>
        <v>3127.47</v>
      </c>
      <c r="Q22" s="3">
        <f>IFERROR(__xludf.DUMMYFUNCTION("iferror(index(Googlefinance($B22, ""price"", Q$1),2,2), 0)"),3104.25)</f>
        <v>3104.25</v>
      </c>
      <c r="R22" s="3">
        <f>IFERROR(__xludf.DUMMYFUNCTION("iferror(index(Googlefinance($B22, ""price"", R$1),2,2), 0)"),3120.76)</f>
        <v>3120.76</v>
      </c>
      <c r="S22" s="3">
        <f>IFERROR(__xludf.DUMMYFUNCTION("iferror(index(Googlefinance($B22, ""price"", S$1),2,2), 0)"),3120.76)</f>
        <v>3120.76</v>
      </c>
      <c r="T22" s="3">
        <f>IFERROR(__xludf.DUMMYFUNCTION("iferror(index(Googlefinance($B22, ""price"", T$1),2,2), 0)"),3120.76)</f>
        <v>3120.76</v>
      </c>
      <c r="U22" s="3">
        <f>IFERROR(__xludf.DUMMYFUNCTION("iferror(index(Googlefinance($B22, ""price"", U$1),2,2), 0)"),3120.76)</f>
        <v>3120.76</v>
      </c>
      <c r="V22" s="3">
        <f>IFERROR(__xludf.DUMMYFUNCTION("iferror(index(Googlefinance($B22, ""price"", V$1),2,2), 0)"),3263.38)</f>
        <v>3263.38</v>
      </c>
      <c r="W22" s="3">
        <f>IFERROR(__xludf.DUMMYFUNCTION("iferror(index(Googlefinance($B22, ""price"", W$1),2,2), 0)"),3306.99)</f>
        <v>3306.99</v>
      </c>
      <c r="X22" s="3">
        <f>IFERROR(__xludf.DUMMYFUNCTION("iferror(index(Googlefinance($B22, ""price"", X$1),2,2), 0)"),3292.23)</f>
        <v>3292.23</v>
      </c>
      <c r="Y22" s="3">
        <f>IFERROR(__xludf.DUMMYFUNCTION("iferror(index(Googlefinance($B22, ""price"", Y$1),2,2), 0)"),3294.0)</f>
        <v>3294</v>
      </c>
      <c r="Z22" s="3">
        <f>IFERROR(__xludf.DUMMYFUNCTION("iferror(index(Googlefinance($B22, ""price"", Z$1),2,2), 0)"),3294.0)</f>
        <v>3294</v>
      </c>
      <c r="AA22" s="3">
        <f>IFERROR(__xludf.DUMMYFUNCTION("iferror(index(Googlefinance($B22, ""price"", AA$1),2,2), 0)"),3294.0)</f>
        <v>3294</v>
      </c>
      <c r="AB22" s="3">
        <f>IFERROR(__xludf.DUMMYFUNCTION("iferror(index(Googlefinance($B22, ""price"", AB$1),2,2), 0)"),3326.13)</f>
        <v>3326.13</v>
      </c>
      <c r="AC22" s="3">
        <f>IFERROR(__xludf.DUMMYFUNCTION("iferror(index(Googlefinance($B22, ""price"", AC$1),2,2), 0)"),3232.58)</f>
        <v>3232.58</v>
      </c>
      <c r="AD22" s="3">
        <f>IFERROR(__xludf.DUMMYFUNCTION("iferror(index(Googlefinance($B22, ""price"", AD$1),2,2), 0)"),3237.62)</f>
        <v>3237.62</v>
      </c>
      <c r="AE22" s="3">
        <f>IFERROR(__xludf.DUMMYFUNCTION("iferror(index(Googlefinance($B22, ""price"", AE$1),2,2), 0)"),3206.2)</f>
        <v>3206.2</v>
      </c>
      <c r="AF22" s="3">
        <f>IFERROR(__xludf.DUMMYFUNCTION("iferror(index(Googlefinance($B22, ""price"", AF$1),2,2), 0)"),3342.88)</f>
        <v>3342.88</v>
      </c>
      <c r="AG22" s="3">
        <f>IFERROR(__xludf.DUMMYFUNCTION("iferror(index(Googlefinance($B22, ""price"", AG$1),2,2), 0)"),3342.88)</f>
        <v>3342.88</v>
      </c>
      <c r="AH22" s="3">
        <f>IFERROR(__xludf.DUMMYFUNCTION("iferror(index(Googlefinance($B22, ""price"", AH$1),2,2), 0)"),3342.88)</f>
        <v>3342.88</v>
      </c>
      <c r="AI22" s="3">
        <f>IFERROR(__xludf.DUMMYFUNCTION("iferror(index(Googlefinance($B22, ""price"", AI$1),2,2), 0)"),3380.0)</f>
        <v>3380</v>
      </c>
      <c r="AJ22" s="3">
        <f>IFERROR(__xludf.DUMMYFUNCTION("iferror(index(Googlefinance($B22, ""price"", AJ$1),2,2), 0)"),3312.53)</f>
        <v>3312.53</v>
      </c>
      <c r="AK22" s="3">
        <f>IFERROR(__xludf.DUMMYFUNCTION("iferror(index(Googlefinance($B22, ""price"", AK$1),2,2), 0)"),3331.0)</f>
        <v>3331</v>
      </c>
      <c r="AL22" s="3">
        <f>IFERROR(__xludf.DUMMYFUNCTION("iferror(index(Googlefinance($B22, ""price"", AL$1),2,2), 0)"),3352.15)</f>
        <v>3352.15</v>
      </c>
      <c r="AM22" s="3">
        <f>IFERROR(__xludf.DUMMYFUNCTION("iferror(index(Googlefinance($B22, ""price"", AM$1),2,2), 0)"),3322.94)</f>
        <v>3322.94</v>
      </c>
      <c r="AN22" s="3">
        <f>IFERROR(__xludf.DUMMYFUNCTION("iferror(index(Googlefinance($B22, ""price"", AN$1),2,2), 0)"),3322.94)</f>
        <v>3322.94</v>
      </c>
      <c r="AO22" s="3">
        <f>IFERROR(__xludf.DUMMYFUNCTION("iferror(index(Googlefinance($B22, ""price"", AO$1),2,2), 0)"),3322.94)</f>
        <v>3322.94</v>
      </c>
      <c r="AP22" s="3">
        <f>IFERROR(__xludf.DUMMYFUNCTION("iferror(index(Googlefinance($B22, ""price"", AP$1),2,2), 0)"),3305.0)</f>
        <v>3305</v>
      </c>
      <c r="AQ22" s="3">
        <f>IFERROR(__xludf.DUMMYFUNCTION("iferror(index(Googlefinance($B22, ""price"", AQ$1),2,2), 0)"),3286.58)</f>
        <v>3286.58</v>
      </c>
      <c r="AR22" s="3">
        <f>IFERROR(__xludf.DUMMYFUNCTION("iferror(index(Googlefinance($B22, ""price"", AR$1),2,2), 0)"),3262.13)</f>
        <v>3262.13</v>
      </c>
      <c r="AS22" s="3">
        <f>IFERROR(__xludf.DUMMYFUNCTION("iferror(index(Googlefinance($B22, ""price"", AS$1),2,2), 0)"),3277.71)</f>
        <v>3277.71</v>
      </c>
      <c r="AT22" s="3">
        <f>IFERROR(__xludf.DUMMYFUNCTION("iferror(index(Googlefinance($B22, ""price"", AT$1),2,2), 0)"),3268.95)</f>
        <v>3268.95</v>
      </c>
      <c r="AU22" s="3">
        <f>IFERROR(__xludf.DUMMYFUNCTION("iferror(index(Googlefinance($B22, ""price"", AU$1),2,2), 0)"),3268.95)</f>
        <v>3268.95</v>
      </c>
      <c r="AV22" s="3">
        <f>IFERROR(__xludf.DUMMYFUNCTION("iferror(index(Googlefinance($B22, ""price"", AV$1),2,2), 0)"),3268.95)</f>
        <v>3268.95</v>
      </c>
      <c r="AW22" s="3">
        <f>IFERROR(__xludf.DUMMYFUNCTION("iferror(index(Googlefinance($B22, ""price"", AW$1),2,2), 0)"),3268.95)</f>
        <v>3268.95</v>
      </c>
      <c r="AX22" s="3">
        <f>IFERROR(__xludf.DUMMYFUNCTION("iferror(index(Googlefinance($B22, ""price"", AX$1),2,2), 0)"),3308.64)</f>
        <v>3308.64</v>
      </c>
      <c r="AY22" s="3">
        <f>IFERROR(__xludf.DUMMYFUNCTION("iferror(index(Googlefinance($B22, ""price"", AY$1),2,2), 0)"),3328.23)</f>
        <v>3328.23</v>
      </c>
      <c r="AZ22" s="3">
        <f>IFERROR(__xludf.DUMMYFUNCTION("iferror(index(Googlefinance($B22, ""price"", AZ$1),2,2), 0)"),3249.9)</f>
        <v>3249.9</v>
      </c>
      <c r="BA22" s="3">
        <f>IFERROR(__xludf.DUMMYFUNCTION("iferror(index(Googlefinance($B22, ""price"", BA$1),2,2), 0)"),3180.74)</f>
        <v>3180.74</v>
      </c>
      <c r="BB22" s="3">
        <f>IFERROR(__xludf.DUMMYFUNCTION("iferror(index(Googlefinance($B22, ""price"", BB$1),2,2), 0)"),3180.74)</f>
        <v>3180.74</v>
      </c>
      <c r="BC22" s="3">
        <f>IFERROR(__xludf.DUMMYFUNCTION("iferror(index(Googlefinance($B22, ""price"", BC$1),2,2), 0)"),3180.74)</f>
        <v>3180.74</v>
      </c>
      <c r="BD22" s="3">
        <f>IFERROR(__xludf.DUMMYFUNCTION("iferror(index(Googlefinance($B22, ""price"", BD$1),2,2), 0)"),3194.5)</f>
        <v>3194.5</v>
      </c>
      <c r="BE22" s="3">
        <f>IFERROR(__xludf.DUMMYFUNCTION("iferror(index(Googlefinance($B22, ""price"", BE$1),2,2), 0)"),3159.53)</f>
        <v>3159.53</v>
      </c>
      <c r="BF22" s="3">
        <f>IFERROR(__xludf.DUMMYFUNCTION("iferror(index(Googlefinance($B22, ""price"", BF$1),2,2), 0)"),3057.16)</f>
        <v>3057.16</v>
      </c>
      <c r="BG22" s="3">
        <f>IFERROR(__xludf.DUMMYFUNCTION("iferror(index(Googlefinance($B22, ""price"", BG$1),2,2), 0)"),3092.93)</f>
        <v>3092.93</v>
      </c>
      <c r="BH22" s="3">
        <f>IFERROR(__xludf.DUMMYFUNCTION("iferror(index(Googlefinance($B22, ""price"", BH$1),2,2), 0)"),3146.14)</f>
        <v>3146.14</v>
      </c>
      <c r="BI22" s="3">
        <f>IFERROR(__xludf.DUMMYFUNCTION("iferror(index(Googlefinance($B22, ""price"", BI$1),2,2), 0)"),3146.14)</f>
        <v>3146.14</v>
      </c>
      <c r="BJ22" s="3">
        <f>IFERROR(__xludf.DUMMYFUNCTION("iferror(index(Googlefinance($B22, ""price"", BJ$1),2,2), 0)"),3146.14)</f>
        <v>3146.14</v>
      </c>
      <c r="BK22" s="3">
        <f>IFERROR(__xludf.DUMMYFUNCTION("iferror(index(Googlefinance($B22, ""price"", BK$1),2,2), 0)"),3094.53)</f>
        <v>3094.53</v>
      </c>
      <c r="BL22" s="3">
        <f>IFERROR(__xludf.DUMMYFUNCTION("iferror(index(Googlefinance($B22, ""price"", BL$1),2,2), 0)"),3005.0)</f>
        <v>3005</v>
      </c>
      <c r="BM22" s="3">
        <f>IFERROR(__xludf.DUMMYFUNCTION("iferror(index(Googlefinance($B22, ""price"", BM$1),2,2), 0)"),2977.57)</f>
        <v>2977.57</v>
      </c>
      <c r="BN22" s="3">
        <f>IFERROR(__xludf.DUMMYFUNCTION("iferror(index(Googlefinance($B22, ""price"", BN$1),2,2), 0)"),3000.46)</f>
        <v>3000.46</v>
      </c>
      <c r="BO22" s="3">
        <f>IFERROR(__xludf.DUMMYFUNCTION("iferror(index(Googlefinance($B22, ""price"", BO$1),2,2), 0)"),2951.95)</f>
        <v>2951.95</v>
      </c>
      <c r="BP22" s="3">
        <f>IFERROR(__xludf.DUMMYFUNCTION("iferror(index(Googlefinance($B22, ""price"", BP$1),2,2), 0)"),2951.95)</f>
        <v>2951.95</v>
      </c>
      <c r="BQ22" s="3">
        <f>IFERROR(__xludf.DUMMYFUNCTION("iferror(index(Googlefinance($B22, ""price"", BQ$1),2,2), 0)"),2951.95)</f>
        <v>2951.95</v>
      </c>
      <c r="BR22" s="3">
        <f>IFERROR(__xludf.DUMMYFUNCTION("iferror(index(Googlefinance($B22, ""price"", BR$1),2,2), 0)"),3062.85)</f>
        <v>3062.85</v>
      </c>
      <c r="BS22" s="3">
        <f>IFERROR(__xludf.DUMMYFUNCTION("iferror(index(Googlefinance($B22, ""price"", BS$1),2,2), 0)"),3057.64)</f>
        <v>3057.64</v>
      </c>
      <c r="BT22" s="3">
        <f>IFERROR(__xludf.DUMMYFUNCTION("iferror(index(Googlefinance($B22, ""price"", BT$1),2,2), 0)"),3113.59)</f>
        <v>3113.59</v>
      </c>
      <c r="BU22" s="3">
        <f>IFERROR(__xludf.DUMMYFUNCTION("iferror(index(Googlefinance($B22, ""price"", BU$1),2,2), 0)"),3089.49)</f>
        <v>3089.49</v>
      </c>
      <c r="BV22" s="3">
        <f>IFERROR(__xludf.DUMMYFUNCTION("iferror(index(Googlefinance($B22, ""price"", BV$1),2,2), 0)"),3081.68)</f>
        <v>3081.68</v>
      </c>
      <c r="BW22" s="3">
        <f>IFERROR(__xludf.DUMMYFUNCTION("iferror(index(Googlefinance($B22, ""price"", BW$1),2,2), 0)"),3081.68)</f>
        <v>3081.68</v>
      </c>
      <c r="BX22" s="3">
        <f>IFERROR(__xludf.DUMMYFUNCTION("iferror(index(Googlefinance($B22, ""price"", BX$1),2,2), 0)"),3081.68)</f>
        <v>3081.68</v>
      </c>
      <c r="BY22" s="3">
        <f>IFERROR(__xludf.DUMMYFUNCTION("iferror(index(Googlefinance($B22, ""price"", BY$1),2,2), 0)"),3091.86)</f>
        <v>3091.86</v>
      </c>
      <c r="BZ22" s="3">
        <f>IFERROR(__xludf.DUMMYFUNCTION("iferror(index(Googlefinance($B22, ""price"", BZ$1),2,2), 0)"),3135.73)</f>
        <v>3135.73</v>
      </c>
      <c r="CA22" s="3">
        <f>IFERROR(__xludf.DUMMYFUNCTION("iferror(index(Googlefinance($B22, ""price"", CA$1),2,2), 0)"),3027.99)</f>
        <v>3027.99</v>
      </c>
      <c r="CB22" s="3">
        <f>IFERROR(__xludf.DUMMYFUNCTION("iferror(index(Googlefinance($B22, ""price"", CB$1),2,2), 0)"),3074.96)</f>
        <v>3074.96</v>
      </c>
      <c r="CC22" s="3">
        <f>IFERROR(__xludf.DUMMYFUNCTION("iferror(index(Googlefinance($B22, ""price"", CC$1),2,2), 0)"),0.0)</f>
        <v>0</v>
      </c>
      <c r="CD22" s="3">
        <f>IFERROR(__xludf.DUMMYFUNCTION("iferror(index(Googlefinance($B22, ""price"", CD$1),2,2), 0)"),0.0)</f>
        <v>0</v>
      </c>
    </row>
    <row r="23">
      <c r="A23" s="1" t="s">
        <v>43</v>
      </c>
      <c r="B23" s="1" t="s">
        <v>44</v>
      </c>
      <c r="C23" s="3">
        <f>IFERROR(__xludf.DUMMYFUNCTION("iferror(index(Googlefinance($B23, ""price"", C$1),2,2), 0)"),8.5)</f>
        <v>8.5</v>
      </c>
      <c r="D23" s="3">
        <f>IFERROR(__xludf.DUMMYFUNCTION("iferror(index(Googlefinance($B23, ""price"", D$1),2,2), 0)"),8.5)</f>
        <v>8.5</v>
      </c>
      <c r="E23" s="3">
        <f>IFERROR(__xludf.DUMMYFUNCTION("iferror(index(Googlefinance($B23, ""price"", E$1),2,2), 0)"),8.5)</f>
        <v>8.5</v>
      </c>
      <c r="F23" s="3">
        <f>IFERROR(__xludf.DUMMYFUNCTION("iferror(index(Googlefinance($B23, ""price"", F$1),2,2), 0)"),8.5)</f>
        <v>8.5</v>
      </c>
      <c r="G23" s="3">
        <f>IFERROR(__xludf.DUMMYFUNCTION("iferror(index(Googlefinance($B23, ""price"", G$1),2,2), 0)"),8.7)</f>
        <v>8.7</v>
      </c>
      <c r="H23" s="3">
        <f>IFERROR(__xludf.DUMMYFUNCTION("iferror(index(Googlefinance($B23, ""price"", H$1),2,2), 0)"),8.82)</f>
        <v>8.82</v>
      </c>
      <c r="I23" s="3">
        <f>IFERROR(__xludf.DUMMYFUNCTION("iferror(index(Googlefinance($B23, ""price"", I$1),2,2), 0)"),9.29)</f>
        <v>9.29</v>
      </c>
      <c r="J23" s="3">
        <f>IFERROR(__xludf.DUMMYFUNCTION("iferror(index(Googlefinance($B23, ""price"", J$1),2,2), 0)"),9.03)</f>
        <v>9.03</v>
      </c>
      <c r="K23" s="3">
        <f>IFERROR(__xludf.DUMMYFUNCTION("iferror(index(Googlefinance($B23, ""price"", K$1),2,2), 0)"),8.89)</f>
        <v>8.89</v>
      </c>
      <c r="L23" s="3">
        <f>IFERROR(__xludf.DUMMYFUNCTION("iferror(index(Googlefinance($B23, ""price"", L$1),2,2), 0)"),8.89)</f>
        <v>8.89</v>
      </c>
      <c r="M23" s="3">
        <f>IFERROR(__xludf.DUMMYFUNCTION("iferror(index(Googlefinance($B23, ""price"", M$1),2,2), 0)"),8.89)</f>
        <v>8.89</v>
      </c>
      <c r="N23" s="3">
        <f>IFERROR(__xludf.DUMMYFUNCTION("iferror(index(Googlefinance($B23, ""price"", N$1),2,2), 0)"),8.59)</f>
        <v>8.59</v>
      </c>
      <c r="O23" s="3">
        <f>IFERROR(__xludf.DUMMYFUNCTION("iferror(index(Googlefinance($B23, ""price"", O$1),2,2), 0)"),8.9)</f>
        <v>8.9</v>
      </c>
      <c r="P23" s="3">
        <f>IFERROR(__xludf.DUMMYFUNCTION("iferror(index(Googlefinance($B23, ""price"", P$1),2,2), 0)"),9.36)</f>
        <v>9.36</v>
      </c>
      <c r="Q23" s="3">
        <f>IFERROR(__xludf.DUMMYFUNCTION("iferror(index(Googlefinance($B23, ""price"", Q$1),2,2), 0)"),9.39)</f>
        <v>9.39</v>
      </c>
      <c r="R23" s="3">
        <f>IFERROR(__xludf.DUMMYFUNCTION("iferror(index(Googlefinance($B23, ""price"", R$1),2,2), 0)"),9.84)</f>
        <v>9.84</v>
      </c>
      <c r="S23" s="3">
        <f>IFERROR(__xludf.DUMMYFUNCTION("iferror(index(Googlefinance($B23, ""price"", S$1),2,2), 0)"),9.84)</f>
        <v>9.84</v>
      </c>
      <c r="T23" s="3">
        <f>IFERROR(__xludf.DUMMYFUNCTION("iferror(index(Googlefinance($B23, ""price"", T$1),2,2), 0)"),9.84)</f>
        <v>9.84</v>
      </c>
      <c r="U23" s="3">
        <f>IFERROR(__xludf.DUMMYFUNCTION("iferror(index(Googlefinance($B23, ""price"", U$1),2,2), 0)"),9.84)</f>
        <v>9.84</v>
      </c>
      <c r="V23" s="3">
        <f>IFERROR(__xludf.DUMMYFUNCTION("iferror(index(Googlefinance($B23, ""price"", V$1),2,2), 0)"),9.24)</f>
        <v>9.24</v>
      </c>
      <c r="W23" s="3">
        <f>IFERROR(__xludf.DUMMYFUNCTION("iferror(index(Googlefinance($B23, ""price"", W$1),2,2), 0)"),8.95)</f>
        <v>8.95</v>
      </c>
      <c r="X23" s="3">
        <f>IFERROR(__xludf.DUMMYFUNCTION("iferror(index(Googlefinance($B23, ""price"", X$1),2,2), 0)"),8.5)</f>
        <v>8.5</v>
      </c>
      <c r="Y23" s="3">
        <f>IFERROR(__xludf.DUMMYFUNCTION("iferror(index(Googlefinance($B23, ""price"", Y$1),2,2), 0)"),8.26)</f>
        <v>8.26</v>
      </c>
      <c r="Z23" s="3">
        <f>IFERROR(__xludf.DUMMYFUNCTION("iferror(index(Googlefinance($B23, ""price"", Z$1),2,2), 0)"),8.26)</f>
        <v>8.26</v>
      </c>
      <c r="AA23" s="3">
        <f>IFERROR(__xludf.DUMMYFUNCTION("iferror(index(Googlefinance($B23, ""price"", AA$1),2,2), 0)"),8.26)</f>
        <v>8.26</v>
      </c>
      <c r="AB23" s="3">
        <f>IFERROR(__xludf.DUMMYFUNCTION("iferror(index(Googlefinance($B23, ""price"", AB$1),2,2), 0)"),8.28)</f>
        <v>8.28</v>
      </c>
      <c r="AC23" s="3">
        <f>IFERROR(__xludf.DUMMYFUNCTION("iferror(index(Googlefinance($B23, ""price"", AC$1),2,2), 0)"),7.88)</f>
        <v>7.88</v>
      </c>
      <c r="AD23" s="3">
        <f>IFERROR(__xludf.DUMMYFUNCTION("iferror(index(Googlefinance($B23, ""price"", AD$1),2,2), 0)"),7.83)</f>
        <v>7.83</v>
      </c>
      <c r="AE23" s="3">
        <f>IFERROR(__xludf.DUMMYFUNCTION("iferror(index(Googlefinance($B23, ""price"", AE$1),2,2), 0)"),8.07)</f>
        <v>8.07</v>
      </c>
      <c r="AF23" s="3">
        <f>IFERROR(__xludf.DUMMYFUNCTION("iferror(index(Googlefinance($B23, ""price"", AF$1),2,2), 0)"),7.96)</f>
        <v>7.96</v>
      </c>
      <c r="AG23" s="3">
        <f>IFERROR(__xludf.DUMMYFUNCTION("iferror(index(Googlefinance($B23, ""price"", AG$1),2,2), 0)"),7.96)</f>
        <v>7.96</v>
      </c>
      <c r="AH23" s="3">
        <f>IFERROR(__xludf.DUMMYFUNCTION("iferror(index(Googlefinance($B23, ""price"", AH$1),2,2), 0)"),7.96)</f>
        <v>7.96</v>
      </c>
      <c r="AI23" s="3">
        <f>IFERROR(__xludf.DUMMYFUNCTION("iferror(index(Googlefinance($B23, ""price"", AI$1),2,2), 0)"),9.49)</f>
        <v>9.49</v>
      </c>
      <c r="AJ23" s="3">
        <f>IFERROR(__xludf.DUMMYFUNCTION("iferror(index(Googlefinance($B23, ""price"", AJ$1),2,2), 0)"),9.54)</f>
        <v>9.54</v>
      </c>
      <c r="AK23" s="3">
        <f>IFERROR(__xludf.DUMMYFUNCTION("iferror(index(Googlefinance($B23, ""price"", AK$1),2,2), 0)"),9.66)</f>
        <v>9.66</v>
      </c>
      <c r="AL23" s="3">
        <f>IFERROR(__xludf.DUMMYFUNCTION("iferror(index(Googlefinance($B23, ""price"", AL$1),2,2), 0)"),10.06)</f>
        <v>10.06</v>
      </c>
      <c r="AM23" s="3">
        <f>IFERROR(__xludf.DUMMYFUNCTION("iferror(index(Googlefinance($B23, ""price"", AM$1),2,2), 0)"),10.13)</f>
        <v>10.13</v>
      </c>
      <c r="AN23" s="3">
        <f>IFERROR(__xludf.DUMMYFUNCTION("iferror(index(Googlefinance($B23, ""price"", AN$1),2,2), 0)"),10.13)</f>
        <v>10.13</v>
      </c>
      <c r="AO23" s="3">
        <f>IFERROR(__xludf.DUMMYFUNCTION("iferror(index(Googlefinance($B23, ""price"", AO$1),2,2), 0)"),10.13)</f>
        <v>10.13</v>
      </c>
      <c r="AP23" s="3">
        <f>IFERROR(__xludf.DUMMYFUNCTION("iferror(index(Googlefinance($B23, ""price"", AP$1),2,2), 0)"),9.89)</f>
        <v>9.89</v>
      </c>
      <c r="AQ23" s="3">
        <f>IFERROR(__xludf.DUMMYFUNCTION("iferror(index(Googlefinance($B23, ""price"", AQ$1),2,2), 0)"),12.43)</f>
        <v>12.43</v>
      </c>
      <c r="AR23" s="3">
        <f>IFERROR(__xludf.DUMMYFUNCTION("iferror(index(Googlefinance($B23, ""price"", AR$1),2,2), 0)"),11.15)</f>
        <v>11.15</v>
      </c>
      <c r="AS23" s="3">
        <f>IFERROR(__xludf.DUMMYFUNCTION("iferror(index(Googlefinance($B23, ""price"", AS$1),2,2), 0)"),11.84)</f>
        <v>11.84</v>
      </c>
      <c r="AT23" s="3">
        <f>IFERROR(__xludf.DUMMYFUNCTION("iferror(index(Googlefinance($B23, ""price"", AT$1),2,2), 0)"),11.24)</f>
        <v>11.24</v>
      </c>
      <c r="AU23" s="3">
        <f>IFERROR(__xludf.DUMMYFUNCTION("iferror(index(Googlefinance($B23, ""price"", AU$1),2,2), 0)"),11.24)</f>
        <v>11.24</v>
      </c>
      <c r="AV23" s="3">
        <f>IFERROR(__xludf.DUMMYFUNCTION("iferror(index(Googlefinance($B23, ""price"", AV$1),2,2), 0)"),11.24)</f>
        <v>11.24</v>
      </c>
      <c r="AW23" s="3">
        <f>IFERROR(__xludf.DUMMYFUNCTION("iferror(index(Googlefinance($B23, ""price"", AW$1),2,2), 0)"),11.24)</f>
        <v>11.24</v>
      </c>
      <c r="AX23" s="3">
        <f>IFERROR(__xludf.DUMMYFUNCTION("iferror(index(Googlefinance($B23, ""price"", AX$1),2,2), 0)"),11.33)</f>
        <v>11.33</v>
      </c>
      <c r="AY23" s="3">
        <f>IFERROR(__xludf.DUMMYFUNCTION("iferror(index(Googlefinance($B23, ""price"", AY$1),2,2), 0)"),11.18)</f>
        <v>11.18</v>
      </c>
      <c r="AZ23" s="3">
        <f>IFERROR(__xludf.DUMMYFUNCTION("iferror(index(Googlefinance($B23, ""price"", AZ$1),2,2), 0)"),11.5)</f>
        <v>11.5</v>
      </c>
      <c r="BA23" s="3">
        <f>IFERROR(__xludf.DUMMYFUNCTION("iferror(index(Googlefinance($B23, ""price"", BA$1),2,2), 0)"),10.24)</f>
        <v>10.24</v>
      </c>
      <c r="BB23" s="3">
        <f>IFERROR(__xludf.DUMMYFUNCTION("iferror(index(Googlefinance($B23, ""price"", BB$1),2,2), 0)"),10.24)</f>
        <v>10.24</v>
      </c>
      <c r="BC23" s="3">
        <f>IFERROR(__xludf.DUMMYFUNCTION("iferror(index(Googlefinance($B23, ""price"", BC$1),2,2), 0)"),10.24)</f>
        <v>10.24</v>
      </c>
      <c r="BD23" s="3">
        <f>IFERROR(__xludf.DUMMYFUNCTION("iferror(index(Googlefinance($B23, ""price"", BD$1),2,2), 0)"),9.57)</f>
        <v>9.57</v>
      </c>
      <c r="BE23" s="3">
        <f>IFERROR(__xludf.DUMMYFUNCTION("iferror(index(Googlefinance($B23, ""price"", BE$1),2,2), 0)"),10.18)</f>
        <v>10.18</v>
      </c>
      <c r="BF23" s="3">
        <f>IFERROR(__xludf.DUMMYFUNCTION("iferror(index(Googlefinance($B23, ""price"", BF$1),2,2), 0)"),9.51)</f>
        <v>9.51</v>
      </c>
      <c r="BG23" s="3">
        <f>IFERROR(__xludf.DUMMYFUNCTION("iferror(index(Googlefinance($B23, ""price"", BG$1),2,2), 0)"),9.36)</f>
        <v>9.36</v>
      </c>
      <c r="BH23" s="3">
        <f>IFERROR(__xludf.DUMMYFUNCTION("iferror(index(Googlefinance($B23, ""price"", BH$1),2,2), 0)"),9.83)</f>
        <v>9.83</v>
      </c>
      <c r="BI23" s="3">
        <f>IFERROR(__xludf.DUMMYFUNCTION("iferror(index(Googlefinance($B23, ""price"", BI$1),2,2), 0)"),9.83)</f>
        <v>9.83</v>
      </c>
      <c r="BJ23" s="3">
        <f>IFERROR(__xludf.DUMMYFUNCTION("iferror(index(Googlefinance($B23, ""price"", BJ$1),2,2), 0)"),9.83)</f>
        <v>9.83</v>
      </c>
      <c r="BK23" s="3">
        <f>IFERROR(__xludf.DUMMYFUNCTION("iferror(index(Googlefinance($B23, ""price"", BK$1),2,2), 0)"),9.36)</f>
        <v>9.36</v>
      </c>
      <c r="BL23" s="3">
        <f>IFERROR(__xludf.DUMMYFUNCTION("iferror(index(Googlefinance($B23, ""price"", BL$1),2,2), 0)"),8.96)</f>
        <v>8.96</v>
      </c>
      <c r="BM23" s="3">
        <f>IFERROR(__xludf.DUMMYFUNCTION("iferror(index(Googlefinance($B23, ""price"", BM$1),2,2), 0)"),8.43)</f>
        <v>8.43</v>
      </c>
      <c r="BN23" s="3">
        <f>IFERROR(__xludf.DUMMYFUNCTION("iferror(index(Googlefinance($B23, ""price"", BN$1),2,2), 0)"),8.3)</f>
        <v>8.3</v>
      </c>
      <c r="BO23" s="3">
        <f>IFERROR(__xludf.DUMMYFUNCTION("iferror(index(Googlefinance($B23, ""price"", BO$1),2,2), 0)"),8.15)</f>
        <v>8.15</v>
      </c>
      <c r="BP23" s="3">
        <f>IFERROR(__xludf.DUMMYFUNCTION("iferror(index(Googlefinance($B23, ""price"", BP$1),2,2), 0)"),8.15)</f>
        <v>8.15</v>
      </c>
      <c r="BQ23" s="3">
        <f>IFERROR(__xludf.DUMMYFUNCTION("iferror(index(Googlefinance($B23, ""price"", BQ$1),2,2), 0)"),8.15)</f>
        <v>8.15</v>
      </c>
      <c r="BR23" s="3">
        <f>IFERROR(__xludf.DUMMYFUNCTION("iferror(index(Googlefinance($B23, ""price"", BR$1),2,2), 0)"),8.43)</f>
        <v>8.43</v>
      </c>
      <c r="BS23" s="3">
        <f>IFERROR(__xludf.DUMMYFUNCTION("iferror(index(Googlefinance($B23, ""price"", BS$1),2,2), 0)"),8.72)</f>
        <v>8.72</v>
      </c>
      <c r="BT23" s="3">
        <f>IFERROR(__xludf.DUMMYFUNCTION("iferror(index(Googlefinance($B23, ""price"", BT$1),2,2), 0)"),8.95)</f>
        <v>8.95</v>
      </c>
      <c r="BU23" s="3">
        <f>IFERROR(__xludf.DUMMYFUNCTION("iferror(index(Googlefinance($B23, ""price"", BU$1),2,2), 0)"),8.96)</f>
        <v>8.96</v>
      </c>
      <c r="BV23" s="3">
        <f>IFERROR(__xludf.DUMMYFUNCTION("iferror(index(Googlefinance($B23, ""price"", BV$1),2,2), 0)"),9.08)</f>
        <v>9.08</v>
      </c>
      <c r="BW23" s="3">
        <f>IFERROR(__xludf.DUMMYFUNCTION("iferror(index(Googlefinance($B23, ""price"", BW$1),2,2), 0)"),9.08)</f>
        <v>9.08</v>
      </c>
      <c r="BX23" s="3">
        <f>IFERROR(__xludf.DUMMYFUNCTION("iferror(index(Googlefinance($B23, ""price"", BX$1),2,2), 0)"),9.08)</f>
        <v>9.08</v>
      </c>
      <c r="BY23" s="3">
        <f>IFERROR(__xludf.DUMMYFUNCTION("iferror(index(Googlefinance($B23, ""price"", BY$1),2,2), 0)"),8.73)</f>
        <v>8.73</v>
      </c>
      <c r="BZ23" s="3">
        <f>IFERROR(__xludf.DUMMYFUNCTION("iferror(index(Googlefinance($B23, ""price"", BZ$1),2,2), 0)"),8.83)</f>
        <v>8.83</v>
      </c>
      <c r="CA23" s="3">
        <f>IFERROR(__xludf.DUMMYFUNCTION("iferror(index(Googlefinance($B23, ""price"", CA$1),2,2), 0)"),8.74)</f>
        <v>8.74</v>
      </c>
      <c r="CB23" s="3">
        <f>IFERROR(__xludf.DUMMYFUNCTION("iferror(index(Googlefinance($B23, ""price"", CB$1),2,2), 0)"),9.17)</f>
        <v>9.17</v>
      </c>
      <c r="CC23" s="3">
        <f>IFERROR(__xludf.DUMMYFUNCTION("iferror(index(Googlefinance($B23, ""price"", CC$1),2,2), 0)"),0.0)</f>
        <v>0</v>
      </c>
      <c r="CD23" s="3">
        <f>IFERROR(__xludf.DUMMYFUNCTION("iferror(index(Googlefinance($B23, ""price"", CD$1),2,2), 0)"),0.0)</f>
        <v>0</v>
      </c>
    </row>
    <row r="24">
      <c r="A24" s="1" t="s">
        <v>45</v>
      </c>
      <c r="B24" s="1" t="s">
        <v>46</v>
      </c>
      <c r="C24" s="3">
        <f>IFERROR(__xludf.DUMMYFUNCTION("iferror(index(Googlefinance($B24, ""price"", C$1),2,2), 0)"),19.95)</f>
        <v>19.95</v>
      </c>
      <c r="D24" s="3">
        <f>IFERROR(__xludf.DUMMYFUNCTION("iferror(index(Googlefinance($B24, ""price"", D$1),2,2), 0)"),19.95)</f>
        <v>19.95</v>
      </c>
      <c r="E24" s="3">
        <f>IFERROR(__xludf.DUMMYFUNCTION("iferror(index(Googlefinance($B24, ""price"", E$1),2,2), 0)"),19.95)</f>
        <v>19.95</v>
      </c>
      <c r="F24" s="3">
        <f>IFERROR(__xludf.DUMMYFUNCTION("iferror(index(Googlefinance($B24, ""price"", F$1),2,2), 0)"),19.95)</f>
        <v>19.95</v>
      </c>
      <c r="G24" s="3">
        <f>IFERROR(__xludf.DUMMYFUNCTION("iferror(index(Googlefinance($B24, ""price"", G$1),2,2), 0)"),19.66)</f>
        <v>19.66</v>
      </c>
      <c r="H24" s="3">
        <f>IFERROR(__xludf.DUMMYFUNCTION("iferror(index(Googlefinance($B24, ""price"", H$1),2,2), 0)"),20.89)</f>
        <v>20.89</v>
      </c>
      <c r="I24" s="3">
        <f>IFERROR(__xludf.DUMMYFUNCTION("iferror(index(Googlefinance($B24, ""price"", I$1),2,2), 0)"),22.79)</f>
        <v>22.79</v>
      </c>
      <c r="J24" s="3">
        <f>IFERROR(__xludf.DUMMYFUNCTION("iferror(index(Googlefinance($B24, ""price"", J$1),2,2), 0)"),24.08)</f>
        <v>24.08</v>
      </c>
      <c r="K24" s="3">
        <f>IFERROR(__xludf.DUMMYFUNCTION("iferror(index(Googlefinance($B24, ""price"", K$1),2,2), 0)"),23.03)</f>
        <v>23.03</v>
      </c>
      <c r="L24" s="3">
        <f>IFERROR(__xludf.DUMMYFUNCTION("iferror(index(Googlefinance($B24, ""price"", L$1),2,2), 0)"),23.03)</f>
        <v>23.03</v>
      </c>
      <c r="M24" s="3">
        <f>IFERROR(__xludf.DUMMYFUNCTION("iferror(index(Googlefinance($B24, ""price"", M$1),2,2), 0)"),23.03)</f>
        <v>23.03</v>
      </c>
      <c r="N24" s="3">
        <f>IFERROR(__xludf.DUMMYFUNCTION("iferror(index(Googlefinance($B24, ""price"", N$1),2,2), 0)"),24.62)</f>
        <v>24.62</v>
      </c>
      <c r="O24" s="3">
        <f>IFERROR(__xludf.DUMMYFUNCTION("iferror(index(Googlefinance($B24, ""price"", O$1),2,2), 0)"),23.96)</f>
        <v>23.96</v>
      </c>
      <c r="P24" s="3">
        <f>IFERROR(__xludf.DUMMYFUNCTION("iferror(index(Googlefinance($B24, ""price"", P$1),2,2), 0)"),24.66)</f>
        <v>24.66</v>
      </c>
      <c r="Q24" s="3">
        <f>IFERROR(__xludf.DUMMYFUNCTION("iferror(index(Googlefinance($B24, ""price"", Q$1),2,2), 0)"),23.08)</f>
        <v>23.08</v>
      </c>
      <c r="R24" s="3">
        <f>IFERROR(__xludf.DUMMYFUNCTION("iferror(index(Googlefinance($B24, ""price"", R$1),2,2), 0)"),21.14)</f>
        <v>21.14</v>
      </c>
      <c r="S24" s="3">
        <f>IFERROR(__xludf.DUMMYFUNCTION("iferror(index(Googlefinance($B24, ""price"", S$1),2,2), 0)"),21.14)</f>
        <v>21.14</v>
      </c>
      <c r="T24" s="3">
        <f>IFERROR(__xludf.DUMMYFUNCTION("iferror(index(Googlefinance($B24, ""price"", T$1),2,2), 0)"),21.14)</f>
        <v>21.14</v>
      </c>
      <c r="U24" s="3">
        <f>IFERROR(__xludf.DUMMYFUNCTION("iferror(index(Googlefinance($B24, ""price"", U$1),2,2), 0)"),21.14)</f>
        <v>21.14</v>
      </c>
      <c r="V24" s="3">
        <f>IFERROR(__xludf.DUMMYFUNCTION("iferror(index(Googlefinance($B24, ""price"", V$1),2,2), 0)"),20.33)</f>
        <v>20.33</v>
      </c>
      <c r="W24" s="3">
        <f>IFERROR(__xludf.DUMMYFUNCTION("iferror(index(Googlefinance($B24, ""price"", W$1),2,2), 0)"),20.5)</f>
        <v>20.5</v>
      </c>
      <c r="X24" s="3">
        <f>IFERROR(__xludf.DUMMYFUNCTION("iferror(index(Googlefinance($B24, ""price"", X$1),2,2), 0)"),20.58)</f>
        <v>20.58</v>
      </c>
      <c r="Y24" s="3">
        <f>IFERROR(__xludf.DUMMYFUNCTION("iferror(index(Googlefinance($B24, ""price"", Y$1),2,2), 0)"),20.46)</f>
        <v>20.46</v>
      </c>
      <c r="Z24" s="3">
        <f>IFERROR(__xludf.DUMMYFUNCTION("iferror(index(Googlefinance($B24, ""price"", Z$1),2,2), 0)"),20.46)</f>
        <v>20.46</v>
      </c>
      <c r="AA24" s="3">
        <f>IFERROR(__xludf.DUMMYFUNCTION("iferror(index(Googlefinance($B24, ""price"", AA$1),2,2), 0)"),20.46)</f>
        <v>20.46</v>
      </c>
      <c r="AB24" s="3">
        <f>IFERROR(__xludf.DUMMYFUNCTION("iferror(index(Googlefinance($B24, ""price"", AB$1),2,2), 0)"),20.23)</f>
        <v>20.23</v>
      </c>
      <c r="AC24" s="3">
        <f>IFERROR(__xludf.DUMMYFUNCTION("iferror(index(Googlefinance($B24, ""price"", AC$1),2,2), 0)"),19.33)</f>
        <v>19.33</v>
      </c>
      <c r="AD24" s="3">
        <f>IFERROR(__xludf.DUMMYFUNCTION("iferror(index(Googlefinance($B24, ""price"", AD$1),2,2), 0)"),19.8)</f>
        <v>19.8</v>
      </c>
      <c r="AE24" s="3">
        <f>IFERROR(__xludf.DUMMYFUNCTION("iferror(index(Googlefinance($B24, ""price"", AE$1),2,2), 0)"),18.89)</f>
        <v>18.89</v>
      </c>
      <c r="AF24" s="3">
        <f>IFERROR(__xludf.DUMMYFUNCTION("iferror(index(Googlefinance($B24, ""price"", AF$1),2,2), 0)"),19.89)</f>
        <v>19.89</v>
      </c>
      <c r="AG24" s="3">
        <f>IFERROR(__xludf.DUMMYFUNCTION("iferror(index(Googlefinance($B24, ""price"", AG$1),2,2), 0)"),19.89)</f>
        <v>19.89</v>
      </c>
      <c r="AH24" s="3">
        <f>IFERROR(__xludf.DUMMYFUNCTION("iferror(index(Googlefinance($B24, ""price"", AH$1),2,2), 0)"),19.89)</f>
        <v>19.89</v>
      </c>
      <c r="AI24" s="3">
        <f>IFERROR(__xludf.DUMMYFUNCTION("iferror(index(Googlefinance($B24, ""price"", AI$1),2,2), 0)"),19.38)</f>
        <v>19.38</v>
      </c>
      <c r="AJ24" s="3">
        <f>IFERROR(__xludf.DUMMYFUNCTION("iferror(index(Googlefinance($B24, ""price"", AJ$1),2,2), 0)"),19.88)</f>
        <v>19.88</v>
      </c>
      <c r="AK24" s="3">
        <f>IFERROR(__xludf.DUMMYFUNCTION("iferror(index(Googlefinance($B24, ""price"", AK$1),2,2), 0)"),19.55)</f>
        <v>19.55</v>
      </c>
      <c r="AL24" s="3">
        <f>IFERROR(__xludf.DUMMYFUNCTION("iferror(index(Googlefinance($B24, ""price"", AL$1),2,2), 0)"),19.76)</f>
        <v>19.76</v>
      </c>
      <c r="AM24" s="3">
        <f>IFERROR(__xludf.DUMMYFUNCTION("iferror(index(Googlefinance($B24, ""price"", AM$1),2,2), 0)"),19.94)</f>
        <v>19.94</v>
      </c>
      <c r="AN24" s="3">
        <f>IFERROR(__xludf.DUMMYFUNCTION("iferror(index(Googlefinance($B24, ""price"", AN$1),2,2), 0)"),19.94)</f>
        <v>19.94</v>
      </c>
      <c r="AO24" s="3">
        <f>IFERROR(__xludf.DUMMYFUNCTION("iferror(index(Googlefinance($B24, ""price"", AO$1),2,2), 0)"),19.94)</f>
        <v>19.94</v>
      </c>
      <c r="AP24" s="3">
        <f>IFERROR(__xludf.DUMMYFUNCTION("iferror(index(Googlefinance($B24, ""price"", AP$1),2,2), 0)"),19.36)</f>
        <v>19.36</v>
      </c>
      <c r="AQ24" s="3">
        <f>IFERROR(__xludf.DUMMYFUNCTION("iferror(index(Googlefinance($B24, ""price"", AQ$1),2,2), 0)"),18.51)</f>
        <v>18.51</v>
      </c>
      <c r="AR24" s="3">
        <f>IFERROR(__xludf.DUMMYFUNCTION("iferror(index(Googlefinance($B24, ""price"", AR$1),2,2), 0)"),18.05)</f>
        <v>18.05</v>
      </c>
      <c r="AS24" s="3">
        <f>IFERROR(__xludf.DUMMYFUNCTION("iferror(index(Googlefinance($B24, ""price"", AS$1),2,2), 0)"),17.81)</f>
        <v>17.81</v>
      </c>
      <c r="AT24" s="3">
        <f>IFERROR(__xludf.DUMMYFUNCTION("iferror(index(Googlefinance($B24, ""price"", AT$1),2,2), 0)"),17.96)</f>
        <v>17.96</v>
      </c>
      <c r="AU24" s="3">
        <f>IFERROR(__xludf.DUMMYFUNCTION("iferror(index(Googlefinance($B24, ""price"", AU$1),2,2), 0)"),17.96)</f>
        <v>17.96</v>
      </c>
      <c r="AV24" s="3">
        <f>IFERROR(__xludf.DUMMYFUNCTION("iferror(index(Googlefinance($B24, ""price"", AV$1),2,2), 0)"),17.96)</f>
        <v>17.96</v>
      </c>
      <c r="AW24" s="3">
        <f>IFERROR(__xludf.DUMMYFUNCTION("iferror(index(Googlefinance($B24, ""price"", AW$1),2,2), 0)"),17.96)</f>
        <v>17.96</v>
      </c>
      <c r="AX24" s="3">
        <f>IFERROR(__xludf.DUMMYFUNCTION("iferror(index(Googlefinance($B24, ""price"", AX$1),2,2), 0)"),18.2)</f>
        <v>18.2</v>
      </c>
      <c r="AY24" s="3">
        <f>IFERROR(__xludf.DUMMYFUNCTION("iferror(index(Googlefinance($B24, ""price"", AY$1),2,2), 0)"),19.09)</f>
        <v>19.09</v>
      </c>
      <c r="AZ24" s="3">
        <f>IFERROR(__xludf.DUMMYFUNCTION("iferror(index(Googlefinance($B24, ""price"", AZ$1),2,2), 0)"),18.8)</f>
        <v>18.8</v>
      </c>
      <c r="BA24" s="3">
        <f>IFERROR(__xludf.DUMMYFUNCTION("iferror(index(Googlefinance($B24, ""price"", BA$1),2,2), 0)"),19.03)</f>
        <v>19.03</v>
      </c>
      <c r="BB24" s="3">
        <f>IFERROR(__xludf.DUMMYFUNCTION("iferror(index(Googlefinance($B24, ""price"", BB$1),2,2), 0)"),19.03)</f>
        <v>19.03</v>
      </c>
      <c r="BC24" s="3">
        <f>IFERROR(__xludf.DUMMYFUNCTION("iferror(index(Googlefinance($B24, ""price"", BC$1),2,2), 0)"),19.03)</f>
        <v>19.03</v>
      </c>
      <c r="BD24" s="3">
        <f>IFERROR(__xludf.DUMMYFUNCTION("iferror(index(Googlefinance($B24, ""price"", BD$1),2,2), 0)"),18.81)</f>
        <v>18.81</v>
      </c>
      <c r="BE24" s="3">
        <f>IFERROR(__xludf.DUMMYFUNCTION("iferror(index(Googlefinance($B24, ""price"", BE$1),2,2), 0)"),19.3)</f>
        <v>19.3</v>
      </c>
      <c r="BF24" s="3">
        <f>IFERROR(__xludf.DUMMYFUNCTION("iferror(index(Googlefinance($B24, ""price"", BF$1),2,2), 0)"),17.37)</f>
        <v>17.37</v>
      </c>
      <c r="BG24" s="3">
        <f>IFERROR(__xludf.DUMMYFUNCTION("iferror(index(Googlefinance($B24, ""price"", BG$1),2,2), 0)"),17.0)</f>
        <v>17</v>
      </c>
      <c r="BH24" s="3">
        <f>IFERROR(__xludf.DUMMYFUNCTION("iferror(index(Googlefinance($B24, ""price"", BH$1),2,2), 0)"),16.95)</f>
        <v>16.95</v>
      </c>
      <c r="BI24" s="3">
        <f>IFERROR(__xludf.DUMMYFUNCTION("iferror(index(Googlefinance($B24, ""price"", BI$1),2,2), 0)"),16.95)</f>
        <v>16.95</v>
      </c>
      <c r="BJ24" s="3">
        <f>IFERROR(__xludf.DUMMYFUNCTION("iferror(index(Googlefinance($B24, ""price"", BJ$1),2,2), 0)"),16.95)</f>
        <v>16.95</v>
      </c>
      <c r="BK24" s="3">
        <f>IFERROR(__xludf.DUMMYFUNCTION("iferror(index(Googlefinance($B24, ""price"", BK$1),2,2), 0)"),16.15)</f>
        <v>16.15</v>
      </c>
      <c r="BL24" s="3">
        <f>IFERROR(__xludf.DUMMYFUNCTION("iferror(index(Googlefinance($B24, ""price"", BL$1),2,2), 0)"),15.33)</f>
        <v>15.33</v>
      </c>
      <c r="BM24" s="3">
        <f>IFERROR(__xludf.DUMMYFUNCTION("iferror(index(Googlefinance($B24, ""price"", BM$1),2,2), 0)"),14.92)</f>
        <v>14.92</v>
      </c>
      <c r="BN24" s="3">
        <f>IFERROR(__xludf.DUMMYFUNCTION("iferror(index(Googlefinance($B24, ""price"", BN$1),2,2), 0)"),14.74)</f>
        <v>14.74</v>
      </c>
      <c r="BO24" s="3">
        <f>IFERROR(__xludf.DUMMYFUNCTION("iferror(index(Googlefinance($B24, ""price"", BO$1),2,2), 0)"),14.64)</f>
        <v>14.64</v>
      </c>
      <c r="BP24" s="3">
        <f>IFERROR(__xludf.DUMMYFUNCTION("iferror(index(Googlefinance($B24, ""price"", BP$1),2,2), 0)"),14.64)</f>
        <v>14.64</v>
      </c>
      <c r="BQ24" s="3">
        <f>IFERROR(__xludf.DUMMYFUNCTION("iferror(index(Googlefinance($B24, ""price"", BQ$1),2,2), 0)"),14.64)</f>
        <v>14.64</v>
      </c>
      <c r="BR24" s="3">
        <f>IFERROR(__xludf.DUMMYFUNCTION("iferror(index(Googlefinance($B24, ""price"", BR$1),2,2), 0)"),15.07)</f>
        <v>15.07</v>
      </c>
      <c r="BS24" s="3">
        <f>IFERROR(__xludf.DUMMYFUNCTION("iferror(index(Googlefinance($B24, ""price"", BS$1),2,2), 0)"),15.2)</f>
        <v>15.2</v>
      </c>
      <c r="BT24" s="3">
        <f>IFERROR(__xludf.DUMMYFUNCTION("iferror(index(Googlefinance($B24, ""price"", BT$1),2,2), 0)"),16.15)</f>
        <v>16.15</v>
      </c>
      <c r="BU24" s="3">
        <f>IFERROR(__xludf.DUMMYFUNCTION("iferror(index(Googlefinance($B24, ""price"", BU$1),2,2), 0)"),16.56)</f>
        <v>16.56</v>
      </c>
      <c r="BV24" s="3">
        <f>IFERROR(__xludf.DUMMYFUNCTION("iferror(index(Googlefinance($B24, ""price"", BV$1),2,2), 0)"),15.71)</f>
        <v>15.71</v>
      </c>
      <c r="BW24" s="3">
        <f>IFERROR(__xludf.DUMMYFUNCTION("iferror(index(Googlefinance($B24, ""price"", BW$1),2,2), 0)"),15.71)</f>
        <v>15.71</v>
      </c>
      <c r="BX24" s="3">
        <f>IFERROR(__xludf.DUMMYFUNCTION("iferror(index(Googlefinance($B24, ""price"", BX$1),2,2), 0)"),15.71)</f>
        <v>15.71</v>
      </c>
      <c r="BY24" s="3">
        <f>IFERROR(__xludf.DUMMYFUNCTION("iferror(index(Googlefinance($B24, ""price"", BY$1),2,2), 0)"),15.96)</f>
        <v>15.96</v>
      </c>
      <c r="BZ24" s="3">
        <f>IFERROR(__xludf.DUMMYFUNCTION("iferror(index(Googlefinance($B24, ""price"", BZ$1),2,2), 0)"),15.89)</f>
        <v>15.89</v>
      </c>
      <c r="CA24" s="3">
        <f>IFERROR(__xludf.DUMMYFUNCTION("iferror(index(Googlefinance($B24, ""price"", CA$1),2,2), 0)"),14.66)</f>
        <v>14.66</v>
      </c>
      <c r="CB24" s="3">
        <f>IFERROR(__xludf.DUMMYFUNCTION("iferror(index(Googlefinance($B24, ""price"", CB$1),2,2), 0)"),14.46)</f>
        <v>14.46</v>
      </c>
      <c r="CC24" s="3">
        <f>IFERROR(__xludf.DUMMYFUNCTION("iferror(index(Googlefinance($B24, ""price"", CC$1),2,2), 0)"),0.0)</f>
        <v>0</v>
      </c>
      <c r="CD24" s="3">
        <f>IFERROR(__xludf.DUMMYFUNCTION("iferror(index(Googlefinance($B24, ""price"", CD$1),2,2), 0)"),0.0)</f>
        <v>0</v>
      </c>
    </row>
    <row r="25">
      <c r="A25" s="1" t="s">
        <v>47</v>
      </c>
      <c r="B25" s="1" t="s">
        <v>48</v>
      </c>
      <c r="C25" s="3">
        <f>IFERROR(__xludf.DUMMYFUNCTION("iferror(index(Googlefinance($B25, ""price"", C$1),2,2), 0)"),57.16)</f>
        <v>57.16</v>
      </c>
      <c r="D25" s="3">
        <f>IFERROR(__xludf.DUMMYFUNCTION("iferror(index(Googlefinance($B25, ""price"", D$1),2,2), 0)"),57.16)</f>
        <v>57.16</v>
      </c>
      <c r="E25" s="3">
        <f>IFERROR(__xludf.DUMMYFUNCTION("iferror(index(Googlefinance($B25, ""price"", E$1),2,2), 0)"),57.16)</f>
        <v>57.16</v>
      </c>
      <c r="F25" s="3">
        <f>IFERROR(__xludf.DUMMYFUNCTION("iferror(index(Googlefinance($B25, ""price"", F$1),2,2), 0)"),57.16)</f>
        <v>57.16</v>
      </c>
      <c r="G25" s="3">
        <f>IFERROR(__xludf.DUMMYFUNCTION("iferror(index(Googlefinance($B25, ""price"", G$1),2,2), 0)"),56.75)</f>
        <v>56.75</v>
      </c>
      <c r="H25" s="3">
        <f>IFERROR(__xludf.DUMMYFUNCTION("iferror(index(Googlefinance($B25, ""price"", H$1),2,2), 0)"),59.15)</f>
        <v>59.15</v>
      </c>
      <c r="I25" s="3">
        <f>IFERROR(__xludf.DUMMYFUNCTION("iferror(index(Googlefinance($B25, ""price"", I$1),2,2), 0)"),57.53)</f>
        <v>57.53</v>
      </c>
      <c r="J25" s="3">
        <f>IFERROR(__xludf.DUMMYFUNCTION("iferror(index(Googlefinance($B25, ""price"", J$1),2,2), 0)"),56.92)</f>
        <v>56.92</v>
      </c>
      <c r="K25" s="3">
        <f>IFERROR(__xludf.DUMMYFUNCTION("iferror(index(Googlefinance($B25, ""price"", K$1),2,2), 0)"),56.72)</f>
        <v>56.72</v>
      </c>
      <c r="L25" s="3">
        <f>IFERROR(__xludf.DUMMYFUNCTION("iferror(index(Googlefinance($B25, ""price"", L$1),2,2), 0)"),56.72)</f>
        <v>56.72</v>
      </c>
      <c r="M25" s="3">
        <f>IFERROR(__xludf.DUMMYFUNCTION("iferror(index(Googlefinance($B25, ""price"", M$1),2,2), 0)"),56.72)</f>
        <v>56.72</v>
      </c>
      <c r="N25" s="3">
        <f>IFERROR(__xludf.DUMMYFUNCTION("iferror(index(Googlefinance($B25, ""price"", N$1),2,2), 0)"),57.68)</f>
        <v>57.68</v>
      </c>
      <c r="O25" s="3">
        <f>IFERROR(__xludf.DUMMYFUNCTION("iferror(index(Googlefinance($B25, ""price"", O$1),2,2), 0)"),58.6)</f>
        <v>58.6</v>
      </c>
      <c r="P25" s="3">
        <f>IFERROR(__xludf.DUMMYFUNCTION("iferror(index(Googlefinance($B25, ""price"", P$1),2,2), 0)"),58.2)</f>
        <v>58.2</v>
      </c>
      <c r="Q25" s="3">
        <f>IFERROR(__xludf.DUMMYFUNCTION("iferror(index(Googlefinance($B25, ""price"", Q$1),2,2), 0)"),59.13)</f>
        <v>59.13</v>
      </c>
      <c r="R25" s="3">
        <f>IFERROR(__xludf.DUMMYFUNCTION("iferror(index(Googlefinance($B25, ""price"", R$1),2,2), 0)"),57.32)</f>
        <v>57.32</v>
      </c>
      <c r="S25" s="3">
        <f>IFERROR(__xludf.DUMMYFUNCTION("iferror(index(Googlefinance($B25, ""price"", S$1),2,2), 0)"),57.32)</f>
        <v>57.32</v>
      </c>
      <c r="T25" s="3">
        <f>IFERROR(__xludf.DUMMYFUNCTION("iferror(index(Googlefinance($B25, ""price"", T$1),2,2), 0)"),57.32)</f>
        <v>57.32</v>
      </c>
      <c r="U25" s="3">
        <f>IFERROR(__xludf.DUMMYFUNCTION("iferror(index(Googlefinance($B25, ""price"", U$1),2,2), 0)"),57.32)</f>
        <v>57.32</v>
      </c>
      <c r="V25" s="3">
        <f>IFERROR(__xludf.DUMMYFUNCTION("iferror(index(Googlefinance($B25, ""price"", V$1),2,2), 0)"),56.32)</f>
        <v>56.32</v>
      </c>
      <c r="W25" s="3">
        <f>IFERROR(__xludf.DUMMYFUNCTION("iferror(index(Googlefinance($B25, ""price"", W$1),2,2), 0)"),55.91)</f>
        <v>55.91</v>
      </c>
      <c r="X25" s="3">
        <f>IFERROR(__xludf.DUMMYFUNCTION("iferror(index(Googlefinance($B25, ""price"", X$1),2,2), 0)"),55.43)</f>
        <v>55.43</v>
      </c>
      <c r="Y25" s="3">
        <f>IFERROR(__xludf.DUMMYFUNCTION("iferror(index(Googlefinance($B25, ""price"", Y$1),2,2), 0)"),56.0)</f>
        <v>56</v>
      </c>
      <c r="Z25" s="3">
        <f>IFERROR(__xludf.DUMMYFUNCTION("iferror(index(Googlefinance($B25, ""price"", Z$1),2,2), 0)"),56.0)</f>
        <v>56</v>
      </c>
      <c r="AA25" s="3">
        <f>IFERROR(__xludf.DUMMYFUNCTION("iferror(index(Googlefinance($B25, ""price"", AA$1),2,2), 0)"),56.0)</f>
        <v>56</v>
      </c>
      <c r="AB25" s="3">
        <f>IFERROR(__xludf.DUMMYFUNCTION("iferror(index(Googlefinance($B25, ""price"", AB$1),2,2), 0)"),54.92)</f>
        <v>54.92</v>
      </c>
      <c r="AC25" s="3">
        <f>IFERROR(__xludf.DUMMYFUNCTION("iferror(index(Googlefinance($B25, ""price"", AC$1),2,2), 0)"),54.58)</f>
        <v>54.58</v>
      </c>
      <c r="AD25" s="3">
        <f>IFERROR(__xludf.DUMMYFUNCTION("iferror(index(Googlefinance($B25, ""price"", AD$1),2,2), 0)"),54.9)</f>
        <v>54.9</v>
      </c>
      <c r="AE25" s="3">
        <f>IFERROR(__xludf.DUMMYFUNCTION("iferror(index(Googlefinance($B25, ""price"", AE$1),2,2), 0)"),54.47)</f>
        <v>54.47</v>
      </c>
      <c r="AF25" s="3">
        <f>IFERROR(__xludf.DUMMYFUNCTION("iferror(index(Googlefinance($B25, ""price"", AF$1),2,2), 0)"),54.95)</f>
        <v>54.95</v>
      </c>
      <c r="AG25" s="3">
        <f>IFERROR(__xludf.DUMMYFUNCTION("iferror(index(Googlefinance($B25, ""price"", AG$1),2,2), 0)"),54.95)</f>
        <v>54.95</v>
      </c>
      <c r="AH25" s="3">
        <f>IFERROR(__xludf.DUMMYFUNCTION("iferror(index(Googlefinance($B25, ""price"", AH$1),2,2), 0)"),54.95)</f>
        <v>54.95</v>
      </c>
      <c r="AI25" s="3">
        <f>IFERROR(__xludf.DUMMYFUNCTION("iferror(index(Googlefinance($B25, ""price"", AI$1),2,2), 0)"),55.45)</f>
        <v>55.45</v>
      </c>
      <c r="AJ25" s="3">
        <f>IFERROR(__xludf.DUMMYFUNCTION("iferror(index(Googlefinance($B25, ""price"", AJ$1),2,2), 0)"),54.8)</f>
        <v>54.8</v>
      </c>
      <c r="AK25" s="3">
        <f>IFERROR(__xludf.DUMMYFUNCTION("iferror(index(Googlefinance($B25, ""price"", AK$1),2,2), 0)"),55.4)</f>
        <v>55.4</v>
      </c>
      <c r="AL25" s="3">
        <f>IFERROR(__xludf.DUMMYFUNCTION("iferror(index(Googlefinance($B25, ""price"", AL$1),2,2), 0)"),56.44)</f>
        <v>56.44</v>
      </c>
      <c r="AM25" s="3">
        <f>IFERROR(__xludf.DUMMYFUNCTION("iferror(index(Googlefinance($B25, ""price"", AM$1),2,2), 0)"),56.18)</f>
        <v>56.18</v>
      </c>
      <c r="AN25" s="3">
        <f>IFERROR(__xludf.DUMMYFUNCTION("iferror(index(Googlefinance($B25, ""price"", AN$1),2,2), 0)"),56.18)</f>
        <v>56.18</v>
      </c>
      <c r="AO25" s="3">
        <f>IFERROR(__xludf.DUMMYFUNCTION("iferror(index(Googlefinance($B25, ""price"", AO$1),2,2), 0)"),56.18)</f>
        <v>56.18</v>
      </c>
      <c r="AP25" s="3">
        <f>IFERROR(__xludf.DUMMYFUNCTION("iferror(index(Googlefinance($B25, ""price"", AP$1),2,2), 0)"),57.11)</f>
        <v>57.11</v>
      </c>
      <c r="AQ25" s="3">
        <f>IFERROR(__xludf.DUMMYFUNCTION("iferror(index(Googlefinance($B25, ""price"", AQ$1),2,2), 0)"),57.54)</f>
        <v>57.54</v>
      </c>
      <c r="AR25" s="3">
        <f>IFERROR(__xludf.DUMMYFUNCTION("iferror(index(Googlefinance($B25, ""price"", AR$1),2,2), 0)"),57.47)</f>
        <v>57.47</v>
      </c>
      <c r="AS25" s="3">
        <f>IFERROR(__xludf.DUMMYFUNCTION("iferror(index(Googlefinance($B25, ""price"", AS$1),2,2), 0)"),56.44)</f>
        <v>56.44</v>
      </c>
      <c r="AT25" s="3">
        <f>IFERROR(__xludf.DUMMYFUNCTION("iferror(index(Googlefinance($B25, ""price"", AT$1),2,2), 0)"),56.9)</f>
        <v>56.9</v>
      </c>
      <c r="AU25" s="3">
        <f>IFERROR(__xludf.DUMMYFUNCTION("iferror(index(Googlefinance($B25, ""price"", AU$1),2,2), 0)"),56.9)</f>
        <v>56.9</v>
      </c>
      <c r="AV25" s="3">
        <f>IFERROR(__xludf.DUMMYFUNCTION("iferror(index(Googlefinance($B25, ""price"", AV$1),2,2), 0)"),56.9)</f>
        <v>56.9</v>
      </c>
      <c r="AW25" s="3">
        <f>IFERROR(__xludf.DUMMYFUNCTION("iferror(index(Googlefinance($B25, ""price"", AW$1),2,2), 0)"),56.9)</f>
        <v>56.9</v>
      </c>
      <c r="AX25" s="3">
        <f>IFERROR(__xludf.DUMMYFUNCTION("iferror(index(Googlefinance($B25, ""price"", AX$1),2,2), 0)"),57.55)</f>
        <v>57.55</v>
      </c>
      <c r="AY25" s="3">
        <f>IFERROR(__xludf.DUMMYFUNCTION("iferror(index(Googlefinance($B25, ""price"", AY$1),2,2), 0)"),58.19)</f>
        <v>58.19</v>
      </c>
      <c r="AZ25" s="3">
        <f>IFERROR(__xludf.DUMMYFUNCTION("iferror(index(Googlefinance($B25, ""price"", AZ$1),2,2), 0)"),58.63)</f>
        <v>58.63</v>
      </c>
      <c r="BA25" s="3">
        <f>IFERROR(__xludf.DUMMYFUNCTION("iferror(index(Googlefinance($B25, ""price"", BA$1),2,2), 0)"),57.24)</f>
        <v>57.24</v>
      </c>
      <c r="BB25" s="3">
        <f>IFERROR(__xludf.DUMMYFUNCTION("iferror(index(Googlefinance($B25, ""price"", BB$1),2,2), 0)"),57.24)</f>
        <v>57.24</v>
      </c>
      <c r="BC25" s="3">
        <f>IFERROR(__xludf.DUMMYFUNCTION("iferror(index(Googlefinance($B25, ""price"", BC$1),2,2), 0)"),57.24)</f>
        <v>57.24</v>
      </c>
      <c r="BD25" s="3">
        <f>IFERROR(__xludf.DUMMYFUNCTION("iferror(index(Googlefinance($B25, ""price"", BD$1),2,2), 0)"),59.46)</f>
        <v>59.46</v>
      </c>
      <c r="BE25" s="3">
        <f>IFERROR(__xludf.DUMMYFUNCTION("iferror(index(Googlefinance($B25, ""price"", BE$1),2,2), 0)"),60.3)</f>
        <v>60.3</v>
      </c>
      <c r="BF25" s="3">
        <f>IFERROR(__xludf.DUMMYFUNCTION("iferror(index(Googlefinance($B25, ""price"", BF$1),2,2), 0)"),59.73)</f>
        <v>59.73</v>
      </c>
      <c r="BG25" s="3">
        <f>IFERROR(__xludf.DUMMYFUNCTION("iferror(index(Googlefinance($B25, ""price"", BG$1),2,2), 0)"),58.48)</f>
        <v>58.48</v>
      </c>
      <c r="BH25" s="3">
        <f>IFERROR(__xludf.DUMMYFUNCTION("iferror(index(Googlefinance($B25, ""price"", BH$1),2,2), 0)"),59.78)</f>
        <v>59.78</v>
      </c>
      <c r="BI25" s="3">
        <f>IFERROR(__xludf.DUMMYFUNCTION("iferror(index(Googlefinance($B25, ""price"", BI$1),2,2), 0)"),59.78)</f>
        <v>59.78</v>
      </c>
      <c r="BJ25" s="3">
        <f>IFERROR(__xludf.DUMMYFUNCTION("iferror(index(Googlefinance($B25, ""price"", BJ$1),2,2), 0)"),59.78)</f>
        <v>59.78</v>
      </c>
      <c r="BK25" s="3">
        <f>IFERROR(__xludf.DUMMYFUNCTION("iferror(index(Googlefinance($B25, ""price"", BK$1),2,2), 0)"),59.53)</f>
        <v>59.53</v>
      </c>
      <c r="BL25" s="3">
        <f>IFERROR(__xludf.DUMMYFUNCTION("iferror(index(Googlefinance($B25, ""price"", BL$1),2,2), 0)"),58.78)</f>
        <v>58.78</v>
      </c>
      <c r="BM25" s="3">
        <f>IFERROR(__xludf.DUMMYFUNCTION("iferror(index(Googlefinance($B25, ""price"", BM$1),2,2), 0)"),59.2)</f>
        <v>59.2</v>
      </c>
      <c r="BN25" s="3">
        <f>IFERROR(__xludf.DUMMYFUNCTION("iferror(index(Googlefinance($B25, ""price"", BN$1),2,2), 0)"),60.91)</f>
        <v>60.91</v>
      </c>
      <c r="BO25" s="3">
        <f>IFERROR(__xludf.DUMMYFUNCTION("iferror(index(Googlefinance($B25, ""price"", BO$1),2,2), 0)"),61.61)</f>
        <v>61.61</v>
      </c>
      <c r="BP25" s="3">
        <f>IFERROR(__xludf.DUMMYFUNCTION("iferror(index(Googlefinance($B25, ""price"", BP$1),2,2), 0)"),61.61)</f>
        <v>61.61</v>
      </c>
      <c r="BQ25" s="3">
        <f>IFERROR(__xludf.DUMMYFUNCTION("iferror(index(Googlefinance($B25, ""price"", BQ$1),2,2), 0)"),61.61)</f>
        <v>61.61</v>
      </c>
      <c r="BR25" s="3">
        <f>IFERROR(__xludf.DUMMYFUNCTION("iferror(index(Googlefinance($B25, ""price"", BR$1),2,2), 0)"),60.61)</f>
        <v>60.61</v>
      </c>
      <c r="BS25" s="3">
        <f>IFERROR(__xludf.DUMMYFUNCTION("iferror(index(Googlefinance($B25, ""price"", BS$1),2,2), 0)"),62.2)</f>
        <v>62.2</v>
      </c>
      <c r="BT25" s="3">
        <f>IFERROR(__xludf.DUMMYFUNCTION("iferror(index(Googlefinance($B25, ""price"", BT$1),2,2), 0)"),62.03)</f>
        <v>62.03</v>
      </c>
      <c r="BU25" s="3">
        <f>IFERROR(__xludf.DUMMYFUNCTION("iferror(index(Googlefinance($B25, ""price"", BU$1),2,2), 0)"),63.12)</f>
        <v>63.12</v>
      </c>
      <c r="BV25" s="3">
        <f>IFERROR(__xludf.DUMMYFUNCTION("iferror(index(Googlefinance($B25, ""price"", BV$1),2,2), 0)"),64.05)</f>
        <v>64.05</v>
      </c>
      <c r="BW25" s="3">
        <f>IFERROR(__xludf.DUMMYFUNCTION("iferror(index(Googlefinance($B25, ""price"", BW$1),2,2), 0)"),64.05)</f>
        <v>64.05</v>
      </c>
      <c r="BX25" s="3">
        <f>IFERROR(__xludf.DUMMYFUNCTION("iferror(index(Googlefinance($B25, ""price"", BX$1),2,2), 0)"),64.05)</f>
        <v>64.05</v>
      </c>
      <c r="BY25" s="3">
        <f>IFERROR(__xludf.DUMMYFUNCTION("iferror(index(Googlefinance($B25, ""price"", BY$1),2,2), 0)"),64.35)</f>
        <v>64.35</v>
      </c>
      <c r="BZ25" s="3">
        <f>IFERROR(__xludf.DUMMYFUNCTION("iferror(index(Googlefinance($B25, ""price"", BZ$1),2,2), 0)"),63.75)</f>
        <v>63.75</v>
      </c>
      <c r="CA25" s="3">
        <f>IFERROR(__xludf.DUMMYFUNCTION("iferror(index(Googlefinance($B25, ""price"", CA$1),2,2), 0)"),63.56)</f>
        <v>63.56</v>
      </c>
      <c r="CB25" s="3">
        <f>IFERROR(__xludf.DUMMYFUNCTION("iferror(index(Googlefinance($B25, ""price"", CB$1),2,2), 0)"),63.63)</f>
        <v>63.63</v>
      </c>
      <c r="CC25" s="3">
        <f>IFERROR(__xludf.DUMMYFUNCTION("iferror(index(Googlefinance($B25, ""price"", CC$1),2,2), 0)"),0.0)</f>
        <v>0</v>
      </c>
      <c r="CD25" s="3">
        <f>IFERROR(__xludf.DUMMYFUNCTION("iferror(index(Googlefinance($B25, ""price"", CD$1),2,2), 0)"),0.0)</f>
        <v>0</v>
      </c>
    </row>
    <row r="26">
      <c r="A26" s="1" t="s">
        <v>49</v>
      </c>
      <c r="B26" s="1" t="s">
        <v>50</v>
      </c>
      <c r="C26" s="3">
        <f>IFERROR(__xludf.DUMMYFUNCTION("iferror(index(Googlefinance($B26, ""price"", C$1),2,2), 0)"),54.53)</f>
        <v>54.53</v>
      </c>
      <c r="D26" s="3">
        <f>IFERROR(__xludf.DUMMYFUNCTION("iferror(index(Googlefinance($B26, ""price"", D$1),2,2), 0)"),54.53)</f>
        <v>54.53</v>
      </c>
      <c r="E26" s="3">
        <f>IFERROR(__xludf.DUMMYFUNCTION("iferror(index(Googlefinance($B26, ""price"", E$1),2,2), 0)"),54.53)</f>
        <v>54.53</v>
      </c>
      <c r="F26" s="3">
        <f>IFERROR(__xludf.DUMMYFUNCTION("iferror(index(Googlefinance($B26, ""price"", F$1),2,2), 0)"),54.53)</f>
        <v>54.53</v>
      </c>
      <c r="G26" s="3">
        <f>IFERROR(__xludf.DUMMYFUNCTION("iferror(index(Googlefinance($B26, ""price"", G$1),2,2), 0)"),53.88)</f>
        <v>53.88</v>
      </c>
      <c r="H26" s="3">
        <f>IFERROR(__xludf.DUMMYFUNCTION("iferror(index(Googlefinance($B26, ""price"", H$1),2,2), 0)"),53.26)</f>
        <v>53.26</v>
      </c>
      <c r="I26" s="3">
        <f>IFERROR(__xludf.DUMMYFUNCTION("iferror(index(Googlefinance($B26, ""price"", I$1),2,2), 0)"),52.33)</f>
        <v>52.33</v>
      </c>
      <c r="J26" s="3">
        <f>IFERROR(__xludf.DUMMYFUNCTION("iferror(index(Googlefinance($B26, ""price"", J$1),2,2), 0)"),51.48)</f>
        <v>51.48</v>
      </c>
      <c r="K26" s="3">
        <f>IFERROR(__xludf.DUMMYFUNCTION("iferror(index(Googlefinance($B26, ""price"", K$1),2,2), 0)"),48.18)</f>
        <v>48.18</v>
      </c>
      <c r="L26" s="3">
        <f>IFERROR(__xludf.DUMMYFUNCTION("iferror(index(Googlefinance($B26, ""price"", L$1),2,2), 0)"),48.18)</f>
        <v>48.18</v>
      </c>
      <c r="M26" s="3">
        <f>IFERROR(__xludf.DUMMYFUNCTION("iferror(index(Googlefinance($B26, ""price"", M$1),2,2), 0)"),48.18)</f>
        <v>48.18</v>
      </c>
      <c r="N26" s="3">
        <f>IFERROR(__xludf.DUMMYFUNCTION("iferror(index(Googlefinance($B26, ""price"", N$1),2,2), 0)"),47.04)</f>
        <v>47.04</v>
      </c>
      <c r="O26" s="3">
        <f>IFERROR(__xludf.DUMMYFUNCTION("iferror(index(Googlefinance($B26, ""price"", O$1),2,2), 0)"),47.22)</f>
        <v>47.22</v>
      </c>
      <c r="P26" s="3">
        <f>IFERROR(__xludf.DUMMYFUNCTION("iferror(index(Googlefinance($B26, ""price"", P$1),2,2), 0)"),45.79)</f>
        <v>45.79</v>
      </c>
      <c r="Q26" s="3">
        <f>IFERROR(__xludf.DUMMYFUNCTION("iferror(index(Googlefinance($B26, ""price"", Q$1),2,2), 0)"),45.18)</f>
        <v>45.18</v>
      </c>
      <c r="R26" s="3">
        <f>IFERROR(__xludf.DUMMYFUNCTION("iferror(index(Googlefinance($B26, ""price"", R$1),2,2), 0)"),45.93)</f>
        <v>45.93</v>
      </c>
      <c r="S26" s="3">
        <f>IFERROR(__xludf.DUMMYFUNCTION("iferror(index(Googlefinance($B26, ""price"", S$1),2,2), 0)"),45.93)</f>
        <v>45.93</v>
      </c>
      <c r="T26" s="3">
        <f>IFERROR(__xludf.DUMMYFUNCTION("iferror(index(Googlefinance($B26, ""price"", T$1),2,2), 0)"),45.93)</f>
        <v>45.93</v>
      </c>
      <c r="U26" s="3">
        <f>IFERROR(__xludf.DUMMYFUNCTION("iferror(index(Googlefinance($B26, ""price"", U$1),2,2), 0)"),45.93)</f>
        <v>45.93</v>
      </c>
      <c r="V26" s="3">
        <f>IFERROR(__xludf.DUMMYFUNCTION("iferror(index(Googlefinance($B26, ""price"", V$1),2,2), 0)"),47.6)</f>
        <v>47.6</v>
      </c>
      <c r="W26" s="3">
        <f>IFERROR(__xludf.DUMMYFUNCTION("iferror(index(Googlefinance($B26, ""price"", W$1),2,2), 0)"),47.12)</f>
        <v>47.12</v>
      </c>
      <c r="X26" s="3">
        <f>IFERROR(__xludf.DUMMYFUNCTION("iferror(index(Googlefinance($B26, ""price"", X$1),2,2), 0)"),48.06)</f>
        <v>48.06</v>
      </c>
      <c r="Y26" s="3">
        <f>IFERROR(__xludf.DUMMYFUNCTION("iferror(index(Googlefinance($B26, ""price"", Y$1),2,2), 0)"),47.84)</f>
        <v>47.84</v>
      </c>
      <c r="Z26" s="3">
        <f>IFERROR(__xludf.DUMMYFUNCTION("iferror(index(Googlefinance($B26, ""price"", Z$1),2,2), 0)"),47.84)</f>
        <v>47.84</v>
      </c>
      <c r="AA26" s="3">
        <f>IFERROR(__xludf.DUMMYFUNCTION("iferror(index(Googlefinance($B26, ""price"", AA$1),2,2), 0)"),47.84)</f>
        <v>47.84</v>
      </c>
      <c r="AB26" s="3">
        <f>IFERROR(__xludf.DUMMYFUNCTION("iferror(index(Googlefinance($B26, ""price"", AB$1),2,2), 0)"),49.67)</f>
        <v>49.67</v>
      </c>
      <c r="AC26" s="3">
        <f>IFERROR(__xludf.DUMMYFUNCTION("iferror(index(Googlefinance($B26, ""price"", AC$1),2,2), 0)"),48.19)</f>
        <v>48.19</v>
      </c>
      <c r="AD26" s="3">
        <f>IFERROR(__xludf.DUMMYFUNCTION("iferror(index(Googlefinance($B26, ""price"", AD$1),2,2), 0)"),51.57)</f>
        <v>51.57</v>
      </c>
      <c r="AE26" s="3">
        <f>IFERROR(__xludf.DUMMYFUNCTION("iferror(index(Googlefinance($B26, ""price"", AE$1),2,2), 0)"),50.53)</f>
        <v>50.53</v>
      </c>
      <c r="AF26" s="3">
        <f>IFERROR(__xludf.DUMMYFUNCTION("iferror(index(Googlefinance($B26, ""price"", AF$1),2,2), 0)"),52.66)</f>
        <v>52.66</v>
      </c>
      <c r="AG26" s="3">
        <f>IFERROR(__xludf.DUMMYFUNCTION("iferror(index(Googlefinance($B26, ""price"", AG$1),2,2), 0)"),52.66)</f>
        <v>52.66</v>
      </c>
      <c r="AH26" s="3">
        <f>IFERROR(__xludf.DUMMYFUNCTION("iferror(index(Googlefinance($B26, ""price"", AH$1),2,2), 0)"),52.66)</f>
        <v>52.66</v>
      </c>
      <c r="AI26" s="3">
        <f>IFERROR(__xludf.DUMMYFUNCTION("iferror(index(Googlefinance($B26, ""price"", AI$1),2,2), 0)"),54.0)</f>
        <v>54</v>
      </c>
      <c r="AJ26" s="3">
        <f>IFERROR(__xludf.DUMMYFUNCTION("iferror(index(Googlefinance($B26, ""price"", AJ$1),2,2), 0)"),54.58)</f>
        <v>54.58</v>
      </c>
      <c r="AK26" s="3">
        <f>IFERROR(__xludf.DUMMYFUNCTION("iferror(index(Googlefinance($B26, ""price"", AK$1),2,2), 0)"),56.51)</f>
        <v>56.51</v>
      </c>
      <c r="AL26" s="3">
        <f>IFERROR(__xludf.DUMMYFUNCTION("iferror(index(Googlefinance($B26, ""price"", AL$1),2,2), 0)"),56.78)</f>
        <v>56.78</v>
      </c>
      <c r="AM26" s="3">
        <f>IFERROR(__xludf.DUMMYFUNCTION("iferror(index(Googlefinance($B26, ""price"", AM$1),2,2), 0)"),58.2)</f>
        <v>58.2</v>
      </c>
      <c r="AN26" s="3">
        <f>IFERROR(__xludf.DUMMYFUNCTION("iferror(index(Googlefinance($B26, ""price"", AN$1),2,2), 0)"),58.2)</f>
        <v>58.2</v>
      </c>
      <c r="AO26" s="3">
        <f>IFERROR(__xludf.DUMMYFUNCTION("iferror(index(Googlefinance($B26, ""price"", AO$1),2,2), 0)"),58.2)</f>
        <v>58.2</v>
      </c>
      <c r="AP26" s="3">
        <f>IFERROR(__xludf.DUMMYFUNCTION("iferror(index(Googlefinance($B26, ""price"", AP$1),2,2), 0)"),59.87)</f>
        <v>59.87</v>
      </c>
      <c r="AQ26" s="3">
        <f>IFERROR(__xludf.DUMMYFUNCTION("iferror(index(Googlefinance($B26, ""price"", AQ$1),2,2), 0)"),67.77)</f>
        <v>67.77</v>
      </c>
      <c r="AR26" s="3">
        <f>IFERROR(__xludf.DUMMYFUNCTION("iferror(index(Googlefinance($B26, ""price"", AR$1),2,2), 0)"),68.56)</f>
        <v>68.56</v>
      </c>
      <c r="AS26" s="3">
        <f>IFERROR(__xludf.DUMMYFUNCTION("iferror(index(Googlefinance($B26, ""price"", AS$1),2,2), 0)"),71.9)</f>
        <v>71.9</v>
      </c>
      <c r="AT26" s="3">
        <f>IFERROR(__xludf.DUMMYFUNCTION("iferror(index(Googlefinance($B26, ""price"", AT$1),2,2), 0)"),73.96)</f>
        <v>73.96</v>
      </c>
      <c r="AU26" s="3">
        <f>IFERROR(__xludf.DUMMYFUNCTION("iferror(index(Googlefinance($B26, ""price"", AU$1),2,2), 0)"),73.96)</f>
        <v>73.96</v>
      </c>
      <c r="AV26" s="3">
        <f>IFERROR(__xludf.DUMMYFUNCTION("iferror(index(Googlefinance($B26, ""price"", AV$1),2,2), 0)"),73.96)</f>
        <v>73.96</v>
      </c>
      <c r="AW26" s="3">
        <f>IFERROR(__xludf.DUMMYFUNCTION("iferror(index(Googlefinance($B26, ""price"", AW$1),2,2), 0)"),73.96)</f>
        <v>73.96</v>
      </c>
      <c r="AX26" s="3">
        <f>IFERROR(__xludf.DUMMYFUNCTION("iferror(index(Googlefinance($B26, ""price"", AX$1),2,2), 0)"),71.79)</f>
        <v>71.79</v>
      </c>
      <c r="AY26" s="3">
        <f>IFERROR(__xludf.DUMMYFUNCTION("iferror(index(Googlefinance($B26, ""price"", AY$1),2,2), 0)"),72.26)</f>
        <v>72.26</v>
      </c>
      <c r="AZ26" s="3">
        <f>IFERROR(__xludf.DUMMYFUNCTION("iferror(index(Googlefinance($B26, ""price"", AZ$1),2,2), 0)"),72.28)</f>
        <v>72.28</v>
      </c>
      <c r="BA26" s="3">
        <f>IFERROR(__xludf.DUMMYFUNCTION("iferror(index(Googlefinance($B26, ""price"", BA$1),2,2), 0)"),70.49)</f>
        <v>70.49</v>
      </c>
      <c r="BB26" s="3">
        <f>IFERROR(__xludf.DUMMYFUNCTION("iferror(index(Googlefinance($B26, ""price"", BB$1),2,2), 0)"),70.49)</f>
        <v>70.49</v>
      </c>
      <c r="BC26" s="3">
        <f>IFERROR(__xludf.DUMMYFUNCTION("iferror(index(Googlefinance($B26, ""price"", BC$1),2,2), 0)"),70.49)</f>
        <v>70.49</v>
      </c>
      <c r="BD26" s="3">
        <f>IFERROR(__xludf.DUMMYFUNCTION("iferror(index(Googlefinance($B26, ""price"", BD$1),2,2), 0)"),73.17)</f>
        <v>73.17</v>
      </c>
      <c r="BE26" s="3">
        <f>IFERROR(__xludf.DUMMYFUNCTION("iferror(index(Googlefinance($B26, ""price"", BE$1),2,2), 0)"),71.92)</f>
        <v>71.92</v>
      </c>
      <c r="BF26" s="3">
        <f>IFERROR(__xludf.DUMMYFUNCTION("iferror(index(Googlefinance($B26, ""price"", BF$1),2,2), 0)"),74.59)</f>
        <v>74.59</v>
      </c>
      <c r="BG26" s="3">
        <f>IFERROR(__xludf.DUMMYFUNCTION("iferror(index(Googlefinance($B26, ""price"", BG$1),2,2), 0)"),77.06)</f>
        <v>77.06</v>
      </c>
      <c r="BH26" s="3">
        <f>IFERROR(__xludf.DUMMYFUNCTION("iferror(index(Googlefinance($B26, ""price"", BH$1),2,2), 0)"),77.63)</f>
        <v>77.63</v>
      </c>
      <c r="BI26" s="3">
        <f>IFERROR(__xludf.DUMMYFUNCTION("iferror(index(Googlefinance($B26, ""price"", BI$1),2,2), 0)"),77.63)</f>
        <v>77.63</v>
      </c>
      <c r="BJ26" s="3">
        <f>IFERROR(__xludf.DUMMYFUNCTION("iferror(index(Googlefinance($B26, ""price"", BJ$1),2,2), 0)"),77.63)</f>
        <v>77.63</v>
      </c>
      <c r="BK26" s="3">
        <f>IFERROR(__xludf.DUMMYFUNCTION("iferror(index(Googlefinance($B26, ""price"", BK$1),2,2), 0)"),73.67)</f>
        <v>73.67</v>
      </c>
      <c r="BL26" s="3">
        <f>IFERROR(__xludf.DUMMYFUNCTION("iferror(index(Googlefinance($B26, ""price"", BL$1),2,2), 0)"),70.86)</f>
        <v>70.86</v>
      </c>
      <c r="BM26" s="3">
        <f>IFERROR(__xludf.DUMMYFUNCTION("iferror(index(Googlefinance($B26, ""price"", BM$1),2,2), 0)"),66.75)</f>
        <v>66.75</v>
      </c>
      <c r="BN26" s="3">
        <f>IFERROR(__xludf.DUMMYFUNCTION("iferror(index(Googlefinance($B26, ""price"", BN$1),2,2), 0)"),66.95)</f>
        <v>66.95</v>
      </c>
      <c r="BO26" s="3">
        <f>IFERROR(__xludf.DUMMYFUNCTION("iferror(index(Googlefinance($B26, ""price"", BO$1),2,2), 0)"),63.48)</f>
        <v>63.48</v>
      </c>
      <c r="BP26" s="3">
        <f>IFERROR(__xludf.DUMMYFUNCTION("iferror(index(Googlefinance($B26, ""price"", BP$1),2,2), 0)"),63.48)</f>
        <v>63.48</v>
      </c>
      <c r="BQ26" s="3">
        <f>IFERROR(__xludf.DUMMYFUNCTION("iferror(index(Googlefinance($B26, ""price"", BQ$1),2,2), 0)"),63.48)</f>
        <v>63.48</v>
      </c>
      <c r="BR26" s="3">
        <f>IFERROR(__xludf.DUMMYFUNCTION("iferror(index(Googlefinance($B26, ""price"", BR$1),2,2), 0)"),67.52)</f>
        <v>67.52</v>
      </c>
      <c r="BS26" s="3">
        <f>IFERROR(__xludf.DUMMYFUNCTION("iferror(index(Googlefinance($B26, ""price"", BS$1),2,2), 0)"),64.83)</f>
        <v>64.83</v>
      </c>
      <c r="BT26" s="3">
        <f>IFERROR(__xludf.DUMMYFUNCTION("iferror(index(Googlefinance($B26, ""price"", BT$1),2,2), 0)"),68.46)</f>
        <v>68.46</v>
      </c>
      <c r="BU26" s="3">
        <f>IFERROR(__xludf.DUMMYFUNCTION("iferror(index(Googlefinance($B26, ""price"", BU$1),2,2), 0)"),68.1)</f>
        <v>68.1</v>
      </c>
      <c r="BV26" s="3">
        <f>IFERROR(__xludf.DUMMYFUNCTION("iferror(index(Googlefinance($B26, ""price"", BV$1),2,2), 0)"),70.28)</f>
        <v>70.28</v>
      </c>
      <c r="BW26" s="3">
        <f>IFERROR(__xludf.DUMMYFUNCTION("iferror(index(Googlefinance($B26, ""price"", BW$1),2,2), 0)"),70.28)</f>
        <v>70.28</v>
      </c>
      <c r="BX26" s="3">
        <f>IFERROR(__xludf.DUMMYFUNCTION("iferror(index(Googlefinance($B26, ""price"", BX$1),2,2), 0)"),70.28)</f>
        <v>70.28</v>
      </c>
      <c r="BY26" s="3">
        <f>IFERROR(__xludf.DUMMYFUNCTION("iferror(index(Googlefinance($B26, ""price"", BY$1),2,2), 0)"),69.25)</f>
        <v>69.25</v>
      </c>
      <c r="BZ26" s="3">
        <f>IFERROR(__xludf.DUMMYFUNCTION("iferror(index(Googlefinance($B26, ""price"", BZ$1),2,2), 0)"),70.2)</f>
        <v>70.2</v>
      </c>
      <c r="CA26" s="3">
        <f>IFERROR(__xludf.DUMMYFUNCTION("iferror(index(Googlefinance($B26, ""price"", CA$1),2,2), 0)"),66.72)</f>
        <v>66.72</v>
      </c>
      <c r="CB26" s="3">
        <f>IFERROR(__xludf.DUMMYFUNCTION("iferror(index(Googlefinance($B26, ""price"", CB$1),2,2), 0)"),66.23)</f>
        <v>66.23</v>
      </c>
      <c r="CC26" s="3">
        <f>IFERROR(__xludf.DUMMYFUNCTION("iferror(index(Googlefinance($B26, ""price"", CC$1),2,2), 0)"),0.0)</f>
        <v>0</v>
      </c>
      <c r="CD26" s="3">
        <f>IFERROR(__xludf.DUMMYFUNCTION("iferror(index(Googlefinance($B26, ""price"", CD$1),2,2), 0)"),0.0)</f>
        <v>0</v>
      </c>
    </row>
    <row r="27">
      <c r="A27" s="1" t="s">
        <v>51</v>
      </c>
      <c r="B27" s="1" t="s">
        <v>52</v>
      </c>
      <c r="C27" s="3">
        <f>IFERROR(__xludf.DUMMYFUNCTION("iferror(index(Googlefinance($B27, ""price"", C$1),2,2), 0)"),86.14)</f>
        <v>86.14</v>
      </c>
      <c r="D27" s="3">
        <f>IFERROR(__xludf.DUMMYFUNCTION("iferror(index(Googlefinance($B27, ""price"", D$1),2,2), 0)"),86.14)</f>
        <v>86.14</v>
      </c>
      <c r="E27" s="3">
        <f>IFERROR(__xludf.DUMMYFUNCTION("iferror(index(Googlefinance($B27, ""price"", E$1),2,2), 0)"),86.14)</f>
        <v>86.14</v>
      </c>
      <c r="F27" s="3">
        <f>IFERROR(__xludf.DUMMYFUNCTION("iferror(index(Googlefinance($B27, ""price"", F$1),2,2), 0)"),86.14)</f>
        <v>86.14</v>
      </c>
      <c r="G27" s="3">
        <f>IFERROR(__xludf.DUMMYFUNCTION("iferror(index(Googlefinance($B27, ""price"", G$1),2,2), 0)"),86.7)</f>
        <v>86.7</v>
      </c>
      <c r="H27" s="3">
        <f>IFERROR(__xludf.DUMMYFUNCTION("iferror(index(Googlefinance($B27, ""price"", H$1),2,2), 0)"),81.62)</f>
        <v>81.62</v>
      </c>
      <c r="I27" s="3">
        <f>IFERROR(__xludf.DUMMYFUNCTION("iferror(index(Googlefinance($B27, ""price"", I$1),2,2), 0)"),86.91)</f>
        <v>86.91</v>
      </c>
      <c r="J27" s="3">
        <f>IFERROR(__xludf.DUMMYFUNCTION("iferror(index(Googlefinance($B27, ""price"", J$1),2,2), 0)"),88.22)</f>
        <v>88.22</v>
      </c>
      <c r="K27" s="3">
        <f>IFERROR(__xludf.DUMMYFUNCTION("iferror(index(Googlefinance($B27, ""price"", K$1),2,2), 0)"),85.09)</f>
        <v>85.09</v>
      </c>
      <c r="L27" s="3">
        <f>IFERROR(__xludf.DUMMYFUNCTION("iferror(index(Googlefinance($B27, ""price"", L$1),2,2), 0)"),85.09)</f>
        <v>85.09</v>
      </c>
      <c r="M27" s="3">
        <f>IFERROR(__xludf.DUMMYFUNCTION("iferror(index(Googlefinance($B27, ""price"", M$1),2,2), 0)"),85.09)</f>
        <v>85.09</v>
      </c>
      <c r="N27" s="3">
        <f>IFERROR(__xludf.DUMMYFUNCTION("iferror(index(Googlefinance($B27, ""price"", N$1),2,2), 0)"),89.62)</f>
        <v>89.62</v>
      </c>
      <c r="O27" s="3">
        <f>IFERROR(__xludf.DUMMYFUNCTION("iferror(index(Googlefinance($B27, ""price"", O$1),2,2), 0)"),90.59)</f>
        <v>90.59</v>
      </c>
      <c r="P27" s="3">
        <f>IFERROR(__xludf.DUMMYFUNCTION("iferror(index(Googlefinance($B27, ""price"", P$1),2,2), 0)"),91.12)</f>
        <v>91.12</v>
      </c>
      <c r="Q27" s="3">
        <f>IFERROR(__xludf.DUMMYFUNCTION("iferror(index(Googlefinance($B27, ""price"", Q$1),2,2), 0)"),88.21)</f>
        <v>88.21</v>
      </c>
      <c r="R27" s="3">
        <f>IFERROR(__xludf.DUMMYFUNCTION("iferror(index(Googlefinance($B27, ""price"", R$1),2,2), 0)"),95.31)</f>
        <v>95.31</v>
      </c>
      <c r="S27" s="3">
        <f>IFERROR(__xludf.DUMMYFUNCTION("iferror(index(Googlefinance($B27, ""price"", S$1),2,2), 0)"),95.31)</f>
        <v>95.31</v>
      </c>
      <c r="T27" s="3">
        <f>IFERROR(__xludf.DUMMYFUNCTION("iferror(index(Googlefinance($B27, ""price"", T$1),2,2), 0)"),95.31)</f>
        <v>95.31</v>
      </c>
      <c r="U27" s="3">
        <f>IFERROR(__xludf.DUMMYFUNCTION("iferror(index(Googlefinance($B27, ""price"", U$1),2,2), 0)"),95.31)</f>
        <v>95.31</v>
      </c>
      <c r="V27" s="3">
        <f>IFERROR(__xludf.DUMMYFUNCTION("iferror(index(Googlefinance($B27, ""price"", V$1),2,2), 0)"),97.55)</f>
        <v>97.55</v>
      </c>
      <c r="W27" s="3">
        <f>IFERROR(__xludf.DUMMYFUNCTION("iferror(index(Googlefinance($B27, ""price"", W$1),2,2), 0)"),104.13)</f>
        <v>104.13</v>
      </c>
      <c r="X27" s="3">
        <f>IFERROR(__xludf.DUMMYFUNCTION("iferror(index(Googlefinance($B27, ""price"", X$1),2,2), 0)"),103.28)</f>
        <v>103.28</v>
      </c>
      <c r="Y27" s="3">
        <f>IFERROR(__xludf.DUMMYFUNCTION("iferror(index(Googlefinance($B27, ""price"", Y$1),2,2), 0)"),105.21)</f>
        <v>105.21</v>
      </c>
      <c r="Z27" s="3">
        <f>IFERROR(__xludf.DUMMYFUNCTION("iferror(index(Googlefinance($B27, ""price"", Z$1),2,2), 0)"),105.21)</f>
        <v>105.21</v>
      </c>
      <c r="AA27" s="3">
        <f>IFERROR(__xludf.DUMMYFUNCTION("iferror(index(Googlefinance($B27, ""price"", AA$1),2,2), 0)"),105.21)</f>
        <v>105.21</v>
      </c>
      <c r="AB27" s="3">
        <f>IFERROR(__xludf.DUMMYFUNCTION("iferror(index(Googlefinance($B27, ""price"", AB$1),2,2), 0)"),106.99)</f>
        <v>106.99</v>
      </c>
      <c r="AC27" s="3">
        <f>IFERROR(__xludf.DUMMYFUNCTION("iferror(index(Googlefinance($B27, ""price"", AC$1),2,2), 0)"),108.98)</f>
        <v>108.98</v>
      </c>
      <c r="AD27" s="3">
        <f>IFERROR(__xludf.DUMMYFUNCTION("iferror(index(Googlefinance($B27, ""price"", AD$1),2,2), 0)"),109.54)</f>
        <v>109.54</v>
      </c>
      <c r="AE27" s="3">
        <f>IFERROR(__xludf.DUMMYFUNCTION("iferror(index(Googlefinance($B27, ""price"", AE$1),2,2), 0)"),109.35)</f>
        <v>109.35</v>
      </c>
      <c r="AF27" s="3">
        <f>IFERROR(__xludf.DUMMYFUNCTION("iferror(index(Googlefinance($B27, ""price"", AF$1),2,2), 0)"),109.67)</f>
        <v>109.67</v>
      </c>
      <c r="AG27" s="3">
        <f>IFERROR(__xludf.DUMMYFUNCTION("iferror(index(Googlefinance($B27, ""price"", AG$1),2,2), 0)"),109.67)</f>
        <v>109.67</v>
      </c>
      <c r="AH27" s="3">
        <f>IFERROR(__xludf.DUMMYFUNCTION("iferror(index(Googlefinance($B27, ""price"", AH$1),2,2), 0)"),109.67)</f>
        <v>109.67</v>
      </c>
      <c r="AI27" s="3">
        <f>IFERROR(__xludf.DUMMYFUNCTION("iferror(index(Googlefinance($B27, ""price"", AI$1),2,2), 0)"),106.3)</f>
        <v>106.3</v>
      </c>
      <c r="AJ27" s="3">
        <f>IFERROR(__xludf.DUMMYFUNCTION("iferror(index(Googlefinance($B27, ""price"", AJ$1),2,2), 0)"),109.83)</f>
        <v>109.83</v>
      </c>
      <c r="AK27" s="3">
        <f>IFERROR(__xludf.DUMMYFUNCTION("iferror(index(Googlefinance($B27, ""price"", AK$1),2,2), 0)"),111.67)</f>
        <v>111.67</v>
      </c>
      <c r="AL27" s="3">
        <f>IFERROR(__xludf.DUMMYFUNCTION("iferror(index(Googlefinance($B27, ""price"", AL$1),2,2), 0)"),113.15)</f>
        <v>113.15</v>
      </c>
      <c r="AM27" s="3">
        <f>IFERROR(__xludf.DUMMYFUNCTION("iferror(index(Googlefinance($B27, ""price"", AM$1),2,2), 0)"),111.65)</f>
        <v>111.65</v>
      </c>
      <c r="AN27" s="3">
        <f>IFERROR(__xludf.DUMMYFUNCTION("iferror(index(Googlefinance($B27, ""price"", AN$1),2,2), 0)"),111.65)</f>
        <v>111.65</v>
      </c>
      <c r="AO27" s="3">
        <f>IFERROR(__xludf.DUMMYFUNCTION("iferror(index(Googlefinance($B27, ""price"", AO$1),2,2), 0)"),111.65)</f>
        <v>111.65</v>
      </c>
      <c r="AP27" s="3">
        <f>IFERROR(__xludf.DUMMYFUNCTION("iferror(index(Googlefinance($B27, ""price"", AP$1),2,2), 0)"),117.86)</f>
        <v>117.86</v>
      </c>
      <c r="AQ27" s="3">
        <f>IFERROR(__xludf.DUMMYFUNCTION("iferror(index(Googlefinance($B27, ""price"", AQ$1),2,2), 0)"),109.51)</f>
        <v>109.51</v>
      </c>
      <c r="AR27" s="3">
        <f>IFERROR(__xludf.DUMMYFUNCTION("iferror(index(Googlefinance($B27, ""price"", AR$1),2,2), 0)"),108.26)</f>
        <v>108.26</v>
      </c>
      <c r="AS27" s="3">
        <f>IFERROR(__xludf.DUMMYFUNCTION("iferror(index(Googlefinance($B27, ""price"", AS$1),2,2), 0)"),102.06)</f>
        <v>102.06</v>
      </c>
      <c r="AT27" s="3">
        <f>IFERROR(__xludf.DUMMYFUNCTION("iferror(index(Googlefinance($B27, ""price"", AT$1),2,2), 0)"),97.5)</f>
        <v>97.5</v>
      </c>
      <c r="AU27" s="3">
        <f>IFERROR(__xludf.DUMMYFUNCTION("iferror(index(Googlefinance($B27, ""price"", AU$1),2,2), 0)"),97.5)</f>
        <v>97.5</v>
      </c>
      <c r="AV27" s="3">
        <f>IFERROR(__xludf.DUMMYFUNCTION("iferror(index(Googlefinance($B27, ""price"", AV$1),2,2), 0)"),97.5)</f>
        <v>97.5</v>
      </c>
      <c r="AW27" s="3">
        <f>IFERROR(__xludf.DUMMYFUNCTION("iferror(index(Googlefinance($B27, ""price"", AW$1),2,2), 0)"),97.5)</f>
        <v>97.5</v>
      </c>
      <c r="AX27" s="3">
        <f>IFERROR(__xludf.DUMMYFUNCTION("iferror(index(Googlefinance($B27, ""price"", AX$1),2,2), 0)"),94.85)</f>
        <v>94.85</v>
      </c>
      <c r="AY27" s="3">
        <f>IFERROR(__xludf.DUMMYFUNCTION("iferror(index(Googlefinance($B27, ""price"", AY$1),2,2), 0)"),80.2)</f>
        <v>80.2</v>
      </c>
      <c r="AZ27" s="3">
        <f>IFERROR(__xludf.DUMMYFUNCTION("iferror(index(Googlefinance($B27, ""price"", AZ$1),2,2), 0)"),80.68)</f>
        <v>80.68</v>
      </c>
      <c r="BA27" s="3">
        <f>IFERROR(__xludf.DUMMYFUNCTION("iferror(index(Googlefinance($B27, ""price"", BA$1),2,2), 0)"),76.39)</f>
        <v>76.39</v>
      </c>
      <c r="BB27" s="3">
        <f>IFERROR(__xludf.DUMMYFUNCTION("iferror(index(Googlefinance($B27, ""price"", BB$1),2,2), 0)"),76.39)</f>
        <v>76.39</v>
      </c>
      <c r="BC27" s="3">
        <f>IFERROR(__xludf.DUMMYFUNCTION("iferror(index(Googlefinance($B27, ""price"", BC$1),2,2), 0)"),76.39)</f>
        <v>76.39</v>
      </c>
      <c r="BD27" s="3">
        <f>IFERROR(__xludf.DUMMYFUNCTION("iferror(index(Googlefinance($B27, ""price"", BD$1),2,2), 0)"),77.91)</f>
        <v>77.91</v>
      </c>
      <c r="BE27" s="3">
        <f>IFERROR(__xludf.DUMMYFUNCTION("iferror(index(Googlefinance($B27, ""price"", BE$1),2,2), 0)"),75.76)</f>
        <v>75.76</v>
      </c>
      <c r="BF27" s="3">
        <f>IFERROR(__xludf.DUMMYFUNCTION("iferror(index(Googlefinance($B27, ""price"", BF$1),2,2), 0)"),72.19)</f>
        <v>72.19</v>
      </c>
      <c r="BG27" s="3">
        <f>IFERROR(__xludf.DUMMYFUNCTION("iferror(index(Googlefinance($B27, ""price"", BG$1),2,2), 0)"),73.58)</f>
        <v>73.58</v>
      </c>
      <c r="BH27" s="3">
        <f>IFERROR(__xludf.DUMMYFUNCTION("iferror(index(Googlefinance($B27, ""price"", BH$1),2,2), 0)"),77.25)</f>
        <v>77.25</v>
      </c>
      <c r="BI27" s="3">
        <f>IFERROR(__xludf.DUMMYFUNCTION("iferror(index(Googlefinance($B27, ""price"", BI$1),2,2), 0)"),77.25)</f>
        <v>77.25</v>
      </c>
      <c r="BJ27" s="3">
        <f>IFERROR(__xludf.DUMMYFUNCTION("iferror(index(Googlefinance($B27, ""price"", BJ$1),2,2), 0)"),77.25)</f>
        <v>77.25</v>
      </c>
      <c r="BK27" s="3">
        <f>IFERROR(__xludf.DUMMYFUNCTION("iferror(index(Googlefinance($B27, ""price"", BK$1),2,2), 0)"),70.9)</f>
        <v>70.9</v>
      </c>
      <c r="BL27" s="3">
        <f>IFERROR(__xludf.DUMMYFUNCTION("iferror(index(Googlefinance($B27, ""price"", BL$1),2,2), 0)"),68.01)</f>
        <v>68.01</v>
      </c>
      <c r="BM27" s="3">
        <f>IFERROR(__xludf.DUMMYFUNCTION("iferror(index(Googlefinance($B27, ""price"", BM$1),2,2), 0)"),65.49)</f>
        <v>65.49</v>
      </c>
      <c r="BN27" s="3">
        <f>IFERROR(__xludf.DUMMYFUNCTION("iferror(index(Googlefinance($B27, ""price"", BN$1),2,2), 0)"),64.84)</f>
        <v>64.84</v>
      </c>
      <c r="BO27" s="3">
        <f>IFERROR(__xludf.DUMMYFUNCTION("iferror(index(Googlefinance($B27, ""price"", BO$1),2,2), 0)"),62.05)</f>
        <v>62.05</v>
      </c>
      <c r="BP27" s="3">
        <f>IFERROR(__xludf.DUMMYFUNCTION("iferror(index(Googlefinance($B27, ""price"", BP$1),2,2), 0)"),62.05)</f>
        <v>62.05</v>
      </c>
      <c r="BQ27" s="3">
        <f>IFERROR(__xludf.DUMMYFUNCTION("iferror(index(Googlefinance($B27, ""price"", BQ$1),2,2), 0)"),62.05)</f>
        <v>62.05</v>
      </c>
      <c r="BR27" s="3">
        <f>IFERROR(__xludf.DUMMYFUNCTION("iferror(index(Googlefinance($B27, ""price"", BR$1),2,2), 0)"),69.0)</f>
        <v>69</v>
      </c>
      <c r="BS27" s="3">
        <f>IFERROR(__xludf.DUMMYFUNCTION("iferror(index(Googlefinance($B27, ""price"", BS$1),2,2), 0)"),68.99)</f>
        <v>68.99</v>
      </c>
      <c r="BT27" s="3">
        <f>IFERROR(__xludf.DUMMYFUNCTION("iferror(index(Googlefinance($B27, ""price"", BT$1),2,2), 0)"),75.44)</f>
        <v>75.44</v>
      </c>
      <c r="BU27" s="3">
        <f>IFERROR(__xludf.DUMMYFUNCTION("iferror(index(Googlefinance($B27, ""price"", BU$1),2,2), 0)"),75.16)</f>
        <v>75.16</v>
      </c>
      <c r="BV27" s="3">
        <f>IFERROR(__xludf.DUMMYFUNCTION("iferror(index(Googlefinance($B27, ""price"", BV$1),2,2), 0)"),76.56)</f>
        <v>76.56</v>
      </c>
      <c r="BW27" s="3">
        <f>IFERROR(__xludf.DUMMYFUNCTION("iferror(index(Googlefinance($B27, ""price"", BW$1),2,2), 0)"),76.56)</f>
        <v>76.56</v>
      </c>
      <c r="BX27" s="3">
        <f>IFERROR(__xludf.DUMMYFUNCTION("iferror(index(Googlefinance($B27, ""price"", BX$1),2,2), 0)"),76.56)</f>
        <v>76.56</v>
      </c>
      <c r="BY27" s="3">
        <f>IFERROR(__xludf.DUMMYFUNCTION("iferror(index(Googlefinance($B27, ""price"", BY$1),2,2), 0)"),74.16)</f>
        <v>74.16</v>
      </c>
      <c r="BZ27" s="3">
        <f>IFERROR(__xludf.DUMMYFUNCTION("iferror(index(Googlefinance($B27, ""price"", BZ$1),2,2), 0)"),75.29)</f>
        <v>75.29</v>
      </c>
      <c r="CA27" s="3">
        <f>IFERROR(__xludf.DUMMYFUNCTION("iferror(index(Googlefinance($B27, ""price"", CA$1),2,2), 0)"),70.33)</f>
        <v>70.33</v>
      </c>
      <c r="CB27" s="3">
        <f>IFERROR(__xludf.DUMMYFUNCTION("iferror(index(Googlefinance($B27, ""price"", CB$1),2,2), 0)"),70.8)</f>
        <v>70.8</v>
      </c>
      <c r="CC27" s="3">
        <f>IFERROR(__xludf.DUMMYFUNCTION("iferror(index(Googlefinance($B27, ""price"", CC$1),2,2), 0)"),0.0)</f>
        <v>0</v>
      </c>
      <c r="CD27" s="3">
        <f>IFERROR(__xludf.DUMMYFUNCTION("iferror(index(Googlefinance($B27, ""price"", CD$1),2,2), 0)"),0.0)</f>
        <v>0</v>
      </c>
    </row>
    <row r="28">
      <c r="A28" s="1" t="s">
        <v>53</v>
      </c>
      <c r="B28" s="1" t="s">
        <v>54</v>
      </c>
      <c r="C28" s="3">
        <f>IFERROR(__xludf.DUMMYFUNCTION("iferror(index(Googlefinance($B28, ""price"", C$1),2,2), 0)"),317.9)</f>
        <v>317.9</v>
      </c>
      <c r="D28" s="3">
        <f>IFERROR(__xludf.DUMMYFUNCTION("iferror(index(Googlefinance($B28, ""price"", D$1),2,2), 0)"),317.9)</f>
        <v>317.9</v>
      </c>
      <c r="E28" s="3">
        <f>IFERROR(__xludf.DUMMYFUNCTION("iferror(index(Googlefinance($B28, ""price"", E$1),2,2), 0)"),317.9)</f>
        <v>317.9</v>
      </c>
      <c r="F28" s="3">
        <f>IFERROR(__xludf.DUMMYFUNCTION("iferror(index(Googlefinance($B28, ""price"", F$1),2,2), 0)"),317.9)</f>
        <v>317.9</v>
      </c>
      <c r="G28" s="3">
        <f>IFERROR(__xludf.DUMMYFUNCTION("iferror(index(Googlefinance($B28, ""price"", G$1),2,2), 0)"),335.18)</f>
        <v>335.18</v>
      </c>
      <c r="H28" s="3">
        <f>IFERROR(__xludf.DUMMYFUNCTION("iferror(index(Googlefinance($B28, ""price"", H$1),2,2), 0)"),342.95)</f>
        <v>342.95</v>
      </c>
      <c r="I28" s="3">
        <f>IFERROR(__xludf.DUMMYFUNCTION("iferror(index(Googlefinance($B28, ""price"", I$1),2,2), 0)"),379.29)</f>
        <v>379.29</v>
      </c>
      <c r="J28" s="3">
        <f>IFERROR(__xludf.DUMMYFUNCTION("iferror(index(Googlefinance($B28, ""price"", J$1),2,2), 0)"),399.13)</f>
        <v>399.13</v>
      </c>
      <c r="K28" s="3">
        <f>IFERROR(__xludf.DUMMYFUNCTION("iferror(index(Googlefinance($B28, ""price"", K$1),2,2), 0)"),403.13)</f>
        <v>403.13</v>
      </c>
      <c r="L28" s="3">
        <f>IFERROR(__xludf.DUMMYFUNCTION("iferror(index(Googlefinance($B28, ""price"", L$1),2,2), 0)"),403.13)</f>
        <v>403.13</v>
      </c>
      <c r="M28" s="3">
        <f>IFERROR(__xludf.DUMMYFUNCTION("iferror(index(Googlefinance($B28, ""price"", M$1),2,2), 0)"),403.13)</f>
        <v>403.13</v>
      </c>
      <c r="N28" s="3">
        <f>IFERROR(__xludf.DUMMYFUNCTION("iferror(index(Googlefinance($B28, ""price"", N$1),2,2), 0)"),415.29)</f>
        <v>415.29</v>
      </c>
      <c r="O28" s="3">
        <f>IFERROR(__xludf.DUMMYFUNCTION("iferror(index(Googlefinance($B28, ""price"", O$1),2,2), 0)"),408.6)</f>
        <v>408.6</v>
      </c>
      <c r="P28" s="3">
        <f>IFERROR(__xludf.DUMMYFUNCTION("iferror(index(Googlefinance($B28, ""price"", P$1),2,2), 0)"),418.46)</f>
        <v>418.46</v>
      </c>
      <c r="Q28" s="3">
        <f>IFERROR(__xludf.DUMMYFUNCTION("iferror(index(Googlefinance($B28, ""price"", Q$1),2,2), 0)"),408.3)</f>
        <v>408.3</v>
      </c>
      <c r="R28" s="3">
        <f>IFERROR(__xludf.DUMMYFUNCTION("iferror(index(Googlefinance($B28, ""price"", R$1),2,2), 0)"),434.14)</f>
        <v>434.14</v>
      </c>
      <c r="S28" s="3">
        <f>IFERROR(__xludf.DUMMYFUNCTION("iferror(index(Googlefinance($B28, ""price"", S$1),2,2), 0)"),434.14)</f>
        <v>434.14</v>
      </c>
      <c r="T28" s="3">
        <f>IFERROR(__xludf.DUMMYFUNCTION("iferror(index(Googlefinance($B28, ""price"", T$1),2,2), 0)"),434.14)</f>
        <v>434.14</v>
      </c>
      <c r="U28" s="3">
        <f>IFERROR(__xludf.DUMMYFUNCTION("iferror(index(Googlefinance($B28, ""price"", U$1),2,2), 0)"),434.14)</f>
        <v>434.14</v>
      </c>
      <c r="V28" s="3">
        <f>IFERROR(__xludf.DUMMYFUNCTION("iferror(index(Googlefinance($B28, ""price"", V$1),2,2), 0)"),428.5)</f>
        <v>428.5</v>
      </c>
      <c r="W28" s="3">
        <f>IFERROR(__xludf.DUMMYFUNCTION("iferror(index(Googlefinance($B28, ""price"", W$1),2,2), 0)"),423.64)</f>
        <v>423.64</v>
      </c>
      <c r="X28" s="3">
        <f>IFERROR(__xludf.DUMMYFUNCTION("iferror(index(Googlefinance($B28, ""price"", X$1),2,2), 0)"),422.85)</f>
        <v>422.85</v>
      </c>
      <c r="Y28" s="3">
        <f>IFERROR(__xludf.DUMMYFUNCTION("iferror(index(Googlefinance($B28, ""price"", Y$1),2,2), 0)"),426.64)</f>
        <v>426.64</v>
      </c>
      <c r="Z28" s="3">
        <f>IFERROR(__xludf.DUMMYFUNCTION("iferror(index(Googlefinance($B28, ""price"", Z$1),2,2), 0)"),426.64)</f>
        <v>426.64</v>
      </c>
      <c r="AA28" s="3">
        <f>IFERROR(__xludf.DUMMYFUNCTION("iferror(index(Googlefinance($B28, ""price"", AA$1),2,2), 0)"),426.64)</f>
        <v>426.64</v>
      </c>
      <c r="AB28" s="3">
        <f>IFERROR(__xludf.DUMMYFUNCTION("iferror(index(Googlefinance($B28, ""price"", AB$1),2,2), 0)"),403.4)</f>
        <v>403.4</v>
      </c>
      <c r="AC28" s="3">
        <f>IFERROR(__xludf.DUMMYFUNCTION("iferror(index(Googlefinance($B28, ""price"", AC$1),2,2), 0)"),402.26)</f>
        <v>402.26</v>
      </c>
      <c r="AD28" s="3">
        <f>IFERROR(__xludf.DUMMYFUNCTION("iferror(index(Googlefinance($B28, ""price"", AD$1),2,2), 0)"),404.01)</f>
        <v>404.01</v>
      </c>
      <c r="AE28" s="3">
        <f>IFERROR(__xludf.DUMMYFUNCTION("iferror(index(Googlefinance($B28, ""price"", AE$1),2,2), 0)"),389.03)</f>
        <v>389.03</v>
      </c>
      <c r="AF28" s="3">
        <f>IFERROR(__xludf.DUMMYFUNCTION("iferror(index(Googlefinance($B28, ""price"", AF$1),2,2), 0)"),416.2)</f>
        <v>416.2</v>
      </c>
      <c r="AG28" s="3">
        <f>IFERROR(__xludf.DUMMYFUNCTION("iferror(index(Googlefinance($B28, ""price"", AG$1),2,2), 0)"),416.2)</f>
        <v>416.2</v>
      </c>
      <c r="AH28" s="3">
        <f>IFERROR(__xludf.DUMMYFUNCTION("iferror(index(Googlefinance($B28, ""price"", AH$1),2,2), 0)"),416.2)</f>
        <v>416.2</v>
      </c>
      <c r="AI28" s="3">
        <f>IFERROR(__xludf.DUMMYFUNCTION("iferror(index(Googlefinance($B28, ""price"", AI$1),2,2), 0)"),418.75)</f>
        <v>418.75</v>
      </c>
      <c r="AJ28" s="3">
        <f>IFERROR(__xludf.DUMMYFUNCTION("iferror(index(Googlefinance($B28, ""price"", AJ$1),2,2), 0)"),425.07)</f>
        <v>425.07</v>
      </c>
      <c r="AK28" s="3">
        <f>IFERROR(__xludf.DUMMYFUNCTION("iferror(index(Googlefinance($B28, ""price"", AK$1),2,2), 0)"),432.68)</f>
        <v>432.68</v>
      </c>
      <c r="AL28" s="3">
        <f>IFERROR(__xludf.DUMMYFUNCTION("iferror(index(Googlefinance($B28, ""price"", AL$1),2,2), 0)"),439.89)</f>
        <v>439.89</v>
      </c>
      <c r="AM28" s="3">
        <f>IFERROR(__xludf.DUMMYFUNCTION("iferror(index(Googlefinance($B28, ""price"", AM$1),2,2), 0)"),434.63)</f>
        <v>434.63</v>
      </c>
      <c r="AN28" s="3">
        <f>IFERROR(__xludf.DUMMYFUNCTION("iferror(index(Googlefinance($B28, ""price"", AN$1),2,2), 0)"),434.63)</f>
        <v>434.63</v>
      </c>
      <c r="AO28" s="3">
        <f>IFERROR(__xludf.DUMMYFUNCTION("iferror(index(Googlefinance($B28, ""price"", AO$1),2,2), 0)"),434.63)</f>
        <v>434.63</v>
      </c>
      <c r="AP28" s="3">
        <f>IFERROR(__xludf.DUMMYFUNCTION("iferror(index(Googlefinance($B28, ""price"", AP$1),2,2), 0)"),467.3)</f>
        <v>467.3</v>
      </c>
      <c r="AQ28" s="3">
        <f>IFERROR(__xludf.DUMMYFUNCTION("iferror(index(Googlefinance($B28, ""price"", AQ$1),2,2), 0)"),469.69)</f>
        <v>469.69</v>
      </c>
      <c r="AR28" s="3">
        <f>IFERROR(__xludf.DUMMYFUNCTION("iferror(index(Googlefinance($B28, ""price"", AR$1),2,2), 0)"),465.69)</f>
        <v>465.69</v>
      </c>
      <c r="AS28" s="3">
        <f>IFERROR(__xludf.DUMMYFUNCTION("iferror(index(Googlefinance($B28, ""price"", AS$1),2,2), 0)"),468.67)</f>
        <v>468.67</v>
      </c>
      <c r="AT28" s="3">
        <f>IFERROR(__xludf.DUMMYFUNCTION("iferror(index(Googlefinance($B28, ""price"", AT$1),2,2), 0)"),469.7)</f>
        <v>469.7</v>
      </c>
      <c r="AU28" s="3">
        <f>IFERROR(__xludf.DUMMYFUNCTION("iferror(index(Googlefinance($B28, ""price"", AU$1),2,2), 0)"),469.7)</f>
        <v>469.7</v>
      </c>
      <c r="AV28" s="3">
        <f>IFERROR(__xludf.DUMMYFUNCTION("iferror(index(Googlefinance($B28, ""price"", AV$1),2,2), 0)"),469.7)</f>
        <v>469.7</v>
      </c>
      <c r="AW28" s="3">
        <f>IFERROR(__xludf.DUMMYFUNCTION("iferror(index(Googlefinance($B28, ""price"", AW$1),2,2), 0)"),469.7)</f>
        <v>469.7</v>
      </c>
      <c r="AX28" s="3">
        <f>IFERROR(__xludf.DUMMYFUNCTION("iferror(index(Googlefinance($B28, ""price"", AX$1),2,2), 0)"),456.97)</f>
        <v>456.97</v>
      </c>
      <c r="AY28" s="3">
        <f>IFERROR(__xludf.DUMMYFUNCTION("iferror(index(Googlefinance($B28, ""price"", AY$1),2,2), 0)"),452.99)</f>
        <v>452.99</v>
      </c>
      <c r="AZ28" s="3">
        <f>IFERROR(__xludf.DUMMYFUNCTION("iferror(index(Googlefinance($B28, ""price"", AZ$1),2,2), 0)"),467.31)</f>
        <v>467.31</v>
      </c>
      <c r="BA28" s="3">
        <f>IFERROR(__xludf.DUMMYFUNCTION("iferror(index(Googlefinance($B28, ""price"", BA$1),2,2), 0)"),437.28)</f>
        <v>437.28</v>
      </c>
      <c r="BB28" s="3">
        <f>IFERROR(__xludf.DUMMYFUNCTION("iferror(index(Googlefinance($B28, ""price"", BB$1),2,2), 0)"),437.28)</f>
        <v>437.28</v>
      </c>
      <c r="BC28" s="3">
        <f>IFERROR(__xludf.DUMMYFUNCTION("iferror(index(Googlefinance($B28, ""price"", BC$1),2,2), 0)"),437.28)</f>
        <v>437.28</v>
      </c>
      <c r="BD28" s="3">
        <f>IFERROR(__xludf.DUMMYFUNCTION("iferror(index(Googlefinance($B28, ""price"", BD$1),2,2), 0)"),415.87)</f>
        <v>415.87</v>
      </c>
      <c r="BE28" s="3">
        <f>IFERROR(__xludf.DUMMYFUNCTION("iferror(index(Googlefinance($B28, ""price"", BE$1),2,2), 0)"),413.79)</f>
        <v>413.79</v>
      </c>
      <c r="BF28" s="3">
        <f>IFERROR(__xludf.DUMMYFUNCTION("iferror(index(Googlefinance($B28, ""price"", BF$1),2,2), 0)"),382.34)</f>
        <v>382.34</v>
      </c>
      <c r="BG28" s="3">
        <f>IFERROR(__xludf.DUMMYFUNCTION("iferror(index(Googlefinance($B28, ""price"", BG$1),2,2), 0)"),395.48)</f>
        <v>395.48</v>
      </c>
      <c r="BH28" s="3">
        <f>IFERROR(__xludf.DUMMYFUNCTION("iferror(index(Googlefinance($B28, ""price"", BH$1),2,2), 0)"),420.31)</f>
        <v>420.31</v>
      </c>
      <c r="BI28" s="3">
        <f>IFERROR(__xludf.DUMMYFUNCTION("iferror(index(Googlefinance($B28, ""price"", BI$1),2,2), 0)"),420.31)</f>
        <v>420.31</v>
      </c>
      <c r="BJ28" s="3">
        <f>IFERROR(__xludf.DUMMYFUNCTION("iferror(index(Googlefinance($B28, ""price"", BJ$1),2,2), 0)"),420.31)</f>
        <v>420.31</v>
      </c>
      <c r="BK28" s="3">
        <f>IFERROR(__xludf.DUMMYFUNCTION("iferror(index(Googlefinance($B28, ""price"", BK$1),2,2), 0)"),389.67)</f>
        <v>389.67</v>
      </c>
      <c r="BL28" s="3">
        <f>IFERROR(__xludf.DUMMYFUNCTION("iferror(index(Googlefinance($B28, ""price"", BL$1),2,2), 0)"),369.5)</f>
        <v>369.5</v>
      </c>
      <c r="BM28" s="3">
        <f>IFERROR(__xludf.DUMMYFUNCTION("iferror(index(Googlefinance($B28, ""price"", BM$1),2,2), 0)"),359.95)</f>
        <v>359.95</v>
      </c>
      <c r="BN28" s="3">
        <f>IFERROR(__xludf.DUMMYFUNCTION("iferror(index(Googlefinance($B28, ""price"", BN$1),2,2), 0)"),353.54)</f>
        <v>353.54</v>
      </c>
      <c r="BO28" s="3">
        <f>IFERROR(__xludf.DUMMYFUNCTION("iferror(index(Googlefinance($B28, ""price"", BO$1),2,2), 0)"),327.19)</f>
        <v>327.19</v>
      </c>
      <c r="BP28" s="3">
        <f>IFERROR(__xludf.DUMMYFUNCTION("iferror(index(Googlefinance($B28, ""price"", BP$1),2,2), 0)"),327.19)</f>
        <v>327.19</v>
      </c>
      <c r="BQ28" s="3">
        <f>IFERROR(__xludf.DUMMYFUNCTION("iferror(index(Googlefinance($B28, ""price"", BQ$1),2,2), 0)"),327.19)</f>
        <v>327.19</v>
      </c>
      <c r="BR28" s="3">
        <f>IFERROR(__xludf.DUMMYFUNCTION("iferror(index(Googlefinance($B28, ""price"", BR$1),2,2), 0)"),361.11)</f>
        <v>361.11</v>
      </c>
      <c r="BS28" s="3">
        <f>IFERROR(__xludf.DUMMYFUNCTION("iferror(index(Googlefinance($B28, ""price"", BS$1),2,2), 0)"),356.54)</f>
        <v>356.54</v>
      </c>
      <c r="BT28" s="3">
        <f>IFERROR(__xludf.DUMMYFUNCTION("iferror(index(Googlefinance($B28, ""price"", BT$1),2,2), 0)"),363.34)</f>
        <v>363.34</v>
      </c>
      <c r="BU28" s="3">
        <f>IFERROR(__xludf.DUMMYFUNCTION("iferror(index(Googlefinance($B28, ""price"", BU$1),2,2), 0)"),359.96)</f>
        <v>359.96</v>
      </c>
      <c r="BV28" s="3">
        <f>IFERROR(__xludf.DUMMYFUNCTION("iferror(index(Googlefinance($B28, ""price"", BV$1),2,2), 0)"),362.92)</f>
        <v>362.92</v>
      </c>
      <c r="BW28" s="3">
        <f>IFERROR(__xludf.DUMMYFUNCTION("iferror(index(Googlefinance($B28, ""price"", BW$1),2,2), 0)"),362.92)</f>
        <v>362.92</v>
      </c>
      <c r="BX28" s="3">
        <f>IFERROR(__xludf.DUMMYFUNCTION("iferror(index(Googlefinance($B28, ""price"", BX$1),2,2), 0)"),362.92)</f>
        <v>362.92</v>
      </c>
      <c r="BY28" s="3">
        <f>IFERROR(__xludf.DUMMYFUNCTION("iferror(index(Googlefinance($B28, ""price"", BY$1),2,2), 0)"),353.58)</f>
        <v>353.58</v>
      </c>
      <c r="BZ28" s="3">
        <f>IFERROR(__xludf.DUMMYFUNCTION("iferror(index(Googlefinance($B28, ""price"", BZ$1),2,2), 0)"),368.71)</f>
        <v>368.71</v>
      </c>
      <c r="CA28" s="3">
        <f>IFERROR(__xludf.DUMMYFUNCTION("iferror(index(Googlefinance($B28, ""price"", CA$1),2,2), 0)"),341.95)</f>
        <v>341.95</v>
      </c>
      <c r="CB28" s="3">
        <f>IFERROR(__xludf.DUMMYFUNCTION("iferror(index(Googlefinance($B28, ""price"", CB$1),2,2), 0)"),347.51)</f>
        <v>347.51</v>
      </c>
      <c r="CC28" s="3">
        <f>IFERROR(__xludf.DUMMYFUNCTION("iferror(index(Googlefinance($B28, ""price"", CC$1),2,2), 0)"),0.0)</f>
        <v>0</v>
      </c>
      <c r="CD28" s="3">
        <f>IFERROR(__xludf.DUMMYFUNCTION("iferror(index(Googlefinance($B28, ""price"", CD$1),2,2), 0)"),0.0)</f>
        <v>0</v>
      </c>
    </row>
    <row r="29">
      <c r="A29" s="1" t="s">
        <v>55</v>
      </c>
      <c r="B29" s="1" t="s">
        <v>56</v>
      </c>
      <c r="C29" s="3">
        <f>IFERROR(__xludf.DUMMYFUNCTION("iferror(index(Googlefinance($B29, ""price"", C$1),2,2), 0)"),31.19)</f>
        <v>31.19</v>
      </c>
      <c r="D29" s="3">
        <f>IFERROR(__xludf.DUMMYFUNCTION("iferror(index(Googlefinance($B29, ""price"", D$1),2,2), 0)"),31.19)</f>
        <v>31.19</v>
      </c>
      <c r="E29" s="3">
        <f>IFERROR(__xludf.DUMMYFUNCTION("iferror(index(Googlefinance($B29, ""price"", E$1),2,2), 0)"),31.19)</f>
        <v>31.19</v>
      </c>
      <c r="F29" s="3">
        <f>IFERROR(__xludf.DUMMYFUNCTION("iferror(index(Googlefinance($B29, ""price"", F$1),2,2), 0)"),31.19)</f>
        <v>31.19</v>
      </c>
      <c r="G29" s="3">
        <f>IFERROR(__xludf.DUMMYFUNCTION("iferror(index(Googlefinance($B29, ""price"", G$1),2,2), 0)"),32.54)</f>
        <v>32.54</v>
      </c>
      <c r="H29" s="3">
        <f>IFERROR(__xludf.DUMMYFUNCTION("iferror(index(Googlefinance($B29, ""price"", H$1),2,2), 0)"),33.5)</f>
        <v>33.5</v>
      </c>
      <c r="I29" s="3">
        <f>IFERROR(__xludf.DUMMYFUNCTION("iferror(index(Googlefinance($B29, ""price"", I$1),2,2), 0)"),33.87)</f>
        <v>33.87</v>
      </c>
      <c r="J29" s="3">
        <f>IFERROR(__xludf.DUMMYFUNCTION("iferror(index(Googlefinance($B29, ""price"", J$1),2,2), 0)"),33.0)</f>
        <v>33</v>
      </c>
      <c r="K29" s="3">
        <f>IFERROR(__xludf.DUMMYFUNCTION("iferror(index(Googlefinance($B29, ""price"", K$1),2,2), 0)"),32.26)</f>
        <v>32.26</v>
      </c>
      <c r="L29" s="3">
        <f>IFERROR(__xludf.DUMMYFUNCTION("iferror(index(Googlefinance($B29, ""price"", L$1),2,2), 0)"),32.26)</f>
        <v>32.26</v>
      </c>
      <c r="M29" s="3">
        <f>IFERROR(__xludf.DUMMYFUNCTION("iferror(index(Googlefinance($B29, ""price"", M$1),2,2), 0)"),32.26)</f>
        <v>32.26</v>
      </c>
      <c r="N29" s="3">
        <f>IFERROR(__xludf.DUMMYFUNCTION("iferror(index(Googlefinance($B29, ""price"", N$1),2,2), 0)"),32.86)</f>
        <v>32.86</v>
      </c>
      <c r="O29" s="3">
        <f>IFERROR(__xludf.DUMMYFUNCTION("iferror(index(Googlefinance($B29, ""price"", O$1),2,2), 0)"),32.34)</f>
        <v>32.34</v>
      </c>
      <c r="P29" s="3">
        <f>IFERROR(__xludf.DUMMYFUNCTION("iferror(index(Googlefinance($B29, ""price"", P$1),2,2), 0)"),33.69)</f>
        <v>33.69</v>
      </c>
      <c r="Q29" s="3">
        <f>IFERROR(__xludf.DUMMYFUNCTION("iferror(index(Googlefinance($B29, ""price"", Q$1),2,2), 0)"),33.19)</f>
        <v>33.19</v>
      </c>
      <c r="R29" s="3">
        <f>IFERROR(__xludf.DUMMYFUNCTION("iferror(index(Googlefinance($B29, ""price"", R$1),2,2), 0)"),34.0)</f>
        <v>34</v>
      </c>
      <c r="S29" s="3">
        <f>IFERROR(__xludf.DUMMYFUNCTION("iferror(index(Googlefinance($B29, ""price"", S$1),2,2), 0)"),34.0)</f>
        <v>34</v>
      </c>
      <c r="T29" s="3">
        <f>IFERROR(__xludf.DUMMYFUNCTION("iferror(index(Googlefinance($B29, ""price"", T$1),2,2), 0)"),34.0)</f>
        <v>34</v>
      </c>
      <c r="U29" s="3">
        <f>IFERROR(__xludf.DUMMYFUNCTION("iferror(index(Googlefinance($B29, ""price"", U$1),2,2), 0)"),34.0)</f>
        <v>34</v>
      </c>
      <c r="V29" s="3">
        <f>IFERROR(__xludf.DUMMYFUNCTION("iferror(index(Googlefinance($B29, ""price"", V$1),2,2), 0)"),31.71)</f>
        <v>31.71</v>
      </c>
      <c r="W29" s="3">
        <f>IFERROR(__xludf.DUMMYFUNCTION("iferror(index(Googlefinance($B29, ""price"", W$1),2,2), 0)"),31.56)</f>
        <v>31.56</v>
      </c>
      <c r="X29" s="3">
        <f>IFERROR(__xludf.DUMMYFUNCTION("iferror(index(Googlefinance($B29, ""price"", X$1),2,2), 0)"),32.5)</f>
        <v>32.5</v>
      </c>
      <c r="Y29" s="3">
        <f>IFERROR(__xludf.DUMMYFUNCTION("iferror(index(Googlefinance($B29, ""price"", Y$1),2,2), 0)"),31.84)</f>
        <v>31.84</v>
      </c>
      <c r="Z29" s="3">
        <f>IFERROR(__xludf.DUMMYFUNCTION("iferror(index(Googlefinance($B29, ""price"", Z$1),2,2), 0)"),31.84)</f>
        <v>31.84</v>
      </c>
      <c r="AA29" s="3">
        <f>IFERROR(__xludf.DUMMYFUNCTION("iferror(index(Googlefinance($B29, ""price"", AA$1),2,2), 0)"),31.84)</f>
        <v>31.84</v>
      </c>
      <c r="AB29" s="3">
        <f>IFERROR(__xludf.DUMMYFUNCTION("iferror(index(Googlefinance($B29, ""price"", AB$1),2,2), 0)"),31.34)</f>
        <v>31.34</v>
      </c>
      <c r="AC29" s="3">
        <f>IFERROR(__xludf.DUMMYFUNCTION("iferror(index(Googlefinance($B29, ""price"", AC$1),2,2), 0)"),33.15)</f>
        <v>33.15</v>
      </c>
      <c r="AD29" s="3">
        <f>IFERROR(__xludf.DUMMYFUNCTION("iferror(index(Googlefinance($B29, ""price"", AD$1),2,2), 0)"),35.99)</f>
        <v>35.99</v>
      </c>
      <c r="AE29" s="3">
        <f>IFERROR(__xludf.DUMMYFUNCTION("iferror(index(Googlefinance($B29, ""price"", AE$1),2,2), 0)"),35.91)</f>
        <v>35.91</v>
      </c>
      <c r="AF29" s="3">
        <f>IFERROR(__xludf.DUMMYFUNCTION("iferror(index(Googlefinance($B29, ""price"", AF$1),2,2), 0)"),40.49)</f>
        <v>40.49</v>
      </c>
      <c r="AG29" s="3">
        <f>IFERROR(__xludf.DUMMYFUNCTION("iferror(index(Googlefinance($B29, ""price"", AG$1),2,2), 0)"),40.49)</f>
        <v>40.49</v>
      </c>
      <c r="AH29" s="3">
        <f>IFERROR(__xludf.DUMMYFUNCTION("iferror(index(Googlefinance($B29, ""price"", AH$1),2,2), 0)"),40.49)</f>
        <v>40.49</v>
      </c>
      <c r="AI29" s="3">
        <f>IFERROR(__xludf.DUMMYFUNCTION("iferror(index(Googlefinance($B29, ""price"", AI$1),2,2), 0)"),37.99)</f>
        <v>37.99</v>
      </c>
      <c r="AJ29" s="3">
        <f>IFERROR(__xludf.DUMMYFUNCTION("iferror(index(Googlefinance($B29, ""price"", AJ$1),2,2), 0)"),35.32)</f>
        <v>35.32</v>
      </c>
      <c r="AK29" s="3">
        <f>IFERROR(__xludf.DUMMYFUNCTION("iferror(index(Googlefinance($B29, ""price"", AK$1),2,2), 0)"),38.76)</f>
        <v>38.76</v>
      </c>
      <c r="AL29" s="3">
        <f>IFERROR(__xludf.DUMMYFUNCTION("iferror(index(Googlefinance($B29, ""price"", AL$1),2,2), 0)"),40.63)</f>
        <v>40.63</v>
      </c>
      <c r="AM29" s="3">
        <f>IFERROR(__xludf.DUMMYFUNCTION("iferror(index(Googlefinance($B29, ""price"", AM$1),2,2), 0)"),41.23)</f>
        <v>41.23</v>
      </c>
      <c r="AN29" s="3">
        <f>IFERROR(__xludf.DUMMYFUNCTION("iferror(index(Googlefinance($B29, ""price"", AN$1),2,2), 0)"),41.23)</f>
        <v>41.23</v>
      </c>
      <c r="AO29" s="3">
        <f>IFERROR(__xludf.DUMMYFUNCTION("iferror(index(Googlefinance($B29, ""price"", AO$1),2,2), 0)"),41.23)</f>
        <v>41.23</v>
      </c>
      <c r="AP29" s="3">
        <f>IFERROR(__xludf.DUMMYFUNCTION("iferror(index(Googlefinance($B29, ""price"", AP$1),2,2), 0)"),41.58)</f>
        <v>41.58</v>
      </c>
      <c r="AQ29" s="3">
        <f>IFERROR(__xludf.DUMMYFUNCTION("iferror(index(Googlefinance($B29, ""price"", AQ$1),2,2), 0)"),43.19)</f>
        <v>43.19</v>
      </c>
      <c r="AR29" s="3">
        <f>IFERROR(__xludf.DUMMYFUNCTION("iferror(index(Googlefinance($B29, ""price"", AR$1),2,2), 0)"),43.95)</f>
        <v>43.95</v>
      </c>
      <c r="AS29" s="3">
        <f>IFERROR(__xludf.DUMMYFUNCTION("iferror(index(Googlefinance($B29, ""price"", AS$1),2,2), 0)"),41.06)</f>
        <v>41.06</v>
      </c>
      <c r="AT29" s="3">
        <f>IFERROR(__xludf.DUMMYFUNCTION("iferror(index(Googlefinance($B29, ""price"", AT$1),2,2), 0)"),39.28)</f>
        <v>39.28</v>
      </c>
      <c r="AU29" s="3">
        <f>IFERROR(__xludf.DUMMYFUNCTION("iferror(index(Googlefinance($B29, ""price"", AU$1),2,2), 0)"),39.28)</f>
        <v>39.28</v>
      </c>
      <c r="AV29" s="3">
        <f>IFERROR(__xludf.DUMMYFUNCTION("iferror(index(Googlefinance($B29, ""price"", AV$1),2,2), 0)"),39.28)</f>
        <v>39.28</v>
      </c>
      <c r="AW29" s="3">
        <f>IFERROR(__xludf.DUMMYFUNCTION("iferror(index(Googlefinance($B29, ""price"", AW$1),2,2), 0)"),39.28)</f>
        <v>39.28</v>
      </c>
      <c r="AX29" s="3">
        <f>IFERROR(__xludf.DUMMYFUNCTION("iferror(index(Googlefinance($B29, ""price"", AX$1),2,2), 0)"),36.03)</f>
        <v>36.03</v>
      </c>
      <c r="AY29" s="3">
        <f>IFERROR(__xludf.DUMMYFUNCTION("iferror(index(Googlefinance($B29, ""price"", AY$1),2,2), 0)"),37.87)</f>
        <v>37.87</v>
      </c>
      <c r="AZ29" s="3">
        <f>IFERROR(__xludf.DUMMYFUNCTION("iferror(index(Googlefinance($B29, ""price"", AZ$1),2,2), 0)"),37.45)</f>
        <v>37.45</v>
      </c>
      <c r="BA29" s="3">
        <f>IFERROR(__xludf.DUMMYFUNCTION("iferror(index(Googlefinance($B29, ""price"", BA$1),2,2), 0)"),40.25)</f>
        <v>40.25</v>
      </c>
      <c r="BB29" s="3">
        <f>IFERROR(__xludf.DUMMYFUNCTION("iferror(index(Googlefinance($B29, ""price"", BB$1),2,2), 0)"),40.25)</f>
        <v>40.25</v>
      </c>
      <c r="BC29" s="3">
        <f>IFERROR(__xludf.DUMMYFUNCTION("iferror(index(Googlefinance($B29, ""price"", BC$1),2,2), 0)"),40.25)</f>
        <v>40.25</v>
      </c>
      <c r="BD29" s="3">
        <f>IFERROR(__xludf.DUMMYFUNCTION("iferror(index(Googlefinance($B29, ""price"", BD$1),2,2), 0)"),40.29)</f>
        <v>40.29</v>
      </c>
      <c r="BE29" s="3">
        <f>IFERROR(__xludf.DUMMYFUNCTION("iferror(index(Googlefinance($B29, ""price"", BE$1),2,2), 0)"),40.15)</f>
        <v>40.15</v>
      </c>
      <c r="BF29" s="3">
        <f>IFERROR(__xludf.DUMMYFUNCTION("iferror(index(Googlefinance($B29, ""price"", BF$1),2,2), 0)"),38.0)</f>
        <v>38</v>
      </c>
      <c r="BG29" s="3">
        <f>IFERROR(__xludf.DUMMYFUNCTION("iferror(index(Googlefinance($B29, ""price"", BG$1),2,2), 0)"),36.6)</f>
        <v>36.6</v>
      </c>
      <c r="BH29" s="3">
        <f>IFERROR(__xludf.DUMMYFUNCTION("iferror(index(Googlefinance($B29, ""price"", BH$1),2,2), 0)"),37.71)</f>
        <v>37.71</v>
      </c>
      <c r="BI29" s="3">
        <f>IFERROR(__xludf.DUMMYFUNCTION("iferror(index(Googlefinance($B29, ""price"", BI$1),2,2), 0)"),37.71)</f>
        <v>37.71</v>
      </c>
      <c r="BJ29" s="3">
        <f>IFERROR(__xludf.DUMMYFUNCTION("iferror(index(Googlefinance($B29, ""price"", BJ$1),2,2), 0)"),37.71)</f>
        <v>37.71</v>
      </c>
      <c r="BK29" s="3">
        <f>IFERROR(__xludf.DUMMYFUNCTION("iferror(index(Googlefinance($B29, ""price"", BK$1),2,2), 0)"),37.02)</f>
        <v>37.02</v>
      </c>
      <c r="BL29" s="3">
        <f>IFERROR(__xludf.DUMMYFUNCTION("iferror(index(Googlefinance($B29, ""price"", BL$1),2,2), 0)"),36.63)</f>
        <v>36.63</v>
      </c>
      <c r="BM29" s="3">
        <f>IFERROR(__xludf.DUMMYFUNCTION("iferror(index(Googlefinance($B29, ""price"", BM$1),2,2), 0)"),34.09)</f>
        <v>34.09</v>
      </c>
      <c r="BN29" s="3">
        <f>IFERROR(__xludf.DUMMYFUNCTION("iferror(index(Googlefinance($B29, ""price"", BN$1),2,2), 0)"),33.62)</f>
        <v>33.62</v>
      </c>
      <c r="BO29" s="3">
        <f>IFERROR(__xludf.DUMMYFUNCTION("iferror(index(Googlefinance($B29, ""price"", BO$1),2,2), 0)"),33.21)</f>
        <v>33.21</v>
      </c>
      <c r="BP29" s="3">
        <f>IFERROR(__xludf.DUMMYFUNCTION("iferror(index(Googlefinance($B29, ""price"", BP$1),2,2), 0)"),33.21)</f>
        <v>33.21</v>
      </c>
      <c r="BQ29" s="3">
        <f>IFERROR(__xludf.DUMMYFUNCTION("iferror(index(Googlefinance($B29, ""price"", BQ$1),2,2), 0)"),33.21)</f>
        <v>33.21</v>
      </c>
      <c r="BR29" s="3">
        <f>IFERROR(__xludf.DUMMYFUNCTION("iferror(index(Googlefinance($B29, ""price"", BR$1),2,2), 0)"),35.0)</f>
        <v>35</v>
      </c>
      <c r="BS29" s="3">
        <f>IFERROR(__xludf.DUMMYFUNCTION("iferror(index(Googlefinance($B29, ""price"", BS$1),2,2), 0)"),35.7)</f>
        <v>35.7</v>
      </c>
      <c r="BT29" s="3">
        <f>IFERROR(__xludf.DUMMYFUNCTION("iferror(index(Googlefinance($B29, ""price"", BT$1),2,2), 0)"),36.0)</f>
        <v>36</v>
      </c>
      <c r="BU29" s="3">
        <f>IFERROR(__xludf.DUMMYFUNCTION("iferror(index(Googlefinance($B29, ""price"", BU$1),2,2), 0)"),37.55)</f>
        <v>37.55</v>
      </c>
      <c r="BV29" s="3">
        <f>IFERROR(__xludf.DUMMYFUNCTION("iferror(index(Googlefinance($B29, ""price"", BV$1),2,2), 0)"),36.68)</f>
        <v>36.68</v>
      </c>
      <c r="BW29" s="3">
        <f>IFERROR(__xludf.DUMMYFUNCTION("iferror(index(Googlefinance($B29, ""price"", BW$1),2,2), 0)"),36.68)</f>
        <v>36.68</v>
      </c>
      <c r="BX29" s="3">
        <f>IFERROR(__xludf.DUMMYFUNCTION("iferror(index(Googlefinance($B29, ""price"", BX$1),2,2), 0)"),36.68)</f>
        <v>36.68</v>
      </c>
      <c r="BY29" s="3">
        <f>IFERROR(__xludf.DUMMYFUNCTION("iferror(index(Googlefinance($B29, ""price"", BY$1),2,2), 0)"),36.85)</f>
        <v>36.85</v>
      </c>
      <c r="BZ29" s="3">
        <f>IFERROR(__xludf.DUMMYFUNCTION("iferror(index(Googlefinance($B29, ""price"", BZ$1),2,2), 0)"),36.1)</f>
        <v>36.1</v>
      </c>
      <c r="CA29" s="3">
        <f>IFERROR(__xludf.DUMMYFUNCTION("iferror(index(Googlefinance($B29, ""price"", CA$1),2,2), 0)"),34.36)</f>
        <v>34.36</v>
      </c>
      <c r="CB29" s="3">
        <f>IFERROR(__xludf.DUMMYFUNCTION("iferror(index(Googlefinance($B29, ""price"", CB$1),2,2), 0)"),32.51)</f>
        <v>32.51</v>
      </c>
      <c r="CC29" s="3">
        <f>IFERROR(__xludf.DUMMYFUNCTION("iferror(index(Googlefinance($B29, ""price"", CC$1),2,2), 0)"),0.0)</f>
        <v>0</v>
      </c>
      <c r="CD29" s="3">
        <f>IFERROR(__xludf.DUMMYFUNCTION("iferror(index(Googlefinance($B29, ""price"", CD$1),2,2), 0)"),0.0)</f>
        <v>0</v>
      </c>
    </row>
    <row r="30">
      <c r="A30" s="1" t="s">
        <v>57</v>
      </c>
      <c r="B30" s="1" t="s">
        <v>58</v>
      </c>
      <c r="C30" s="3">
        <f>IFERROR(__xludf.DUMMYFUNCTION("iferror(index(Googlefinance($B30, ""price"", C$1),2,2), 0)"),146.53)</f>
        <v>146.53</v>
      </c>
      <c r="D30" s="3">
        <f>IFERROR(__xludf.DUMMYFUNCTION("iferror(index(Googlefinance($B30, ""price"", D$1),2,2), 0)"),146.53)</f>
        <v>146.53</v>
      </c>
      <c r="E30" s="3">
        <f>IFERROR(__xludf.DUMMYFUNCTION("iferror(index(Googlefinance($B30, ""price"", E$1),2,2), 0)"),146.53)</f>
        <v>146.53</v>
      </c>
      <c r="F30" s="3">
        <f>IFERROR(__xludf.DUMMYFUNCTION("iferror(index(Googlefinance($B30, ""price"", F$1),2,2), 0)"),146.53)</f>
        <v>146.53</v>
      </c>
      <c r="G30" s="3">
        <f>IFERROR(__xludf.DUMMYFUNCTION("iferror(index(Googlefinance($B30, ""price"", G$1),2,2), 0)"),145.75)</f>
        <v>145.75</v>
      </c>
      <c r="H30" s="3">
        <f>IFERROR(__xludf.DUMMYFUNCTION("iferror(index(Googlefinance($B30, ""price"", H$1),2,2), 0)"),146.66)</f>
        <v>146.66</v>
      </c>
      <c r="I30" s="3">
        <f>IFERROR(__xludf.DUMMYFUNCTION("iferror(index(Googlefinance($B30, ""price"", I$1),2,2), 0)"),146.65)</f>
        <v>146.65</v>
      </c>
      <c r="J30" s="3">
        <f>IFERROR(__xludf.DUMMYFUNCTION("iferror(index(Googlefinance($B30, ""price"", J$1),2,2), 0)"),146.63)</f>
        <v>146.63</v>
      </c>
      <c r="K30" s="3">
        <f>IFERROR(__xludf.DUMMYFUNCTION("iferror(index(Googlefinance($B30, ""price"", K$1),2,2), 0)"),147.29)</f>
        <v>147.29</v>
      </c>
      <c r="L30" s="3">
        <f>IFERROR(__xludf.DUMMYFUNCTION("iferror(index(Googlefinance($B30, ""price"", L$1),2,2), 0)"),147.29)</f>
        <v>147.29</v>
      </c>
      <c r="M30" s="3">
        <f>IFERROR(__xludf.DUMMYFUNCTION("iferror(index(Googlefinance($B30, ""price"", M$1),2,2), 0)"),147.29)</f>
        <v>147.29</v>
      </c>
      <c r="N30" s="3">
        <f>IFERROR(__xludf.DUMMYFUNCTION("iferror(index(Googlefinance($B30, ""price"", N$1),2,2), 0)"),148.97)</f>
        <v>148.97</v>
      </c>
      <c r="O30" s="3">
        <f>IFERROR(__xludf.DUMMYFUNCTION("iferror(index(Googlefinance($B30, ""price"", O$1),2,2), 0)"),147.45)</f>
        <v>147.45</v>
      </c>
      <c r="P30" s="3">
        <f>IFERROR(__xludf.DUMMYFUNCTION("iferror(index(Googlefinance($B30, ""price"", P$1),2,2), 0)"),146.97)</f>
        <v>146.97</v>
      </c>
      <c r="Q30" s="3">
        <f>IFERROR(__xludf.DUMMYFUNCTION("iferror(index(Googlefinance($B30, ""price"", Q$1),2,2), 0)"),144.64)</f>
        <v>144.64</v>
      </c>
      <c r="R30" s="3">
        <f>IFERROR(__xludf.DUMMYFUNCTION("iferror(index(Googlefinance($B30, ""price"", R$1),2,2), 0)"),143.39)</f>
        <v>143.39</v>
      </c>
      <c r="S30" s="3">
        <f>IFERROR(__xludf.DUMMYFUNCTION("iferror(index(Googlefinance($B30, ""price"", S$1),2,2), 0)"),143.39)</f>
        <v>143.39</v>
      </c>
      <c r="T30" s="3">
        <f>IFERROR(__xludf.DUMMYFUNCTION("iferror(index(Googlefinance($B30, ""price"", T$1),2,2), 0)"),143.39)</f>
        <v>143.39</v>
      </c>
      <c r="U30" s="3">
        <f>IFERROR(__xludf.DUMMYFUNCTION("iferror(index(Googlefinance($B30, ""price"", U$1),2,2), 0)"),143.39)</f>
        <v>143.39</v>
      </c>
      <c r="V30" s="3">
        <f>IFERROR(__xludf.DUMMYFUNCTION("iferror(index(Googlefinance($B30, ""price"", V$1),2,2), 0)"),145.51)</f>
        <v>145.51</v>
      </c>
      <c r="W30" s="3">
        <f>IFERROR(__xludf.DUMMYFUNCTION("iferror(index(Googlefinance($B30, ""price"", W$1),2,2), 0)"),144.85)</f>
        <v>144.85</v>
      </c>
      <c r="X30" s="3">
        <f>IFERROR(__xludf.DUMMYFUNCTION("iferror(index(Googlefinance($B30, ""price"", X$1),2,2), 0)"),146.33)</f>
        <v>146.33</v>
      </c>
      <c r="Y30" s="3">
        <f>IFERROR(__xludf.DUMMYFUNCTION("iferror(index(Googlefinance($B30, ""price"", Y$1),2,2), 0)"),146.2)</f>
        <v>146.2</v>
      </c>
      <c r="Z30" s="3">
        <f>IFERROR(__xludf.DUMMYFUNCTION("iferror(index(Googlefinance($B30, ""price"", Z$1),2,2), 0)"),146.2)</f>
        <v>146.2</v>
      </c>
      <c r="AA30" s="3">
        <f>IFERROR(__xludf.DUMMYFUNCTION("iferror(index(Googlefinance($B30, ""price"", AA$1),2,2), 0)"),146.2)</f>
        <v>146.2</v>
      </c>
      <c r="AB30" s="3">
        <f>IFERROR(__xludf.DUMMYFUNCTION("iferror(index(Googlefinance($B30, ""price"", AB$1),2,2), 0)"),147.51)</f>
        <v>147.51</v>
      </c>
      <c r="AC30" s="3">
        <f>IFERROR(__xludf.DUMMYFUNCTION("iferror(index(Googlefinance($B30, ""price"", AC$1),2,2), 0)"),143.84)</f>
        <v>143.84</v>
      </c>
      <c r="AD30" s="3">
        <f>IFERROR(__xludf.DUMMYFUNCTION("iferror(index(Googlefinance($B30, ""price"", AD$1),2,2), 0)"),143.75)</f>
        <v>143.75</v>
      </c>
      <c r="AE30" s="3">
        <f>IFERROR(__xludf.DUMMYFUNCTION("iferror(index(Googlefinance($B30, ""price"", AE$1),2,2), 0)"),140.49)</f>
        <v>140.49</v>
      </c>
      <c r="AF30" s="3">
        <f>IFERROR(__xludf.DUMMYFUNCTION("iferror(index(Googlefinance($B30, ""price"", AF$1),2,2), 0)"),139.27)</f>
        <v>139.27</v>
      </c>
      <c r="AG30" s="3">
        <f>IFERROR(__xludf.DUMMYFUNCTION("iferror(index(Googlefinance($B30, ""price"", AG$1),2,2), 0)"),139.27)</f>
        <v>139.27</v>
      </c>
      <c r="AH30" s="3">
        <f>IFERROR(__xludf.DUMMYFUNCTION("iferror(index(Googlefinance($B30, ""price"", AH$1),2,2), 0)"),139.27)</f>
        <v>139.27</v>
      </c>
      <c r="AI30" s="3">
        <f>IFERROR(__xludf.DUMMYFUNCTION("iferror(index(Googlefinance($B30, ""price"", AI$1),2,2), 0)"),140.77)</f>
        <v>140.77</v>
      </c>
      <c r="AJ30" s="3">
        <f>IFERROR(__xludf.DUMMYFUNCTION("iferror(index(Googlefinance($B30, ""price"", AJ$1),2,2), 0)"),141.2)</f>
        <v>141.2</v>
      </c>
      <c r="AK30" s="3">
        <f>IFERROR(__xludf.DUMMYFUNCTION("iferror(index(Googlefinance($B30, ""price"", AK$1),2,2), 0)"),142.53)</f>
        <v>142.53</v>
      </c>
      <c r="AL30" s="3">
        <f>IFERROR(__xludf.DUMMYFUNCTION("iferror(index(Googlefinance($B30, ""price"", AL$1),2,2), 0)"),144.36)</f>
        <v>144.36</v>
      </c>
      <c r="AM30" s="3">
        <f>IFERROR(__xludf.DUMMYFUNCTION("iferror(index(Googlefinance($B30, ""price"", AM$1),2,2), 0)"),145.03)</f>
        <v>145.03</v>
      </c>
      <c r="AN30" s="3">
        <f>IFERROR(__xludf.DUMMYFUNCTION("iferror(index(Googlefinance($B30, ""price"", AN$1),2,2), 0)"),145.03)</f>
        <v>145.03</v>
      </c>
      <c r="AO30" s="3">
        <f>IFERROR(__xludf.DUMMYFUNCTION("iferror(index(Googlefinance($B30, ""price"", AO$1),2,2), 0)"),145.03)</f>
        <v>145.03</v>
      </c>
      <c r="AP30" s="3">
        <f>IFERROR(__xludf.DUMMYFUNCTION("iferror(index(Googlefinance($B30, ""price"", AP$1),2,2), 0)"),145.83)</f>
        <v>145.83</v>
      </c>
      <c r="AQ30" s="3">
        <f>IFERROR(__xludf.DUMMYFUNCTION("iferror(index(Googlefinance($B30, ""price"", AQ$1),2,2), 0)"),144.13)</f>
        <v>144.13</v>
      </c>
      <c r="AR30" s="3">
        <f>IFERROR(__xludf.DUMMYFUNCTION("iferror(index(Googlefinance($B30, ""price"", AR$1),2,2), 0)"),144.02)</f>
        <v>144.02</v>
      </c>
      <c r="AS30" s="3">
        <f>IFERROR(__xludf.DUMMYFUNCTION("iferror(index(Googlefinance($B30, ""price"", AS$1),2,2), 0)"),144.47)</f>
        <v>144.47</v>
      </c>
      <c r="AT30" s="3">
        <f>IFERROR(__xludf.DUMMYFUNCTION("iferror(index(Googlefinance($B30, ""price"", AT$1),2,2), 0)"),145.66)</f>
        <v>145.66</v>
      </c>
      <c r="AU30" s="3">
        <f>IFERROR(__xludf.DUMMYFUNCTION("iferror(index(Googlefinance($B30, ""price"", AU$1),2,2), 0)"),145.66)</f>
        <v>145.66</v>
      </c>
      <c r="AV30" s="3">
        <f>IFERROR(__xludf.DUMMYFUNCTION("iferror(index(Googlefinance($B30, ""price"", AV$1),2,2), 0)"),145.66)</f>
        <v>145.66</v>
      </c>
      <c r="AW30" s="3">
        <f>IFERROR(__xludf.DUMMYFUNCTION("iferror(index(Googlefinance($B30, ""price"", AW$1),2,2), 0)"),145.66)</f>
        <v>145.66</v>
      </c>
      <c r="AX30" s="3">
        <f>IFERROR(__xludf.DUMMYFUNCTION("iferror(index(Googlefinance($B30, ""price"", AX$1),2,2), 0)"),147.2)</f>
        <v>147.2</v>
      </c>
      <c r="AY30" s="3">
        <f>IFERROR(__xludf.DUMMYFUNCTION("iferror(index(Googlefinance($B30, ""price"", AY$1),2,2), 0)"),137.66)</f>
        <v>137.66</v>
      </c>
      <c r="AZ30" s="3">
        <f>IFERROR(__xludf.DUMMYFUNCTION("iferror(index(Googlefinance($B30, ""price"", AZ$1),2,2), 0)"),138.34)</f>
        <v>138.34</v>
      </c>
      <c r="BA30" s="3">
        <f>IFERROR(__xludf.DUMMYFUNCTION("iferror(index(Googlefinance($B30, ""price"", BA$1),2,2), 0)"),137.69)</f>
        <v>137.69</v>
      </c>
      <c r="BB30" s="3">
        <f>IFERROR(__xludf.DUMMYFUNCTION("iferror(index(Googlefinance($B30, ""price"", BB$1),2,2), 0)"),137.69)</f>
        <v>137.69</v>
      </c>
      <c r="BC30" s="3">
        <f>IFERROR(__xludf.DUMMYFUNCTION("iferror(index(Googlefinance($B30, ""price"", BC$1),2,2), 0)"),137.69)</f>
        <v>137.69</v>
      </c>
      <c r="BD30" s="3">
        <f>IFERROR(__xludf.DUMMYFUNCTION("iferror(index(Googlefinance($B30, ""price"", BD$1),2,2), 0)"),135.47)</f>
        <v>135.47</v>
      </c>
      <c r="BE30" s="3">
        <f>IFERROR(__xludf.DUMMYFUNCTION("iferror(index(Googlefinance($B30, ""price"", BE$1),2,2), 0)"),133.21)</f>
        <v>133.21</v>
      </c>
      <c r="BF30" s="3">
        <f>IFERROR(__xludf.DUMMYFUNCTION("iferror(index(Googlefinance($B30, ""price"", BF$1),2,2), 0)"),131.95)</f>
        <v>131.95</v>
      </c>
      <c r="BG30" s="3">
        <f>IFERROR(__xludf.DUMMYFUNCTION("iferror(index(Googlefinance($B30, ""price"", BG$1),2,2), 0)"),129.92)</f>
        <v>129.92</v>
      </c>
      <c r="BH30" s="3">
        <f>IFERROR(__xludf.DUMMYFUNCTION("iferror(index(Googlefinance($B30, ""price"", BH$1),2,2), 0)"),131.37)</f>
        <v>131.37</v>
      </c>
      <c r="BI30" s="3">
        <f>IFERROR(__xludf.DUMMYFUNCTION("iferror(index(Googlefinance($B30, ""price"", BI$1),2,2), 0)"),131.37)</f>
        <v>131.37</v>
      </c>
      <c r="BJ30" s="3">
        <f>IFERROR(__xludf.DUMMYFUNCTION("iferror(index(Googlefinance($B30, ""price"", BJ$1),2,2), 0)"),131.37)</f>
        <v>131.37</v>
      </c>
      <c r="BK30" s="3">
        <f>IFERROR(__xludf.DUMMYFUNCTION("iferror(index(Googlefinance($B30, ""price"", BK$1),2,2), 0)"),130.11)</f>
        <v>130.11</v>
      </c>
      <c r="BL30" s="3">
        <f>IFERROR(__xludf.DUMMYFUNCTION("iferror(index(Googlefinance($B30, ""price"", BL$1),2,2), 0)"),127.59)</f>
        <v>127.59</v>
      </c>
      <c r="BM30" s="3">
        <f>IFERROR(__xludf.DUMMYFUNCTION("iferror(index(Googlefinance($B30, ""price"", BM$1),2,2), 0)"),127.53)</f>
        <v>127.53</v>
      </c>
      <c r="BN30" s="3">
        <f>IFERROR(__xludf.DUMMYFUNCTION("iferror(index(Googlefinance($B30, ""price"", BN$1),2,2), 0)"),129.12)</f>
        <v>129.12</v>
      </c>
      <c r="BO30" s="3">
        <f>IFERROR(__xludf.DUMMYFUNCTION("iferror(index(Googlefinance($B30, ""price"", BO$1),2,2), 0)"),127.88)</f>
        <v>127.88</v>
      </c>
      <c r="BP30" s="3">
        <f>IFERROR(__xludf.DUMMYFUNCTION("iferror(index(Googlefinance($B30, ""price"", BP$1),2,2), 0)"),127.88)</f>
        <v>127.88</v>
      </c>
      <c r="BQ30" s="3">
        <f>IFERROR(__xludf.DUMMYFUNCTION("iferror(index(Googlefinance($B30, ""price"", BQ$1),2,2), 0)"),127.88)</f>
        <v>127.88</v>
      </c>
      <c r="BR30" s="3">
        <f>IFERROR(__xludf.DUMMYFUNCTION("iferror(index(Googlefinance($B30, ""price"", BR$1),2,2), 0)"),128.89)</f>
        <v>128.89</v>
      </c>
      <c r="BS30" s="3">
        <f>IFERROR(__xludf.DUMMYFUNCTION("iferror(index(Googlefinance($B30, ""price"", BS$1),2,2), 0)"),132.18)</f>
        <v>132.18</v>
      </c>
      <c r="BT30" s="3">
        <f>IFERROR(__xludf.DUMMYFUNCTION("iferror(index(Googlefinance($B30, ""price"", BT$1),2,2), 0)"),132.13)</f>
        <v>132.13</v>
      </c>
      <c r="BU30" s="3">
        <f>IFERROR(__xludf.DUMMYFUNCTION("iferror(index(Googlefinance($B30, ""price"", BU$1),2,2), 0)"),134.12)</f>
        <v>134.12</v>
      </c>
      <c r="BV30" s="3">
        <f>IFERROR(__xludf.DUMMYFUNCTION("iferror(index(Googlefinance($B30, ""price"", BV$1),2,2), 0)"),133.43)</f>
        <v>133.43</v>
      </c>
      <c r="BW30" s="3">
        <f>IFERROR(__xludf.DUMMYFUNCTION("iferror(index(Googlefinance($B30, ""price"", BW$1),2,2), 0)"),133.43)</f>
        <v>133.43</v>
      </c>
      <c r="BX30" s="3">
        <f>IFERROR(__xludf.DUMMYFUNCTION("iferror(index(Googlefinance($B30, ""price"", BX$1),2,2), 0)"),133.43)</f>
        <v>133.43</v>
      </c>
      <c r="BY30" s="3">
        <f>IFERROR(__xludf.DUMMYFUNCTION("iferror(index(Googlefinance($B30, ""price"", BY$1),2,2), 0)"),133.39)</f>
        <v>133.39</v>
      </c>
      <c r="BZ30" s="3">
        <f>IFERROR(__xludf.DUMMYFUNCTION("iferror(index(Googlefinance($B30, ""price"", BZ$1),2,2), 0)"),132.28)</f>
        <v>132.28</v>
      </c>
      <c r="CA30" s="3">
        <f>IFERROR(__xludf.DUMMYFUNCTION("iferror(index(Googlefinance($B30, ""price"", CA$1),2,2), 0)"),130.01)</f>
        <v>130.01</v>
      </c>
      <c r="CB30" s="3">
        <f>IFERROR(__xludf.DUMMYFUNCTION("iferror(index(Googlefinance($B30, ""price"", CB$1),2,2), 0)"),131.74)</f>
        <v>131.74</v>
      </c>
      <c r="CC30" s="3">
        <f>IFERROR(__xludf.DUMMYFUNCTION("iferror(index(Googlefinance($B30, ""price"", CC$1),2,2), 0)"),0.0)</f>
        <v>0</v>
      </c>
      <c r="CD30" s="3">
        <f>IFERROR(__xludf.DUMMYFUNCTION("iferror(index(Googlefinance($B30, ""price"", CD$1),2,2), 0)"),0.0)</f>
        <v>0</v>
      </c>
    </row>
    <row r="31">
      <c r="A31" s="1" t="s">
        <v>59</v>
      </c>
      <c r="B31" s="1" t="s">
        <v>60</v>
      </c>
      <c r="C31" s="3">
        <f>IFERROR(__xludf.DUMMYFUNCTION("iferror(index(Googlefinance($B31, ""price"", C$1),2,2), 0)"),29.44)</f>
        <v>29.44</v>
      </c>
      <c r="D31" s="3">
        <f>IFERROR(__xludf.DUMMYFUNCTION("iferror(index(Googlefinance($B31, ""price"", D$1),2,2), 0)"),29.44)</f>
        <v>29.44</v>
      </c>
      <c r="E31" s="3">
        <f>IFERROR(__xludf.DUMMYFUNCTION("iferror(index(Googlefinance($B31, ""price"", E$1),2,2), 0)"),29.44)</f>
        <v>29.44</v>
      </c>
      <c r="F31" s="3">
        <f>IFERROR(__xludf.DUMMYFUNCTION("iferror(index(Googlefinance($B31, ""price"", F$1),2,2), 0)"),29.44)</f>
        <v>29.44</v>
      </c>
      <c r="G31" s="3">
        <f>IFERROR(__xludf.DUMMYFUNCTION("iferror(index(Googlefinance($B31, ""price"", G$1),2,2), 0)"),29.26)</f>
        <v>29.26</v>
      </c>
      <c r="H31" s="3">
        <f>IFERROR(__xludf.DUMMYFUNCTION("iferror(index(Googlefinance($B31, ""price"", H$1),2,2), 0)"),29.83)</f>
        <v>29.83</v>
      </c>
      <c r="I31" s="3">
        <f>IFERROR(__xludf.DUMMYFUNCTION("iferror(index(Googlefinance($B31, ""price"", I$1),2,2), 0)"),29.91)</f>
        <v>29.91</v>
      </c>
      <c r="J31" s="3">
        <f>IFERROR(__xludf.DUMMYFUNCTION("iferror(index(Googlefinance($B31, ""price"", J$1),2,2), 0)"),29.02)</f>
        <v>29.02</v>
      </c>
      <c r="K31" s="3">
        <f>IFERROR(__xludf.DUMMYFUNCTION("iferror(index(Googlefinance($B31, ""price"", K$1),2,2), 0)"),28.87)</f>
        <v>28.87</v>
      </c>
      <c r="L31" s="3">
        <f>IFERROR(__xludf.DUMMYFUNCTION("iferror(index(Googlefinance($B31, ""price"", L$1),2,2), 0)"),28.87)</f>
        <v>28.87</v>
      </c>
      <c r="M31" s="3">
        <f>IFERROR(__xludf.DUMMYFUNCTION("iferror(index(Googlefinance($B31, ""price"", M$1),2,2), 0)"),28.87)</f>
        <v>28.87</v>
      </c>
      <c r="N31" s="3">
        <f>IFERROR(__xludf.DUMMYFUNCTION("iferror(index(Googlefinance($B31, ""price"", N$1),2,2), 0)"),28.75)</f>
        <v>28.75</v>
      </c>
      <c r="O31" s="3">
        <f>IFERROR(__xludf.DUMMYFUNCTION("iferror(index(Googlefinance($B31, ""price"", O$1),2,2), 0)"),28.61)</f>
        <v>28.61</v>
      </c>
      <c r="P31" s="3">
        <f>IFERROR(__xludf.DUMMYFUNCTION("iferror(index(Googlefinance($B31, ""price"", P$1),2,2), 0)"),29.29)</f>
        <v>29.29</v>
      </c>
      <c r="Q31" s="3">
        <f>IFERROR(__xludf.DUMMYFUNCTION("iferror(index(Googlefinance($B31, ""price"", Q$1),2,2), 0)"),29.17)</f>
        <v>29.17</v>
      </c>
      <c r="R31" s="3">
        <f>IFERROR(__xludf.DUMMYFUNCTION("iferror(index(Googlefinance($B31, ""price"", R$1),2,2), 0)"),28.95)</f>
        <v>28.95</v>
      </c>
      <c r="S31" s="3">
        <f>IFERROR(__xludf.DUMMYFUNCTION("iferror(index(Googlefinance($B31, ""price"", S$1),2,2), 0)"),28.95)</f>
        <v>28.95</v>
      </c>
      <c r="T31" s="3">
        <f>IFERROR(__xludf.DUMMYFUNCTION("iferror(index(Googlefinance($B31, ""price"", T$1),2,2), 0)"),28.95)</f>
        <v>28.95</v>
      </c>
      <c r="U31" s="3">
        <f>IFERROR(__xludf.DUMMYFUNCTION("iferror(index(Googlefinance($B31, ""price"", U$1),2,2), 0)"),28.95)</f>
        <v>28.95</v>
      </c>
      <c r="V31" s="3">
        <f>IFERROR(__xludf.DUMMYFUNCTION("iferror(index(Googlefinance($B31, ""price"", V$1),2,2), 0)"),28.96)</f>
        <v>28.96</v>
      </c>
      <c r="W31" s="3">
        <f>IFERROR(__xludf.DUMMYFUNCTION("iferror(index(Googlefinance($B31, ""price"", W$1),2,2), 0)"),28.83)</f>
        <v>28.83</v>
      </c>
      <c r="X31" s="3">
        <f>IFERROR(__xludf.DUMMYFUNCTION("iferror(index(Googlefinance($B31, ""price"", X$1),2,2), 0)"),28.93)</f>
        <v>28.93</v>
      </c>
      <c r="Y31" s="3">
        <f>IFERROR(__xludf.DUMMYFUNCTION("iferror(index(Googlefinance($B31, ""price"", Y$1),2,2), 0)"),29.11)</f>
        <v>29.11</v>
      </c>
      <c r="Z31" s="3">
        <f>IFERROR(__xludf.DUMMYFUNCTION("iferror(index(Googlefinance($B31, ""price"", Z$1),2,2), 0)"),29.11)</f>
        <v>29.11</v>
      </c>
      <c r="AA31" s="3">
        <f>IFERROR(__xludf.DUMMYFUNCTION("iferror(index(Googlefinance($B31, ""price"", AA$1),2,2), 0)"),29.11)</f>
        <v>29.11</v>
      </c>
      <c r="AB31" s="3">
        <f>IFERROR(__xludf.DUMMYFUNCTION("iferror(index(Googlefinance($B31, ""price"", AB$1),2,2), 0)"),29.75)</f>
        <v>29.75</v>
      </c>
      <c r="AC31" s="3">
        <f>IFERROR(__xludf.DUMMYFUNCTION("iferror(index(Googlefinance($B31, ""price"", AC$1),2,2), 0)"),29.14)</f>
        <v>29.14</v>
      </c>
      <c r="AD31" s="3">
        <f>IFERROR(__xludf.DUMMYFUNCTION("iferror(index(Googlefinance($B31, ""price"", AD$1),2,2), 0)"),28.8)</f>
        <v>28.8</v>
      </c>
      <c r="AE31" s="3">
        <f>IFERROR(__xludf.DUMMYFUNCTION("iferror(index(Googlefinance($B31, ""price"", AE$1),2,2), 0)"),28.63)</f>
        <v>28.63</v>
      </c>
      <c r="AF31" s="3">
        <f>IFERROR(__xludf.DUMMYFUNCTION("iferror(index(Googlefinance($B31, ""price"", AF$1),2,2), 0)"),28.65)</f>
        <v>28.65</v>
      </c>
      <c r="AG31" s="3">
        <f>IFERROR(__xludf.DUMMYFUNCTION("iferror(index(Googlefinance($B31, ""price"", AG$1),2,2), 0)"),28.65)</f>
        <v>28.65</v>
      </c>
      <c r="AH31" s="3">
        <f>IFERROR(__xludf.DUMMYFUNCTION("iferror(index(Googlefinance($B31, ""price"", AH$1),2,2), 0)"),28.65)</f>
        <v>28.65</v>
      </c>
      <c r="AI31" s="3">
        <f>IFERROR(__xludf.DUMMYFUNCTION("iferror(index(Googlefinance($B31, ""price"", AI$1),2,2), 0)"),28.54)</f>
        <v>28.54</v>
      </c>
      <c r="AJ31" s="3">
        <f>IFERROR(__xludf.DUMMYFUNCTION("iferror(index(Googlefinance($B31, ""price"", AJ$1),2,2), 0)"),28.51)</f>
        <v>28.51</v>
      </c>
      <c r="AK31" s="3">
        <f>IFERROR(__xludf.DUMMYFUNCTION("iferror(index(Googlefinance($B31, ""price"", AK$1),2,2), 0)"),28.89)</f>
        <v>28.89</v>
      </c>
      <c r="AL31" s="3">
        <f>IFERROR(__xludf.DUMMYFUNCTION("iferror(index(Googlefinance($B31, ""price"", AL$1),2,2), 0)"),28.93)</f>
        <v>28.93</v>
      </c>
      <c r="AM31" s="3">
        <f>IFERROR(__xludf.DUMMYFUNCTION("iferror(index(Googlefinance($B31, ""price"", AM$1),2,2), 0)"),28.77)</f>
        <v>28.77</v>
      </c>
      <c r="AN31" s="3">
        <f>IFERROR(__xludf.DUMMYFUNCTION("iferror(index(Googlefinance($B31, ""price"", AN$1),2,2), 0)"),28.77)</f>
        <v>28.77</v>
      </c>
      <c r="AO31" s="3">
        <f>IFERROR(__xludf.DUMMYFUNCTION("iferror(index(Googlefinance($B31, ""price"", AO$1),2,2), 0)"),28.77)</f>
        <v>28.77</v>
      </c>
      <c r="AP31" s="3">
        <f>IFERROR(__xludf.DUMMYFUNCTION("iferror(index(Googlefinance($B31, ""price"", AP$1),2,2), 0)"),28.62)</f>
        <v>28.62</v>
      </c>
      <c r="AQ31" s="3">
        <f>IFERROR(__xludf.DUMMYFUNCTION("iferror(index(Googlefinance($B31, ""price"", AQ$1),2,2), 0)"),28.55)</f>
        <v>28.55</v>
      </c>
      <c r="AR31" s="3">
        <f>IFERROR(__xludf.DUMMYFUNCTION("iferror(index(Googlefinance($B31, ""price"", AR$1),2,2), 0)"),28.69)</f>
        <v>28.69</v>
      </c>
      <c r="AS31" s="3">
        <f>IFERROR(__xludf.DUMMYFUNCTION("iferror(index(Googlefinance($B31, ""price"", AS$1),2,2), 0)"),28.8)</f>
        <v>28.8</v>
      </c>
      <c r="AT31" s="3">
        <f>IFERROR(__xludf.DUMMYFUNCTION("iferror(index(Googlefinance($B31, ""price"", AT$1),2,2), 0)"),28.97)</f>
        <v>28.97</v>
      </c>
      <c r="AU31" s="3">
        <f>IFERROR(__xludf.DUMMYFUNCTION("iferror(index(Googlefinance($B31, ""price"", AU$1),2,2), 0)"),28.97)</f>
        <v>28.97</v>
      </c>
      <c r="AV31" s="3">
        <f>IFERROR(__xludf.DUMMYFUNCTION("iferror(index(Googlefinance($B31, ""price"", AV$1),2,2), 0)"),28.97)</f>
        <v>28.97</v>
      </c>
      <c r="AW31" s="3">
        <f>IFERROR(__xludf.DUMMYFUNCTION("iferror(index(Googlefinance($B31, ""price"", AW$1),2,2), 0)"),28.97)</f>
        <v>28.97</v>
      </c>
      <c r="AX31" s="3">
        <f>IFERROR(__xludf.DUMMYFUNCTION("iferror(index(Googlefinance($B31, ""price"", AX$1),2,2), 0)"),29.57)</f>
        <v>29.57</v>
      </c>
      <c r="AY31" s="3">
        <f>IFERROR(__xludf.DUMMYFUNCTION("iferror(index(Googlefinance($B31, ""price"", AY$1),2,2), 0)"),29.23)</f>
        <v>29.23</v>
      </c>
      <c r="AZ31" s="3">
        <f>IFERROR(__xludf.DUMMYFUNCTION("iferror(index(Googlefinance($B31, ""price"", AZ$1),2,2), 0)"),29.0)</f>
        <v>29</v>
      </c>
      <c r="BA31" s="3">
        <f>IFERROR(__xludf.DUMMYFUNCTION("iferror(index(Googlefinance($B31, ""price"", BA$1),2,2), 0)"),29.32)</f>
        <v>29.32</v>
      </c>
      <c r="BB31" s="3">
        <f>IFERROR(__xludf.DUMMYFUNCTION("iferror(index(Googlefinance($B31, ""price"", BB$1),2,2), 0)"),29.32)</f>
        <v>29.32</v>
      </c>
      <c r="BC31" s="3">
        <f>IFERROR(__xludf.DUMMYFUNCTION("iferror(index(Googlefinance($B31, ""price"", BC$1),2,2), 0)"),29.32)</f>
        <v>29.32</v>
      </c>
      <c r="BD31" s="3">
        <f>IFERROR(__xludf.DUMMYFUNCTION("iferror(index(Googlefinance($B31, ""price"", BD$1),2,2), 0)"),29.18)</f>
        <v>29.18</v>
      </c>
      <c r="BE31" s="3">
        <f>IFERROR(__xludf.DUMMYFUNCTION("iferror(index(Googlefinance($B31, ""price"", BE$1),2,2), 0)"),29.38)</f>
        <v>29.38</v>
      </c>
      <c r="BF31" s="3">
        <f>IFERROR(__xludf.DUMMYFUNCTION("iferror(index(Googlefinance($B31, ""price"", BF$1),2,2), 0)"),28.63)</f>
        <v>28.63</v>
      </c>
      <c r="BG31" s="3">
        <f>IFERROR(__xludf.DUMMYFUNCTION("iferror(index(Googlefinance($B31, ""price"", BG$1),2,2), 0)"),27.89)</f>
        <v>27.89</v>
      </c>
      <c r="BH31" s="3">
        <f>IFERROR(__xludf.DUMMYFUNCTION("iferror(index(Googlefinance($B31, ""price"", BH$1),2,2), 0)"),28.09)</f>
        <v>28.09</v>
      </c>
      <c r="BI31" s="3">
        <f>IFERROR(__xludf.DUMMYFUNCTION("iferror(index(Googlefinance($B31, ""price"", BI$1),2,2), 0)"),28.09)</f>
        <v>28.09</v>
      </c>
      <c r="BJ31" s="3">
        <f>IFERROR(__xludf.DUMMYFUNCTION("iferror(index(Googlefinance($B31, ""price"", BJ$1),2,2), 0)"),28.09)</f>
        <v>28.09</v>
      </c>
      <c r="BK31" s="3">
        <f>IFERROR(__xludf.DUMMYFUNCTION("iferror(index(Googlefinance($B31, ""price"", BK$1),2,2), 0)"),28.22)</f>
        <v>28.22</v>
      </c>
      <c r="BL31" s="3">
        <f>IFERROR(__xludf.DUMMYFUNCTION("iferror(index(Googlefinance($B31, ""price"", BL$1),2,2), 0)"),28.72)</f>
        <v>28.72</v>
      </c>
      <c r="BM31" s="3">
        <f>IFERROR(__xludf.DUMMYFUNCTION("iferror(index(Googlefinance($B31, ""price"", BM$1),2,2), 0)"),28.92)</f>
        <v>28.92</v>
      </c>
      <c r="BN31" s="3">
        <f>IFERROR(__xludf.DUMMYFUNCTION("iferror(index(Googlefinance($B31, ""price"", BN$1),2,2), 0)"),29.62)</f>
        <v>29.62</v>
      </c>
      <c r="BO31" s="3">
        <f>IFERROR(__xludf.DUMMYFUNCTION("iferror(index(Googlefinance($B31, ""price"", BO$1),2,2), 0)"),29.99)</f>
        <v>29.99</v>
      </c>
      <c r="BP31" s="3">
        <f>IFERROR(__xludf.DUMMYFUNCTION("iferror(index(Googlefinance($B31, ""price"", BP$1),2,2), 0)"),29.99)</f>
        <v>29.99</v>
      </c>
      <c r="BQ31" s="3">
        <f>IFERROR(__xludf.DUMMYFUNCTION("iferror(index(Googlefinance($B31, ""price"", BQ$1),2,2), 0)"),29.99)</f>
        <v>29.99</v>
      </c>
      <c r="BR31" s="3">
        <f>IFERROR(__xludf.DUMMYFUNCTION("iferror(index(Googlefinance($B31, ""price"", BR$1),2,2), 0)"),29.64)</f>
        <v>29.64</v>
      </c>
      <c r="BS31" s="3">
        <f>IFERROR(__xludf.DUMMYFUNCTION("iferror(index(Googlefinance($B31, ""price"", BS$1),2,2), 0)"),29.99)</f>
        <v>29.99</v>
      </c>
      <c r="BT31" s="3">
        <f>IFERROR(__xludf.DUMMYFUNCTION("iferror(index(Googlefinance($B31, ""price"", BT$1),2,2), 0)"),29.54)</f>
        <v>29.54</v>
      </c>
      <c r="BU31" s="3">
        <f>IFERROR(__xludf.DUMMYFUNCTION("iferror(index(Googlefinance($B31, ""price"", BU$1),2,2), 0)"),29.81)</f>
        <v>29.81</v>
      </c>
      <c r="BV31" s="3">
        <f>IFERROR(__xludf.DUMMYFUNCTION("iferror(index(Googlefinance($B31, ""price"", BV$1),2,2), 0)"),29.93)</f>
        <v>29.93</v>
      </c>
      <c r="BW31" s="3">
        <f>IFERROR(__xludf.DUMMYFUNCTION("iferror(index(Googlefinance($B31, ""price"", BW$1),2,2), 0)"),29.93)</f>
        <v>29.93</v>
      </c>
      <c r="BX31" s="3">
        <f>IFERROR(__xludf.DUMMYFUNCTION("iferror(index(Googlefinance($B31, ""price"", BX$1),2,2), 0)"),29.93)</f>
        <v>29.93</v>
      </c>
      <c r="BY31" s="3">
        <f>IFERROR(__xludf.DUMMYFUNCTION("iferror(index(Googlefinance($B31, ""price"", BY$1),2,2), 0)"),29.99)</f>
        <v>29.99</v>
      </c>
      <c r="BZ31" s="3">
        <f>IFERROR(__xludf.DUMMYFUNCTION("iferror(index(Googlefinance($B31, ""price"", BZ$1),2,2), 0)"),30.15)</f>
        <v>30.15</v>
      </c>
      <c r="CA31" s="3">
        <f>IFERROR(__xludf.DUMMYFUNCTION("iferror(index(Googlefinance($B31, ""price"", CA$1),2,2), 0)"),30.01)</f>
        <v>30.01</v>
      </c>
      <c r="CB31" s="3">
        <f>IFERROR(__xludf.DUMMYFUNCTION("iferror(index(Googlefinance($B31, ""price"", CB$1),2,2), 0)"),29.76)</f>
        <v>29.76</v>
      </c>
      <c r="CC31" s="3">
        <f>IFERROR(__xludf.DUMMYFUNCTION("iferror(index(Googlefinance($B31, ""price"", CC$1),2,2), 0)"),0.0)</f>
        <v>0</v>
      </c>
      <c r="CD31" s="3">
        <f>IFERROR(__xludf.DUMMYFUNCTION("iferror(index(Googlefinance($B31, ""price"", CD$1),2,2), 0)"),0.0)</f>
        <v>0</v>
      </c>
    </row>
    <row r="32">
      <c r="A32" s="1" t="s">
        <v>61</v>
      </c>
      <c r="B32" s="1" t="s">
        <v>62</v>
      </c>
      <c r="C32" s="3">
        <f>IFERROR(__xludf.DUMMYFUNCTION("iferror(index(Googlefinance($B32, ""price"", C$1),2,2), 0)"),179.15)</f>
        <v>179.15</v>
      </c>
      <c r="D32" s="3">
        <f>IFERROR(__xludf.DUMMYFUNCTION("iferror(index(Googlefinance($B32, ""price"", D$1),2,2), 0)"),179.15)</f>
        <v>179.15</v>
      </c>
      <c r="E32" s="3">
        <f>IFERROR(__xludf.DUMMYFUNCTION("iferror(index(Googlefinance($B32, ""price"", E$1),2,2), 0)"),179.15)</f>
        <v>179.15</v>
      </c>
      <c r="F32" s="3">
        <f>IFERROR(__xludf.DUMMYFUNCTION("iferror(index(Googlefinance($B32, ""price"", F$1),2,2), 0)"),179.15)</f>
        <v>179.15</v>
      </c>
      <c r="G32" s="3">
        <f>IFERROR(__xludf.DUMMYFUNCTION("iferror(index(Googlefinance($B32, ""price"", G$1),2,2), 0)"),181.85)</f>
        <v>181.85</v>
      </c>
      <c r="H32" s="3">
        <f>IFERROR(__xludf.DUMMYFUNCTION("iferror(index(Googlefinance($B32, ""price"", H$1),2,2), 0)"),186.42)</f>
        <v>186.42</v>
      </c>
      <c r="I32" s="3">
        <f>IFERROR(__xludf.DUMMYFUNCTION("iferror(index(Googlefinance($B32, ""price"", I$1),2,2), 0)"),184.51)</f>
        <v>184.51</v>
      </c>
      <c r="J32" s="3">
        <f>IFERROR(__xludf.DUMMYFUNCTION("iferror(index(Googlefinance($B32, ""price"", J$1),2,2), 0)"),182.54)</f>
        <v>182.54</v>
      </c>
      <c r="K32" s="3">
        <f>IFERROR(__xludf.DUMMYFUNCTION("iferror(index(Googlefinance($B32, ""price"", K$1),2,2), 0)"),180.14)</f>
        <v>180.14</v>
      </c>
      <c r="L32" s="3">
        <f>IFERROR(__xludf.DUMMYFUNCTION("iferror(index(Googlefinance($B32, ""price"", L$1),2,2), 0)"),180.14)</f>
        <v>180.14</v>
      </c>
      <c r="M32" s="3">
        <f>IFERROR(__xludf.DUMMYFUNCTION("iferror(index(Googlefinance($B32, ""price"", M$1),2,2), 0)"),180.14)</f>
        <v>180.14</v>
      </c>
      <c r="N32" s="3">
        <f>IFERROR(__xludf.DUMMYFUNCTION("iferror(index(Googlefinance($B32, ""price"", N$1),2,2), 0)"),176.9)</f>
        <v>176.9</v>
      </c>
      <c r="O32" s="3">
        <f>IFERROR(__xludf.DUMMYFUNCTION("iferror(index(Googlefinance($B32, ""price"", O$1),2,2), 0)"),175.43)</f>
        <v>175.43</v>
      </c>
      <c r="P32" s="3">
        <f>IFERROR(__xludf.DUMMYFUNCTION("iferror(index(Googlefinance($B32, ""price"", P$1),2,2), 0)"),175.06)</f>
        <v>175.06</v>
      </c>
      <c r="Q32" s="3">
        <f>IFERROR(__xludf.DUMMYFUNCTION("iferror(index(Googlefinance($B32, ""price"", Q$1),2,2), 0)"),174.74)</f>
        <v>174.74</v>
      </c>
      <c r="R32" s="3">
        <f>IFERROR(__xludf.DUMMYFUNCTION("iferror(index(Googlefinance($B32, ""price"", R$1),2,2), 0)"),179.78)</f>
        <v>179.78</v>
      </c>
      <c r="S32" s="3">
        <f>IFERROR(__xludf.DUMMYFUNCTION("iferror(index(Googlefinance($B32, ""price"", S$1),2,2), 0)"),179.78)</f>
        <v>179.78</v>
      </c>
      <c r="T32" s="3">
        <f>IFERROR(__xludf.DUMMYFUNCTION("iferror(index(Googlefinance($B32, ""price"", T$1),2,2), 0)"),179.78)</f>
        <v>179.78</v>
      </c>
      <c r="U32" s="3">
        <f>IFERROR(__xludf.DUMMYFUNCTION("iferror(index(Googlefinance($B32, ""price"", U$1),2,2), 0)"),179.78)</f>
        <v>179.78</v>
      </c>
      <c r="V32" s="3">
        <f>IFERROR(__xludf.DUMMYFUNCTION("iferror(index(Googlefinance($B32, ""price"", V$1),2,2), 0)"),177.41)</f>
        <v>177.41</v>
      </c>
      <c r="W32" s="3">
        <f>IFERROR(__xludf.DUMMYFUNCTION("iferror(index(Googlefinance($B32, ""price"", W$1),2,2), 0)"),175.63)</f>
        <v>175.63</v>
      </c>
      <c r="X32" s="3">
        <f>IFERROR(__xludf.DUMMYFUNCTION("iferror(index(Googlefinance($B32, ""price"", X$1),2,2), 0)"),174.34)</f>
        <v>174.34</v>
      </c>
      <c r="Y32" s="3">
        <f>IFERROR(__xludf.DUMMYFUNCTION("iferror(index(Googlefinance($B32, ""price"", Y$1),2,2), 0)"),172.93)</f>
        <v>172.93</v>
      </c>
      <c r="Z32" s="3">
        <f>IFERROR(__xludf.DUMMYFUNCTION("iferror(index(Googlefinance($B32, ""price"", Z$1),2,2), 0)"),172.93)</f>
        <v>172.93</v>
      </c>
      <c r="AA32" s="3">
        <f>IFERROR(__xludf.DUMMYFUNCTION("iferror(index(Googlefinance($B32, ""price"", AA$1),2,2), 0)"),172.93)</f>
        <v>172.93</v>
      </c>
      <c r="AB32" s="3">
        <f>IFERROR(__xludf.DUMMYFUNCTION("iferror(index(Googlefinance($B32, ""price"", AB$1),2,2), 0)"),172.96)</f>
        <v>172.96</v>
      </c>
      <c r="AC32" s="3">
        <f>IFERROR(__xludf.DUMMYFUNCTION("iferror(index(Googlefinance($B32, ""price"", AC$1),2,2), 0)"),164.22)</f>
        <v>164.22</v>
      </c>
      <c r="AD32" s="3">
        <f>IFERROR(__xludf.DUMMYFUNCTION("iferror(index(Googlefinance($B32, ""price"", AD$1),2,2), 0)"),164.2)</f>
        <v>164.2</v>
      </c>
      <c r="AE32" s="3">
        <f>IFERROR(__xludf.DUMMYFUNCTION("iferror(index(Googlefinance($B32, ""price"", AE$1),2,2), 0)"),161.89)</f>
        <v>161.89</v>
      </c>
      <c r="AF32" s="3">
        <f>IFERROR(__xludf.DUMMYFUNCTION("iferror(index(Googlefinance($B32, ""price"", AF$1),2,2), 0)"),166.46)</f>
        <v>166.46</v>
      </c>
      <c r="AG32" s="3">
        <f>IFERROR(__xludf.DUMMYFUNCTION("iferror(index(Googlefinance($B32, ""price"", AG$1),2,2), 0)"),166.46)</f>
        <v>166.46</v>
      </c>
      <c r="AH32" s="3">
        <f>IFERROR(__xludf.DUMMYFUNCTION("iferror(index(Googlefinance($B32, ""price"", AH$1),2,2), 0)"),166.46)</f>
        <v>166.46</v>
      </c>
      <c r="AI32" s="3">
        <f>IFERROR(__xludf.DUMMYFUNCTION("iferror(index(Googlefinance($B32, ""price"", AI$1),2,2), 0)"),170.12)</f>
        <v>170.12</v>
      </c>
      <c r="AJ32" s="3">
        <f>IFERROR(__xludf.DUMMYFUNCTION("iferror(index(Googlefinance($B32, ""price"", AJ$1),2,2), 0)"),170.68)</f>
        <v>170.68</v>
      </c>
      <c r="AK32" s="3">
        <f>IFERROR(__xludf.DUMMYFUNCTION("iferror(index(Googlefinance($B32, ""price"", AK$1),2,2), 0)"),175.11)</f>
        <v>175.11</v>
      </c>
      <c r="AL32" s="3">
        <f>IFERROR(__xludf.DUMMYFUNCTION("iferror(index(Googlefinance($B32, ""price"", AL$1),2,2), 0)"),176.08)</f>
        <v>176.08</v>
      </c>
      <c r="AM32" s="3">
        <f>IFERROR(__xludf.DUMMYFUNCTION("iferror(index(Googlefinance($B32, ""price"", AM$1),2,2), 0)"),180.27)</f>
        <v>180.27</v>
      </c>
      <c r="AN32" s="3">
        <f>IFERROR(__xludf.DUMMYFUNCTION("iferror(index(Googlefinance($B32, ""price"", AN$1),2,2), 0)"),180.27)</f>
        <v>180.27</v>
      </c>
      <c r="AO32" s="3">
        <f>IFERROR(__xludf.DUMMYFUNCTION("iferror(index(Googlefinance($B32, ""price"", AO$1),2,2), 0)"),180.27)</f>
        <v>180.27</v>
      </c>
      <c r="AP32" s="3">
        <f>IFERROR(__xludf.DUMMYFUNCTION("iferror(index(Googlefinance($B32, ""price"", AP$1),2,2), 0)"),177.75)</f>
        <v>177.75</v>
      </c>
      <c r="AQ32" s="3">
        <f>IFERROR(__xludf.DUMMYFUNCTION("iferror(index(Googlefinance($B32, ""price"", AQ$1),2,2), 0)"),179.98)</f>
        <v>179.98</v>
      </c>
      <c r="AR32" s="3">
        <f>IFERROR(__xludf.DUMMYFUNCTION("iferror(index(Googlefinance($B32, ""price"", AR$1),2,2), 0)"),180.59)</f>
        <v>180.59</v>
      </c>
      <c r="AS32" s="3">
        <f>IFERROR(__xludf.DUMMYFUNCTION("iferror(index(Googlefinance($B32, ""price"", AS$1),2,2), 0)"),179.11)</f>
        <v>179.11</v>
      </c>
      <c r="AT32" s="3">
        <f>IFERROR(__xludf.DUMMYFUNCTION("iferror(index(Googlefinance($B32, ""price"", AT$1),2,2), 0)"),182.75)</f>
        <v>182.75</v>
      </c>
      <c r="AU32" s="3">
        <f>IFERROR(__xludf.DUMMYFUNCTION("iferror(index(Googlefinance($B32, ""price"", AU$1),2,2), 0)"),182.75)</f>
        <v>182.75</v>
      </c>
      <c r="AV32" s="3">
        <f>IFERROR(__xludf.DUMMYFUNCTION("iferror(index(Googlefinance($B32, ""price"", AV$1),2,2), 0)"),182.75)</f>
        <v>182.75</v>
      </c>
      <c r="AW32" s="3">
        <f>IFERROR(__xludf.DUMMYFUNCTION("iferror(index(Googlefinance($B32, ""price"", AW$1),2,2), 0)"),182.75)</f>
        <v>182.75</v>
      </c>
      <c r="AX32" s="3">
        <f>IFERROR(__xludf.DUMMYFUNCTION("iferror(index(Googlefinance($B32, ""price"", AX$1),2,2), 0)"),184.88)</f>
        <v>184.88</v>
      </c>
      <c r="AY32" s="3">
        <f>IFERROR(__xludf.DUMMYFUNCTION("iferror(index(Googlefinance($B32, ""price"", AY$1),2,2), 0)"),185.8)</f>
        <v>185.8</v>
      </c>
      <c r="AZ32" s="3">
        <f>IFERROR(__xludf.DUMMYFUNCTION("iferror(index(Googlefinance($B32, ""price"", AZ$1),2,2), 0)"),192.01)</f>
        <v>192.01</v>
      </c>
      <c r="BA32" s="3">
        <f>IFERROR(__xludf.DUMMYFUNCTION("iferror(index(Googlefinance($B32, ""price"", BA$1),2,2), 0)"),195.58)</f>
        <v>195.58</v>
      </c>
      <c r="BB32" s="3">
        <f>IFERROR(__xludf.DUMMYFUNCTION("iferror(index(Googlefinance($B32, ""price"", BB$1),2,2), 0)"),195.58)</f>
        <v>195.58</v>
      </c>
      <c r="BC32" s="3">
        <f>IFERROR(__xludf.DUMMYFUNCTION("iferror(index(Googlefinance($B32, ""price"", BC$1),2,2), 0)"),195.58)</f>
        <v>195.58</v>
      </c>
      <c r="BD32" s="3">
        <f>IFERROR(__xludf.DUMMYFUNCTION("iferror(index(Googlefinance($B32, ""price"", BD$1),2,2), 0)"),194.25)</f>
        <v>194.25</v>
      </c>
      <c r="BE32" s="3">
        <f>IFERROR(__xludf.DUMMYFUNCTION("iferror(index(Googlefinance($B32, ""price"", BE$1),2,2), 0)"),195.29)</f>
        <v>195.29</v>
      </c>
      <c r="BF32" s="3">
        <f>IFERROR(__xludf.DUMMYFUNCTION("iferror(index(Googlefinance($B32, ""price"", BF$1),2,2), 0)"),191.28)</f>
        <v>191.28</v>
      </c>
      <c r="BG32" s="3">
        <f>IFERROR(__xludf.DUMMYFUNCTION("iferror(index(Googlefinance($B32, ""price"", BG$1),2,2), 0)"),192.35)</f>
        <v>192.35</v>
      </c>
      <c r="BH32" s="3">
        <f>IFERROR(__xludf.DUMMYFUNCTION("iferror(index(Googlefinance($B32, ""price"", BH$1),2,2), 0)"),204.83)</f>
        <v>204.83</v>
      </c>
      <c r="BI32" s="3">
        <f>IFERROR(__xludf.DUMMYFUNCTION("iferror(index(Googlefinance($B32, ""price"", BI$1),2,2), 0)"),204.83)</f>
        <v>204.83</v>
      </c>
      <c r="BJ32" s="3">
        <f>IFERROR(__xludf.DUMMYFUNCTION("iferror(index(Googlefinance($B32, ""price"", BJ$1),2,2), 0)"),204.83)</f>
        <v>204.83</v>
      </c>
      <c r="BK32" s="3">
        <f>IFERROR(__xludf.DUMMYFUNCTION("iferror(index(Googlefinance($B32, ""price"", BK$1),2,2), 0)"),200.73)</f>
        <v>200.73</v>
      </c>
      <c r="BL32" s="3">
        <f>IFERROR(__xludf.DUMMYFUNCTION("iferror(index(Googlefinance($B32, ""price"", BL$1),2,2), 0)"),202.89)</f>
        <v>202.89</v>
      </c>
      <c r="BM32" s="3">
        <f>IFERROR(__xludf.DUMMYFUNCTION("iferror(index(Googlefinance($B32, ""price"", BM$1),2,2), 0)"),198.01)</f>
        <v>198.01</v>
      </c>
      <c r="BN32" s="3">
        <f>IFERROR(__xludf.DUMMYFUNCTION("iferror(index(Googlefinance($B32, ""price"", BN$1),2,2), 0)"),199.72)</f>
        <v>199.72</v>
      </c>
      <c r="BO32" s="3">
        <f>IFERROR(__xludf.DUMMYFUNCTION("iferror(index(Googlefinance($B32, ""price"", BO$1),2,2), 0)"),200.0)</f>
        <v>200</v>
      </c>
      <c r="BP32" s="3">
        <f>IFERROR(__xludf.DUMMYFUNCTION("iferror(index(Googlefinance($B32, ""price"", BP$1),2,2), 0)"),200.0)</f>
        <v>200</v>
      </c>
      <c r="BQ32" s="3">
        <f>IFERROR(__xludf.DUMMYFUNCTION("iferror(index(Googlefinance($B32, ""price"", BQ$1),2,2), 0)"),200.0)</f>
        <v>200</v>
      </c>
      <c r="BR32" s="3">
        <f>IFERROR(__xludf.DUMMYFUNCTION("iferror(index(Googlefinance($B32, ""price"", BR$1),2,2), 0)"),198.43)</f>
        <v>198.43</v>
      </c>
      <c r="BS32" s="3">
        <f>IFERROR(__xludf.DUMMYFUNCTION("iferror(index(Googlefinance($B32, ""price"", BS$1),2,2), 0)"),195.17)</f>
        <v>195.17</v>
      </c>
      <c r="BT32" s="3">
        <f>IFERROR(__xludf.DUMMYFUNCTION("iferror(index(Googlefinance($B32, ""price"", BT$1),2,2), 0)"),198.16)</f>
        <v>198.16</v>
      </c>
      <c r="BU32" s="3">
        <f>IFERROR(__xludf.DUMMYFUNCTION("iferror(index(Googlefinance($B32, ""price"", BU$1),2,2), 0)"),199.1)</f>
        <v>199.1</v>
      </c>
      <c r="BV32" s="3">
        <f>IFERROR(__xludf.DUMMYFUNCTION("iferror(index(Googlefinance($B32, ""price"", BV$1),2,2), 0)"),201.28)</f>
        <v>201.28</v>
      </c>
      <c r="BW32" s="3">
        <f>IFERROR(__xludf.DUMMYFUNCTION("iferror(index(Googlefinance($B32, ""price"", BW$1),2,2), 0)"),201.28)</f>
        <v>201.28</v>
      </c>
      <c r="BX32" s="3">
        <f>IFERROR(__xludf.DUMMYFUNCTION("iferror(index(Googlefinance($B32, ""price"", BX$1),2,2), 0)"),201.28)</f>
        <v>201.28</v>
      </c>
      <c r="BY32" s="3">
        <f>IFERROR(__xludf.DUMMYFUNCTION("iferror(index(Googlefinance($B32, ""price"", BY$1),2,2), 0)"),198.97)</f>
        <v>198.97</v>
      </c>
      <c r="BZ32" s="3">
        <f>IFERROR(__xludf.DUMMYFUNCTION("iferror(index(Googlefinance($B32, ""price"", BZ$1),2,2), 0)"),198.68)</f>
        <v>198.68</v>
      </c>
      <c r="CA32" s="3">
        <f>IFERROR(__xludf.DUMMYFUNCTION("iferror(index(Googlefinance($B32, ""price"", CA$1),2,2), 0)"),195.09)</f>
        <v>195.09</v>
      </c>
      <c r="CB32" s="3">
        <f>IFERROR(__xludf.DUMMYFUNCTION("iferror(index(Googlefinance($B32, ""price"", CB$1),2,2), 0)"),191.86)</f>
        <v>191.86</v>
      </c>
      <c r="CC32" s="3">
        <f>IFERROR(__xludf.DUMMYFUNCTION("iferror(index(Googlefinance($B32, ""price"", CC$1),2,2), 0)"),0.0)</f>
        <v>0</v>
      </c>
      <c r="CD32" s="3">
        <f>IFERROR(__xludf.DUMMYFUNCTION("iferror(index(Googlefinance($B32, ""price"", CD$1),2,2), 0)"),0.0)</f>
        <v>0</v>
      </c>
    </row>
    <row r="33">
      <c r="A33" s="1" t="s">
        <v>63</v>
      </c>
      <c r="B33" s="1" t="s">
        <v>64</v>
      </c>
      <c r="C33" s="3">
        <f>IFERROR(__xludf.DUMMYFUNCTION("iferror(index(Googlefinance($B33, ""price"", C$1),2,2), 0)"),25.27)</f>
        <v>25.27</v>
      </c>
      <c r="D33" s="3">
        <f>IFERROR(__xludf.DUMMYFUNCTION("iferror(index(Googlefinance($B33, ""price"", D$1),2,2), 0)"),25.27)</f>
        <v>25.27</v>
      </c>
      <c r="E33" s="3">
        <f>IFERROR(__xludf.DUMMYFUNCTION("iferror(index(Googlefinance($B33, ""price"", E$1),2,2), 0)"),25.27)</f>
        <v>25.27</v>
      </c>
      <c r="F33" s="3">
        <f>IFERROR(__xludf.DUMMYFUNCTION("iferror(index(Googlefinance($B33, ""price"", F$1),2,2), 0)"),25.27)</f>
        <v>25.27</v>
      </c>
      <c r="G33" s="3">
        <f>IFERROR(__xludf.DUMMYFUNCTION("iferror(index(Googlefinance($B33, ""price"", G$1),2,2), 0)"),25.96)</f>
        <v>25.96</v>
      </c>
      <c r="H33" s="3">
        <f>IFERROR(__xludf.DUMMYFUNCTION("iferror(index(Googlefinance($B33, ""price"", H$1),2,2), 0)"),26.22)</f>
        <v>26.22</v>
      </c>
      <c r="I33" s="3">
        <f>IFERROR(__xludf.DUMMYFUNCTION("iferror(index(Googlefinance($B33, ""price"", I$1),2,2), 0)"),26.1)</f>
        <v>26.1</v>
      </c>
      <c r="J33" s="3">
        <f>IFERROR(__xludf.DUMMYFUNCTION("iferror(index(Googlefinance($B33, ""price"", J$1),2,2), 0)"),25.98)</f>
        <v>25.98</v>
      </c>
      <c r="K33" s="3">
        <f>IFERROR(__xludf.DUMMYFUNCTION("iferror(index(Googlefinance($B33, ""price"", K$1),2,2), 0)"),26.05)</f>
        <v>26.05</v>
      </c>
      <c r="L33" s="3">
        <f>IFERROR(__xludf.DUMMYFUNCTION("iferror(index(Googlefinance($B33, ""price"", L$1),2,2), 0)"),26.05)</f>
        <v>26.05</v>
      </c>
      <c r="M33" s="3">
        <f>IFERROR(__xludf.DUMMYFUNCTION("iferror(index(Googlefinance($B33, ""price"", M$1),2,2), 0)"),26.05)</f>
        <v>26.05</v>
      </c>
      <c r="N33" s="3">
        <f>IFERROR(__xludf.DUMMYFUNCTION("iferror(index(Googlefinance($B33, ""price"", N$1),2,2), 0)"),25.84)</f>
        <v>25.84</v>
      </c>
      <c r="O33" s="3">
        <f>IFERROR(__xludf.DUMMYFUNCTION("iferror(index(Googlefinance($B33, ""price"", O$1),2,2), 0)"),25.33)</f>
        <v>25.33</v>
      </c>
      <c r="P33" s="3">
        <f>IFERROR(__xludf.DUMMYFUNCTION("iferror(index(Googlefinance($B33, ""price"", P$1),2,2), 0)"),25.29)</f>
        <v>25.29</v>
      </c>
      <c r="Q33" s="3">
        <f>IFERROR(__xludf.DUMMYFUNCTION("iferror(index(Googlefinance($B33, ""price"", Q$1),2,2), 0)"),25.52)</f>
        <v>25.52</v>
      </c>
      <c r="R33" s="3">
        <f>IFERROR(__xludf.DUMMYFUNCTION("iferror(index(Googlefinance($B33, ""price"", R$1),2,2), 0)"),25.74)</f>
        <v>25.74</v>
      </c>
      <c r="S33" s="3">
        <f>IFERROR(__xludf.DUMMYFUNCTION("iferror(index(Googlefinance($B33, ""price"", S$1),2,2), 0)"),25.74)</f>
        <v>25.74</v>
      </c>
      <c r="T33" s="3">
        <f>IFERROR(__xludf.DUMMYFUNCTION("iferror(index(Googlefinance($B33, ""price"", T$1),2,2), 0)"),25.74)</f>
        <v>25.74</v>
      </c>
      <c r="U33" s="3">
        <f>IFERROR(__xludf.DUMMYFUNCTION("iferror(index(Googlefinance($B33, ""price"", U$1),2,2), 0)"),25.74)</f>
        <v>25.74</v>
      </c>
      <c r="V33" s="3">
        <f>IFERROR(__xludf.DUMMYFUNCTION("iferror(index(Googlefinance($B33, ""price"", V$1),2,2), 0)"),25.57)</f>
        <v>25.57</v>
      </c>
      <c r="W33" s="3">
        <f>IFERROR(__xludf.DUMMYFUNCTION("iferror(index(Googlefinance($B33, ""price"", W$1),2,2), 0)"),25.51)</f>
        <v>25.51</v>
      </c>
      <c r="X33" s="3">
        <f>IFERROR(__xludf.DUMMYFUNCTION("iferror(index(Googlefinance($B33, ""price"", X$1),2,2), 0)"),25.74)</f>
        <v>25.74</v>
      </c>
      <c r="Y33" s="3">
        <f>IFERROR(__xludf.DUMMYFUNCTION("iferror(index(Googlefinance($B33, ""price"", Y$1),2,2), 0)"),25.8)</f>
        <v>25.8</v>
      </c>
      <c r="Z33" s="3">
        <f>IFERROR(__xludf.DUMMYFUNCTION("iferror(index(Googlefinance($B33, ""price"", Z$1),2,2), 0)"),25.8)</f>
        <v>25.8</v>
      </c>
      <c r="AA33" s="3">
        <f>IFERROR(__xludf.DUMMYFUNCTION("iferror(index(Googlefinance($B33, ""price"", AA$1),2,2), 0)"),25.8)</f>
        <v>25.8</v>
      </c>
      <c r="AB33" s="3">
        <f>IFERROR(__xludf.DUMMYFUNCTION("iferror(index(Googlefinance($B33, ""price"", AB$1),2,2), 0)"),26.72)</f>
        <v>26.72</v>
      </c>
      <c r="AC33" s="3">
        <f>IFERROR(__xludf.DUMMYFUNCTION("iferror(index(Googlefinance($B33, ""price"", AC$1),2,2), 0)"),26.65)</f>
        <v>26.65</v>
      </c>
      <c r="AD33" s="3">
        <f>IFERROR(__xludf.DUMMYFUNCTION("iferror(index(Googlefinance($B33, ""price"", AD$1),2,2), 0)"),27.3)</f>
        <v>27.3</v>
      </c>
      <c r="AE33" s="3">
        <f>IFERROR(__xludf.DUMMYFUNCTION("iferror(index(Googlefinance($B33, ""price"", AE$1),2,2), 0)"),26.78)</f>
        <v>26.78</v>
      </c>
      <c r="AF33" s="3">
        <f>IFERROR(__xludf.DUMMYFUNCTION("iferror(index(Googlefinance($B33, ""price"", AF$1),2,2), 0)"),27.22)</f>
        <v>27.22</v>
      </c>
      <c r="AG33" s="3">
        <f>IFERROR(__xludf.DUMMYFUNCTION("iferror(index(Googlefinance($B33, ""price"", AG$1),2,2), 0)"),27.22)</f>
        <v>27.22</v>
      </c>
      <c r="AH33" s="3">
        <f>IFERROR(__xludf.DUMMYFUNCTION("iferror(index(Googlefinance($B33, ""price"", AH$1),2,2), 0)"),27.22)</f>
        <v>27.22</v>
      </c>
      <c r="AI33" s="3">
        <f>IFERROR(__xludf.DUMMYFUNCTION("iferror(index(Googlefinance($B33, ""price"", AI$1),2,2), 0)"),27.97)</f>
        <v>27.97</v>
      </c>
      <c r="AJ33" s="3">
        <f>IFERROR(__xludf.DUMMYFUNCTION("iferror(index(Googlefinance($B33, ""price"", AJ$1),2,2), 0)"),28.0)</f>
        <v>28</v>
      </c>
      <c r="AK33" s="3">
        <f>IFERROR(__xludf.DUMMYFUNCTION("iferror(index(Googlefinance($B33, ""price"", AK$1),2,2), 0)"),28.43)</f>
        <v>28.43</v>
      </c>
      <c r="AL33" s="3">
        <f>IFERROR(__xludf.DUMMYFUNCTION("iferror(index(Googlefinance($B33, ""price"", AL$1),2,2), 0)"),28.72)</f>
        <v>28.72</v>
      </c>
      <c r="AM33" s="3">
        <f>IFERROR(__xludf.DUMMYFUNCTION("iferror(index(Googlefinance($B33, ""price"", AM$1),2,2), 0)"),29.32)</f>
        <v>29.32</v>
      </c>
      <c r="AN33" s="3">
        <f>IFERROR(__xludf.DUMMYFUNCTION("iferror(index(Googlefinance($B33, ""price"", AN$1),2,2), 0)"),29.32)</f>
        <v>29.32</v>
      </c>
      <c r="AO33" s="3">
        <f>IFERROR(__xludf.DUMMYFUNCTION("iferror(index(Googlefinance($B33, ""price"", AO$1),2,2), 0)"),29.32)</f>
        <v>29.32</v>
      </c>
      <c r="AP33" s="3">
        <f>IFERROR(__xludf.DUMMYFUNCTION("iferror(index(Googlefinance($B33, ""price"", AP$1),2,2), 0)"),29.13)</f>
        <v>29.13</v>
      </c>
      <c r="AQ33" s="3">
        <f>IFERROR(__xludf.DUMMYFUNCTION("iferror(index(Googlefinance($B33, ""price"", AQ$1),2,2), 0)"),29.08)</f>
        <v>29.08</v>
      </c>
      <c r="AR33" s="3">
        <f>IFERROR(__xludf.DUMMYFUNCTION("iferror(index(Googlefinance($B33, ""price"", AR$1),2,2), 0)"),28.23)</f>
        <v>28.23</v>
      </c>
      <c r="AS33" s="3">
        <f>IFERROR(__xludf.DUMMYFUNCTION("iferror(index(Googlefinance($B33, ""price"", AS$1),2,2), 0)"),28.5)</f>
        <v>28.5</v>
      </c>
      <c r="AT33" s="3">
        <f>IFERROR(__xludf.DUMMYFUNCTION("iferror(index(Googlefinance($B33, ""price"", AT$1),2,2), 0)"),27.92)</f>
        <v>27.92</v>
      </c>
      <c r="AU33" s="3">
        <f>IFERROR(__xludf.DUMMYFUNCTION("iferror(index(Googlefinance($B33, ""price"", AU$1),2,2), 0)"),27.92)</f>
        <v>27.92</v>
      </c>
      <c r="AV33" s="3">
        <f>IFERROR(__xludf.DUMMYFUNCTION("iferror(index(Googlefinance($B33, ""price"", AV$1),2,2), 0)"),27.92)</f>
        <v>27.92</v>
      </c>
      <c r="AW33" s="3">
        <f>IFERROR(__xludf.DUMMYFUNCTION("iferror(index(Googlefinance($B33, ""price"", AW$1),2,2), 0)"),27.92)</f>
        <v>27.92</v>
      </c>
      <c r="AX33" s="3">
        <f>IFERROR(__xludf.DUMMYFUNCTION("iferror(index(Googlefinance($B33, ""price"", AX$1),2,2), 0)"),27.96)</f>
        <v>27.96</v>
      </c>
      <c r="AY33" s="3">
        <f>IFERROR(__xludf.DUMMYFUNCTION("iferror(index(Googlefinance($B33, ""price"", AY$1),2,2), 0)"),27.76)</f>
        <v>27.76</v>
      </c>
      <c r="AZ33" s="3">
        <f>IFERROR(__xludf.DUMMYFUNCTION("iferror(index(Googlefinance($B33, ""price"", AZ$1),2,2), 0)"),28.54)</f>
        <v>28.54</v>
      </c>
      <c r="BA33" s="3">
        <f>IFERROR(__xludf.DUMMYFUNCTION("iferror(index(Googlefinance($B33, ""price"", BA$1),2,2), 0)"),29.27)</f>
        <v>29.27</v>
      </c>
      <c r="BB33" s="3">
        <f>IFERROR(__xludf.DUMMYFUNCTION("iferror(index(Googlefinance($B33, ""price"", BB$1),2,2), 0)"),29.27)</f>
        <v>29.27</v>
      </c>
      <c r="BC33" s="3">
        <f>IFERROR(__xludf.DUMMYFUNCTION("iferror(index(Googlefinance($B33, ""price"", BC$1),2,2), 0)"),29.27)</f>
        <v>29.27</v>
      </c>
      <c r="BD33" s="3">
        <f>IFERROR(__xludf.DUMMYFUNCTION("iferror(index(Googlefinance($B33, ""price"", BD$1),2,2), 0)"),29.39)</f>
        <v>29.39</v>
      </c>
      <c r="BE33" s="3">
        <f>IFERROR(__xludf.DUMMYFUNCTION("iferror(index(Googlefinance($B33, ""price"", BE$1),2,2), 0)"),29.8)</f>
        <v>29.8</v>
      </c>
      <c r="BF33" s="3">
        <f>IFERROR(__xludf.DUMMYFUNCTION("iferror(index(Googlefinance($B33, ""price"", BF$1),2,2), 0)"),28.94)</f>
        <v>28.94</v>
      </c>
      <c r="BG33" s="3">
        <f>IFERROR(__xludf.DUMMYFUNCTION("iferror(index(Googlefinance($B33, ""price"", BG$1),2,2), 0)"),28.79)</f>
        <v>28.79</v>
      </c>
      <c r="BH33" s="3">
        <f>IFERROR(__xludf.DUMMYFUNCTION("iferror(index(Googlefinance($B33, ""price"", BH$1),2,2), 0)"),29.71)</f>
        <v>29.71</v>
      </c>
      <c r="BI33" s="3">
        <f>IFERROR(__xludf.DUMMYFUNCTION("iferror(index(Googlefinance($B33, ""price"", BI$1),2,2), 0)"),29.71)</f>
        <v>29.71</v>
      </c>
      <c r="BJ33" s="3">
        <f>IFERROR(__xludf.DUMMYFUNCTION("iferror(index(Googlefinance($B33, ""price"", BJ$1),2,2), 0)"),29.71)</f>
        <v>29.71</v>
      </c>
      <c r="BK33" s="3">
        <f>IFERROR(__xludf.DUMMYFUNCTION("iferror(index(Googlefinance($B33, ""price"", BK$1),2,2), 0)"),29.95)</f>
        <v>29.95</v>
      </c>
      <c r="BL33" s="3">
        <f>IFERROR(__xludf.DUMMYFUNCTION("iferror(index(Googlefinance($B33, ""price"", BL$1),2,2), 0)"),30.33)</f>
        <v>30.33</v>
      </c>
      <c r="BM33" s="3">
        <f>IFERROR(__xludf.DUMMYFUNCTION("iferror(index(Googlefinance($B33, ""price"", BM$1),2,2), 0)"),29.3)</f>
        <v>29.3</v>
      </c>
      <c r="BN33" s="3">
        <f>IFERROR(__xludf.DUMMYFUNCTION("iferror(index(Googlefinance($B33, ""price"", BN$1),2,2), 0)"),29.77)</f>
        <v>29.77</v>
      </c>
      <c r="BO33" s="3">
        <f>IFERROR(__xludf.DUMMYFUNCTION("iferror(index(Googlefinance($B33, ""price"", BO$1),2,2), 0)"),30.96)</f>
        <v>30.96</v>
      </c>
      <c r="BP33" s="3">
        <f>IFERROR(__xludf.DUMMYFUNCTION("iferror(index(Googlefinance($B33, ""price"", BP$1),2,2), 0)"),30.96)</f>
        <v>30.96</v>
      </c>
      <c r="BQ33" s="3">
        <f>IFERROR(__xludf.DUMMYFUNCTION("iferror(index(Googlefinance($B33, ""price"", BQ$1),2,2), 0)"),30.96)</f>
        <v>30.96</v>
      </c>
      <c r="BR33" s="3">
        <f>IFERROR(__xludf.DUMMYFUNCTION("iferror(index(Googlefinance($B33, ""price"", BR$1),2,2), 0)"),31.16)</f>
        <v>31.16</v>
      </c>
      <c r="BS33" s="3">
        <f>IFERROR(__xludf.DUMMYFUNCTION("iferror(index(Googlefinance($B33, ""price"", BS$1),2,2), 0)"),31.24)</f>
        <v>31.24</v>
      </c>
      <c r="BT33" s="3">
        <f>IFERROR(__xludf.DUMMYFUNCTION("iferror(index(Googlefinance($B33, ""price"", BT$1),2,2), 0)"),31.38)</f>
        <v>31.38</v>
      </c>
      <c r="BU33" s="3">
        <f>IFERROR(__xludf.DUMMYFUNCTION("iferror(index(Googlefinance($B33, ""price"", BU$1),2,2), 0)"),31.26)</f>
        <v>31.26</v>
      </c>
      <c r="BV33" s="3">
        <f>IFERROR(__xludf.DUMMYFUNCTION("iferror(index(Googlefinance($B33, ""price"", BV$1),2,2), 0)"),30.66)</f>
        <v>30.66</v>
      </c>
      <c r="BW33" s="3">
        <f>IFERROR(__xludf.DUMMYFUNCTION("iferror(index(Googlefinance($B33, ""price"", BW$1),2,2), 0)"),30.66)</f>
        <v>30.66</v>
      </c>
      <c r="BX33" s="3">
        <f>IFERROR(__xludf.DUMMYFUNCTION("iferror(index(Googlefinance($B33, ""price"", BX$1),2,2), 0)"),30.66)</f>
        <v>30.66</v>
      </c>
      <c r="BY33" s="3">
        <f>IFERROR(__xludf.DUMMYFUNCTION("iferror(index(Googlefinance($B33, ""price"", BY$1),2,2), 0)"),30.97)</f>
        <v>30.97</v>
      </c>
      <c r="BZ33" s="3">
        <f>IFERROR(__xludf.DUMMYFUNCTION("iferror(index(Googlefinance($B33, ""price"", BZ$1),2,2), 0)"),31.18)</f>
        <v>31.18</v>
      </c>
      <c r="CA33" s="3">
        <f>IFERROR(__xludf.DUMMYFUNCTION("iferror(index(Googlefinance($B33, ""price"", CA$1),2,2), 0)"),30.68)</f>
        <v>30.68</v>
      </c>
      <c r="CB33" s="3">
        <f>IFERROR(__xludf.DUMMYFUNCTION("iferror(index(Googlefinance($B33, ""price"", CB$1),2,2), 0)"),29.73)</f>
        <v>29.73</v>
      </c>
      <c r="CC33" s="3">
        <f>IFERROR(__xludf.DUMMYFUNCTION("iferror(index(Googlefinance($B33, ""price"", CC$1),2,2), 0)"),0.0)</f>
        <v>0</v>
      </c>
      <c r="CD33" s="3">
        <f>IFERROR(__xludf.DUMMYFUNCTION("iferror(index(Googlefinance($B33, ""price"", CD$1),2,2), 0)"),0.0)</f>
        <v>0</v>
      </c>
    </row>
    <row r="34">
      <c r="A34" s="1" t="s">
        <v>65</v>
      </c>
      <c r="B34" s="1" t="s">
        <v>66</v>
      </c>
      <c r="C34" s="3">
        <f>IFERROR(__xludf.DUMMYFUNCTION("iferror(index(Googlefinance($B34, ""price"", C$1),2,2), 0)"),33.0)</f>
        <v>33</v>
      </c>
      <c r="D34" s="3">
        <f>IFERROR(__xludf.DUMMYFUNCTION("iferror(index(Googlefinance($B34, ""price"", D$1),2,2), 0)"),33.0)</f>
        <v>33</v>
      </c>
      <c r="E34" s="3">
        <f>IFERROR(__xludf.DUMMYFUNCTION("iferror(index(Googlefinance($B34, ""price"", E$1),2,2), 0)"),33.0)</f>
        <v>33</v>
      </c>
      <c r="F34" s="3">
        <f>IFERROR(__xludf.DUMMYFUNCTION("iferror(index(Googlefinance($B34, ""price"", F$1),2,2), 0)"),33.0)</f>
        <v>33</v>
      </c>
      <c r="G34" s="3">
        <f>IFERROR(__xludf.DUMMYFUNCTION("iferror(index(Googlefinance($B34, ""price"", G$1),2,2), 0)"),33.56)</f>
        <v>33.56</v>
      </c>
      <c r="H34" s="3">
        <f>IFERROR(__xludf.DUMMYFUNCTION("iferror(index(Googlefinance($B34, ""price"", H$1),2,2), 0)"),33.73)</f>
        <v>33.73</v>
      </c>
      <c r="I34" s="3">
        <f>IFERROR(__xludf.DUMMYFUNCTION("iferror(index(Googlefinance($B34, ""price"", I$1),2,2), 0)"),34.85)</f>
        <v>34.85</v>
      </c>
      <c r="J34" s="3">
        <f>IFERROR(__xludf.DUMMYFUNCTION("iferror(index(Googlefinance($B34, ""price"", J$1),2,2), 0)"),34.31)</f>
        <v>34.31</v>
      </c>
      <c r="K34" s="3">
        <f>IFERROR(__xludf.DUMMYFUNCTION("iferror(index(Googlefinance($B34, ""price"", K$1),2,2), 0)"),35.02)</f>
        <v>35.02</v>
      </c>
      <c r="L34" s="3">
        <f>IFERROR(__xludf.DUMMYFUNCTION("iferror(index(Googlefinance($B34, ""price"", L$1),2,2), 0)"),35.02)</f>
        <v>35.02</v>
      </c>
      <c r="M34" s="3">
        <f>IFERROR(__xludf.DUMMYFUNCTION("iferror(index(Googlefinance($B34, ""price"", M$1),2,2), 0)"),35.02)</f>
        <v>35.02</v>
      </c>
      <c r="N34" s="3">
        <f>IFERROR(__xludf.DUMMYFUNCTION("iferror(index(Googlefinance($B34, ""price"", N$1),2,2), 0)"),34.01)</f>
        <v>34.01</v>
      </c>
      <c r="O34" s="3">
        <f>IFERROR(__xludf.DUMMYFUNCTION("iferror(index(Googlefinance($B34, ""price"", O$1),2,2), 0)"),34.48)</f>
        <v>34.48</v>
      </c>
      <c r="P34" s="3">
        <f>IFERROR(__xludf.DUMMYFUNCTION("iferror(index(Googlefinance($B34, ""price"", P$1),2,2), 0)"),36.17)</f>
        <v>36.17</v>
      </c>
      <c r="Q34" s="3">
        <f>IFERROR(__xludf.DUMMYFUNCTION("iferror(index(Googlefinance($B34, ""price"", Q$1),2,2), 0)"),35.48)</f>
        <v>35.48</v>
      </c>
      <c r="R34" s="3">
        <f>IFERROR(__xludf.DUMMYFUNCTION("iferror(index(Googlefinance($B34, ""price"", R$1),2,2), 0)"),34.68)</f>
        <v>34.68</v>
      </c>
      <c r="S34" s="3">
        <f>IFERROR(__xludf.DUMMYFUNCTION("iferror(index(Googlefinance($B34, ""price"", S$1),2,2), 0)"),34.68)</f>
        <v>34.68</v>
      </c>
      <c r="T34" s="3">
        <f>IFERROR(__xludf.DUMMYFUNCTION("iferror(index(Googlefinance($B34, ""price"", T$1),2,2), 0)"),34.68)</f>
        <v>34.68</v>
      </c>
      <c r="U34" s="3">
        <f>IFERROR(__xludf.DUMMYFUNCTION("iferror(index(Googlefinance($B34, ""price"", U$1),2,2), 0)"),34.68)</f>
        <v>34.68</v>
      </c>
      <c r="V34" s="3">
        <f>IFERROR(__xludf.DUMMYFUNCTION("iferror(index(Googlefinance($B34, ""price"", V$1),2,2), 0)"),35.07)</f>
        <v>35.07</v>
      </c>
      <c r="W34" s="3">
        <f>IFERROR(__xludf.DUMMYFUNCTION("iferror(index(Googlefinance($B34, ""price"", W$1),2,2), 0)"),35.23)</f>
        <v>35.23</v>
      </c>
      <c r="X34" s="3">
        <f>IFERROR(__xludf.DUMMYFUNCTION("iferror(index(Googlefinance($B34, ""price"", X$1),2,2), 0)"),38.03)</f>
        <v>38.03</v>
      </c>
      <c r="Y34" s="3">
        <f>IFERROR(__xludf.DUMMYFUNCTION("iferror(index(Googlefinance($B34, ""price"", Y$1),2,2), 0)"),39.15)</f>
        <v>39.15</v>
      </c>
      <c r="Z34" s="3">
        <f>IFERROR(__xludf.DUMMYFUNCTION("iferror(index(Googlefinance($B34, ""price"", Z$1),2,2), 0)"),39.15)</f>
        <v>39.15</v>
      </c>
      <c r="AA34" s="3">
        <f>IFERROR(__xludf.DUMMYFUNCTION("iferror(index(Googlefinance($B34, ""price"", AA$1),2,2), 0)"),39.15)</f>
        <v>39.15</v>
      </c>
      <c r="AB34" s="3">
        <f>IFERROR(__xludf.DUMMYFUNCTION("iferror(index(Googlefinance($B34, ""price"", AB$1),2,2), 0)"),37.47)</f>
        <v>37.47</v>
      </c>
      <c r="AC34" s="3">
        <f>IFERROR(__xludf.DUMMYFUNCTION("iferror(index(Googlefinance($B34, ""price"", AC$1),2,2), 0)"),33.54)</f>
        <v>33.54</v>
      </c>
      <c r="AD34" s="3">
        <f>IFERROR(__xludf.DUMMYFUNCTION("iferror(index(Googlefinance($B34, ""price"", AD$1),2,2), 0)"),35.49)</f>
        <v>35.49</v>
      </c>
      <c r="AE34" s="3">
        <f>IFERROR(__xludf.DUMMYFUNCTION("iferror(index(Googlefinance($B34, ""price"", AE$1),2,2), 0)"),34.04)</f>
        <v>34.04</v>
      </c>
      <c r="AF34" s="3">
        <f>IFERROR(__xludf.DUMMYFUNCTION("iferror(index(Googlefinance($B34, ""price"", AF$1),2,2), 0)"),34.49)</f>
        <v>34.49</v>
      </c>
      <c r="AG34" s="3">
        <f>IFERROR(__xludf.DUMMYFUNCTION("iferror(index(Googlefinance($B34, ""price"", AG$1),2,2), 0)"),34.49)</f>
        <v>34.49</v>
      </c>
      <c r="AH34" s="3">
        <f>IFERROR(__xludf.DUMMYFUNCTION("iferror(index(Googlefinance($B34, ""price"", AH$1),2,2), 0)"),34.49)</f>
        <v>34.49</v>
      </c>
      <c r="AI34" s="3">
        <f>IFERROR(__xludf.DUMMYFUNCTION("iferror(index(Googlefinance($B34, ""price"", AI$1),2,2), 0)"),36.84)</f>
        <v>36.84</v>
      </c>
      <c r="AJ34" s="3">
        <f>IFERROR(__xludf.DUMMYFUNCTION("iferror(index(Googlefinance($B34, ""price"", AJ$1),2,2), 0)"),36.45)</f>
        <v>36.45</v>
      </c>
      <c r="AK34" s="3">
        <f>IFERROR(__xludf.DUMMYFUNCTION("iferror(index(Googlefinance($B34, ""price"", AK$1),2,2), 0)"),36.03)</f>
        <v>36.03</v>
      </c>
      <c r="AL34" s="3">
        <f>IFERROR(__xludf.DUMMYFUNCTION("iferror(index(Googlefinance($B34, ""price"", AL$1),2,2), 0)"),38.04)</f>
        <v>38.04</v>
      </c>
      <c r="AM34" s="3">
        <f>IFERROR(__xludf.DUMMYFUNCTION("iferror(index(Googlefinance($B34, ""price"", AM$1),2,2), 0)"),39.77)</f>
        <v>39.77</v>
      </c>
      <c r="AN34" s="3">
        <f>IFERROR(__xludf.DUMMYFUNCTION("iferror(index(Googlefinance($B34, ""price"", AN$1),2,2), 0)"),39.77)</f>
        <v>39.77</v>
      </c>
      <c r="AO34" s="3">
        <f>IFERROR(__xludf.DUMMYFUNCTION("iferror(index(Googlefinance($B34, ""price"", AO$1),2,2), 0)"),39.77)</f>
        <v>39.77</v>
      </c>
      <c r="AP34" s="3">
        <f>IFERROR(__xludf.DUMMYFUNCTION("iferror(index(Googlefinance($B34, ""price"", AP$1),2,2), 0)"),38.09)</f>
        <v>38.09</v>
      </c>
      <c r="AQ34" s="3">
        <f>IFERROR(__xludf.DUMMYFUNCTION("iferror(index(Googlefinance($B34, ""price"", AQ$1),2,2), 0)"),36.62)</f>
        <v>36.62</v>
      </c>
      <c r="AR34" s="3">
        <f>IFERROR(__xludf.DUMMYFUNCTION("iferror(index(Googlefinance($B34, ""price"", AR$1),2,2), 0)"),38.52)</f>
        <v>38.52</v>
      </c>
      <c r="AS34" s="3">
        <f>IFERROR(__xludf.DUMMYFUNCTION("iferror(index(Googlefinance($B34, ""price"", AS$1),2,2), 0)"),39.51)</f>
        <v>39.51</v>
      </c>
      <c r="AT34" s="3">
        <f>IFERROR(__xludf.DUMMYFUNCTION("iferror(index(Googlefinance($B34, ""price"", AT$1),2,2), 0)"),39.01)</f>
        <v>39.01</v>
      </c>
      <c r="AU34" s="3">
        <f>IFERROR(__xludf.DUMMYFUNCTION("iferror(index(Googlefinance($B34, ""price"", AU$1),2,2), 0)"),39.01)</f>
        <v>39.01</v>
      </c>
      <c r="AV34" s="3">
        <f>IFERROR(__xludf.DUMMYFUNCTION("iferror(index(Googlefinance($B34, ""price"", AV$1),2,2), 0)"),39.01)</f>
        <v>39.01</v>
      </c>
      <c r="AW34" s="3">
        <f>IFERROR(__xludf.DUMMYFUNCTION("iferror(index(Googlefinance($B34, ""price"", AW$1),2,2), 0)"),39.01)</f>
        <v>39.01</v>
      </c>
      <c r="AX34" s="3">
        <f>IFERROR(__xludf.DUMMYFUNCTION("iferror(index(Googlefinance($B34, ""price"", AX$1),2,2), 0)"),38.36)</f>
        <v>38.36</v>
      </c>
      <c r="AY34" s="3">
        <f>IFERROR(__xludf.DUMMYFUNCTION("iferror(index(Googlefinance($B34, ""price"", AY$1),2,2), 0)"),38.37)</f>
        <v>38.37</v>
      </c>
      <c r="AZ34" s="3">
        <f>IFERROR(__xludf.DUMMYFUNCTION("iferror(index(Googlefinance($B34, ""price"", AZ$1),2,2), 0)"),40.05)</f>
        <v>40.05</v>
      </c>
      <c r="BA34" s="3">
        <f>IFERROR(__xludf.DUMMYFUNCTION("iferror(index(Googlefinance($B34, ""price"", BA$1),2,2), 0)"),38.41)</f>
        <v>38.41</v>
      </c>
      <c r="BB34" s="3">
        <f>IFERROR(__xludf.DUMMYFUNCTION("iferror(index(Googlefinance($B34, ""price"", BB$1),2,2), 0)"),38.41)</f>
        <v>38.41</v>
      </c>
      <c r="BC34" s="3">
        <f>IFERROR(__xludf.DUMMYFUNCTION("iferror(index(Googlefinance($B34, ""price"", BC$1),2,2), 0)"),38.41)</f>
        <v>38.41</v>
      </c>
      <c r="BD34" s="3">
        <f>IFERROR(__xludf.DUMMYFUNCTION("iferror(index(Googlefinance($B34, ""price"", BD$1),2,2), 0)"),37.05)</f>
        <v>37.05</v>
      </c>
      <c r="BE34" s="3">
        <f>IFERROR(__xludf.DUMMYFUNCTION("iferror(index(Googlefinance($B34, ""price"", BE$1),2,2), 0)"),37.74)</f>
        <v>37.74</v>
      </c>
      <c r="BF34" s="3">
        <f>IFERROR(__xludf.DUMMYFUNCTION("iferror(index(Googlefinance($B34, ""price"", BF$1),2,2), 0)"),35.8)</f>
        <v>35.8</v>
      </c>
      <c r="BG34" s="3">
        <f>IFERROR(__xludf.DUMMYFUNCTION("iferror(index(Googlefinance($B34, ""price"", BG$1),2,2), 0)"),36.79)</f>
        <v>36.79</v>
      </c>
      <c r="BH34" s="3">
        <f>IFERROR(__xludf.DUMMYFUNCTION("iferror(index(Googlefinance($B34, ""price"", BH$1),2,2), 0)"),39.0)</f>
        <v>39</v>
      </c>
      <c r="BI34" s="3">
        <f>IFERROR(__xludf.DUMMYFUNCTION("iferror(index(Googlefinance($B34, ""price"", BI$1),2,2), 0)"),39.0)</f>
        <v>39</v>
      </c>
      <c r="BJ34" s="3">
        <f>IFERROR(__xludf.DUMMYFUNCTION("iferror(index(Googlefinance($B34, ""price"", BJ$1),2,2), 0)"),39.0)</f>
        <v>39</v>
      </c>
      <c r="BK34" s="3">
        <f>IFERROR(__xludf.DUMMYFUNCTION("iferror(index(Googlefinance($B34, ""price"", BK$1),2,2), 0)"),37.9)</f>
        <v>37.9</v>
      </c>
      <c r="BL34" s="3">
        <f>IFERROR(__xludf.DUMMYFUNCTION("iferror(index(Googlefinance($B34, ""price"", BL$1),2,2), 0)"),36.15)</f>
        <v>36.15</v>
      </c>
      <c r="BM34" s="3">
        <f>IFERROR(__xludf.DUMMYFUNCTION("iferror(index(Googlefinance($B34, ""price"", BM$1),2,2), 0)"),24.37)</f>
        <v>24.37</v>
      </c>
      <c r="BN34" s="3">
        <f>IFERROR(__xludf.DUMMYFUNCTION("iferror(index(Googlefinance($B34, ""price"", BN$1),2,2), 0)"),31.18)</f>
        <v>31.18</v>
      </c>
      <c r="BO34" s="3">
        <f>IFERROR(__xludf.DUMMYFUNCTION("iferror(index(Googlefinance($B34, ""price"", BO$1),2,2), 0)"),29.79)</f>
        <v>29.79</v>
      </c>
      <c r="BP34" s="3">
        <f>IFERROR(__xludf.DUMMYFUNCTION("iferror(index(Googlefinance($B34, ""price"", BP$1),2,2), 0)"),29.79)</f>
        <v>29.79</v>
      </c>
      <c r="BQ34" s="3">
        <f>IFERROR(__xludf.DUMMYFUNCTION("iferror(index(Googlefinance($B34, ""price"", BQ$1),2,2), 0)"),29.79)</f>
        <v>29.79</v>
      </c>
      <c r="BR34" s="3">
        <f>IFERROR(__xludf.DUMMYFUNCTION("iferror(index(Googlefinance($B34, ""price"", BR$1),2,2), 0)"),31.17)</f>
        <v>31.17</v>
      </c>
      <c r="BS34" s="3">
        <f>IFERROR(__xludf.DUMMYFUNCTION("iferror(index(Googlefinance($B34, ""price"", BS$1),2,2), 0)"),32.92)</f>
        <v>32.92</v>
      </c>
      <c r="BT34" s="3">
        <f>IFERROR(__xludf.DUMMYFUNCTION("iferror(index(Googlefinance($B34, ""price"", BT$1),2,2), 0)"),33.84)</f>
        <v>33.84</v>
      </c>
      <c r="BU34" s="3">
        <f>IFERROR(__xludf.DUMMYFUNCTION("iferror(index(Googlefinance($B34, ""price"", BU$1),2,2), 0)"),33.4)</f>
        <v>33.4</v>
      </c>
      <c r="BV34" s="3">
        <f>IFERROR(__xludf.DUMMYFUNCTION("iferror(index(Googlefinance($B34, ""price"", BV$1),2,2), 0)"),32.35)</f>
        <v>32.35</v>
      </c>
      <c r="BW34" s="3">
        <f>IFERROR(__xludf.DUMMYFUNCTION("iferror(index(Googlefinance($B34, ""price"", BW$1),2,2), 0)"),32.35)</f>
        <v>32.35</v>
      </c>
      <c r="BX34" s="3">
        <f>IFERROR(__xludf.DUMMYFUNCTION("iferror(index(Googlefinance($B34, ""price"", BX$1),2,2), 0)"),32.35)</f>
        <v>32.35</v>
      </c>
      <c r="BY34" s="3">
        <f>IFERROR(__xludf.DUMMYFUNCTION("iferror(index(Googlefinance($B34, ""price"", BY$1),2,2), 0)"),31.51)</f>
        <v>31.51</v>
      </c>
      <c r="BZ34" s="3">
        <f>IFERROR(__xludf.DUMMYFUNCTION("iferror(index(Googlefinance($B34, ""price"", BZ$1),2,2), 0)"),31.67)</f>
        <v>31.67</v>
      </c>
      <c r="CA34" s="3">
        <f>IFERROR(__xludf.DUMMYFUNCTION("iferror(index(Googlefinance($B34, ""price"", CA$1),2,2), 0)"),32.34)</f>
        <v>32.34</v>
      </c>
      <c r="CB34" s="3">
        <f>IFERROR(__xludf.DUMMYFUNCTION("iferror(index(Googlefinance($B34, ""price"", CB$1),2,2), 0)"),33.37)</f>
        <v>33.37</v>
      </c>
      <c r="CC34" s="3">
        <f>IFERROR(__xludf.DUMMYFUNCTION("iferror(index(Googlefinance($B34, ""price"", CC$1),2,2), 0)"),0.0)</f>
        <v>0</v>
      </c>
      <c r="CD34" s="3">
        <f>IFERROR(__xludf.DUMMYFUNCTION("iferror(index(Googlefinance($B34, ""price"", CD$1),2,2), 0)"),0.0)</f>
        <v>0</v>
      </c>
    </row>
    <row r="35">
      <c r="A35" s="1" t="s">
        <v>67</v>
      </c>
      <c r="B35" s="1" t="s">
        <v>68</v>
      </c>
      <c r="C35" s="3">
        <f>IFERROR(__xludf.DUMMYFUNCTION("iferror(index(Googlefinance($B35, ""price"", C$1),2,2), 0)"),132.72)</f>
        <v>132.72</v>
      </c>
      <c r="D35" s="3">
        <f>IFERROR(__xludf.DUMMYFUNCTION("iferror(index(Googlefinance($B35, ""price"", D$1),2,2), 0)"),132.72)</f>
        <v>132.72</v>
      </c>
      <c r="E35" s="3">
        <f>IFERROR(__xludf.DUMMYFUNCTION("iferror(index(Googlefinance($B35, ""price"", E$1),2,2), 0)"),132.72)</f>
        <v>132.72</v>
      </c>
      <c r="F35" s="3">
        <f>IFERROR(__xludf.DUMMYFUNCTION("iferror(index(Googlefinance($B35, ""price"", F$1),2,2), 0)"),132.72)</f>
        <v>132.72</v>
      </c>
      <c r="G35" s="3">
        <f>IFERROR(__xludf.DUMMYFUNCTION("iferror(index(Googlefinance($B35, ""price"", G$1),2,2), 0)"),133.08)</f>
        <v>133.08</v>
      </c>
      <c r="H35" s="3">
        <f>IFERROR(__xludf.DUMMYFUNCTION("iferror(index(Googlefinance($B35, ""price"", H$1),2,2), 0)"),131.48)</f>
        <v>131.48</v>
      </c>
      <c r="I35" s="3">
        <f>IFERROR(__xludf.DUMMYFUNCTION("iferror(index(Googlefinance($B35, ""price"", I$1),2,2), 0)"),134.4)</f>
        <v>134.4</v>
      </c>
      <c r="J35" s="3">
        <f>IFERROR(__xludf.DUMMYFUNCTION("iferror(index(Googlefinance($B35, ""price"", J$1),2,2), 0)"),136.83)</f>
        <v>136.83</v>
      </c>
      <c r="K35" s="3">
        <f>IFERROR(__xludf.DUMMYFUNCTION("iferror(index(Googlefinance($B35, ""price"", K$1),2,2), 0)"),137.5)</f>
        <v>137.5</v>
      </c>
      <c r="L35" s="3">
        <f>IFERROR(__xludf.DUMMYFUNCTION("iferror(index(Googlefinance($B35, ""price"", L$1),2,2), 0)"),137.5)</f>
        <v>137.5</v>
      </c>
      <c r="M35" s="3">
        <f>IFERROR(__xludf.DUMMYFUNCTION("iferror(index(Googlefinance($B35, ""price"", M$1),2,2), 0)"),137.5)</f>
        <v>137.5</v>
      </c>
      <c r="N35" s="3">
        <f>IFERROR(__xludf.DUMMYFUNCTION("iferror(index(Googlefinance($B35, ""price"", N$1),2,2), 0)"),139.5)</f>
        <v>139.5</v>
      </c>
      <c r="O35" s="3">
        <f>IFERROR(__xludf.DUMMYFUNCTION("iferror(index(Googlefinance($B35, ""price"", O$1),2,2), 0)"),135.5)</f>
        <v>135.5</v>
      </c>
      <c r="P35" s="3">
        <f>IFERROR(__xludf.DUMMYFUNCTION("iferror(index(Googlefinance($B35, ""price"", P$1),2,2), 0)"),134.25)</f>
        <v>134.25</v>
      </c>
      <c r="Q35" s="3">
        <f>IFERROR(__xludf.DUMMYFUNCTION("iferror(index(Googlefinance($B35, ""price"", Q$1),2,2), 0)"),135.37)</f>
        <v>135.37</v>
      </c>
      <c r="R35" s="3">
        <f>IFERROR(__xludf.DUMMYFUNCTION("iferror(index(Googlefinance($B35, ""price"", R$1),2,2), 0)"),136.84)</f>
        <v>136.84</v>
      </c>
      <c r="S35" s="3">
        <f>IFERROR(__xludf.DUMMYFUNCTION("iferror(index(Googlefinance($B35, ""price"", S$1),2,2), 0)"),136.84)</f>
        <v>136.84</v>
      </c>
      <c r="T35" s="3">
        <f>IFERROR(__xludf.DUMMYFUNCTION("iferror(index(Googlefinance($B35, ""price"", T$1),2,2), 0)"),136.84)</f>
        <v>136.84</v>
      </c>
      <c r="U35" s="3">
        <f>IFERROR(__xludf.DUMMYFUNCTION("iferror(index(Googlefinance($B35, ""price"", U$1),2,2), 0)"),136.84)</f>
        <v>136.84</v>
      </c>
      <c r="V35" s="3">
        <f>IFERROR(__xludf.DUMMYFUNCTION("iferror(index(Googlefinance($B35, ""price"", V$1),2,2), 0)"),138.25)</f>
        <v>138.25</v>
      </c>
      <c r="W35" s="3">
        <f>IFERROR(__xludf.DUMMYFUNCTION("iferror(index(Googlefinance($B35, ""price"", W$1),2,2), 0)"),138.06)</f>
        <v>138.06</v>
      </c>
      <c r="X35" s="3">
        <f>IFERROR(__xludf.DUMMYFUNCTION("iferror(index(Googlefinance($B35, ""price"", X$1),2,2), 0)"),137.96)</f>
        <v>137.96</v>
      </c>
      <c r="Y35" s="3">
        <f>IFERROR(__xludf.DUMMYFUNCTION("iferror(index(Googlefinance($B35, ""price"", Y$1),2,2), 0)"),136.24)</f>
        <v>136.24</v>
      </c>
      <c r="Z35" s="3">
        <f>IFERROR(__xludf.DUMMYFUNCTION("iferror(index(Googlefinance($B35, ""price"", Z$1),2,2), 0)"),136.24)</f>
        <v>136.24</v>
      </c>
      <c r="AA35" s="3">
        <f>IFERROR(__xludf.DUMMYFUNCTION("iferror(index(Googlefinance($B35, ""price"", AA$1),2,2), 0)"),136.24)</f>
        <v>136.24</v>
      </c>
      <c r="AB35" s="3">
        <f>IFERROR(__xludf.DUMMYFUNCTION("iferror(index(Googlefinance($B35, ""price"", AB$1),2,2), 0)"),134.89)</f>
        <v>134.89</v>
      </c>
      <c r="AC35" s="3">
        <f>IFERROR(__xludf.DUMMYFUNCTION("iferror(index(Googlefinance($B35, ""price"", AC$1),2,2), 0)"),133.76)</f>
        <v>133.76</v>
      </c>
      <c r="AD35" s="3">
        <f>IFERROR(__xludf.DUMMYFUNCTION("iferror(index(Googlefinance($B35, ""price"", AD$1),2,2), 0)"),130.34)</f>
        <v>130.34</v>
      </c>
      <c r="AE35" s="3">
        <f>IFERROR(__xludf.DUMMYFUNCTION("iferror(index(Googlefinance($B35, ""price"", AE$1),2,2), 0)"),129.08)</f>
        <v>129.08</v>
      </c>
      <c r="AF35" s="3">
        <f>IFERROR(__xludf.DUMMYFUNCTION("iferror(index(Googlefinance($B35, ""price"", AF$1),2,2), 0)"),130.62)</f>
        <v>130.62</v>
      </c>
      <c r="AG35" s="3">
        <f>IFERROR(__xludf.DUMMYFUNCTION("iferror(index(Googlefinance($B35, ""price"", AG$1),2,2), 0)"),130.62)</f>
        <v>130.62</v>
      </c>
      <c r="AH35" s="3">
        <f>IFERROR(__xludf.DUMMYFUNCTION("iferror(index(Googlefinance($B35, ""price"", AH$1),2,2), 0)"),130.62)</f>
        <v>130.62</v>
      </c>
      <c r="AI35" s="3">
        <f>IFERROR(__xludf.DUMMYFUNCTION("iferror(index(Googlefinance($B35, ""price"", AI$1),2,2), 0)"),134.57)</f>
        <v>134.57</v>
      </c>
      <c r="AJ35" s="3">
        <f>IFERROR(__xludf.DUMMYFUNCTION("iferror(index(Googlefinance($B35, ""price"", AJ$1),2,2), 0)"),128.89)</f>
        <v>128.89</v>
      </c>
      <c r="AK35" s="3">
        <f>IFERROR(__xludf.DUMMYFUNCTION("iferror(index(Googlefinance($B35, ""price"", AK$1),2,2), 0)"),130.19)</f>
        <v>130.19</v>
      </c>
      <c r="AL35" s="3">
        <f>IFERROR(__xludf.DUMMYFUNCTION("iferror(index(Googlefinance($B35, ""price"", AL$1),2,2), 0)"),129.2)</f>
        <v>129.2</v>
      </c>
      <c r="AM35" s="3">
        <f>IFERROR(__xludf.DUMMYFUNCTION("iferror(index(Googlefinance($B35, ""price"", AM$1),2,2), 0)"),130.92)</f>
        <v>130.92</v>
      </c>
      <c r="AN35" s="3">
        <f>IFERROR(__xludf.DUMMYFUNCTION("iferror(index(Googlefinance($B35, ""price"", AN$1),2,2), 0)"),130.92)</f>
        <v>130.92</v>
      </c>
      <c r="AO35" s="3">
        <f>IFERROR(__xludf.DUMMYFUNCTION("iferror(index(Googlefinance($B35, ""price"", AO$1),2,2), 0)"),130.92)</f>
        <v>130.92</v>
      </c>
      <c r="AP35" s="3">
        <f>IFERROR(__xludf.DUMMYFUNCTION("iferror(index(Googlefinance($B35, ""price"", AP$1),2,2), 0)"),131.21)</f>
        <v>131.21</v>
      </c>
      <c r="AQ35" s="3">
        <f>IFERROR(__xludf.DUMMYFUNCTION("iferror(index(Googlefinance($B35, ""price"", AQ$1),2,2), 0)"),132.04)</f>
        <v>132.04</v>
      </c>
      <c r="AR35" s="3">
        <f>IFERROR(__xludf.DUMMYFUNCTION("iferror(index(Googlefinance($B35, ""price"", AR$1),2,2), 0)"),134.1)</f>
        <v>134.1</v>
      </c>
      <c r="AS35" s="3">
        <f>IFERROR(__xludf.DUMMYFUNCTION("iferror(index(Googlefinance($B35, ""price"", AS$1),2,2), 0)"),134.93)</f>
        <v>134.93</v>
      </c>
      <c r="AT35" s="3">
        <f>IFERROR(__xludf.DUMMYFUNCTION("iferror(index(Googlefinance($B35, ""price"", AT$1),2,2), 0)"),134.64)</f>
        <v>134.64</v>
      </c>
      <c r="AU35" s="3">
        <f>IFERROR(__xludf.DUMMYFUNCTION("iferror(index(Googlefinance($B35, ""price"", AU$1),2,2), 0)"),134.64)</f>
        <v>134.64</v>
      </c>
      <c r="AV35" s="3">
        <f>IFERROR(__xludf.DUMMYFUNCTION("iferror(index(Googlefinance($B35, ""price"", AV$1),2,2), 0)"),134.64)</f>
        <v>134.64</v>
      </c>
      <c r="AW35" s="3">
        <f>IFERROR(__xludf.DUMMYFUNCTION("iferror(index(Googlefinance($B35, ""price"", AW$1),2,2), 0)"),134.64)</f>
        <v>134.64</v>
      </c>
      <c r="AX35" s="3">
        <f>IFERROR(__xludf.DUMMYFUNCTION("iferror(index(Googlefinance($B35, ""price"", AX$1),2,2), 0)"),135.51)</f>
        <v>135.51</v>
      </c>
      <c r="AY35" s="3">
        <f>IFERROR(__xludf.DUMMYFUNCTION("iferror(index(Googlefinance($B35, ""price"", AY$1),2,2), 0)"),137.23)</f>
        <v>137.23</v>
      </c>
      <c r="AZ35" s="3">
        <f>IFERROR(__xludf.DUMMYFUNCTION("iferror(index(Googlefinance($B35, ""price"", AZ$1),2,2), 0)"),139.13)</f>
        <v>139.13</v>
      </c>
      <c r="BA35" s="3">
        <f>IFERROR(__xludf.DUMMYFUNCTION("iferror(index(Googlefinance($B35, ""price"", BA$1),2,2), 0)"),132.55)</f>
        <v>132.55</v>
      </c>
      <c r="BB35" s="3">
        <f>IFERROR(__xludf.DUMMYFUNCTION("iferror(index(Googlefinance($B35, ""price"", BB$1),2,2), 0)"),132.55)</f>
        <v>132.55</v>
      </c>
      <c r="BC35" s="3">
        <f>IFERROR(__xludf.DUMMYFUNCTION("iferror(index(Googlefinance($B35, ""price"", BC$1),2,2), 0)"),132.55)</f>
        <v>132.55</v>
      </c>
      <c r="BD35" s="3">
        <f>IFERROR(__xludf.DUMMYFUNCTION("iferror(index(Googlefinance($B35, ""price"", BD$1),2,2), 0)"),125.72)</f>
        <v>125.72</v>
      </c>
      <c r="BE35" s="3">
        <f>IFERROR(__xludf.DUMMYFUNCTION("iferror(index(Googlefinance($B35, ""price"", BE$1),2,2), 0)"),124.59)</f>
        <v>124.59</v>
      </c>
      <c r="BF35" s="3">
        <f>IFERROR(__xludf.DUMMYFUNCTION("iferror(index(Googlefinance($B35, ""price"", BF$1),2,2), 0)"),124.05)</f>
        <v>124.05</v>
      </c>
      <c r="BG35" s="3">
        <f>IFERROR(__xludf.DUMMYFUNCTION("iferror(index(Googlefinance($B35, ""price"", BG$1),2,2), 0)"),120.92)</f>
        <v>120.92</v>
      </c>
      <c r="BH35" s="3">
        <f>IFERROR(__xludf.DUMMYFUNCTION("iferror(index(Googlefinance($B35, ""price"", BH$1),2,2), 0)"),124.29)</f>
        <v>124.29</v>
      </c>
      <c r="BI35" s="3">
        <f>IFERROR(__xludf.DUMMYFUNCTION("iferror(index(Googlefinance($B35, ""price"", BI$1),2,2), 0)"),124.29)</f>
        <v>124.29</v>
      </c>
      <c r="BJ35" s="3">
        <f>IFERROR(__xludf.DUMMYFUNCTION("iferror(index(Googlefinance($B35, ""price"", BJ$1),2,2), 0)"),124.29)</f>
        <v>124.29</v>
      </c>
      <c r="BK35" s="3">
        <f>IFERROR(__xludf.DUMMYFUNCTION("iferror(index(Googlefinance($B35, ""price"", BK$1),2,2), 0)"),122.03)</f>
        <v>122.03</v>
      </c>
      <c r="BL35" s="3">
        <f>IFERROR(__xludf.DUMMYFUNCTION("iferror(index(Googlefinance($B35, ""price"", BL$1),2,2), 0)"),117.51)</f>
        <v>117.51</v>
      </c>
      <c r="BM35" s="3">
        <f>IFERROR(__xludf.DUMMYFUNCTION("iferror(index(Googlefinance($B35, ""price"", BM$1),2,2), 0)"),114.4)</f>
        <v>114.4</v>
      </c>
      <c r="BN35" s="3">
        <f>IFERROR(__xludf.DUMMYFUNCTION("iferror(index(Googlefinance($B35, ""price"", BN$1),2,2), 0)"),119.07)</f>
        <v>119.07</v>
      </c>
      <c r="BO35" s="3">
        <f>IFERROR(__xludf.DUMMYFUNCTION("iferror(index(Googlefinance($B35, ""price"", BO$1),2,2), 0)"),123.55)</f>
        <v>123.55</v>
      </c>
      <c r="BP35" s="3">
        <f>IFERROR(__xludf.DUMMYFUNCTION("iferror(index(Googlefinance($B35, ""price"", BP$1),2,2), 0)"),123.55)</f>
        <v>123.55</v>
      </c>
      <c r="BQ35" s="3">
        <f>IFERROR(__xludf.DUMMYFUNCTION("iferror(index(Googlefinance($B35, ""price"", BQ$1),2,2), 0)"),123.55)</f>
        <v>123.55</v>
      </c>
      <c r="BR35" s="3">
        <f>IFERROR(__xludf.DUMMYFUNCTION("iferror(index(Googlefinance($B35, ""price"", BR$1),2,2), 0)"),129.61)</f>
        <v>129.61</v>
      </c>
      <c r="BS35" s="3">
        <f>IFERROR(__xludf.DUMMYFUNCTION("iferror(index(Googlefinance($B35, ""price"", BS$1),2,2), 0)"),126.27)</f>
        <v>126.27</v>
      </c>
      <c r="BT35" s="3">
        <f>IFERROR(__xludf.DUMMYFUNCTION("iferror(index(Googlefinance($B35, ""price"", BT$1),2,2), 0)"),126.4)</f>
        <v>126.4</v>
      </c>
      <c r="BU35" s="3">
        <f>IFERROR(__xludf.DUMMYFUNCTION("iferror(index(Googlefinance($B35, ""price"", BU$1),2,2), 0)"),125.47)</f>
        <v>125.47</v>
      </c>
      <c r="BV35" s="3">
        <f>IFERROR(__xludf.DUMMYFUNCTION("iferror(index(Googlefinance($B35, ""price"", BV$1),2,2), 0)"),128.96)</f>
        <v>128.96</v>
      </c>
      <c r="BW35" s="3">
        <f>IFERROR(__xludf.DUMMYFUNCTION("iferror(index(Googlefinance($B35, ""price"", BW$1),2,2), 0)"),128.96)</f>
        <v>128.96</v>
      </c>
      <c r="BX35" s="3">
        <f>IFERROR(__xludf.DUMMYFUNCTION("iferror(index(Googlefinance($B35, ""price"", BX$1),2,2), 0)"),128.96)</f>
        <v>128.96</v>
      </c>
      <c r="BY35" s="3">
        <f>IFERROR(__xludf.DUMMYFUNCTION("iferror(index(Googlefinance($B35, ""price"", BY$1),2,2), 0)"),131.38)</f>
        <v>131.38</v>
      </c>
      <c r="BZ35" s="3">
        <f>IFERROR(__xludf.DUMMYFUNCTION("iferror(index(Googlefinance($B35, ""price"", BZ$1),2,2), 0)"),127.84)</f>
        <v>127.84</v>
      </c>
      <c r="CA35" s="3">
        <f>IFERROR(__xludf.DUMMYFUNCTION("iferror(index(Googlefinance($B35, ""price"", CA$1),2,2), 0)"),123.98)</f>
        <v>123.98</v>
      </c>
      <c r="CB35" s="3">
        <f>IFERROR(__xludf.DUMMYFUNCTION("iferror(index(Googlefinance($B35, ""price"", CB$1),2,2), 0)"),127.73)</f>
        <v>127.73</v>
      </c>
      <c r="CC35" s="3">
        <f>IFERROR(__xludf.DUMMYFUNCTION("iferror(index(Googlefinance($B35, ""price"", CC$1),2,2), 0)"),0.0)</f>
        <v>0</v>
      </c>
      <c r="CD35" s="3">
        <f>IFERROR(__xludf.DUMMYFUNCTION("iferror(index(Googlefinance($B35, ""price"", CD$1),2,2), 0)"),0.0)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69</v>
      </c>
      <c r="B1" s="4" t="s">
        <v>0</v>
      </c>
      <c r="C1" s="4" t="s">
        <v>1</v>
      </c>
      <c r="D1" s="2">
        <v>44197.0</v>
      </c>
      <c r="E1" s="5">
        <f t="shared" ref="E1:AA1" si="1">D1+7</f>
        <v>44204</v>
      </c>
      <c r="F1" s="5">
        <f t="shared" si="1"/>
        <v>44211</v>
      </c>
      <c r="G1" s="5">
        <f t="shared" si="1"/>
        <v>44218</v>
      </c>
      <c r="H1" s="5">
        <f t="shared" si="1"/>
        <v>44225</v>
      </c>
      <c r="I1" s="5">
        <f t="shared" si="1"/>
        <v>44232</v>
      </c>
      <c r="J1" s="5">
        <f t="shared" si="1"/>
        <v>44239</v>
      </c>
      <c r="K1" s="5">
        <f t="shared" si="1"/>
        <v>44246</v>
      </c>
      <c r="L1" s="5">
        <f t="shared" si="1"/>
        <v>44253</v>
      </c>
      <c r="M1" s="5">
        <f t="shared" si="1"/>
        <v>44260</v>
      </c>
      <c r="N1" s="5">
        <f t="shared" si="1"/>
        <v>44267</v>
      </c>
      <c r="O1" s="5">
        <f t="shared" si="1"/>
        <v>44274</v>
      </c>
      <c r="P1" s="5">
        <f t="shared" si="1"/>
        <v>44281</v>
      </c>
      <c r="Q1" s="5">
        <f t="shared" si="1"/>
        <v>44288</v>
      </c>
      <c r="R1" s="5">
        <f t="shared" si="1"/>
        <v>44295</v>
      </c>
      <c r="S1" s="5">
        <f t="shared" si="1"/>
        <v>44302</v>
      </c>
      <c r="T1" s="5">
        <f t="shared" si="1"/>
        <v>44309</v>
      </c>
      <c r="U1" s="5">
        <f t="shared" si="1"/>
        <v>44316</v>
      </c>
      <c r="V1" s="5">
        <f t="shared" si="1"/>
        <v>44323</v>
      </c>
      <c r="W1" s="5">
        <f t="shared" si="1"/>
        <v>44330</v>
      </c>
      <c r="X1" s="5">
        <f t="shared" si="1"/>
        <v>44337</v>
      </c>
      <c r="Y1" s="5">
        <f t="shared" si="1"/>
        <v>44344</v>
      </c>
      <c r="Z1" s="5">
        <f t="shared" si="1"/>
        <v>44351</v>
      </c>
      <c r="AA1" s="5">
        <f t="shared" si="1"/>
        <v>44358</v>
      </c>
    </row>
    <row r="2">
      <c r="A2" s="2"/>
      <c r="B2" s="4" t="s">
        <v>2</v>
      </c>
      <c r="C2" s="4" t="s">
        <v>3</v>
      </c>
      <c r="D2" s="3">
        <f>IFERROR(__xludf.DUMMYFUNCTION("iferror(max(index(googlefinance($C2, $A$1, D$1, E$1),0,2)),0)"),816.99)</f>
        <v>816.99</v>
      </c>
      <c r="E2" s="3">
        <f>IFERROR(__xludf.DUMMYFUNCTION("iferror(max(index(googlefinance($C2, $A$1, E$1, F$1),0,2)),0)"),884.49)</f>
        <v>884.49</v>
      </c>
      <c r="F2" s="3">
        <f>IFERROR(__xludf.DUMMYFUNCTION("iferror(max(index(googlefinance($C2, $A$1, F$1, G$1),0,2)),0)"),859.9)</f>
        <v>859.9</v>
      </c>
      <c r="G2" s="3">
        <f>IFERROR(__xludf.DUMMYFUNCTION("iferror(max(index(googlefinance($C2, $A$1, G$1, H$1),0,2)),0)"),900.4)</f>
        <v>900.4</v>
      </c>
      <c r="H2" s="3">
        <f>IFERROR(__xludf.DUMMYFUNCTION("iferror(max(index(googlefinance($C2, $A$1, H$1, I$1),0,2)),0)"),880.5)</f>
        <v>880.5</v>
      </c>
      <c r="I2" s="3">
        <f>IFERROR(__xludf.DUMMYFUNCTION("iferror(max(index(googlefinance($C2, $A$1, I$1, J$1),0,2)),0)"),877.77)</f>
        <v>877.77</v>
      </c>
      <c r="J2" s="3">
        <f>IFERROR(__xludf.DUMMYFUNCTION("iferror(max(index(googlefinance($C2, $A$1, J$1, K$1),0,2)),0)"),821.0)</f>
        <v>821</v>
      </c>
      <c r="K2" s="3">
        <f>IFERROR(__xludf.DUMMYFUNCTION("iferror(max(index(googlefinance($C2, $A$1, K$1, L$1),0,2)),0)"),796.79)</f>
        <v>796.79</v>
      </c>
      <c r="L2" s="3">
        <f>IFERROR(__xludf.DUMMYFUNCTION("iferror(max(index(googlefinance($C2, $A$1, L$1, M$1),0,2)),0)"),873.94)</f>
        <v>873.94</v>
      </c>
      <c r="M2" s="3">
        <f>IFERROR(__xludf.DUMMYFUNCTION("iferror(max(index(googlefinance($C2, $A$1, M$1, N$1),0,2)),0)"),717.85)</f>
        <v>717.85</v>
      </c>
      <c r="N2" s="3">
        <f>IFERROR(__xludf.DUMMYFUNCTION("iferror(max(index(googlefinance($C2, $A$1, N$1, O$1),0,2)),0)"),713.18)</f>
        <v>713.18</v>
      </c>
      <c r="O2" s="3">
        <f>IFERROR(__xludf.DUMMYFUNCTION("iferror(max(index(googlefinance($C2, $A$1, O$1, P$1),0,2)),0)"),657.23)</f>
        <v>657.23</v>
      </c>
      <c r="P2" s="3">
        <f>IFERROR(__xludf.DUMMYFUNCTION("iferror(max(index(googlefinance($C2, $A$1, P$1, Q$1),0,2)),0)"),0.0)</f>
        <v>0</v>
      </c>
      <c r="Q2" s="3">
        <f>IFERROR(__xludf.DUMMYFUNCTION("iferror(max(index(googlefinance($C2, $A$1, Q$1, R$1),0,2)),0)"),0.0)</f>
        <v>0</v>
      </c>
    </row>
    <row r="3">
      <c r="A3" s="4"/>
      <c r="B3" s="4" t="s">
        <v>4</v>
      </c>
      <c r="C3" s="4" t="s">
        <v>5</v>
      </c>
      <c r="D3" s="3">
        <f>IFERROR(__xludf.DUMMYFUNCTION("iferror(max(index(googlefinance($C3, $A$1, D$1, E$1),0,2)),0)"),1777.82)</f>
        <v>1777.82</v>
      </c>
      <c r="E3" s="3">
        <f>IFERROR(__xludf.DUMMYFUNCTION("iferror(max(index(googlefinance($C3, $A$1, E$1, F$1),0,2)),0)"),1799.36)</f>
        <v>1799.36</v>
      </c>
      <c r="F3" s="3">
        <f>IFERROR(__xludf.DUMMYFUNCTION("iferror(max(index(googlefinance($C3, $A$1, F$1, G$1),0,2)),0)"),1932.08)</f>
        <v>1932.08</v>
      </c>
      <c r="G3" s="3">
        <f>IFERROR(__xludf.DUMMYFUNCTION("iferror(max(index(googlefinance($C3, $A$1, G$1, H$1),0,2)),0)"),1921.82)</f>
        <v>1921.82</v>
      </c>
      <c r="H3" s="3">
        <f>IFERROR(__xludf.DUMMYFUNCTION("iferror(max(index(googlefinance($C3, $A$1, H$1, I$1),0,2)),0)"),2106.62)</f>
        <v>2106.62</v>
      </c>
      <c r="I3" s="3">
        <f>IFERROR(__xludf.DUMMYFUNCTION("iferror(max(index(googlefinance($C3, $A$1, I$1, J$1),0,2)),0)"),2115.0)</f>
        <v>2115</v>
      </c>
      <c r="J3" s="3">
        <f>IFERROR(__xludf.DUMMYFUNCTION("iferror(max(index(googlefinance($C3, $A$1, J$1, K$1),0,2)),0)"),2145.14)</f>
        <v>2145.14</v>
      </c>
      <c r="K3" s="3">
        <f>IFERROR(__xludf.DUMMYFUNCTION("iferror(max(index(googlefinance($C3, $A$1, K$1, L$1),0,2)),0)"),2118.58)</f>
        <v>2118.58</v>
      </c>
      <c r="L3" s="3">
        <f>IFERROR(__xludf.DUMMYFUNCTION("iferror(max(index(googlefinance($C3, $A$1, L$1, M$1),0,2)),0)"),2094.74)</f>
        <v>2094.74</v>
      </c>
      <c r="M3" s="3">
        <f>IFERROR(__xludf.DUMMYFUNCTION("iferror(max(index(googlefinance($C3, $A$1, M$1, N$1),0,2)),0)"),2113.74)</f>
        <v>2113.74</v>
      </c>
      <c r="N3" s="3">
        <f>IFERROR(__xludf.DUMMYFUNCTION("iferror(max(index(googlefinance($C3, $A$1, N$1, O$1),0,2)),0)"),2113.68)</f>
        <v>2113.68</v>
      </c>
      <c r="O3" s="3">
        <f>IFERROR(__xludf.DUMMYFUNCTION("iferror(max(index(googlefinance($C3, $A$1, O$1, P$1),0,2)),0)"),2037.04)</f>
        <v>2037.04</v>
      </c>
      <c r="P3" s="3">
        <f>IFERROR(__xludf.DUMMYFUNCTION("iferror(max(index(googlefinance($C3, $A$1, P$1, Q$1),0,2)),0)"),0.0)</f>
        <v>0</v>
      </c>
      <c r="Q3" s="3">
        <f>IFERROR(__xludf.DUMMYFUNCTION("iferror(max(index(googlefinance($C3, $A$1, Q$1, R$1),0,2)),0)"),0.0)</f>
        <v>0</v>
      </c>
    </row>
    <row r="4">
      <c r="A4" s="4"/>
      <c r="B4" s="4" t="s">
        <v>6</v>
      </c>
      <c r="C4" s="4" t="s">
        <v>7</v>
      </c>
      <c r="D4" s="3">
        <f>IFERROR(__xludf.DUMMYFUNCTION("iferror(max(index(googlefinance($C4, $A$1, D$1, E$1),0,2)),0)"),133.61)</f>
        <v>133.61</v>
      </c>
      <c r="E4" s="3">
        <f>IFERROR(__xludf.DUMMYFUNCTION("iferror(max(index(googlefinance($C4, $A$1, E$1, F$1),0,2)),0)"),132.63)</f>
        <v>132.63</v>
      </c>
      <c r="F4" s="3">
        <f>IFERROR(__xludf.DUMMYFUNCTION("iferror(max(index(googlefinance($C4, $A$1, F$1, G$1),0,2)),0)"),139.67)</f>
        <v>139.67</v>
      </c>
      <c r="G4" s="3">
        <f>IFERROR(__xludf.DUMMYFUNCTION("iferror(max(index(googlefinance($C4, $A$1, G$1, H$1),0,2)),0)"),145.09)</f>
        <v>145.09</v>
      </c>
      <c r="H4" s="3">
        <f>IFERROR(__xludf.DUMMYFUNCTION("iferror(max(index(googlefinance($C4, $A$1, H$1, I$1),0,2)),0)"),137.4)</f>
        <v>137.4</v>
      </c>
      <c r="I4" s="3">
        <f>IFERROR(__xludf.DUMMYFUNCTION("iferror(max(index(googlefinance($C4, $A$1, I$1, J$1),0,2)),0)"),137.88)</f>
        <v>137.88</v>
      </c>
      <c r="J4" s="3">
        <f>IFERROR(__xludf.DUMMYFUNCTION("iferror(max(index(googlefinance($C4, $A$1, J$1, K$1),0,2)),0)"),136.01)</f>
        <v>136.01</v>
      </c>
      <c r="K4" s="3">
        <f>IFERROR(__xludf.DUMMYFUNCTION("iferror(max(index(googlefinance($C4, $A$1, K$1, L$1),0,2)),0)"),130.71)</f>
        <v>130.71</v>
      </c>
      <c r="L4" s="3">
        <f>IFERROR(__xludf.DUMMYFUNCTION("iferror(max(index(googlefinance($C4, $A$1, L$1, M$1),0,2)),0)"),128.72)</f>
        <v>128.72</v>
      </c>
      <c r="M4" s="3">
        <f>IFERROR(__xludf.DUMMYFUNCTION("iferror(max(index(googlefinance($C4, $A$1, M$1, N$1),0,2)),0)"),123.21)</f>
        <v>123.21</v>
      </c>
      <c r="N4" s="3">
        <f>IFERROR(__xludf.DUMMYFUNCTION("iferror(max(index(googlefinance($C4, $A$1, N$1, O$1),0,2)),0)"),127.22)</f>
        <v>127.22</v>
      </c>
      <c r="O4" s="3">
        <f>IFERROR(__xludf.DUMMYFUNCTION("iferror(max(index(googlefinance($C4, $A$1, O$1, P$1),0,2)),0)"),121.43)</f>
        <v>121.43</v>
      </c>
      <c r="P4" s="3">
        <f>IFERROR(__xludf.DUMMYFUNCTION("iferror(max(index(googlefinance($C4, $A$1, P$1, Q$1),0,2)),0)"),0.0)</f>
        <v>0</v>
      </c>
      <c r="Q4" s="3">
        <f>IFERROR(__xludf.DUMMYFUNCTION("iferror(max(index(googlefinance($C4, $A$1, Q$1, R$1),0,2)),0)"),0.0)</f>
        <v>0</v>
      </c>
    </row>
    <row r="5">
      <c r="A5" s="4"/>
      <c r="B5" s="4" t="s">
        <v>8</v>
      </c>
      <c r="C5" s="4" t="s">
        <v>9</v>
      </c>
      <c r="D5" s="3">
        <f>IFERROR(__xludf.DUMMYFUNCTION("iferror(max(index(googlefinance($C5, $A$1, D$1, E$1),0,2)),0)"),223.0)</f>
        <v>223</v>
      </c>
      <c r="E5" s="3">
        <f>IFERROR(__xludf.DUMMYFUNCTION("iferror(max(index(googlefinance($C5, $A$1, E$1, F$1),0,2)),0)"),220.58)</f>
        <v>220.58</v>
      </c>
      <c r="F5" s="3">
        <f>IFERROR(__xludf.DUMMYFUNCTION("iferror(max(index(googlefinance($C5, $A$1, F$1, G$1),0,2)),0)"),226.3)</f>
        <v>226.3</v>
      </c>
      <c r="G5" s="3">
        <f>IFERROR(__xludf.DUMMYFUNCTION("iferror(max(index(googlefinance($C5, $A$1, G$1, H$1),0,2)),0)"),242.64)</f>
        <v>242.64</v>
      </c>
      <c r="H5" s="3">
        <f>IFERROR(__xludf.DUMMYFUNCTION("iferror(max(index(googlefinance($C5, $A$1, H$1, I$1),0,2)),0)"),245.09)</f>
        <v>245.09</v>
      </c>
      <c r="I5" s="3">
        <f>IFERROR(__xludf.DUMMYFUNCTION("iferror(max(index(googlefinance($C5, $A$1, I$1, J$1),0,2)),0)"),245.92)</f>
        <v>245.92</v>
      </c>
      <c r="J5" s="3">
        <f>IFERROR(__xludf.DUMMYFUNCTION("iferror(max(index(googlefinance($C5, $A$1, J$1, K$1),0,2)),0)"),246.13)</f>
        <v>246.13</v>
      </c>
      <c r="K5" s="3">
        <f>IFERROR(__xludf.DUMMYFUNCTION("iferror(max(index(googlefinance($C5, $A$1, K$1, L$1),0,2)),0)"),243.86)</f>
        <v>243.86</v>
      </c>
      <c r="L5" s="3">
        <f>IFERROR(__xludf.DUMMYFUNCTION("iferror(max(index(googlefinance($C5, $A$1, L$1, M$1),0,2)),0)"),237.47)</f>
        <v>237.47</v>
      </c>
      <c r="M5" s="3">
        <f>IFERROR(__xludf.DUMMYFUNCTION("iferror(max(index(googlefinance($C5, $A$1, M$1, N$1),0,2)),0)"),239.17)</f>
        <v>239.17</v>
      </c>
      <c r="N5" s="3">
        <f>IFERROR(__xludf.DUMMYFUNCTION("iferror(max(index(googlefinance($C5, $A$1, N$1, O$1),0,2)),0)"),240.06)</f>
        <v>240.06</v>
      </c>
      <c r="O5" s="3">
        <f>IFERROR(__xludf.DUMMYFUNCTION("iferror(max(index(googlefinance($C5, $A$1, O$1, P$1),0,2)),0)"),232.47)</f>
        <v>232.47</v>
      </c>
      <c r="P5" s="3">
        <f>IFERROR(__xludf.DUMMYFUNCTION("iferror(max(index(googlefinance($C5, $A$1, P$1, Q$1),0,2)),0)"),0.0)</f>
        <v>0</v>
      </c>
      <c r="Q5" s="3">
        <f>IFERROR(__xludf.DUMMYFUNCTION("iferror(max(index(googlefinance($C5, $A$1, Q$1, R$1),0,2)),0)"),0.0)</f>
        <v>0</v>
      </c>
    </row>
    <row r="6">
      <c r="A6" s="4"/>
      <c r="B6" s="4" t="s">
        <v>10</v>
      </c>
      <c r="C6" s="4" t="s">
        <v>11</v>
      </c>
      <c r="D6" s="3">
        <f>IFERROR(__xludf.DUMMYFUNCTION("iferror(max(index(googlefinance($C6, $A$1, D$1, E$1),0,2)),0)"),0.0)</f>
        <v>0</v>
      </c>
      <c r="E6" s="3">
        <f>IFERROR(__xludf.DUMMYFUNCTION("iferror(max(index(googlefinance($C6, $A$1, E$1, F$1),0,2)),0)"),0.0)</f>
        <v>0</v>
      </c>
      <c r="F6" s="3">
        <f>IFERROR(__xludf.DUMMYFUNCTION("iferror(max(index(googlefinance($C6, $A$1, F$1, G$1),0,2)),0)"),0.0)</f>
        <v>0</v>
      </c>
      <c r="G6" s="3">
        <f>IFERROR(__xludf.DUMMYFUNCTION("iferror(max(index(googlefinance($C6, $A$1, G$1, H$1),0,2)),0)"),45.96)</f>
        <v>45.96</v>
      </c>
      <c r="H6" s="3">
        <f>IFERROR(__xludf.DUMMYFUNCTION("iferror(max(index(googlefinance($C6, $A$1, H$1, I$1),0,2)),0)"),57.28)</f>
        <v>57.28</v>
      </c>
      <c r="I6" s="3">
        <f>IFERROR(__xludf.DUMMYFUNCTION("iferror(max(index(googlefinance($C6, $A$1, I$1, J$1),0,2)),0)"),56.98)</f>
        <v>56.98</v>
      </c>
      <c r="J6" s="3">
        <f>IFERROR(__xludf.DUMMYFUNCTION("iferror(max(index(googlefinance($C6, $A$1, J$1, K$1),0,2)),0)"),46.95)</f>
        <v>46.95</v>
      </c>
      <c r="K6" s="3">
        <f>IFERROR(__xludf.DUMMYFUNCTION("iferror(max(index(googlefinance($C6, $A$1, K$1, L$1),0,2)),0)"),46.74)</f>
        <v>46.74</v>
      </c>
      <c r="L6" s="3">
        <f>IFERROR(__xludf.DUMMYFUNCTION("iferror(max(index(googlefinance($C6, $A$1, L$1, M$1),0,2)),0)"),40.83)</f>
        <v>40.83</v>
      </c>
      <c r="M6" s="3">
        <f>IFERROR(__xludf.DUMMYFUNCTION("iferror(max(index(googlefinance($C6, $A$1, M$1, N$1),0,2)),0)"),39.69)</f>
        <v>39.69</v>
      </c>
      <c r="N6" s="3">
        <f>IFERROR(__xludf.DUMMYFUNCTION("iferror(max(index(googlefinance($C6, $A$1, N$1, O$1),0,2)),0)"),38.75)</f>
        <v>38.75</v>
      </c>
      <c r="O6" s="3">
        <f>IFERROR(__xludf.DUMMYFUNCTION("iferror(max(index(googlefinance($C6, $A$1, O$1, P$1),0,2)),0)"),34.94)</f>
        <v>34.94</v>
      </c>
      <c r="P6" s="3">
        <f>IFERROR(__xludf.DUMMYFUNCTION("iferror(max(index(googlefinance($C6, $A$1, P$1, Q$1),0,2)),0)"),0.0)</f>
        <v>0</v>
      </c>
      <c r="Q6" s="3">
        <f>IFERROR(__xludf.DUMMYFUNCTION("iferror(max(index(googlefinance($C6, $A$1, Q$1, R$1),0,2)),0)"),0.0)</f>
        <v>0</v>
      </c>
    </row>
    <row r="7">
      <c r="A7" s="4"/>
      <c r="B7" s="4" t="s">
        <v>12</v>
      </c>
      <c r="C7" s="4" t="s">
        <v>13</v>
      </c>
      <c r="D7" s="3">
        <f>IFERROR(__xludf.DUMMYFUNCTION("iferror(max(index(googlefinance($C7, $A$1, D$1, E$1),0,2)),0)"),19.45)</f>
        <v>19.45</v>
      </c>
      <c r="E7" s="3">
        <f>IFERROR(__xludf.DUMMYFUNCTION("iferror(max(index(googlefinance($C7, $A$1, E$1, F$1),0,2)),0)"),43.06)</f>
        <v>43.06</v>
      </c>
      <c r="F7" s="3">
        <f>IFERROR(__xludf.DUMMYFUNCTION("iferror(max(index(googlefinance($C7, $A$1, F$1, G$1),0,2)),0)"),45.52)</f>
        <v>45.52</v>
      </c>
      <c r="G7" s="3">
        <f>IFERROR(__xludf.DUMMYFUNCTION("iferror(max(index(googlefinance($C7, $A$1, G$1, H$1),0,2)),0)"),483.0)</f>
        <v>483</v>
      </c>
      <c r="H7" s="3">
        <f>IFERROR(__xludf.DUMMYFUNCTION("iferror(max(index(googlefinance($C7, $A$1, H$1, I$1),0,2)),0)"),413.98)</f>
        <v>413.98</v>
      </c>
      <c r="I7" s="3">
        <f>IFERROR(__xludf.DUMMYFUNCTION("iferror(max(index(googlefinance($C7, $A$1, I$1, J$1),0,2)),0)"),95.0)</f>
        <v>95</v>
      </c>
      <c r="J7" s="3">
        <f>IFERROR(__xludf.DUMMYFUNCTION("iferror(max(index(googlefinance($C7, $A$1, J$1, K$1),0,2)),0)"),55.24)</f>
        <v>55.24</v>
      </c>
      <c r="K7" s="3">
        <f>IFERROR(__xludf.DUMMYFUNCTION("iferror(max(index(googlefinance($C7, $A$1, K$1, L$1),0,2)),0)"),184.68)</f>
        <v>184.68</v>
      </c>
      <c r="L7" s="3">
        <f>IFERROR(__xludf.DUMMYFUNCTION("iferror(max(index(googlefinance($C7, $A$1, L$1, M$1),0,2)),0)"),147.87)</f>
        <v>147.87</v>
      </c>
      <c r="M7" s="3">
        <f>IFERROR(__xludf.DUMMYFUNCTION("iferror(max(index(googlefinance($C7, $A$1, M$1, N$1),0,2)),0)"),348.5)</f>
        <v>348.5</v>
      </c>
      <c r="N7" s="3">
        <f>IFERROR(__xludf.DUMMYFUNCTION("iferror(max(index(googlefinance($C7, $A$1, N$1, O$1),0,2)),0)"),295.5)</f>
        <v>295.5</v>
      </c>
      <c r="O7" s="3">
        <f>IFERROR(__xludf.DUMMYFUNCTION("iferror(max(index(googlefinance($C7, $A$1, O$1, P$1),0,2)),0)"),227.0)</f>
        <v>227</v>
      </c>
      <c r="P7" s="3">
        <f>IFERROR(__xludf.DUMMYFUNCTION("iferror(max(index(googlefinance($C7, $A$1, P$1, Q$1),0,2)),0)"),0.0)</f>
        <v>0</v>
      </c>
      <c r="Q7" s="3">
        <f>IFERROR(__xludf.DUMMYFUNCTION("iferror(max(index(googlefinance($C7, $A$1, Q$1, R$1),0,2)),0)"),0.0)</f>
        <v>0</v>
      </c>
    </row>
    <row r="8">
      <c r="A8" s="4"/>
      <c r="B8" s="4" t="s">
        <v>14</v>
      </c>
      <c r="C8" s="4" t="s">
        <v>14</v>
      </c>
      <c r="D8" s="3">
        <f>IFERROR(__xludf.DUMMYFUNCTION("iferror(max(index(googlefinance($C8, $A$1, D$1, E$1),0,2)),0)"),2.23)</f>
        <v>2.23</v>
      </c>
      <c r="E8" s="3">
        <f>IFERROR(__xludf.DUMMYFUNCTION("iferror(max(index(googlefinance($C8, $A$1, E$1, F$1),0,2)),0)"),2.39)</f>
        <v>2.39</v>
      </c>
      <c r="F8" s="3">
        <f>IFERROR(__xludf.DUMMYFUNCTION("iferror(max(index(googlefinance($C8, $A$1, F$1, G$1),0,2)),0)"),3.34)</f>
        <v>3.34</v>
      </c>
      <c r="G8" s="3">
        <f>IFERROR(__xludf.DUMMYFUNCTION("iferror(max(index(googlefinance($C8, $A$1, G$1, H$1),0,2)),0)"),20.36)</f>
        <v>20.36</v>
      </c>
      <c r="H8" s="3">
        <f>IFERROR(__xludf.DUMMYFUNCTION("iferror(max(index(googlefinance($C8, $A$1, H$1, I$1),0,2)),0)"),17.25)</f>
        <v>17.25</v>
      </c>
      <c r="I8" s="3">
        <f>IFERROR(__xludf.DUMMYFUNCTION("iferror(max(index(googlefinance($C8, $A$1, I$1, J$1),0,2)),0)"),8.27)</f>
        <v>8.27</v>
      </c>
      <c r="J8" s="3">
        <f>IFERROR(__xludf.DUMMYFUNCTION("iferror(max(index(googlefinance($C8, $A$1, J$1, K$1),0,2)),0)"),6.25)</f>
        <v>6.25</v>
      </c>
      <c r="K8" s="3">
        <f>IFERROR(__xludf.DUMMYFUNCTION("iferror(max(index(googlefinance($C8, $A$1, K$1, L$1),0,2)),0)"),11.0)</f>
        <v>11</v>
      </c>
      <c r="L8" s="3">
        <f>IFERROR(__xludf.DUMMYFUNCTION("iferror(max(index(googlefinance($C8, $A$1, L$1, M$1),0,2)),0)"),9.45)</f>
        <v>9.45</v>
      </c>
      <c r="M8" s="3">
        <f>IFERROR(__xludf.DUMMYFUNCTION("iferror(max(index(googlefinance($C8, $A$1, M$1, N$1),0,2)),0)"),12.47)</f>
        <v>12.47</v>
      </c>
      <c r="N8" s="3">
        <f>IFERROR(__xludf.DUMMYFUNCTION("iferror(max(index(googlefinance($C8, $A$1, N$1, O$1),0,2)),0)"),14.54)</f>
        <v>14.54</v>
      </c>
      <c r="O8" s="3">
        <f>IFERROR(__xludf.DUMMYFUNCTION("iferror(max(index(googlefinance($C8, $A$1, O$1, P$1),0,2)),0)"),14.18)</f>
        <v>14.18</v>
      </c>
      <c r="P8" s="3">
        <f>IFERROR(__xludf.DUMMYFUNCTION("iferror(max(index(googlefinance($C8, $A$1, P$1, Q$1),0,2)),0)"),0.0)</f>
        <v>0</v>
      </c>
      <c r="Q8" s="3">
        <f>IFERROR(__xludf.DUMMYFUNCTION("iferror(max(index(googlefinance($C8, $A$1, Q$1, R$1),0,2)),0)"),0.0)</f>
        <v>0</v>
      </c>
    </row>
    <row r="9">
      <c r="A9" s="4"/>
      <c r="B9" s="4" t="s">
        <v>15</v>
      </c>
      <c r="C9" s="4" t="s">
        <v>16</v>
      </c>
      <c r="D9" s="3">
        <f>IFERROR(__xludf.DUMMYFUNCTION("iferror(max(index(googlefinance($C9, $A$1, D$1, E$1),0,2)),0)"),4.09)</f>
        <v>4.09</v>
      </c>
      <c r="E9" s="3">
        <f>IFERROR(__xludf.DUMMYFUNCTION("iferror(max(index(googlefinance($C9, $A$1, E$1, F$1),0,2)),0)"),4.25)</f>
        <v>4.25</v>
      </c>
      <c r="F9" s="3">
        <f>IFERROR(__xludf.DUMMYFUNCTION("iferror(max(index(googlefinance($C9, $A$1, F$1, G$1),0,2)),0)"),4.23)</f>
        <v>4.23</v>
      </c>
      <c r="G9" s="3">
        <f>IFERROR(__xludf.DUMMYFUNCTION("iferror(max(index(googlefinance($C9, $A$1, G$1, H$1),0,2)),0)"),9.79)</f>
        <v>9.79</v>
      </c>
      <c r="H9" s="3">
        <f>IFERROR(__xludf.DUMMYFUNCTION("iferror(max(index(googlefinance($C9, $A$1, H$1, I$1),0,2)),0)"),5.22)</f>
        <v>5.22</v>
      </c>
      <c r="I9" s="3">
        <f>IFERROR(__xludf.DUMMYFUNCTION("iferror(max(index(googlefinance($C9, $A$1, I$1, J$1),0,2)),0)"),4.35)</f>
        <v>4.35</v>
      </c>
      <c r="J9" s="3">
        <f>IFERROR(__xludf.DUMMYFUNCTION("iferror(max(index(googlefinance($C9, $A$1, J$1, K$1),0,2)),0)"),4.22)</f>
        <v>4.22</v>
      </c>
      <c r="K9" s="3">
        <f>IFERROR(__xludf.DUMMYFUNCTION("iferror(max(index(googlefinance($C9, $A$1, K$1, L$1),0,2)),0)"),4.34)</f>
        <v>4.34</v>
      </c>
      <c r="L9" s="3">
        <f>IFERROR(__xludf.DUMMYFUNCTION("iferror(max(index(googlefinance($C9, $A$1, L$1, M$1),0,2)),0)"),4.1)</f>
        <v>4.1</v>
      </c>
      <c r="M9" s="3">
        <f>IFERROR(__xludf.DUMMYFUNCTION("iferror(max(index(googlefinance($C9, $A$1, M$1, N$1),0,2)),0)"),4.14)</f>
        <v>4.14</v>
      </c>
      <c r="N9" s="3">
        <f>IFERROR(__xludf.DUMMYFUNCTION("iferror(max(index(googlefinance($C9, $A$1, N$1, O$1),0,2)),0)"),4.39)</f>
        <v>4.39</v>
      </c>
      <c r="O9" s="3">
        <f>IFERROR(__xludf.DUMMYFUNCTION("iferror(max(index(googlefinance($C9, $A$1, O$1, P$1),0,2)),0)"),4.09)</f>
        <v>4.09</v>
      </c>
      <c r="P9" s="3">
        <f>IFERROR(__xludf.DUMMYFUNCTION("iferror(max(index(googlefinance($C9, $A$1, P$1, Q$1),0,2)),0)"),0.0)</f>
        <v>0</v>
      </c>
      <c r="Q9" s="3">
        <f>IFERROR(__xludf.DUMMYFUNCTION("iferror(max(index(googlefinance($C9, $A$1, Q$1, R$1),0,2)),0)"),0.0)</f>
        <v>0</v>
      </c>
    </row>
    <row r="10">
      <c r="A10" s="4"/>
      <c r="B10" s="4" t="s">
        <v>17</v>
      </c>
      <c r="C10" s="4" t="s">
        <v>18</v>
      </c>
      <c r="D10" s="3">
        <f>IFERROR(__xludf.DUMMYFUNCTION("iferror(max(index(googlefinance($C10, $A$1, D$1, E$1),0,2)),0)"),70.45)</f>
        <v>70.45</v>
      </c>
      <c r="E10" s="3">
        <f>IFERROR(__xludf.DUMMYFUNCTION("iferror(max(index(googlefinance($C10, $A$1, E$1, F$1),0,2)),0)"),70.96)</f>
        <v>70.96</v>
      </c>
      <c r="F10" s="3">
        <f>IFERROR(__xludf.DUMMYFUNCTION("iferror(max(index(googlefinance($C10, $A$1, F$1, G$1),0,2)),0)"),68.87)</f>
        <v>68.87</v>
      </c>
      <c r="G10" s="3">
        <f>IFERROR(__xludf.DUMMYFUNCTION("iferror(max(index(googlefinance($C10, $A$1, G$1, H$1),0,2)),0)"),68.2)</f>
        <v>68.2</v>
      </c>
      <c r="H10" s="3">
        <f>IFERROR(__xludf.DUMMYFUNCTION("iferror(max(index(googlefinance($C10, $A$1, H$1, I$1),0,2)),0)"),69.82)</f>
        <v>69.82</v>
      </c>
      <c r="I10" s="3">
        <f>IFERROR(__xludf.DUMMYFUNCTION("iferror(max(index(googlefinance($C10, $A$1, I$1, J$1),0,2)),0)"),70.25)</f>
        <v>70.25</v>
      </c>
      <c r="J10" s="3">
        <f>IFERROR(__xludf.DUMMYFUNCTION("iferror(max(index(googlefinance($C10, $A$1, J$1, K$1),0,2)),0)"),68.83)</f>
        <v>68.83</v>
      </c>
      <c r="K10" s="3">
        <f>IFERROR(__xludf.DUMMYFUNCTION("iferror(max(index(googlefinance($C10, $A$1, K$1, L$1),0,2)),0)"),71.06)</f>
        <v>71.06</v>
      </c>
      <c r="L10" s="3">
        <f>IFERROR(__xludf.DUMMYFUNCTION("iferror(max(index(googlefinance($C10, $A$1, L$1, M$1),0,2)),0)"),68.31)</f>
        <v>68.31</v>
      </c>
      <c r="M10" s="3">
        <f>IFERROR(__xludf.DUMMYFUNCTION("iferror(max(index(googlefinance($C10, $A$1, M$1, N$1),0,2)),0)"),67.04)</f>
        <v>67.04</v>
      </c>
      <c r="N10" s="3">
        <f>IFERROR(__xludf.DUMMYFUNCTION("iferror(max(index(googlefinance($C10, $A$1, N$1, O$1),0,2)),0)"),68.05)</f>
        <v>68.05</v>
      </c>
      <c r="O10" s="3">
        <f>IFERROR(__xludf.DUMMYFUNCTION("iferror(max(index(googlefinance($C10, $A$1, O$1, P$1),0,2)),0)"),67.14)</f>
        <v>67.14</v>
      </c>
      <c r="P10" s="3">
        <f>IFERROR(__xludf.DUMMYFUNCTION("iferror(max(index(googlefinance($C10, $A$1, P$1, Q$1),0,2)),0)"),0.0)</f>
        <v>0</v>
      </c>
      <c r="Q10" s="3">
        <f>IFERROR(__xludf.DUMMYFUNCTION("iferror(max(index(googlefinance($C10, $A$1, Q$1, R$1),0,2)),0)"),0.0)</f>
        <v>0</v>
      </c>
    </row>
    <row r="11">
      <c r="A11" s="4"/>
      <c r="B11" s="4" t="s">
        <v>19</v>
      </c>
      <c r="C11" s="4" t="s">
        <v>20</v>
      </c>
      <c r="D11" s="3">
        <f>IFERROR(__xludf.DUMMYFUNCTION("iferror(max(index(googlefinance($C11, $A$1, D$1, E$1),0,2)),0)"),124.57)</f>
        <v>124.57</v>
      </c>
      <c r="E11" s="3">
        <f>IFERROR(__xludf.DUMMYFUNCTION("iferror(max(index(googlefinance($C11, $A$1, E$1, F$1),0,2)),0)"),128.44)</f>
        <v>128.44</v>
      </c>
      <c r="F11" s="3">
        <f>IFERROR(__xludf.DUMMYFUNCTION("iferror(max(index(googlefinance($C11, $A$1, F$1, G$1),0,2)),0)"),126.25)</f>
        <v>126.25</v>
      </c>
      <c r="G11" s="3">
        <f>IFERROR(__xludf.DUMMYFUNCTION("iferror(max(index(googlefinance($C11, $A$1, G$1, H$1),0,2)),0)"),124.94)</f>
        <v>124.94</v>
      </c>
      <c r="H11" s="3">
        <f>IFERROR(__xludf.DUMMYFUNCTION("iferror(max(index(googlefinance($C11, $A$1, H$1, I$1),0,2)),0)"),129.64)</f>
        <v>129.64</v>
      </c>
      <c r="I11" s="3">
        <f>IFERROR(__xludf.DUMMYFUNCTION("iferror(max(index(googlefinance($C11, $A$1, I$1, J$1),0,2)),0)"),133.33)</f>
        <v>133.33</v>
      </c>
      <c r="J11" s="3">
        <f>IFERROR(__xludf.DUMMYFUNCTION("iferror(max(index(googlefinance($C11, $A$1, J$1, K$1),0,2)),0)"),130.91)</f>
        <v>130.91</v>
      </c>
      <c r="K11" s="3">
        <f>IFERROR(__xludf.DUMMYFUNCTION("iferror(max(index(googlefinance($C11, $A$1, K$1, L$1),0,2)),0)"),139.32)</f>
        <v>139.32</v>
      </c>
      <c r="L11" s="3">
        <f>IFERROR(__xludf.DUMMYFUNCTION("iferror(max(index(googlefinance($C11, $A$1, L$1, M$1),0,2)),0)"),141.76)</f>
        <v>141.76</v>
      </c>
      <c r="M11" s="3">
        <f>IFERROR(__xludf.DUMMYFUNCTION("iferror(max(index(googlefinance($C11, $A$1, M$1, N$1),0,2)),0)"),144.84)</f>
        <v>144.84</v>
      </c>
      <c r="N11" s="3">
        <f>IFERROR(__xludf.DUMMYFUNCTION("iferror(max(index(googlefinance($C11, $A$1, N$1, O$1),0,2)),0)"),147.93)</f>
        <v>147.93</v>
      </c>
      <c r="O11" s="3">
        <f>IFERROR(__xludf.DUMMYFUNCTION("iferror(max(index(googlefinance($C11, $A$1, O$1, P$1),0,2)),0)"),140.87)</f>
        <v>140.87</v>
      </c>
      <c r="P11" s="3">
        <f>IFERROR(__xludf.DUMMYFUNCTION("iferror(max(index(googlefinance($C11, $A$1, P$1, Q$1),0,2)),0)"),0.0)</f>
        <v>0</v>
      </c>
      <c r="Q11" s="3">
        <f>IFERROR(__xludf.DUMMYFUNCTION("iferror(max(index(googlefinance($C11, $A$1, Q$1, R$1),0,2)),0)"),0.0)</f>
        <v>0</v>
      </c>
    </row>
    <row r="12">
      <c r="A12" s="4"/>
      <c r="B12" s="4" t="s">
        <v>21</v>
      </c>
      <c r="C12" s="4" t="s">
        <v>22</v>
      </c>
      <c r="D12" s="3">
        <f>IFERROR(__xludf.DUMMYFUNCTION("iferror(max(index(googlefinance($C12, $A$1, D$1, E$1),0,2)),0)"),182.59)</f>
        <v>182.59</v>
      </c>
      <c r="E12" s="3">
        <f>IFERROR(__xludf.DUMMYFUNCTION("iferror(max(index(googlefinance($C12, $A$1, E$1, F$1),0,2)),0)"),181.26)</f>
        <v>181.26</v>
      </c>
      <c r="F12" s="3">
        <f>IFERROR(__xludf.DUMMYFUNCTION("iferror(max(index(googlefinance($C12, $A$1, F$1, G$1),0,2)),0)"),177.88)</f>
        <v>177.88</v>
      </c>
      <c r="G12" s="3">
        <f>IFERROR(__xludf.DUMMYFUNCTION("iferror(max(index(googlefinance($C12, $A$1, G$1, H$1),0,2)),0)"),175.25)</f>
        <v>175.25</v>
      </c>
      <c r="H12" s="3">
        <f>IFERROR(__xludf.DUMMYFUNCTION("iferror(max(index(googlefinance($C12, $A$1, H$1, I$1),0,2)),0)"),181.38)</f>
        <v>181.38</v>
      </c>
      <c r="I12" s="3">
        <f>IFERROR(__xludf.DUMMYFUNCTION("iferror(max(index(googlefinance($C12, $A$1, I$1, J$1),0,2)),0)"),191.25)</f>
        <v>191.25</v>
      </c>
      <c r="J12" s="3">
        <f>IFERROR(__xludf.DUMMYFUNCTION("iferror(max(index(googlefinance($C12, $A$1, J$1, K$1),0,2)),0)"),193.85)</f>
        <v>193.85</v>
      </c>
      <c r="K12" s="3">
        <f>IFERROR(__xludf.DUMMYFUNCTION("iferror(max(index(googlefinance($C12, $A$1, K$1, L$1),0,2)),0)"),200.6)</f>
        <v>200.6</v>
      </c>
      <c r="L12" s="3">
        <f>IFERROR(__xludf.DUMMYFUNCTION("iferror(max(index(googlefinance($C12, $A$1, L$1, M$1),0,2)),0)"),197.96)</f>
        <v>197.96</v>
      </c>
      <c r="M12" s="3">
        <f>IFERROR(__xludf.DUMMYFUNCTION("iferror(max(index(googlefinance($C12, $A$1, M$1, N$1),0,2)),0)"),203.02)</f>
        <v>203.02</v>
      </c>
      <c r="N12" s="3">
        <f>IFERROR(__xludf.DUMMYFUNCTION("iferror(max(index(googlefinance($C12, $A$1, N$1, O$1),0,2)),0)"),198.54)</f>
        <v>198.54</v>
      </c>
      <c r="O12" s="3">
        <f>IFERROR(__xludf.DUMMYFUNCTION("iferror(max(index(googlefinance($C12, $A$1, O$1, P$1),0,2)),0)"),194.0)</f>
        <v>194</v>
      </c>
      <c r="P12" s="3">
        <f>IFERROR(__xludf.DUMMYFUNCTION("iferror(max(index(googlefinance($C12, $A$1, P$1, Q$1),0,2)),0)"),0.0)</f>
        <v>0</v>
      </c>
      <c r="Q12" s="3">
        <f>IFERROR(__xludf.DUMMYFUNCTION("iferror(max(index(googlefinance($C12, $A$1, Q$1, R$1),0,2)),0)"),0.0)</f>
        <v>0</v>
      </c>
    </row>
    <row r="13">
      <c r="A13" s="4"/>
      <c r="B13" s="4" t="s">
        <v>23</v>
      </c>
      <c r="C13" s="4" t="s">
        <v>24</v>
      </c>
      <c r="D13" s="3">
        <f>IFERROR(__xludf.DUMMYFUNCTION("iferror(max(index(googlefinance($C13, $A$1, D$1, E$1),0,2)),0)"),540.8)</f>
        <v>540.8</v>
      </c>
      <c r="E13" s="3">
        <f>IFERROR(__xludf.DUMMYFUNCTION("iferror(max(index(googlefinance($C13, $A$1, E$1, F$1),0,2)),0)"),514.5)</f>
        <v>514.5</v>
      </c>
      <c r="F13" s="3">
        <f>IFERROR(__xludf.DUMMYFUNCTION("iferror(max(index(googlefinance($C13, $A$1, F$1, G$1),0,2)),0)"),593.29)</f>
        <v>593.29</v>
      </c>
      <c r="G13" s="3">
        <f>IFERROR(__xludf.DUMMYFUNCTION("iferror(max(index(googlefinance($C13, $A$1, G$1, H$1),0,2)),0)"),583.99)</f>
        <v>583.99</v>
      </c>
      <c r="H13" s="3">
        <f>IFERROR(__xludf.DUMMYFUNCTION("iferror(max(index(googlefinance($C13, $A$1, H$1, I$1),0,2)),0)"),559.48)</f>
        <v>559.48</v>
      </c>
      <c r="I13" s="3">
        <f>IFERROR(__xludf.DUMMYFUNCTION("iferror(max(index(googlefinance($C13, $A$1, I$1, J$1),0,2)),0)"),566.65)</f>
        <v>566.65</v>
      </c>
      <c r="J13" s="3">
        <f>IFERROR(__xludf.DUMMYFUNCTION("iferror(max(index(googlefinance($C13, $A$1, J$1, K$1),0,2)),0)"),563.63)</f>
        <v>563.63</v>
      </c>
      <c r="K13" s="3">
        <f>IFERROR(__xludf.DUMMYFUNCTION("iferror(max(index(googlefinance($C13, $A$1, K$1, L$1),0,2)),0)"),556.85)</f>
        <v>556.85</v>
      </c>
      <c r="L13" s="3">
        <f>IFERROR(__xludf.DUMMYFUNCTION("iferror(max(index(googlefinance($C13, $A$1, L$1, M$1),0,2)),0)"),556.99)</f>
        <v>556.99</v>
      </c>
      <c r="M13" s="3">
        <f>IFERROR(__xludf.DUMMYFUNCTION("iferror(max(index(googlefinance($C13, $A$1, M$1, N$1),0,2)),0)"),530.24)</f>
        <v>530.24</v>
      </c>
      <c r="N13" s="3">
        <f>IFERROR(__xludf.DUMMYFUNCTION("iferror(max(index(googlefinance($C13, $A$1, N$1, O$1),0,2)),0)"),533.42)</f>
        <v>533.42</v>
      </c>
      <c r="O13" s="3">
        <f>IFERROR(__xludf.DUMMYFUNCTION("iferror(max(index(googlefinance($C13, $A$1, O$1, P$1),0,2)),0)"),513.19)</f>
        <v>513.19</v>
      </c>
      <c r="P13" s="3">
        <f>IFERROR(__xludf.DUMMYFUNCTION("iferror(max(index(googlefinance($C13, $A$1, P$1, Q$1),0,2)),0)"),0.0)</f>
        <v>0</v>
      </c>
      <c r="Q13" s="3">
        <f>IFERROR(__xludf.DUMMYFUNCTION("iferror(max(index(googlefinance($C13, $A$1, Q$1, R$1),0,2)),0)"),0.0)</f>
        <v>0</v>
      </c>
    </row>
    <row r="14">
      <c r="A14" s="4"/>
      <c r="B14" s="4" t="s">
        <v>25</v>
      </c>
      <c r="C14" s="4" t="s">
        <v>26</v>
      </c>
      <c r="D14" s="3">
        <f>IFERROR(__xludf.DUMMYFUNCTION("iferror(max(index(googlefinance($C14, $A$1, D$1, E$1),0,2)),0)"),192.35)</f>
        <v>192.35</v>
      </c>
      <c r="E14" s="3">
        <f>IFERROR(__xludf.DUMMYFUNCTION("iferror(max(index(googlefinance($C14, $A$1, E$1, F$1),0,2)),0)"),199.96)</f>
        <v>199.96</v>
      </c>
      <c r="F14" s="3">
        <f>IFERROR(__xludf.DUMMYFUNCTION("iferror(max(index(googlefinance($C14, $A$1, F$1, G$1),0,2)),0)"),198.85)</f>
        <v>198.85</v>
      </c>
      <c r="G14" s="3">
        <f>IFERROR(__xludf.DUMMYFUNCTION("iferror(max(index(googlefinance($C14, $A$1, G$1, H$1),0,2)),0)"),193.11)</f>
        <v>193.11</v>
      </c>
      <c r="H14" s="3">
        <f>IFERROR(__xludf.DUMMYFUNCTION("iferror(max(index(googlefinance($C14, $A$1, H$1, I$1),0,2)),0)"),189.04)</f>
        <v>189.04</v>
      </c>
      <c r="I14" s="3">
        <f>IFERROR(__xludf.DUMMYFUNCTION("iferror(max(index(googlefinance($C14, $A$1, I$1, J$1),0,2)),0)"),196.25)</f>
        <v>196.25</v>
      </c>
      <c r="J14" s="3">
        <f>IFERROR(__xludf.DUMMYFUNCTION("iferror(max(index(googlefinance($C14, $A$1, J$1, K$1),0,2)),0)"),194.22)</f>
        <v>194.22</v>
      </c>
      <c r="K14" s="3">
        <f>IFERROR(__xludf.DUMMYFUNCTION("iferror(max(index(googlefinance($C14, $A$1, K$1, L$1),0,2)),0)"),192.45)</f>
        <v>192.45</v>
      </c>
      <c r="L14" s="3">
        <f>IFERROR(__xludf.DUMMYFUNCTION("iferror(max(index(googlefinance($C14, $A$1, L$1, M$1),0,2)),0)"),193.58)</f>
        <v>193.58</v>
      </c>
      <c r="M14" s="3">
        <f>IFERROR(__xludf.DUMMYFUNCTION("iferror(max(index(googlefinance($C14, $A$1, M$1, N$1),0,2)),0)"),181.63)</f>
        <v>181.63</v>
      </c>
      <c r="N14" s="3">
        <f>IFERROR(__xludf.DUMMYFUNCTION("iferror(max(index(googlefinance($C14, $A$1, N$1, O$1),0,2)),0)"),181.79)</f>
        <v>181.79</v>
      </c>
      <c r="O14" s="3">
        <f>IFERROR(__xludf.DUMMYFUNCTION("iferror(max(index(googlefinance($C14, $A$1, O$1, P$1),0,2)),0)"),188.3)</f>
        <v>188.3</v>
      </c>
      <c r="P14" s="3">
        <f>IFERROR(__xludf.DUMMYFUNCTION("iferror(max(index(googlefinance($C14, $A$1, P$1, Q$1),0,2)),0)"),0.0)</f>
        <v>0</v>
      </c>
      <c r="Q14" s="3">
        <f>IFERROR(__xludf.DUMMYFUNCTION("iferror(max(index(googlefinance($C14, $A$1, Q$1, R$1),0,2)),0)"),0.0)</f>
        <v>0</v>
      </c>
    </row>
    <row r="15">
      <c r="A15" s="4"/>
      <c r="B15" s="4" t="s">
        <v>27</v>
      </c>
      <c r="C15" s="4" t="s">
        <v>28</v>
      </c>
      <c r="D15" s="3">
        <f>IFERROR(__xludf.DUMMYFUNCTION("iferror(max(index(googlefinance($C15, $A$1, D$1, E$1),0,2)),0)"),21.57)</f>
        <v>21.57</v>
      </c>
      <c r="E15" s="3">
        <f>IFERROR(__xludf.DUMMYFUNCTION("iferror(max(index(googlefinance($C15, $A$1, E$1, F$1),0,2)),0)"),27.74)</f>
        <v>27.74</v>
      </c>
      <c r="F15" s="3">
        <f>IFERROR(__xludf.DUMMYFUNCTION("iferror(max(index(googlefinance($C15, $A$1, F$1, G$1),0,2)),0)"),28.6)</f>
        <v>28.6</v>
      </c>
      <c r="G15" s="3">
        <f>IFERROR(__xludf.DUMMYFUNCTION("iferror(max(index(googlefinance($C15, $A$1, G$1, H$1),0,2)),0)"),53.9)</f>
        <v>53.9</v>
      </c>
      <c r="H15" s="3">
        <f>IFERROR(__xludf.DUMMYFUNCTION("iferror(max(index(googlefinance($C15, $A$1, H$1, I$1),0,2)),0)"),40.9)</f>
        <v>40.9</v>
      </c>
      <c r="I15" s="3">
        <f>IFERROR(__xludf.DUMMYFUNCTION("iferror(max(index(googlefinance($C15, $A$1, I$1, J$1),0,2)),0)"),30.95)</f>
        <v>30.95</v>
      </c>
      <c r="J15" s="3">
        <f>IFERROR(__xludf.DUMMYFUNCTION("iferror(max(index(googlefinance($C15, $A$1, J$1, K$1),0,2)),0)"),28.65)</f>
        <v>28.65</v>
      </c>
      <c r="K15" s="3">
        <f>IFERROR(__xludf.DUMMYFUNCTION("iferror(max(index(googlefinance($C15, $A$1, K$1, L$1),0,2)),0)"),29.39)</f>
        <v>29.39</v>
      </c>
      <c r="L15" s="3">
        <f>IFERROR(__xludf.DUMMYFUNCTION("iferror(max(index(googlefinance($C15, $A$1, L$1, M$1),0,2)),0)"),31.98)</f>
        <v>31.98</v>
      </c>
      <c r="M15" s="3">
        <f>IFERROR(__xludf.DUMMYFUNCTION("iferror(max(index(googlefinance($C15, $A$1, M$1, N$1),0,2)),0)"),33.12)</f>
        <v>33.12</v>
      </c>
      <c r="N15" s="3">
        <f>IFERROR(__xludf.DUMMYFUNCTION("iferror(max(index(googlefinance($C15, $A$1, N$1, O$1),0,2)),0)"),33.33)</f>
        <v>33.33</v>
      </c>
      <c r="O15" s="3">
        <f>IFERROR(__xludf.DUMMYFUNCTION("iferror(max(index(googlefinance($C15, $A$1, O$1, P$1),0,2)),0)"),32.14)</f>
        <v>32.14</v>
      </c>
      <c r="P15" s="3">
        <f>IFERROR(__xludf.DUMMYFUNCTION("iferror(max(index(googlefinance($C15, $A$1, P$1, Q$1),0,2)),0)"),0.0)</f>
        <v>0</v>
      </c>
      <c r="Q15" s="3">
        <f>IFERROR(__xludf.DUMMYFUNCTION("iferror(max(index(googlefinance($C15, $A$1, Q$1, R$1),0,2)),0)"),0.0)</f>
        <v>0</v>
      </c>
    </row>
    <row r="16">
      <c r="A16" s="4"/>
      <c r="B16" s="4" t="s">
        <v>29</v>
      </c>
      <c r="C16" s="4" t="s">
        <v>30</v>
      </c>
      <c r="D16" s="3">
        <f>IFERROR(__xludf.DUMMYFUNCTION("iferror(max(index(googlefinance($C16, $A$1, D$1, E$1),0,2)),0)"),145.64)</f>
        <v>145.64</v>
      </c>
      <c r="E16" s="3">
        <f>IFERROR(__xludf.DUMMYFUNCTION("iferror(max(index(googlefinance($C16, $A$1, E$1, F$1),0,2)),0)"),147.1)</f>
        <v>147.1</v>
      </c>
      <c r="F16" s="3">
        <f>IFERROR(__xludf.DUMMYFUNCTION("iferror(max(index(googlefinance($C16, $A$1, F$1, G$1),0,2)),0)"),143.81)</f>
        <v>143.81</v>
      </c>
      <c r="G16" s="3">
        <f>IFERROR(__xludf.DUMMYFUNCTION("iferror(max(index(googlefinance($C16, $A$1, G$1, H$1),0,2)),0)"),141.88)</f>
        <v>141.88</v>
      </c>
      <c r="H16" s="3">
        <f>IFERROR(__xludf.DUMMYFUNCTION("iferror(max(index(googlefinance($C16, $A$1, H$1, I$1),0,2)),0)"),141.05)</f>
        <v>141.05</v>
      </c>
      <c r="I16" s="3">
        <f>IFERROR(__xludf.DUMMYFUNCTION("iferror(max(index(googlefinance($C16, $A$1, I$1, J$1),0,2)),0)"),145.88)</f>
        <v>145.88</v>
      </c>
      <c r="J16" s="3">
        <f>IFERROR(__xludf.DUMMYFUNCTION("iferror(max(index(googlefinance($C16, $A$1, J$1, K$1),0,2)),0)"),145.39)</f>
        <v>145.39</v>
      </c>
      <c r="K16" s="3">
        <f>IFERROR(__xludf.DUMMYFUNCTION("iferror(max(index(googlefinance($C16, $A$1, K$1, L$1),0,2)),0)"),145.5)</f>
        <v>145.5</v>
      </c>
      <c r="L16" s="3">
        <f>IFERROR(__xludf.DUMMYFUNCTION("iferror(max(index(googlefinance($C16, $A$1, L$1, M$1),0,2)),0)"),139.15)</f>
        <v>139.15</v>
      </c>
      <c r="M16" s="3">
        <f>IFERROR(__xludf.DUMMYFUNCTION("iferror(max(index(googlefinance($C16, $A$1, M$1, N$1),0,2)),0)"),142.2)</f>
        <v>142.2</v>
      </c>
      <c r="N16" s="3">
        <f>IFERROR(__xludf.DUMMYFUNCTION("iferror(max(index(googlefinance($C16, $A$1, N$1, O$1),0,2)),0)"),146.66)</f>
        <v>146.66</v>
      </c>
      <c r="O16" s="3">
        <f>IFERROR(__xludf.DUMMYFUNCTION("iferror(max(index(googlefinance($C16, $A$1, O$1, P$1),0,2)),0)"),142.86)</f>
        <v>142.86</v>
      </c>
      <c r="P16" s="3">
        <f>IFERROR(__xludf.DUMMYFUNCTION("iferror(max(index(googlefinance($C16, $A$1, P$1, Q$1),0,2)),0)"),0.0)</f>
        <v>0</v>
      </c>
      <c r="Q16" s="3">
        <f>IFERROR(__xludf.DUMMYFUNCTION("iferror(max(index(googlefinance($C16, $A$1, Q$1, R$1),0,2)),0)"),0.0)</f>
        <v>0</v>
      </c>
    </row>
    <row r="17">
      <c r="A17" s="4"/>
      <c r="B17" s="4" t="s">
        <v>31</v>
      </c>
      <c r="C17" s="4" t="s">
        <v>32</v>
      </c>
      <c r="D17" s="3">
        <f>IFERROR(__xludf.DUMMYFUNCTION("iferror(max(index(googlefinance($C17, $A$1, D$1, E$1),0,2)),0)"),183.78)</f>
        <v>183.78</v>
      </c>
      <c r="E17" s="3">
        <f>IFERROR(__xludf.DUMMYFUNCTION("iferror(max(index(googlefinance($C17, $A$1, E$1, F$1),0,2)),0)"),182.74)</f>
        <v>182.74</v>
      </c>
      <c r="F17" s="3">
        <f>IFERROR(__xludf.DUMMYFUNCTION("iferror(max(index(googlefinance($C17, $A$1, F$1, G$1),0,2)),0)"),177.49)</f>
        <v>177.49</v>
      </c>
      <c r="G17" s="3">
        <f>IFERROR(__xludf.DUMMYFUNCTION("iferror(max(index(googlefinance($C17, $A$1, G$1, H$1),0,2)),0)"),171.02)</f>
        <v>171.02</v>
      </c>
      <c r="H17" s="3">
        <f>IFERROR(__xludf.DUMMYFUNCTION("iferror(max(index(googlefinance($C17, $A$1, H$1, I$1),0,2)),0)"),168.49)</f>
        <v>168.49</v>
      </c>
      <c r="I17" s="3">
        <f>IFERROR(__xludf.DUMMYFUNCTION("iferror(max(index(googlefinance($C17, $A$1, I$1, J$1),0,2)),0)"),178.31)</f>
        <v>178.31</v>
      </c>
      <c r="J17" s="3">
        <f>IFERROR(__xludf.DUMMYFUNCTION("iferror(max(index(googlefinance($C17, $A$1, J$1, K$1),0,2)),0)"),179.29)</f>
        <v>179.29</v>
      </c>
      <c r="K17" s="3">
        <f>IFERROR(__xludf.DUMMYFUNCTION("iferror(max(index(googlefinance($C17, $A$1, K$1, L$1),0,2)),0)"),180.25)</f>
        <v>180.25</v>
      </c>
      <c r="L17" s="3">
        <f>IFERROR(__xludf.DUMMYFUNCTION("iferror(max(index(googlefinance($C17, $A$1, L$1, M$1),0,2)),0)"),178.22)</f>
        <v>178.22</v>
      </c>
      <c r="M17" s="3">
        <f>IFERROR(__xludf.DUMMYFUNCTION("iferror(max(index(googlefinance($C17, $A$1, M$1, N$1),0,2)),0)"),180.21)</f>
        <v>180.21</v>
      </c>
      <c r="N17" s="3">
        <f>IFERROR(__xludf.DUMMYFUNCTION("iferror(max(index(googlefinance($C17, $A$1, N$1, O$1),0,2)),0)"),180.11)</f>
        <v>180.11</v>
      </c>
      <c r="O17" s="3">
        <f>IFERROR(__xludf.DUMMYFUNCTION("iferror(max(index(googlefinance($C17, $A$1, O$1, P$1),0,2)),0)"),170.27)</f>
        <v>170.27</v>
      </c>
      <c r="P17" s="3">
        <f>IFERROR(__xludf.DUMMYFUNCTION("iferror(max(index(googlefinance($C17, $A$1, P$1, Q$1),0,2)),0)"),0.0)</f>
        <v>0</v>
      </c>
      <c r="Q17" s="3">
        <f>IFERROR(__xludf.DUMMYFUNCTION("iferror(max(index(googlefinance($C17, $A$1, Q$1, R$1),0,2)),0)"),0.0)</f>
        <v>0</v>
      </c>
    </row>
    <row r="18">
      <c r="A18" s="4"/>
      <c r="B18" s="4" t="s">
        <v>33</v>
      </c>
      <c r="C18" s="4" t="s">
        <v>34</v>
      </c>
      <c r="D18" s="3">
        <f>IFERROR(__xludf.DUMMYFUNCTION("iferror(max(index(googlefinance($C18, $A$1, D$1, E$1),0,2)),0)"),44.37)</f>
        <v>44.37</v>
      </c>
      <c r="E18" s="3">
        <f>IFERROR(__xludf.DUMMYFUNCTION("iferror(max(index(googlefinance($C18, $A$1, E$1, F$1),0,2)),0)"),71.0)</f>
        <v>71</v>
      </c>
      <c r="F18" s="3">
        <f>IFERROR(__xludf.DUMMYFUNCTION("iferror(max(index(googlefinance($C18, $A$1, F$1, G$1),0,2)),0)"),58.75)</f>
        <v>58.75</v>
      </c>
      <c r="G18" s="3">
        <f>IFERROR(__xludf.DUMMYFUNCTION("iferror(max(index(googlefinance($C18, $A$1, G$1, H$1),0,2)),0)"),61.25)</f>
        <v>61.25</v>
      </c>
      <c r="H18" s="3">
        <f>IFERROR(__xludf.DUMMYFUNCTION("iferror(max(index(googlefinance($C18, $A$1, H$1, I$1),0,2)),0)"),59.0)</f>
        <v>59</v>
      </c>
      <c r="I18" s="3">
        <f>IFERROR(__xludf.DUMMYFUNCTION("iferror(max(index(googlefinance($C18, $A$1, I$1, J$1),0,2)),0)"),58.8)</f>
        <v>58.8</v>
      </c>
      <c r="J18" s="3">
        <f>IFERROR(__xludf.DUMMYFUNCTION("iferror(max(index(googlefinance($C18, $A$1, J$1, K$1),0,2)),0)"),55.4)</f>
        <v>55.4</v>
      </c>
      <c r="K18" s="3">
        <f>IFERROR(__xludf.DUMMYFUNCTION("iferror(max(index(googlefinance($C18, $A$1, K$1, L$1),0,2)),0)"),52.07)</f>
        <v>52.07</v>
      </c>
      <c r="L18" s="3">
        <f>IFERROR(__xludf.DUMMYFUNCTION("iferror(max(index(googlefinance($C18, $A$1, L$1, M$1),0,2)),0)"),49.8)</f>
        <v>49.8</v>
      </c>
      <c r="M18" s="3">
        <f>IFERROR(__xludf.DUMMYFUNCTION("iferror(max(index(googlefinance($C18, $A$1, M$1, N$1),0,2)),0)"),46.88)</f>
        <v>46.88</v>
      </c>
      <c r="N18" s="3">
        <f>IFERROR(__xludf.DUMMYFUNCTION("iferror(max(index(googlefinance($C18, $A$1, N$1, O$1),0,2)),0)"),49.4)</f>
        <v>49.4</v>
      </c>
      <c r="O18" s="3">
        <f>IFERROR(__xludf.DUMMYFUNCTION("iferror(max(index(googlefinance($C18, $A$1, O$1, P$1),0,2)),0)"),48.6)</f>
        <v>48.6</v>
      </c>
      <c r="P18" s="3">
        <f>IFERROR(__xludf.DUMMYFUNCTION("iferror(max(index(googlefinance($C18, $A$1, P$1, Q$1),0,2)),0)"),0.0)</f>
        <v>0</v>
      </c>
      <c r="Q18" s="3">
        <f>IFERROR(__xludf.DUMMYFUNCTION("iferror(max(index(googlefinance($C18, $A$1, Q$1, R$1),0,2)),0)"),0.0)</f>
        <v>0</v>
      </c>
    </row>
    <row r="19">
      <c r="A19" s="4"/>
      <c r="B19" s="4" t="s">
        <v>35</v>
      </c>
      <c r="C19" s="4" t="s">
        <v>36</v>
      </c>
      <c r="D19" s="3">
        <f>IFERROR(__xludf.DUMMYFUNCTION("iferror(max(index(googlefinance($C19, $A$1, D$1, E$1),0,2)),0)"),155.81)</f>
        <v>155.81</v>
      </c>
      <c r="E19" s="3">
        <f>IFERROR(__xludf.DUMMYFUNCTION("iferror(max(index(googlefinance($C19, $A$1, E$1, F$1),0,2)),0)"),154.21)</f>
        <v>154.21</v>
      </c>
      <c r="F19" s="3">
        <f>IFERROR(__xludf.DUMMYFUNCTION("iferror(max(index(googlefinance($C19, $A$1, F$1, G$1),0,2)),0)"),152.71)</f>
        <v>152.71</v>
      </c>
      <c r="G19" s="3">
        <f>IFERROR(__xludf.DUMMYFUNCTION("iferror(max(index(googlefinance($C19, $A$1, G$1, H$1),0,2)),0)"),148.59)</f>
        <v>148.59</v>
      </c>
      <c r="H19" s="3">
        <f>IFERROR(__xludf.DUMMYFUNCTION("iferror(max(index(googlefinance($C19, $A$1, H$1, I$1),0,2)),0)"),148.88)</f>
        <v>148.88</v>
      </c>
      <c r="I19" s="3">
        <f>IFERROR(__xludf.DUMMYFUNCTION("iferror(max(index(googlefinance($C19, $A$1, I$1, J$1),0,2)),0)"),163.37)</f>
        <v>163.37</v>
      </c>
      <c r="J19" s="3">
        <f>IFERROR(__xludf.DUMMYFUNCTION("iferror(max(index(googlefinance($C19, $A$1, J$1, K$1),0,2)),0)"),161.31)</f>
        <v>161.31</v>
      </c>
      <c r="K19" s="3">
        <f>IFERROR(__xludf.DUMMYFUNCTION("iferror(max(index(googlefinance($C19, $A$1, K$1, L$1),0,2)),0)"),154.21)</f>
        <v>154.21</v>
      </c>
      <c r="L19" s="3">
        <f>IFERROR(__xludf.DUMMYFUNCTION("iferror(max(index(googlefinance($C19, $A$1, L$1, M$1),0,2)),0)"),150.33)</f>
        <v>150.33</v>
      </c>
      <c r="M19" s="3">
        <f>IFERROR(__xludf.DUMMYFUNCTION("iferror(max(index(googlefinance($C19, $A$1, M$1, N$1),0,2)),0)"),152.45)</f>
        <v>152.45</v>
      </c>
      <c r="N19" s="3">
        <f>IFERROR(__xludf.DUMMYFUNCTION("iferror(max(index(googlefinance($C19, $A$1, N$1, O$1),0,2)),0)"),159.55)</f>
        <v>159.55</v>
      </c>
      <c r="O19" s="3">
        <f>IFERROR(__xludf.DUMMYFUNCTION("iferror(max(index(googlefinance($C19, $A$1, O$1, P$1),0,2)),0)"),158.87)</f>
        <v>158.87</v>
      </c>
      <c r="P19" s="3">
        <f>IFERROR(__xludf.DUMMYFUNCTION("iferror(max(index(googlefinance($C19, $A$1, P$1, Q$1),0,2)),0)"),0.0)</f>
        <v>0</v>
      </c>
      <c r="Q19" s="3">
        <f>IFERROR(__xludf.DUMMYFUNCTION("iferror(max(index(googlefinance($C19, $A$1, Q$1, R$1),0,2)),0)"),0.0)</f>
        <v>0</v>
      </c>
    </row>
    <row r="20">
      <c r="A20" s="4"/>
      <c r="B20" s="4" t="s">
        <v>37</v>
      </c>
      <c r="C20" s="4" t="s">
        <v>38</v>
      </c>
      <c r="D20" s="3">
        <f>IFERROR(__xludf.DUMMYFUNCTION("iferror(max(index(googlefinance($C20, $A$1, D$1, E$1),0,2)),0)"),275.0)</f>
        <v>275</v>
      </c>
      <c r="E20" s="3">
        <f>IFERROR(__xludf.DUMMYFUNCTION("iferror(max(index(googlefinance($C20, $A$1, E$1, F$1),0,2)),0)"),268.95)</f>
        <v>268.95</v>
      </c>
      <c r="F20" s="3">
        <f>IFERROR(__xludf.DUMMYFUNCTION("iferror(max(index(googlefinance($C20, $A$1, F$1, G$1),0,2)),0)"),273.6)</f>
        <v>273.6</v>
      </c>
      <c r="G20" s="3">
        <f>IFERROR(__xludf.DUMMYFUNCTION("iferror(max(index(googlefinance($C20, $A$1, G$1, H$1),0,2)),0)"),286.79)</f>
        <v>286.79</v>
      </c>
      <c r="H20" s="3">
        <f>IFERROR(__xludf.DUMMYFUNCTION("iferror(max(index(googlefinance($C20, $A$1, H$1, I$1),0,2)),0)"),269.2)</f>
        <v>269.2</v>
      </c>
      <c r="I20" s="3">
        <f>IFERROR(__xludf.DUMMYFUNCTION("iferror(max(index(googlefinance($C20, $A$1, I$1, J$1),0,2)),0)"),273.8)</f>
        <v>273.8</v>
      </c>
      <c r="J20" s="3">
        <f>IFERROR(__xludf.DUMMYFUNCTION("iferror(max(index(googlefinance($C20, $A$1, J$1, K$1),0,2)),0)"),276.6)</f>
        <v>276.6</v>
      </c>
      <c r="K20" s="3">
        <f>IFERROR(__xludf.DUMMYFUNCTION("iferror(max(index(googlefinance($C20, $A$1, K$1, L$1),0,2)),0)"),270.27)</f>
        <v>270.27</v>
      </c>
      <c r="L20" s="3">
        <f>IFERROR(__xludf.DUMMYFUNCTION("iferror(max(index(googlefinance($C20, $A$1, L$1, M$1),0,2)),0)"),266.71)</f>
        <v>266.71</v>
      </c>
      <c r="M20" s="3">
        <f>IFERROR(__xludf.DUMMYFUNCTION("iferror(max(index(googlefinance($C20, $A$1, M$1, N$1),0,2)),0)"),277.9)</f>
        <v>277.9</v>
      </c>
      <c r="N20" s="3">
        <f>IFERROR(__xludf.DUMMYFUNCTION("iferror(max(index(googlefinance($C20, $A$1, N$1, O$1),0,2)),0)"),286.23)</f>
        <v>286.23</v>
      </c>
      <c r="O20" s="3">
        <f>IFERROR(__xludf.DUMMYFUNCTION("iferror(max(index(googlefinance($C20, $A$1, O$1, P$1),0,2)),0)"),292.8)</f>
        <v>292.8</v>
      </c>
      <c r="P20" s="3">
        <f>IFERROR(__xludf.DUMMYFUNCTION("iferror(max(index(googlefinance($C20, $A$1, P$1, Q$1),0,2)),0)"),0.0)</f>
        <v>0</v>
      </c>
      <c r="Q20" s="3">
        <f>IFERROR(__xludf.DUMMYFUNCTION("iferror(max(index(googlefinance($C20, $A$1, Q$1, R$1),0,2)),0)"),0.0)</f>
        <v>0</v>
      </c>
    </row>
    <row r="21">
      <c r="A21" s="4"/>
      <c r="B21" s="4" t="s">
        <v>39</v>
      </c>
      <c r="C21" s="4" t="s">
        <v>40</v>
      </c>
      <c r="D21" s="3">
        <f>IFERROR(__xludf.DUMMYFUNCTION("iferror(max(index(googlefinance($C21, $A$1, D$1, E$1),0,2)),0)"),56.25)</f>
        <v>56.25</v>
      </c>
      <c r="E21" s="3">
        <f>IFERROR(__xludf.DUMMYFUNCTION("iferror(max(index(googlefinance($C21, $A$1, E$1, F$1),0,2)),0)"),60.03)</f>
        <v>60.03</v>
      </c>
      <c r="F21" s="3">
        <f>IFERROR(__xludf.DUMMYFUNCTION("iferror(max(index(googlefinance($C21, $A$1, F$1, G$1),0,2)),0)"),57.98)</f>
        <v>57.98</v>
      </c>
      <c r="G21" s="3">
        <f>IFERROR(__xludf.DUMMYFUNCTION("iferror(max(index(googlefinance($C21, $A$1, G$1, H$1),0,2)),0)"),55.52)</f>
        <v>55.52</v>
      </c>
      <c r="H21" s="3">
        <f>IFERROR(__xludf.DUMMYFUNCTION("iferror(max(index(googlefinance($C21, $A$1, H$1, I$1),0,2)),0)"),58.13)</f>
        <v>58.13</v>
      </c>
      <c r="I21" s="3">
        <f>IFERROR(__xludf.DUMMYFUNCTION("iferror(max(index(googlefinance($C21, $A$1, I$1, J$1),0,2)),0)"),64.05)</f>
        <v>64.05</v>
      </c>
      <c r="J21" s="3">
        <f>IFERROR(__xludf.DUMMYFUNCTION("iferror(max(index(googlefinance($C21, $A$1, J$1, K$1),0,2)),0)"),61.31)</f>
        <v>61.31</v>
      </c>
      <c r="K21" s="3">
        <f>IFERROR(__xludf.DUMMYFUNCTION("iferror(max(index(googlefinance($C21, $A$1, K$1, L$1),0,2)),0)"),60.46)</f>
        <v>60.46</v>
      </c>
      <c r="L21" s="3">
        <f>IFERROR(__xludf.DUMMYFUNCTION("iferror(max(index(googlefinance($C21, $A$1, L$1, M$1),0,2)),0)"),57.8)</f>
        <v>57.8</v>
      </c>
      <c r="M21" s="3">
        <f>IFERROR(__xludf.DUMMYFUNCTION("iferror(max(index(googlefinance($C21, $A$1, M$1, N$1),0,2)),0)"),59.48)</f>
        <v>59.48</v>
      </c>
      <c r="N21" s="3">
        <f>IFERROR(__xludf.DUMMYFUNCTION("iferror(max(index(googlefinance($C21, $A$1, N$1, O$1),0,2)),0)"),61.02)</f>
        <v>61.02</v>
      </c>
      <c r="O21" s="3">
        <f>IFERROR(__xludf.DUMMYFUNCTION("iferror(max(index(googlefinance($C21, $A$1, O$1, P$1),0,2)),0)"),57.18)</f>
        <v>57.18</v>
      </c>
      <c r="P21" s="3">
        <f>IFERROR(__xludf.DUMMYFUNCTION("iferror(max(index(googlefinance($C21, $A$1, P$1, Q$1),0,2)),0)"),0.0)</f>
        <v>0</v>
      </c>
      <c r="Q21" s="3">
        <f>IFERROR(__xludf.DUMMYFUNCTION("iferror(max(index(googlefinance($C21, $A$1, Q$1, R$1),0,2)),0)"),0.0)</f>
        <v>0</v>
      </c>
    </row>
    <row r="22">
      <c r="A22" s="4"/>
      <c r="B22" s="4" t="s">
        <v>41</v>
      </c>
      <c r="C22" s="4" t="s">
        <v>42</v>
      </c>
      <c r="D22" s="3">
        <f>IFERROR(__xludf.DUMMYFUNCTION("iferror(max(index(googlefinance($C22, $A$1, D$1, E$1),0,2)),0)"),3272.0)</f>
        <v>3272</v>
      </c>
      <c r="E22" s="3">
        <f>IFERROR(__xludf.DUMMYFUNCTION("iferror(max(index(googlefinance($C22, $A$1, E$1, F$1),0,2)),0)"),3190.64)</f>
        <v>3190.64</v>
      </c>
      <c r="F22" s="3">
        <f>IFERROR(__xludf.DUMMYFUNCTION("iferror(max(index(googlefinance($C22, $A$1, F$1, G$1),0,2)),0)"),3348.55)</f>
        <v>3348.55</v>
      </c>
      <c r="G22" s="3">
        <f>IFERROR(__xludf.DUMMYFUNCTION("iferror(max(index(googlefinance($C22, $A$1, G$1, H$1),0,2)),0)"),3363.89)</f>
        <v>3363.89</v>
      </c>
      <c r="H22" s="3">
        <f>IFERROR(__xludf.DUMMYFUNCTION("iferror(max(index(googlefinance($C22, $A$1, H$1, I$1),0,2)),0)"),3434.0)</f>
        <v>3434</v>
      </c>
      <c r="I22" s="3">
        <f>IFERROR(__xludf.DUMMYFUNCTION("iferror(max(index(googlefinance($C22, $A$1, I$1, J$1),0,2)),0)"),3377.0)</f>
        <v>3377</v>
      </c>
      <c r="J22" s="3">
        <f>IFERROR(__xludf.DUMMYFUNCTION("iferror(max(index(googlefinance($C22, $A$1, J$1, K$1),0,2)),0)"),3338.0)</f>
        <v>3338</v>
      </c>
      <c r="K22" s="3">
        <f>IFERROR(__xludf.DUMMYFUNCTION("iferror(max(index(googlefinance($C22, $A$1, K$1, L$1),0,2)),0)"),3333.5)</f>
        <v>3333.5</v>
      </c>
      <c r="L22" s="3">
        <f>IFERROR(__xludf.DUMMYFUNCTION("iferror(max(index(googlefinance($C22, $A$1, L$1, M$1),0,2)),0)"),3163.52)</f>
        <v>3163.52</v>
      </c>
      <c r="M22" s="3">
        <f>IFERROR(__xludf.DUMMYFUNCTION("iferror(max(index(googlefinance($C22, $A$1, M$1, N$1),0,2)),0)"),3131.78)</f>
        <v>3131.78</v>
      </c>
      <c r="N22" s="3">
        <f>IFERROR(__xludf.DUMMYFUNCTION("iferror(max(index(googlefinance($C22, $A$1, N$1, O$1),0,2)),0)"),3173.05)</f>
        <v>3173.05</v>
      </c>
      <c r="O22" s="3">
        <f>IFERROR(__xludf.DUMMYFUNCTION("iferror(max(index(googlefinance($C22, $A$1, O$1, P$1),0,2)),0)"),3077.29)</f>
        <v>3077.29</v>
      </c>
      <c r="P22" s="3">
        <f>IFERROR(__xludf.DUMMYFUNCTION("iferror(max(index(googlefinance($C22, $A$1, P$1, Q$1),0,2)),0)"),0.0)</f>
        <v>0</v>
      </c>
      <c r="Q22" s="3">
        <f>IFERROR(__xludf.DUMMYFUNCTION("iferror(max(index(googlefinance($C22, $A$1, Q$1, R$1),0,2)),0)"),0.0)</f>
        <v>0</v>
      </c>
    </row>
    <row r="23">
      <c r="A23" s="4"/>
      <c r="B23" s="4" t="s">
        <v>43</v>
      </c>
      <c r="C23" s="4" t="s">
        <v>44</v>
      </c>
      <c r="D23" s="3">
        <f>IFERROR(__xludf.DUMMYFUNCTION("iferror(max(index(googlefinance($C23, $A$1, D$1, E$1),0,2)),0)"),9.39)</f>
        <v>9.39</v>
      </c>
      <c r="E23" s="3">
        <f>IFERROR(__xludf.DUMMYFUNCTION("iferror(max(index(googlefinance($C23, $A$1, E$1, F$1),0,2)),0)"),9.7)</f>
        <v>9.7</v>
      </c>
      <c r="F23" s="3">
        <f>IFERROR(__xludf.DUMMYFUNCTION("iferror(max(index(googlefinance($C23, $A$1, F$1, G$1),0,2)),0)"),10.48)</f>
        <v>10.48</v>
      </c>
      <c r="G23" s="3">
        <f>IFERROR(__xludf.DUMMYFUNCTION("iferror(max(index(googlefinance($C23, $A$1, G$1, H$1),0,2)),0)"),8.99)</f>
        <v>8.99</v>
      </c>
      <c r="H23" s="3">
        <f>IFERROR(__xludf.DUMMYFUNCTION("iferror(max(index(googlefinance($C23, $A$1, H$1, I$1),0,2)),0)"),9.9)</f>
        <v>9.9</v>
      </c>
      <c r="I23" s="3">
        <f>IFERROR(__xludf.DUMMYFUNCTION("iferror(max(index(googlefinance($C23, $A$1, I$1, J$1),0,2)),0)"),15.0)</f>
        <v>15</v>
      </c>
      <c r="J23" s="3">
        <f>IFERROR(__xludf.DUMMYFUNCTION("iferror(max(index(googlefinance($C23, $A$1, J$1, K$1),0,2)),0)"),12.13)</f>
        <v>12.13</v>
      </c>
      <c r="K23" s="3">
        <f>IFERROR(__xludf.DUMMYFUNCTION("iferror(max(index(googlefinance($C23, $A$1, K$1, L$1),0,2)),0)"),11.78)</f>
        <v>11.78</v>
      </c>
      <c r="L23" s="3">
        <f>IFERROR(__xludf.DUMMYFUNCTION("iferror(max(index(googlefinance($C23, $A$1, L$1, M$1),0,2)),0)"),10.24)</f>
        <v>10.24</v>
      </c>
      <c r="M23" s="3">
        <f>IFERROR(__xludf.DUMMYFUNCTION("iferror(max(index(googlefinance($C23, $A$1, M$1, N$1),0,2)),0)"),9.16)</f>
        <v>9.16</v>
      </c>
      <c r="N23" s="3">
        <f>IFERROR(__xludf.DUMMYFUNCTION("iferror(max(index(googlefinance($C23, $A$1, N$1, O$1),0,2)),0)"),9.37)</f>
        <v>9.37</v>
      </c>
      <c r="O23" s="3">
        <f>IFERROR(__xludf.DUMMYFUNCTION("iferror(max(index(googlefinance($C23, $A$1, O$1, P$1),0,2)),0)"),9.19)</f>
        <v>9.19</v>
      </c>
      <c r="P23" s="3">
        <f>IFERROR(__xludf.DUMMYFUNCTION("iferror(max(index(googlefinance($C23, $A$1, P$1, Q$1),0,2)),0)"),0.0)</f>
        <v>0</v>
      </c>
      <c r="Q23" s="3">
        <f>IFERROR(__xludf.DUMMYFUNCTION("iferror(max(index(googlefinance($C23, $A$1, Q$1, R$1),0,2)),0)"),0.0)</f>
        <v>0</v>
      </c>
    </row>
    <row r="24">
      <c r="A24" s="4"/>
      <c r="B24" s="4" t="s">
        <v>45</v>
      </c>
      <c r="C24" s="4" t="s">
        <v>46</v>
      </c>
      <c r="D24" s="3">
        <f>IFERROR(__xludf.DUMMYFUNCTION("iferror(max(index(googlefinance($C24, $A$1, D$1, E$1),0,2)),0)"),22.85)</f>
        <v>22.85</v>
      </c>
      <c r="E24" s="3">
        <f>IFERROR(__xludf.DUMMYFUNCTION("iferror(max(index(googlefinance($C24, $A$1, E$1, F$1),0,2)),0)"),25.1)</f>
        <v>25.1</v>
      </c>
      <c r="F24" s="3">
        <f>IFERROR(__xludf.DUMMYFUNCTION("iferror(max(index(googlefinance($C24, $A$1, F$1, G$1),0,2)),0)"),24.17)</f>
        <v>24.17</v>
      </c>
      <c r="G24" s="3">
        <f>IFERROR(__xludf.DUMMYFUNCTION("iferror(max(index(googlefinance($C24, $A$1, G$1, H$1),0,2)),0)"),20.87)</f>
        <v>20.87</v>
      </c>
      <c r="H24" s="3">
        <f>IFERROR(__xludf.DUMMYFUNCTION("iferror(max(index(googlefinance($C24, $A$1, H$1, I$1),0,2)),0)"),20.29)</f>
        <v>20.29</v>
      </c>
      <c r="I24" s="3">
        <f>IFERROR(__xludf.DUMMYFUNCTION("iferror(max(index(googlefinance($C24, $A$1, I$1, J$1),0,2)),0)"),20.1)</f>
        <v>20.1</v>
      </c>
      <c r="J24" s="3">
        <f>IFERROR(__xludf.DUMMYFUNCTION("iferror(max(index(googlefinance($C24, $A$1, J$1, K$1),0,2)),0)"),19.15)</f>
        <v>19.15</v>
      </c>
      <c r="K24" s="3">
        <f>IFERROR(__xludf.DUMMYFUNCTION("iferror(max(index(googlefinance($C24, $A$1, K$1, L$1),0,2)),0)"),19.67)</f>
        <v>19.67</v>
      </c>
      <c r="L24" s="3">
        <f>IFERROR(__xludf.DUMMYFUNCTION("iferror(max(index(googlefinance($C24, $A$1, L$1, M$1),0,2)),0)"),17.69)</f>
        <v>17.69</v>
      </c>
      <c r="M24" s="3">
        <f>IFERROR(__xludf.DUMMYFUNCTION("iferror(max(index(googlefinance($C24, $A$1, M$1, N$1),0,2)),0)"),16.3)</f>
        <v>16.3</v>
      </c>
      <c r="N24" s="3">
        <f>IFERROR(__xludf.DUMMYFUNCTION("iferror(max(index(googlefinance($C24, $A$1, N$1, O$1),0,2)),0)"),16.76)</f>
        <v>16.76</v>
      </c>
      <c r="O24" s="3">
        <f>IFERROR(__xludf.DUMMYFUNCTION("iferror(max(index(googlefinance($C24, $A$1, O$1, P$1),0,2)),0)"),15.08)</f>
        <v>15.08</v>
      </c>
      <c r="P24" s="3">
        <f>IFERROR(__xludf.DUMMYFUNCTION("iferror(max(index(googlefinance($C24, $A$1, P$1, Q$1),0,2)),0)"),0.0)</f>
        <v>0</v>
      </c>
      <c r="Q24" s="3">
        <f>IFERROR(__xludf.DUMMYFUNCTION("iferror(max(index(googlefinance($C24, $A$1, Q$1, R$1),0,2)),0)"),0.0)</f>
        <v>0</v>
      </c>
    </row>
    <row r="25">
      <c r="A25" s="4"/>
      <c r="B25" s="4" t="s">
        <v>47</v>
      </c>
      <c r="C25" s="4" t="s">
        <v>48</v>
      </c>
      <c r="D25" s="3">
        <f>IFERROR(__xludf.DUMMYFUNCTION("iferror(max(index(googlefinance($C25, $A$1, D$1, E$1),0,2)),0)"),59.61)</f>
        <v>59.61</v>
      </c>
      <c r="E25" s="3">
        <f>IFERROR(__xludf.DUMMYFUNCTION("iferror(max(index(googlefinance($C25, $A$1, E$1, F$1),0,2)),0)"),58.9)</f>
        <v>58.9</v>
      </c>
      <c r="F25" s="3">
        <f>IFERROR(__xludf.DUMMYFUNCTION("iferror(max(index(googlefinance($C25, $A$1, F$1, G$1),0,2)),0)"),59.46)</f>
        <v>59.46</v>
      </c>
      <c r="G25" s="3">
        <f>IFERROR(__xludf.DUMMYFUNCTION("iferror(max(index(googlefinance($C25, $A$1, G$1, H$1),0,2)),0)"),56.41)</f>
        <v>56.41</v>
      </c>
      <c r="H25" s="3">
        <f>IFERROR(__xludf.DUMMYFUNCTION("iferror(max(index(googlefinance($C25, $A$1, H$1, I$1),0,2)),0)"),55.74)</f>
        <v>55.74</v>
      </c>
      <c r="I25" s="3">
        <f>IFERROR(__xludf.DUMMYFUNCTION("iferror(max(index(googlefinance($C25, $A$1, I$1, J$1),0,2)),0)"),57.89)</f>
        <v>57.89</v>
      </c>
      <c r="J25" s="3">
        <f>IFERROR(__xludf.DUMMYFUNCTION("iferror(max(index(googlefinance($C25, $A$1, J$1, K$1),0,2)),0)"),58.25)</f>
        <v>58.25</v>
      </c>
      <c r="K25" s="3">
        <f>IFERROR(__xludf.DUMMYFUNCTION("iferror(max(index(googlefinance($C25, $A$1, K$1, L$1),0,2)),0)"),61.1)</f>
        <v>61.1</v>
      </c>
      <c r="L25" s="3">
        <f>IFERROR(__xludf.DUMMYFUNCTION("iferror(max(index(googlefinance($C25, $A$1, L$1, M$1),0,2)),0)"),60.85)</f>
        <v>60.85</v>
      </c>
      <c r="M25" s="3">
        <f>IFERROR(__xludf.DUMMYFUNCTION("iferror(max(index(googlefinance($C25, $A$1, M$1, N$1),0,2)),0)"),62.79)</f>
        <v>62.79</v>
      </c>
      <c r="N25" s="3">
        <f>IFERROR(__xludf.DUMMYFUNCTION("iferror(max(index(googlefinance($C25, $A$1, N$1, O$1),0,2)),0)"),64.73)</f>
        <v>64.73</v>
      </c>
      <c r="O25" s="3">
        <f>IFERROR(__xludf.DUMMYFUNCTION("iferror(max(index(googlefinance($C25, $A$1, O$1, P$1),0,2)),0)"),64.25)</f>
        <v>64.25</v>
      </c>
      <c r="P25" s="3">
        <f>IFERROR(__xludf.DUMMYFUNCTION("iferror(max(index(googlefinance($C25, $A$1, P$1, Q$1),0,2)),0)"),0.0)</f>
        <v>0</v>
      </c>
      <c r="Q25" s="3">
        <f>IFERROR(__xludf.DUMMYFUNCTION("iferror(max(index(googlefinance($C25, $A$1, Q$1, R$1),0,2)),0)"),0.0)</f>
        <v>0</v>
      </c>
    </row>
    <row r="26">
      <c r="A26" s="4"/>
      <c r="B26" s="4" t="s">
        <v>49</v>
      </c>
      <c r="C26" s="4" t="s">
        <v>50</v>
      </c>
      <c r="D26" s="3">
        <f>IFERROR(__xludf.DUMMYFUNCTION("iferror(max(index(googlefinance($C26, $A$1, D$1, E$1),0,2)),0)"),55.49)</f>
        <v>55.49</v>
      </c>
      <c r="E26" s="3">
        <f>IFERROR(__xludf.DUMMYFUNCTION("iferror(max(index(googlefinance($C26, $A$1, E$1, F$1),0,2)),0)"),52.7)</f>
        <v>52.7</v>
      </c>
      <c r="F26" s="3">
        <f>IFERROR(__xludf.DUMMYFUNCTION("iferror(max(index(googlefinance($C26, $A$1, F$1, G$1),0,2)),0)"),48.02)</f>
        <v>48.02</v>
      </c>
      <c r="G26" s="3">
        <f>IFERROR(__xludf.DUMMYFUNCTION("iferror(max(index(googlefinance($C26, $A$1, G$1, H$1),0,2)),0)"),52.25)</f>
        <v>52.25</v>
      </c>
      <c r="H26" s="3">
        <f>IFERROR(__xludf.DUMMYFUNCTION("iferror(max(index(googlefinance($C26, $A$1, H$1, I$1),0,2)),0)"),56.52)</f>
        <v>56.52</v>
      </c>
      <c r="I26" s="3">
        <f>IFERROR(__xludf.DUMMYFUNCTION("iferror(max(index(googlefinance($C26, $A$1, I$1, J$1),0,2)),0)"),69.25)</f>
        <v>69.25</v>
      </c>
      <c r="J26" s="3">
        <f>IFERROR(__xludf.DUMMYFUNCTION("iferror(max(index(googlefinance($C26, $A$1, J$1, K$1),0,2)),0)"),74.84)</f>
        <v>74.84</v>
      </c>
      <c r="K26" s="3">
        <f>IFERROR(__xludf.DUMMYFUNCTION("iferror(max(index(googlefinance($C26, $A$1, K$1, L$1),0,2)),0)"),80.75)</f>
        <v>80.75</v>
      </c>
      <c r="L26" s="3">
        <f>IFERROR(__xludf.DUMMYFUNCTION("iferror(max(index(googlefinance($C26, $A$1, L$1, M$1),0,2)),0)"),79.08)</f>
        <v>79.08</v>
      </c>
      <c r="M26" s="3">
        <f>IFERROR(__xludf.DUMMYFUNCTION("iferror(max(index(googlefinance($C26, $A$1, M$1, N$1),0,2)),0)"),69.46)</f>
        <v>69.46</v>
      </c>
      <c r="N26" s="3">
        <f>IFERROR(__xludf.DUMMYFUNCTION("iferror(max(index(googlefinance($C26, $A$1, N$1, O$1),0,2)),0)"),71.86)</f>
        <v>71.86</v>
      </c>
      <c r="O26" s="3">
        <f>IFERROR(__xludf.DUMMYFUNCTION("iferror(max(index(googlefinance($C26, $A$1, O$1, P$1),0,2)),0)"),67.11)</f>
        <v>67.11</v>
      </c>
      <c r="P26" s="3">
        <f>IFERROR(__xludf.DUMMYFUNCTION("iferror(max(index(googlefinance($C26, $A$1, P$1, Q$1),0,2)),0)"),0.0)</f>
        <v>0</v>
      </c>
      <c r="Q26" s="3">
        <f>IFERROR(__xludf.DUMMYFUNCTION("iferror(max(index(googlefinance($C26, $A$1, Q$1, R$1),0,2)),0)"),0.0)</f>
        <v>0</v>
      </c>
    </row>
    <row r="27">
      <c r="A27" s="4"/>
      <c r="B27" s="4" t="s">
        <v>51</v>
      </c>
      <c r="C27" s="4" t="s">
        <v>52</v>
      </c>
      <c r="D27" s="3">
        <f>IFERROR(__xludf.DUMMYFUNCTION("iferror(max(index(googlefinance($C27, $A$1, D$1, E$1),0,2)),0)"),87.52)</f>
        <v>87.52</v>
      </c>
      <c r="E27" s="3">
        <f>IFERROR(__xludf.DUMMYFUNCTION("iferror(max(index(googlefinance($C27, $A$1, E$1, F$1),0,2)),0)"),92.7)</f>
        <v>92.7</v>
      </c>
      <c r="F27" s="3">
        <f>IFERROR(__xludf.DUMMYFUNCTION("iferror(max(index(googlefinance($C27, $A$1, F$1, G$1),0,2)),0)"),106.9)</f>
        <v>106.9</v>
      </c>
      <c r="G27" s="3">
        <f>IFERROR(__xludf.DUMMYFUNCTION("iferror(max(index(googlefinance($C27, $A$1, G$1, H$1),0,2)),0)"),122.75)</f>
        <v>122.75</v>
      </c>
      <c r="H27" s="3">
        <f>IFERROR(__xludf.DUMMYFUNCTION("iferror(max(index(googlefinance($C27, $A$1, H$1, I$1),0,2)),0)"),113.84)</f>
        <v>113.84</v>
      </c>
      <c r="I27" s="3">
        <f>IFERROR(__xludf.DUMMYFUNCTION("iferror(max(index(googlefinance($C27, $A$1, I$1, J$1),0,2)),0)"),119.95)</f>
        <v>119.95</v>
      </c>
      <c r="J27" s="3">
        <f>IFERROR(__xludf.DUMMYFUNCTION("iferror(max(index(googlefinance($C27, $A$1, J$1, K$1),0,2)),0)"),105.5)</f>
        <v>105.5</v>
      </c>
      <c r="K27" s="3">
        <f>IFERROR(__xludf.DUMMYFUNCTION("iferror(max(index(googlefinance($C27, $A$1, K$1, L$1),0,2)),0)"),83.36)</f>
        <v>83.36</v>
      </c>
      <c r="L27" s="3">
        <f>IFERROR(__xludf.DUMMYFUNCTION("iferror(max(index(googlefinance($C27, $A$1, L$1, M$1),0,2)),0)"),77.48)</f>
        <v>77.48</v>
      </c>
      <c r="M27" s="3">
        <f>IFERROR(__xludf.DUMMYFUNCTION("iferror(max(index(googlefinance($C27, $A$1, M$1, N$1),0,2)),0)"),75.73)</f>
        <v>75.73</v>
      </c>
      <c r="N27" s="3">
        <f>IFERROR(__xludf.DUMMYFUNCTION("iferror(max(index(googlefinance($C27, $A$1, N$1, O$1),0,2)),0)"),78.08)</f>
        <v>78.08</v>
      </c>
      <c r="O27" s="3">
        <f>IFERROR(__xludf.DUMMYFUNCTION("iferror(max(index(googlefinance($C27, $A$1, O$1, P$1),0,2)),0)"),72.11)</f>
        <v>72.11</v>
      </c>
      <c r="P27" s="3">
        <f>IFERROR(__xludf.DUMMYFUNCTION("iferror(max(index(googlefinance($C27, $A$1, P$1, Q$1),0,2)),0)"),0.0)</f>
        <v>0</v>
      </c>
      <c r="Q27" s="3">
        <f>IFERROR(__xludf.DUMMYFUNCTION("iferror(max(index(googlefinance($C27, $A$1, Q$1, R$1),0,2)),0)"),0.0)</f>
        <v>0</v>
      </c>
    </row>
    <row r="28">
      <c r="A28" s="4"/>
      <c r="B28" s="4" t="s">
        <v>53</v>
      </c>
      <c r="C28" s="4" t="s">
        <v>54</v>
      </c>
      <c r="D28" s="3">
        <f>IFERROR(__xludf.DUMMYFUNCTION("iferror(max(index(googlefinance($C28, $A$1, D$1, E$1),0,2)),0)"),379.39)</f>
        <v>379.39</v>
      </c>
      <c r="E28" s="3">
        <f>IFERROR(__xludf.DUMMYFUNCTION("iferror(max(index(googlefinance($C28, $A$1, E$1, F$1),0,2)),0)"),423.0)</f>
        <v>423</v>
      </c>
      <c r="F28" s="3">
        <f>IFERROR(__xludf.DUMMYFUNCTION("iferror(max(index(googlefinance($C28, $A$1, F$1, G$1),0,2)),0)"),448.17)</f>
        <v>448.17</v>
      </c>
      <c r="G28" s="3">
        <f>IFERROR(__xludf.DUMMYFUNCTION("iferror(max(index(googlefinance($C28, $A$1, G$1, H$1),0,2)),0)"),443.85)</f>
        <v>443.85</v>
      </c>
      <c r="H28" s="3">
        <f>IFERROR(__xludf.DUMMYFUNCTION("iferror(max(index(googlefinance($C28, $A$1, H$1, I$1),0,2)),0)"),432.75)</f>
        <v>432.75</v>
      </c>
      <c r="I28" s="3">
        <f>IFERROR(__xludf.DUMMYFUNCTION("iferror(max(index(googlefinance($C28, $A$1, I$1, J$1),0,2)),0)"),484.85)</f>
        <v>484.85</v>
      </c>
      <c r="J28" s="3">
        <f>IFERROR(__xludf.DUMMYFUNCTION("iferror(max(index(googlefinance($C28, $A$1, J$1, K$1),0,2)),0)"),486.72)</f>
        <v>486.72</v>
      </c>
      <c r="K28" s="3">
        <f>IFERROR(__xludf.DUMMYFUNCTION("iferror(max(index(googlefinance($C28, $A$1, K$1, L$1),0,2)),0)"),483.7)</f>
        <v>483.7</v>
      </c>
      <c r="L28" s="3">
        <f>IFERROR(__xludf.DUMMYFUNCTION("iferror(max(index(googlefinance($C28, $A$1, L$1, M$1),0,2)),0)"),429.44)</f>
        <v>429.44</v>
      </c>
      <c r="M28" s="3">
        <f>IFERROR(__xludf.DUMMYFUNCTION("iferror(max(index(googlefinance($C28, $A$1, M$1, N$1),0,2)),0)"),376.28)</f>
        <v>376.28</v>
      </c>
      <c r="N28" s="3">
        <f>IFERROR(__xludf.DUMMYFUNCTION("iferror(max(index(googlefinance($C28, $A$1, N$1, O$1),0,2)),0)"),370.99)</f>
        <v>370.99</v>
      </c>
      <c r="O28" s="3">
        <f>IFERROR(__xludf.DUMMYFUNCTION("iferror(max(index(googlefinance($C28, $A$1, O$1, P$1),0,2)),0)"),350.55)</f>
        <v>350.55</v>
      </c>
      <c r="P28" s="3">
        <f>IFERROR(__xludf.DUMMYFUNCTION("iferror(max(index(googlefinance($C28, $A$1, P$1, Q$1),0,2)),0)"),0.0)</f>
        <v>0</v>
      </c>
      <c r="Q28" s="3">
        <f>IFERROR(__xludf.DUMMYFUNCTION("iferror(max(index(googlefinance($C28, $A$1, Q$1, R$1),0,2)),0)"),0.0)</f>
        <v>0</v>
      </c>
    </row>
    <row r="29">
      <c r="A29" s="4"/>
      <c r="B29" s="4" t="s">
        <v>55</v>
      </c>
      <c r="C29" s="4" t="s">
        <v>56</v>
      </c>
      <c r="D29" s="3">
        <f>IFERROR(__xludf.DUMMYFUNCTION("iferror(max(index(googlefinance($C29, $A$1, D$1, E$1),0,2)),0)"),34.15)</f>
        <v>34.15</v>
      </c>
      <c r="E29" s="3">
        <f>IFERROR(__xludf.DUMMYFUNCTION("iferror(max(index(googlefinance($C29, $A$1, E$1, F$1),0,2)),0)"),33.89)</f>
        <v>33.89</v>
      </c>
      <c r="F29" s="3">
        <f>IFERROR(__xludf.DUMMYFUNCTION("iferror(max(index(googlefinance($C29, $A$1, F$1, G$1),0,2)),0)"),35.0)</f>
        <v>35</v>
      </c>
      <c r="G29" s="3">
        <f>IFERROR(__xludf.DUMMYFUNCTION("iferror(max(index(googlefinance($C29, $A$1, G$1, H$1),0,2)),0)"),36.34)</f>
        <v>36.34</v>
      </c>
      <c r="H29" s="3">
        <f>IFERROR(__xludf.DUMMYFUNCTION("iferror(max(index(googlefinance($C29, $A$1, H$1, I$1),0,2)),0)"),41.2)</f>
        <v>41.2</v>
      </c>
      <c r="I29" s="3">
        <f>IFERROR(__xludf.DUMMYFUNCTION("iferror(max(index(googlefinance($C29, $A$1, I$1, J$1),0,2)),0)"),44.49)</f>
        <v>44.49</v>
      </c>
      <c r="J29" s="3">
        <f>IFERROR(__xludf.DUMMYFUNCTION("iferror(max(index(googlefinance($C29, $A$1, J$1, K$1),0,2)),0)"),44.02)</f>
        <v>44.02</v>
      </c>
      <c r="K29" s="3">
        <f>IFERROR(__xludf.DUMMYFUNCTION("iferror(max(index(googlefinance($C29, $A$1, K$1, L$1),0,2)),0)"),41.26)</f>
        <v>41.26</v>
      </c>
      <c r="L29" s="3">
        <f>IFERROR(__xludf.DUMMYFUNCTION("iferror(max(index(googlefinance($C29, $A$1, L$1, M$1),0,2)),0)"),38.59)</f>
        <v>38.59</v>
      </c>
      <c r="M29" s="3">
        <f>IFERROR(__xludf.DUMMYFUNCTION("iferror(max(index(googlefinance($C29, $A$1, M$1, N$1),0,2)),0)"),37.55)</f>
        <v>37.55</v>
      </c>
      <c r="N29" s="3">
        <f>IFERROR(__xludf.DUMMYFUNCTION("iferror(max(index(googlefinance($C29, $A$1, N$1, O$1),0,2)),0)"),37.98)</f>
        <v>37.98</v>
      </c>
      <c r="O29" s="3">
        <f>IFERROR(__xludf.DUMMYFUNCTION("iferror(max(index(googlefinance($C29, $A$1, O$1, P$1),0,2)),0)"),35.17)</f>
        <v>35.17</v>
      </c>
      <c r="P29" s="3">
        <f>IFERROR(__xludf.DUMMYFUNCTION("iferror(max(index(googlefinance($C29, $A$1, P$1, Q$1),0,2)),0)"),0.0)</f>
        <v>0</v>
      </c>
      <c r="Q29" s="3">
        <f>IFERROR(__xludf.DUMMYFUNCTION("iferror(max(index(googlefinance($C29, $A$1, Q$1, R$1),0,2)),0)"),0.0)</f>
        <v>0</v>
      </c>
    </row>
    <row r="30">
      <c r="A30" s="4"/>
      <c r="B30" s="4" t="s">
        <v>57</v>
      </c>
      <c r="C30" s="4" t="s">
        <v>58</v>
      </c>
      <c r="D30" s="3">
        <f>IFERROR(__xludf.DUMMYFUNCTION("iferror(max(index(googlefinance($C30, $A$1, D$1, E$1),0,2)),0)"),148.1)</f>
        <v>148.1</v>
      </c>
      <c r="E30" s="3">
        <f>IFERROR(__xludf.DUMMYFUNCTION("iferror(max(index(googlefinance($C30, $A$1, E$1, F$1),0,2)),0)"),149.93)</f>
        <v>149.93</v>
      </c>
      <c r="F30" s="3">
        <f>IFERROR(__xludf.DUMMYFUNCTION("iferror(max(index(googlefinance($C30, $A$1, F$1, G$1),0,2)),0)"),145.9)</f>
        <v>145.9</v>
      </c>
      <c r="G30" s="3">
        <f>IFERROR(__xludf.DUMMYFUNCTION("iferror(max(index(googlefinance($C30, $A$1, G$1, H$1),0,2)),0)"),147.86)</f>
        <v>147.86</v>
      </c>
      <c r="H30" s="3">
        <f>IFERROR(__xludf.DUMMYFUNCTION("iferror(max(index(googlefinance($C30, $A$1, H$1, I$1),0,2)),0)"),143.75)</f>
        <v>143.75</v>
      </c>
      <c r="I30" s="3">
        <f>IFERROR(__xludf.DUMMYFUNCTION("iferror(max(index(googlefinance($C30, $A$1, I$1, J$1),0,2)),0)"),146.32)</f>
        <v>146.32</v>
      </c>
      <c r="J30" s="3">
        <f>IFERROR(__xludf.DUMMYFUNCTION("iferror(max(index(googlefinance($C30, $A$1, J$1, K$1),0,2)),0)"),147.5)</f>
        <v>147.5</v>
      </c>
      <c r="K30" s="3">
        <f>IFERROR(__xludf.DUMMYFUNCTION("iferror(max(index(googlefinance($C30, $A$1, K$1, L$1),0,2)),0)"),139.42)</f>
        <v>139.42</v>
      </c>
      <c r="L30" s="3">
        <f>IFERROR(__xludf.DUMMYFUNCTION("iferror(max(index(googlefinance($C30, $A$1, L$1, M$1),0,2)),0)"),132.75)</f>
        <v>132.75</v>
      </c>
      <c r="M30" s="3">
        <f>IFERROR(__xludf.DUMMYFUNCTION("iferror(max(index(googlefinance($C30, $A$1, M$1, N$1),0,2)),0)"),133.49)</f>
        <v>133.49</v>
      </c>
      <c r="N30" s="3">
        <f>IFERROR(__xludf.DUMMYFUNCTION("iferror(max(index(googlefinance($C30, $A$1, N$1, O$1),0,2)),0)"),134.75)</f>
        <v>134.75</v>
      </c>
      <c r="O30" s="3">
        <f>IFERROR(__xludf.DUMMYFUNCTION("iferror(max(index(googlefinance($C30, $A$1, O$1, P$1),0,2)),0)"),132.5)</f>
        <v>132.5</v>
      </c>
      <c r="P30" s="3">
        <f>IFERROR(__xludf.DUMMYFUNCTION("iferror(max(index(googlefinance($C30, $A$1, P$1, Q$1),0,2)),0)"),0.0)</f>
        <v>0</v>
      </c>
      <c r="Q30" s="3">
        <f>IFERROR(__xludf.DUMMYFUNCTION("iferror(max(index(googlefinance($C30, $A$1, Q$1, R$1),0,2)),0)"),0.0)</f>
        <v>0</v>
      </c>
    </row>
    <row r="31">
      <c r="A31" s="4"/>
      <c r="B31" s="4" t="s">
        <v>59</v>
      </c>
      <c r="C31" s="4" t="s">
        <v>60</v>
      </c>
      <c r="D31" s="3">
        <f>IFERROR(__xludf.DUMMYFUNCTION("iferror(max(index(googlefinance($C31, $A$1, D$1, E$1),0,2)),0)"),30.09)</f>
        <v>30.09</v>
      </c>
      <c r="E31" s="3">
        <f>IFERROR(__xludf.DUMMYFUNCTION("iferror(max(index(googlefinance($C31, $A$1, E$1, F$1),0,2)),0)"),29.77)</f>
        <v>29.77</v>
      </c>
      <c r="F31" s="3">
        <f>IFERROR(__xludf.DUMMYFUNCTION("iferror(max(index(googlefinance($C31, $A$1, F$1, G$1),0,2)),0)"),29.38)</f>
        <v>29.38</v>
      </c>
      <c r="G31" s="3">
        <f>IFERROR(__xludf.DUMMYFUNCTION("iferror(max(index(googlefinance($C31, $A$1, G$1, H$1),0,2)),0)"),30.2)</f>
        <v>30.2</v>
      </c>
      <c r="H31" s="3">
        <f>IFERROR(__xludf.DUMMYFUNCTION("iferror(max(index(googlefinance($C31, $A$1, H$1, I$1),0,2)),0)"),29.04)</f>
        <v>29.04</v>
      </c>
      <c r="I31" s="3">
        <f>IFERROR(__xludf.DUMMYFUNCTION("iferror(max(index(googlefinance($C31, $A$1, I$1, J$1),0,2)),0)"),29.07)</f>
        <v>29.07</v>
      </c>
      <c r="J31" s="3">
        <f>IFERROR(__xludf.DUMMYFUNCTION("iferror(max(index(googlefinance($C31, $A$1, J$1, K$1),0,2)),0)"),29.74)</f>
        <v>29.74</v>
      </c>
      <c r="K31" s="3">
        <f>IFERROR(__xludf.DUMMYFUNCTION("iferror(max(index(googlefinance($C31, $A$1, K$1, L$1),0,2)),0)"),29.81)</f>
        <v>29.81</v>
      </c>
      <c r="L31" s="3">
        <f>IFERROR(__xludf.DUMMYFUNCTION("iferror(max(index(googlefinance($C31, $A$1, L$1, M$1),0,2)),0)"),29.32)</f>
        <v>29.32</v>
      </c>
      <c r="M31" s="3">
        <f>IFERROR(__xludf.DUMMYFUNCTION("iferror(max(index(googlefinance($C31, $A$1, M$1, N$1),0,2)),0)"),30.39)</f>
        <v>30.39</v>
      </c>
      <c r="N31" s="3">
        <f>IFERROR(__xludf.DUMMYFUNCTION("iferror(max(index(googlefinance($C31, $A$1, N$1, O$1),0,2)),0)"),30.87)</f>
        <v>30.87</v>
      </c>
      <c r="O31" s="3">
        <f>IFERROR(__xludf.DUMMYFUNCTION("iferror(max(index(googlefinance($C31, $A$1, O$1, P$1),0,2)),0)"),30.06)</f>
        <v>30.06</v>
      </c>
      <c r="P31" s="3">
        <f>IFERROR(__xludf.DUMMYFUNCTION("iferror(max(index(googlefinance($C31, $A$1, P$1, Q$1),0,2)),0)"),0.0)</f>
        <v>0</v>
      </c>
      <c r="Q31" s="3">
        <f>IFERROR(__xludf.DUMMYFUNCTION("iferror(max(index(googlefinance($C31, $A$1, Q$1, R$1),0,2)),0)"),0.0)</f>
        <v>0</v>
      </c>
    </row>
    <row r="32">
      <c r="A32" s="4"/>
      <c r="B32" s="4" t="s">
        <v>61</v>
      </c>
      <c r="C32" s="4" t="s">
        <v>62</v>
      </c>
      <c r="D32" s="3">
        <f>IFERROR(__xludf.DUMMYFUNCTION("iferror(max(index(googlefinance($C32, $A$1, D$1, E$1),0,2)),0)"),188.54)</f>
        <v>188.54</v>
      </c>
      <c r="E32" s="3">
        <f>IFERROR(__xludf.DUMMYFUNCTION("iferror(max(index(googlefinance($C32, $A$1, E$1, F$1),0,2)),0)"),185.96)</f>
        <v>185.96</v>
      </c>
      <c r="F32" s="3">
        <f>IFERROR(__xludf.DUMMYFUNCTION("iferror(max(index(googlefinance($C32, $A$1, F$1, G$1),0,2)),0)"),181.5)</f>
        <v>181.5</v>
      </c>
      <c r="G32" s="3">
        <f>IFERROR(__xludf.DUMMYFUNCTION("iferror(max(index(googlefinance($C32, $A$1, G$1, H$1),0,2)),0)"),176.6)</f>
        <v>176.6</v>
      </c>
      <c r="H32" s="3">
        <f>IFERROR(__xludf.DUMMYFUNCTION("iferror(max(index(googlefinance($C32, $A$1, H$1, I$1),0,2)),0)"),175.23)</f>
        <v>175.23</v>
      </c>
      <c r="I32" s="3">
        <f>IFERROR(__xludf.DUMMYFUNCTION("iferror(max(index(googlefinance($C32, $A$1, I$1, J$1),0,2)),0)"),184.85)</f>
        <v>184.85</v>
      </c>
      <c r="J32" s="3">
        <f>IFERROR(__xludf.DUMMYFUNCTION("iferror(max(index(googlefinance($C32, $A$1, J$1, K$1),0,2)),0)"),186.27)</f>
        <v>186.27</v>
      </c>
      <c r="K32" s="3">
        <f>IFERROR(__xludf.DUMMYFUNCTION("iferror(max(index(googlefinance($C32, $A$1, K$1, L$1),0,2)),0)"),201.15)</f>
        <v>201.15</v>
      </c>
      <c r="L32" s="3">
        <f>IFERROR(__xludf.DUMMYFUNCTION("iferror(max(index(googlefinance($C32, $A$1, L$1, M$1),0,2)),0)"),207.09)</f>
        <v>207.09</v>
      </c>
      <c r="M32" s="3">
        <f>IFERROR(__xludf.DUMMYFUNCTION("iferror(max(index(googlefinance($C32, $A$1, M$1, N$1),0,2)),0)"),202.61)</f>
        <v>202.61</v>
      </c>
      <c r="N32" s="3">
        <f>IFERROR(__xludf.DUMMYFUNCTION("iferror(max(index(googlefinance($C32, $A$1, N$1, O$1),0,2)),0)"),202.06)</f>
        <v>202.06</v>
      </c>
      <c r="O32" s="3">
        <f>IFERROR(__xludf.DUMMYFUNCTION("iferror(max(index(googlefinance($C32, $A$1, O$1, P$1),0,2)),0)"),194.29)</f>
        <v>194.29</v>
      </c>
      <c r="P32" s="3">
        <f>IFERROR(__xludf.DUMMYFUNCTION("iferror(max(index(googlefinance($C32, $A$1, P$1, Q$1),0,2)),0)"),0.0)</f>
        <v>0</v>
      </c>
      <c r="Q32" s="3">
        <f>IFERROR(__xludf.DUMMYFUNCTION("iferror(max(index(googlefinance($C32, $A$1, Q$1, R$1),0,2)),0)"),0.0)</f>
        <v>0</v>
      </c>
    </row>
    <row r="33">
      <c r="A33" s="4"/>
      <c r="B33" s="4" t="s">
        <v>63</v>
      </c>
      <c r="C33" s="4" t="s">
        <v>64</v>
      </c>
      <c r="D33" s="3">
        <f>IFERROR(__xludf.DUMMYFUNCTION("iferror(max(index(googlefinance($C33, $A$1, D$1, E$1),0,2)),0)"),26.65)</f>
        <v>26.65</v>
      </c>
      <c r="E33" s="3">
        <f>IFERROR(__xludf.DUMMYFUNCTION("iferror(max(index(googlefinance($C33, $A$1, E$1, F$1),0,2)),0)"),26.56)</f>
        <v>26.56</v>
      </c>
      <c r="F33" s="3">
        <f>IFERROR(__xludf.DUMMYFUNCTION("iferror(max(index(googlefinance($C33, $A$1, F$1, G$1),0,2)),0)"),26.11)</f>
        <v>26.11</v>
      </c>
      <c r="G33" s="3">
        <f>IFERROR(__xludf.DUMMYFUNCTION("iferror(max(index(googlefinance($C33, $A$1, G$1, H$1),0,2)),0)"),27.53)</f>
        <v>27.53</v>
      </c>
      <c r="H33" s="3">
        <f>IFERROR(__xludf.DUMMYFUNCTION("iferror(max(index(googlefinance($C33, $A$1, H$1, I$1),0,2)),0)"),28.53)</f>
        <v>28.53</v>
      </c>
      <c r="I33" s="3">
        <f>IFERROR(__xludf.DUMMYFUNCTION("iferror(max(index(googlefinance($C33, $A$1, I$1, J$1),0,2)),0)"),29.45)</f>
        <v>29.45</v>
      </c>
      <c r="J33" s="3">
        <f>IFERROR(__xludf.DUMMYFUNCTION("iferror(max(index(googlefinance($C33, $A$1, J$1, K$1),0,2)),0)"),28.59)</f>
        <v>28.59</v>
      </c>
      <c r="K33" s="3">
        <f>IFERROR(__xludf.DUMMYFUNCTION("iferror(max(index(googlefinance($C33, $A$1, K$1, L$1),0,2)),0)"),30.04)</f>
        <v>30.04</v>
      </c>
      <c r="L33" s="3">
        <f>IFERROR(__xludf.DUMMYFUNCTION("iferror(max(index(googlefinance($C33, $A$1, L$1, M$1),0,2)),0)"),30.76)</f>
        <v>30.76</v>
      </c>
      <c r="M33" s="3">
        <f>IFERROR(__xludf.DUMMYFUNCTION("iferror(max(index(googlefinance($C33, $A$1, M$1, N$1),0,2)),0)"),31.76)</f>
        <v>31.76</v>
      </c>
      <c r="N33" s="3">
        <f>IFERROR(__xludf.DUMMYFUNCTION("iferror(max(index(googlefinance($C33, $A$1, N$1, O$1),0,2)),0)"),31.64)</f>
        <v>31.64</v>
      </c>
      <c r="O33" s="3">
        <f>IFERROR(__xludf.DUMMYFUNCTION("iferror(max(index(googlefinance($C33, $A$1, O$1, P$1),0,2)),0)"),30.59)</f>
        <v>30.59</v>
      </c>
      <c r="P33" s="3">
        <f>IFERROR(__xludf.DUMMYFUNCTION("iferror(max(index(googlefinance($C33, $A$1, P$1, Q$1),0,2)),0)"),0.0)</f>
        <v>0</v>
      </c>
      <c r="Q33" s="3">
        <f>IFERROR(__xludf.DUMMYFUNCTION("iferror(max(index(googlefinance($C33, $A$1, Q$1, R$1),0,2)),0)"),0.0)</f>
        <v>0</v>
      </c>
    </row>
    <row r="34">
      <c r="A34" s="4"/>
      <c r="B34" s="4" t="s">
        <v>65</v>
      </c>
      <c r="C34" s="4" t="s">
        <v>66</v>
      </c>
      <c r="D34" s="3">
        <f>IFERROR(__xludf.DUMMYFUNCTION("iferror(max(index(googlefinance($C34, $A$1, D$1, E$1),0,2)),0)"),36.32)</f>
        <v>36.32</v>
      </c>
      <c r="E34" s="3">
        <f>IFERROR(__xludf.DUMMYFUNCTION("iferror(max(index(googlefinance($C34, $A$1, E$1, F$1),0,2)),0)"),37.8)</f>
        <v>37.8</v>
      </c>
      <c r="F34" s="3">
        <f>IFERROR(__xludf.DUMMYFUNCTION("iferror(max(index(googlefinance($C34, $A$1, F$1, G$1),0,2)),0)"),36.3)</f>
        <v>36.3</v>
      </c>
      <c r="G34" s="3">
        <f>IFERROR(__xludf.DUMMYFUNCTION("iferror(max(index(googlefinance($C34, $A$1, G$1, H$1),0,2)),0)"),41.08)</f>
        <v>41.08</v>
      </c>
      <c r="H34" s="3">
        <f>IFERROR(__xludf.DUMMYFUNCTION("iferror(max(index(googlefinance($C34, $A$1, H$1, I$1),0,2)),0)"),37.41)</f>
        <v>37.41</v>
      </c>
      <c r="I34" s="3">
        <f>IFERROR(__xludf.DUMMYFUNCTION("iferror(max(index(googlefinance($C34, $A$1, I$1, J$1),0,2)),0)"),40.23)</f>
        <v>40.23</v>
      </c>
      <c r="J34" s="3">
        <f>IFERROR(__xludf.DUMMYFUNCTION("iferror(max(index(googlefinance($C34, $A$1, J$1, K$1),0,2)),0)"),40.47)</f>
        <v>40.47</v>
      </c>
      <c r="K34" s="3">
        <f>IFERROR(__xludf.DUMMYFUNCTION("iferror(max(index(googlefinance($C34, $A$1, K$1, L$1),0,2)),0)"),40.36)</f>
        <v>40.36</v>
      </c>
      <c r="L34" s="3">
        <f>IFERROR(__xludf.DUMMYFUNCTION("iferror(max(index(googlefinance($C34, $A$1, L$1, M$1),0,2)),0)"),40.81)</f>
        <v>40.81</v>
      </c>
      <c r="M34" s="3">
        <f>IFERROR(__xludf.DUMMYFUNCTION("iferror(max(index(googlefinance($C34, $A$1, M$1, N$1),0,2)),0)"),35.0)</f>
        <v>35</v>
      </c>
      <c r="N34" s="3">
        <f>IFERROR(__xludf.DUMMYFUNCTION("iferror(max(index(googlefinance($C34, $A$1, N$1, O$1),0,2)),0)"),34.08)</f>
        <v>34.08</v>
      </c>
      <c r="O34" s="3">
        <f>IFERROR(__xludf.DUMMYFUNCTION("iferror(max(index(googlefinance($C34, $A$1, O$1, P$1),0,2)),0)"),33.95)</f>
        <v>33.95</v>
      </c>
      <c r="P34" s="3">
        <f>IFERROR(__xludf.DUMMYFUNCTION("iferror(max(index(googlefinance($C34, $A$1, P$1, Q$1),0,2)),0)"),0.0)</f>
        <v>0</v>
      </c>
      <c r="Q34" s="3">
        <f>IFERROR(__xludf.DUMMYFUNCTION("iferror(max(index(googlefinance($C34, $A$1, Q$1, R$1),0,2)),0)"),0.0)</f>
        <v>0</v>
      </c>
    </row>
    <row r="35">
      <c r="A35" s="4"/>
      <c r="B35" s="4" t="s">
        <v>67</v>
      </c>
      <c r="C35" s="4" t="s">
        <v>68</v>
      </c>
      <c r="D35" s="3">
        <f>IFERROR(__xludf.DUMMYFUNCTION("iferror(max(index(googlefinance($C35, $A$1, D$1, E$1),0,2)),0)"),136.29)</f>
        <v>136.29</v>
      </c>
      <c r="E35" s="3">
        <f>IFERROR(__xludf.DUMMYFUNCTION("iferror(max(index(googlefinance($C35, $A$1, E$1, F$1),0,2)),0)"),140.81)</f>
        <v>140.81</v>
      </c>
      <c r="F35" s="3">
        <f>IFERROR(__xludf.DUMMYFUNCTION("iferror(max(index(googlefinance($C35, $A$1, F$1, G$1),0,2)),0)"),140.34)</f>
        <v>140.34</v>
      </c>
      <c r="G35" s="3">
        <f>IFERROR(__xludf.DUMMYFUNCTION("iferror(max(index(googlefinance($C35, $A$1, G$1, H$1),0,2)),0)"),140.91)</f>
        <v>140.91</v>
      </c>
      <c r="H35" s="3">
        <f>IFERROR(__xludf.DUMMYFUNCTION("iferror(max(index(googlefinance($C35, $A$1, H$1, I$1),0,2)),0)"),136.38)</f>
        <v>136.38</v>
      </c>
      <c r="I35" s="3">
        <f>IFERROR(__xludf.DUMMYFUNCTION("iferror(max(index(googlefinance($C35, $A$1, I$1, J$1),0,2)),0)"),135.56)</f>
        <v>135.56</v>
      </c>
      <c r="J35" s="3">
        <f>IFERROR(__xludf.DUMMYFUNCTION("iferror(max(index(googlefinance($C35, $A$1, J$1, K$1),0,2)),0)"),137.96)</f>
        <v>137.96</v>
      </c>
      <c r="K35" s="3">
        <f>IFERROR(__xludf.DUMMYFUNCTION("iferror(max(index(googlefinance($C35, $A$1, K$1, L$1),0,2)),0)"),139.22)</f>
        <v>139.22</v>
      </c>
      <c r="L35" s="3">
        <f>IFERROR(__xludf.DUMMYFUNCTION("iferror(max(index(googlefinance($C35, $A$1, L$1, M$1),0,2)),0)"),125.67)</f>
        <v>125.67</v>
      </c>
      <c r="M35" s="3">
        <f>IFERROR(__xludf.DUMMYFUNCTION("iferror(max(index(googlefinance($C35, $A$1, M$1, N$1),0,2)),0)"),132.4)</f>
        <v>132.4</v>
      </c>
      <c r="N35" s="3">
        <f>IFERROR(__xludf.DUMMYFUNCTION("iferror(max(index(googlefinance($C35, $A$1, N$1, O$1),0,2)),0)"),132.28)</f>
        <v>132.28</v>
      </c>
      <c r="O35" s="3">
        <f>IFERROR(__xludf.DUMMYFUNCTION("iferror(max(index(googlefinance($C35, $A$1, O$1, P$1),0,2)),0)"),128.03)</f>
        <v>128.03</v>
      </c>
      <c r="P35" s="3">
        <f>IFERROR(__xludf.DUMMYFUNCTION("iferror(max(index(googlefinance($C35, $A$1, P$1, Q$1),0,2)),0)"),0.0)</f>
        <v>0</v>
      </c>
      <c r="Q35" s="3">
        <f>IFERROR(__xludf.DUMMYFUNCTION("iferror(max(index(googlefinance($C35, $A$1, Q$1, R$1),0,2)),0)"),0.0)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69</v>
      </c>
      <c r="B1" s="4" t="s">
        <v>0</v>
      </c>
      <c r="C1" s="4" t="s">
        <v>1</v>
      </c>
      <c r="D1" s="2">
        <v>44197.0</v>
      </c>
      <c r="E1" s="2">
        <v>44228.0</v>
      </c>
      <c r="F1" s="2">
        <v>44256.0</v>
      </c>
      <c r="G1" s="2">
        <v>44287.0</v>
      </c>
      <c r="H1" s="2">
        <v>44317.0</v>
      </c>
      <c r="I1" s="2">
        <v>44348.0</v>
      </c>
      <c r="J1" s="2">
        <v>44378.0</v>
      </c>
      <c r="K1" s="2">
        <v>44409.0</v>
      </c>
      <c r="L1" s="2">
        <v>44440.0</v>
      </c>
      <c r="M1" s="2">
        <v>44470.0</v>
      </c>
      <c r="N1" s="2">
        <v>44501.0</v>
      </c>
      <c r="O1" s="2">
        <v>44531.0</v>
      </c>
    </row>
    <row r="2">
      <c r="A2" s="4"/>
      <c r="B2" s="4" t="s">
        <v>2</v>
      </c>
      <c r="C2" s="4" t="s">
        <v>3</v>
      </c>
      <c r="D2" s="4">
        <f>IFERROR(__xludf.DUMMYFUNCTION("iferror(max(index(googlefinance($C2, $A$1, D$1, E$1),0,2)),0)"),900.4)</f>
        <v>900.4</v>
      </c>
      <c r="E2" s="6">
        <f>IFERROR(__xludf.DUMMYFUNCTION("iferror(max(index(googlefinance($C2, $A$1, E$1, F$1),0,2)),0)"),880.5)</f>
        <v>880.5</v>
      </c>
      <c r="F2" s="6">
        <f>IFERROR(__xludf.DUMMYFUNCTION("iferror(max(index(googlefinance($C2, $A$1, F$1, G$1),0,2)),0)"),873.94)</f>
        <v>873.94</v>
      </c>
      <c r="G2" s="6">
        <f>IFERROR(__xludf.DUMMYFUNCTION("iferror(max(index(googlefinance($C2, $A$1, G$1, H$1),0,2)),0)"),0.0)</f>
        <v>0</v>
      </c>
      <c r="H2" s="6">
        <f>IFERROR(__xludf.DUMMYFUNCTION("iferror(max(index(googlefinance($C2, $A$1, H$1, I$1),0,2)),0)"),0.0)</f>
        <v>0</v>
      </c>
      <c r="I2" s="6">
        <f>IFERROR(__xludf.DUMMYFUNCTION("iferror(max(index(googlefinance($C2, $A$1, I$1, J$1),0,2)),0)"),0.0)</f>
        <v>0</v>
      </c>
      <c r="J2" s="6">
        <f>IFERROR(__xludf.DUMMYFUNCTION("iferror(max(index(googlefinance($C2, $A$1, J$1, K$1),0,2)),0)"),0.0)</f>
        <v>0</v>
      </c>
      <c r="K2" s="6">
        <f>IFERROR(__xludf.DUMMYFUNCTION("iferror(max(index(googlefinance($C2, $A$1, K$1, L$1),0,2)),0)"),0.0)</f>
        <v>0</v>
      </c>
      <c r="L2" s="6">
        <f>IFERROR(__xludf.DUMMYFUNCTION("iferror(max(index(googlefinance($C2, $A$1, L$1, M$1),0,2)),0)"),0.0)</f>
        <v>0</v>
      </c>
      <c r="M2" s="6">
        <f>IFERROR(__xludf.DUMMYFUNCTION("iferror(max(index(googlefinance($C2, $A$1, M$1, N$1),0,2)),0)"),0.0)</f>
        <v>0</v>
      </c>
      <c r="N2" s="6">
        <f>IFERROR(__xludf.DUMMYFUNCTION("iferror(max(index(googlefinance($C2, $A$1, N$1, O$1),0,2)),0)"),0.0)</f>
        <v>0</v>
      </c>
      <c r="O2" s="6">
        <f>IFERROR(__xludf.DUMMYFUNCTION("iferror(max(index(googlefinance($C2, $A$1, O$1, P$1),0,2)),0)"),0.0)</f>
        <v>0</v>
      </c>
    </row>
    <row r="3">
      <c r="A3" s="4"/>
      <c r="B3" s="4" t="s">
        <v>4</v>
      </c>
      <c r="C3" s="4" t="s">
        <v>5</v>
      </c>
      <c r="D3" s="6">
        <f>IFERROR(__xludf.DUMMYFUNCTION("iferror(max(index(googlefinance($C3, $A$1, D$1, E$1),0,2)),0)"),1932.08)</f>
        <v>1932.08</v>
      </c>
      <c r="E3" s="6">
        <f>IFERROR(__xludf.DUMMYFUNCTION("iferror(max(index(googlefinance($C3, $A$1, E$1, F$1),0,2)),0)"),2145.14)</f>
        <v>2145.14</v>
      </c>
      <c r="F3" s="6">
        <f>IFERROR(__xludf.DUMMYFUNCTION("iferror(max(index(googlefinance($C3, $A$1, F$1, G$1),0,2)),0)"),2113.74)</f>
        <v>2113.74</v>
      </c>
      <c r="G3" s="6">
        <f>IFERROR(__xludf.DUMMYFUNCTION("iferror(max(index(googlefinance($C3, $A$1, G$1, H$1),0,2)),0)"),0.0)</f>
        <v>0</v>
      </c>
      <c r="H3" s="6">
        <f>IFERROR(__xludf.DUMMYFUNCTION("iferror(max(index(googlefinance($C3, $A$1, H$1, I$1),0,2)),0)"),0.0)</f>
        <v>0</v>
      </c>
      <c r="I3" s="6">
        <f>IFERROR(__xludf.DUMMYFUNCTION("iferror(max(index(googlefinance($C3, $A$1, I$1, J$1),0,2)),0)"),0.0)</f>
        <v>0</v>
      </c>
      <c r="J3" s="6">
        <f>IFERROR(__xludf.DUMMYFUNCTION("iferror(max(index(googlefinance($C3, $A$1, J$1, K$1),0,2)),0)"),0.0)</f>
        <v>0</v>
      </c>
      <c r="K3" s="6">
        <f>IFERROR(__xludf.DUMMYFUNCTION("iferror(max(index(googlefinance($C3, $A$1, K$1, L$1),0,2)),0)"),0.0)</f>
        <v>0</v>
      </c>
      <c r="L3" s="6">
        <f>IFERROR(__xludf.DUMMYFUNCTION("iferror(max(index(googlefinance($C3, $A$1, L$1, M$1),0,2)),0)"),0.0)</f>
        <v>0</v>
      </c>
      <c r="M3" s="6">
        <f>IFERROR(__xludf.DUMMYFUNCTION("iferror(max(index(googlefinance($C3, $A$1, M$1, N$1),0,2)),0)"),0.0)</f>
        <v>0</v>
      </c>
      <c r="N3" s="6">
        <f>IFERROR(__xludf.DUMMYFUNCTION("iferror(max(index(googlefinance($C3, $A$1, N$1, O$1),0,2)),0)"),0.0)</f>
        <v>0</v>
      </c>
      <c r="O3" s="6">
        <f>IFERROR(__xludf.DUMMYFUNCTION("iferror(max(index(googlefinance($C3, $A$1, O$1, P$1),0,2)),0)"),0.0)</f>
        <v>0</v>
      </c>
    </row>
    <row r="4">
      <c r="A4" s="4"/>
      <c r="B4" s="4" t="s">
        <v>6</v>
      </c>
      <c r="C4" s="4" t="s">
        <v>7</v>
      </c>
      <c r="D4" s="6">
        <f>IFERROR(__xludf.DUMMYFUNCTION("iferror(max(index(googlefinance($C4, $A$1, D$1, E$1),0,2)),0)"),145.09)</f>
        <v>145.09</v>
      </c>
      <c r="E4" s="6">
        <f>IFERROR(__xludf.DUMMYFUNCTION("iferror(max(index(googlefinance($C4, $A$1, E$1, F$1),0,2)),0)"),137.88)</f>
        <v>137.88</v>
      </c>
      <c r="F4" s="6">
        <f>IFERROR(__xludf.DUMMYFUNCTION("iferror(max(index(googlefinance($C4, $A$1, F$1, G$1),0,2)),0)"),128.72)</f>
        <v>128.72</v>
      </c>
      <c r="G4" s="6">
        <f>IFERROR(__xludf.DUMMYFUNCTION("iferror(max(index(googlefinance($C4, $A$1, G$1, H$1),0,2)),0)"),0.0)</f>
        <v>0</v>
      </c>
      <c r="H4" s="6">
        <f>IFERROR(__xludf.DUMMYFUNCTION("iferror(max(index(googlefinance($C4, $A$1, H$1, I$1),0,2)),0)"),0.0)</f>
        <v>0</v>
      </c>
      <c r="I4" s="6">
        <f>IFERROR(__xludf.DUMMYFUNCTION("iferror(max(index(googlefinance($C4, $A$1, I$1, J$1),0,2)),0)"),0.0)</f>
        <v>0</v>
      </c>
      <c r="J4" s="6">
        <f>IFERROR(__xludf.DUMMYFUNCTION("iferror(max(index(googlefinance($C4, $A$1, J$1, K$1),0,2)),0)"),0.0)</f>
        <v>0</v>
      </c>
      <c r="K4" s="6">
        <f>IFERROR(__xludf.DUMMYFUNCTION("iferror(max(index(googlefinance($C4, $A$1, K$1, L$1),0,2)),0)"),0.0)</f>
        <v>0</v>
      </c>
      <c r="L4" s="6">
        <f>IFERROR(__xludf.DUMMYFUNCTION("iferror(max(index(googlefinance($C4, $A$1, L$1, M$1),0,2)),0)"),0.0)</f>
        <v>0</v>
      </c>
      <c r="M4" s="6">
        <f>IFERROR(__xludf.DUMMYFUNCTION("iferror(max(index(googlefinance($C4, $A$1, M$1, N$1),0,2)),0)"),0.0)</f>
        <v>0</v>
      </c>
      <c r="N4" s="6">
        <f>IFERROR(__xludf.DUMMYFUNCTION("iferror(max(index(googlefinance($C4, $A$1, N$1, O$1),0,2)),0)"),0.0)</f>
        <v>0</v>
      </c>
      <c r="O4" s="6">
        <f>IFERROR(__xludf.DUMMYFUNCTION("iferror(max(index(googlefinance($C4, $A$1, O$1, P$1),0,2)),0)"),0.0)</f>
        <v>0</v>
      </c>
    </row>
    <row r="5">
      <c r="A5" s="4"/>
      <c r="B5" s="4" t="s">
        <v>8</v>
      </c>
      <c r="C5" s="4" t="s">
        <v>9</v>
      </c>
      <c r="D5" s="6">
        <f>IFERROR(__xludf.DUMMYFUNCTION("iferror(max(index(googlefinance($C5, $A$1, D$1, E$1),0,2)),0)"),242.64)</f>
        <v>242.64</v>
      </c>
      <c r="E5" s="6">
        <f>IFERROR(__xludf.DUMMYFUNCTION("iferror(max(index(googlefinance($C5, $A$1, E$1, F$1),0,2)),0)"),246.13)</f>
        <v>246.13</v>
      </c>
      <c r="F5" s="6">
        <f>IFERROR(__xludf.DUMMYFUNCTION("iferror(max(index(googlefinance($C5, $A$1, F$1, G$1),0,2)),0)"),240.06)</f>
        <v>240.06</v>
      </c>
      <c r="G5" s="6">
        <f>IFERROR(__xludf.DUMMYFUNCTION("iferror(max(index(googlefinance($C5, $A$1, G$1, H$1),0,2)),0)"),0.0)</f>
        <v>0</v>
      </c>
      <c r="H5" s="6">
        <f>IFERROR(__xludf.DUMMYFUNCTION("iferror(max(index(googlefinance($C5, $A$1, H$1, I$1),0,2)),0)"),0.0)</f>
        <v>0</v>
      </c>
      <c r="I5" s="6">
        <f>IFERROR(__xludf.DUMMYFUNCTION("iferror(max(index(googlefinance($C5, $A$1, I$1, J$1),0,2)),0)"),0.0)</f>
        <v>0</v>
      </c>
      <c r="J5" s="6">
        <f>IFERROR(__xludf.DUMMYFUNCTION("iferror(max(index(googlefinance($C5, $A$1, J$1, K$1),0,2)),0)"),0.0)</f>
        <v>0</v>
      </c>
      <c r="K5" s="6">
        <f>IFERROR(__xludf.DUMMYFUNCTION("iferror(max(index(googlefinance($C5, $A$1, K$1, L$1),0,2)),0)"),0.0)</f>
        <v>0</v>
      </c>
      <c r="L5" s="6">
        <f>IFERROR(__xludf.DUMMYFUNCTION("iferror(max(index(googlefinance($C5, $A$1, L$1, M$1),0,2)),0)"),0.0)</f>
        <v>0</v>
      </c>
      <c r="M5" s="6">
        <f>IFERROR(__xludf.DUMMYFUNCTION("iferror(max(index(googlefinance($C5, $A$1, M$1, N$1),0,2)),0)"),0.0)</f>
        <v>0</v>
      </c>
      <c r="N5" s="6">
        <f>IFERROR(__xludf.DUMMYFUNCTION("iferror(max(index(googlefinance($C5, $A$1, N$1, O$1),0,2)),0)"),0.0)</f>
        <v>0</v>
      </c>
      <c r="O5" s="6">
        <f>IFERROR(__xludf.DUMMYFUNCTION("iferror(max(index(googlefinance($C5, $A$1, O$1, P$1),0,2)),0)"),0.0)</f>
        <v>0</v>
      </c>
    </row>
    <row r="6">
      <c r="A6" s="4"/>
      <c r="B6" s="4" t="s">
        <v>10</v>
      </c>
      <c r="C6" s="4" t="s">
        <v>11</v>
      </c>
      <c r="D6" s="6">
        <f>IFERROR(__xludf.DUMMYFUNCTION("iferror(max(index(googlefinance($C6, $A$1, D$1, E$1),0,2)),0)"),48.31)</f>
        <v>48.31</v>
      </c>
      <c r="E6" s="6">
        <f>IFERROR(__xludf.DUMMYFUNCTION("iferror(max(index(googlefinance($C6, $A$1, E$1, F$1),0,2)),0)"),57.28)</f>
        <v>57.28</v>
      </c>
      <c r="F6" s="6">
        <f>IFERROR(__xludf.DUMMYFUNCTION("iferror(max(index(googlefinance($C6, $A$1, F$1, G$1),0,2)),0)"),40.83)</f>
        <v>40.83</v>
      </c>
      <c r="G6" s="6">
        <f>IFERROR(__xludf.DUMMYFUNCTION("iferror(max(index(googlefinance($C6, $A$1, G$1, H$1),0,2)),0)"),0.0)</f>
        <v>0</v>
      </c>
      <c r="H6" s="6">
        <f>IFERROR(__xludf.DUMMYFUNCTION("iferror(max(index(googlefinance($C6, $A$1, H$1, I$1),0,2)),0)"),0.0)</f>
        <v>0</v>
      </c>
      <c r="I6" s="6">
        <f>IFERROR(__xludf.DUMMYFUNCTION("iferror(max(index(googlefinance($C6, $A$1, I$1, J$1),0,2)),0)"),0.0)</f>
        <v>0</v>
      </c>
      <c r="J6" s="6">
        <f>IFERROR(__xludf.DUMMYFUNCTION("iferror(max(index(googlefinance($C6, $A$1, J$1, K$1),0,2)),0)"),0.0)</f>
        <v>0</v>
      </c>
      <c r="K6" s="6">
        <f>IFERROR(__xludf.DUMMYFUNCTION("iferror(max(index(googlefinance($C6, $A$1, K$1, L$1),0,2)),0)"),0.0)</f>
        <v>0</v>
      </c>
      <c r="L6" s="6">
        <f>IFERROR(__xludf.DUMMYFUNCTION("iferror(max(index(googlefinance($C6, $A$1, L$1, M$1),0,2)),0)"),0.0)</f>
        <v>0</v>
      </c>
      <c r="M6" s="6">
        <f>IFERROR(__xludf.DUMMYFUNCTION("iferror(max(index(googlefinance($C6, $A$1, M$1, N$1),0,2)),0)"),0.0)</f>
        <v>0</v>
      </c>
      <c r="N6" s="6">
        <f>IFERROR(__xludf.DUMMYFUNCTION("iferror(max(index(googlefinance($C6, $A$1, N$1, O$1),0,2)),0)"),0.0)</f>
        <v>0</v>
      </c>
      <c r="O6" s="6">
        <f>IFERROR(__xludf.DUMMYFUNCTION("iferror(max(index(googlefinance($C6, $A$1, O$1, P$1),0,2)),0)"),0.0)</f>
        <v>0</v>
      </c>
    </row>
    <row r="7">
      <c r="A7" s="4"/>
      <c r="B7" s="4" t="s">
        <v>12</v>
      </c>
      <c r="C7" s="4" t="s">
        <v>13</v>
      </c>
      <c r="D7" s="6">
        <f>IFERROR(__xludf.DUMMYFUNCTION("iferror(max(index(googlefinance($C7, $A$1, D$1, E$1),0,2)),0)"),483.0)</f>
        <v>483</v>
      </c>
      <c r="E7" s="6">
        <f>IFERROR(__xludf.DUMMYFUNCTION("iferror(max(index(googlefinance($C7, $A$1, E$1, F$1),0,2)),0)"),322.0)</f>
        <v>322</v>
      </c>
      <c r="F7" s="6">
        <f>IFERROR(__xludf.DUMMYFUNCTION("iferror(max(index(googlefinance($C7, $A$1, F$1, G$1),0,2)),0)"),348.5)</f>
        <v>348.5</v>
      </c>
      <c r="G7" s="6">
        <f>IFERROR(__xludf.DUMMYFUNCTION("iferror(max(index(googlefinance($C7, $A$1, G$1, H$1),0,2)),0)"),0.0)</f>
        <v>0</v>
      </c>
      <c r="H7" s="6">
        <f>IFERROR(__xludf.DUMMYFUNCTION("iferror(max(index(googlefinance($C7, $A$1, H$1, I$1),0,2)),0)"),0.0)</f>
        <v>0</v>
      </c>
      <c r="I7" s="6">
        <f>IFERROR(__xludf.DUMMYFUNCTION("iferror(max(index(googlefinance($C7, $A$1, I$1, J$1),0,2)),0)"),0.0)</f>
        <v>0</v>
      </c>
      <c r="J7" s="6">
        <f>IFERROR(__xludf.DUMMYFUNCTION("iferror(max(index(googlefinance($C7, $A$1, J$1, K$1),0,2)),0)"),0.0)</f>
        <v>0</v>
      </c>
      <c r="K7" s="6">
        <f>IFERROR(__xludf.DUMMYFUNCTION("iferror(max(index(googlefinance($C7, $A$1, K$1, L$1),0,2)),0)"),0.0)</f>
        <v>0</v>
      </c>
      <c r="L7" s="6">
        <f>IFERROR(__xludf.DUMMYFUNCTION("iferror(max(index(googlefinance($C7, $A$1, L$1, M$1),0,2)),0)"),0.0)</f>
        <v>0</v>
      </c>
      <c r="M7" s="6">
        <f>IFERROR(__xludf.DUMMYFUNCTION("iferror(max(index(googlefinance($C7, $A$1, M$1, N$1),0,2)),0)"),0.0)</f>
        <v>0</v>
      </c>
      <c r="N7" s="6">
        <f>IFERROR(__xludf.DUMMYFUNCTION("iferror(max(index(googlefinance($C7, $A$1, N$1, O$1),0,2)),0)"),0.0)</f>
        <v>0</v>
      </c>
      <c r="O7" s="6">
        <f>IFERROR(__xludf.DUMMYFUNCTION("iferror(max(index(googlefinance($C7, $A$1, O$1, P$1),0,2)),0)"),0.0)</f>
        <v>0</v>
      </c>
    </row>
    <row r="8">
      <c r="A8" s="4"/>
      <c r="B8" s="4" t="s">
        <v>14</v>
      </c>
      <c r="C8" s="4" t="s">
        <v>14</v>
      </c>
      <c r="D8" s="6">
        <f>IFERROR(__xludf.DUMMYFUNCTION("iferror(max(index(googlefinance($C8, $A$1, D$1, E$1),0,2)),0)"),20.36)</f>
        <v>20.36</v>
      </c>
      <c r="E8" s="6">
        <f>IFERROR(__xludf.DUMMYFUNCTION("iferror(max(index(googlefinance($C8, $A$1, E$1, F$1),0,2)),0)"),17.25)</f>
        <v>17.25</v>
      </c>
      <c r="F8" s="6">
        <f>IFERROR(__xludf.DUMMYFUNCTION("iferror(max(index(googlefinance($C8, $A$1, F$1, G$1),0,2)),0)"),14.54)</f>
        <v>14.54</v>
      </c>
      <c r="G8" s="6">
        <f>IFERROR(__xludf.DUMMYFUNCTION("iferror(max(index(googlefinance($C8, $A$1, G$1, H$1),0,2)),0)"),0.0)</f>
        <v>0</v>
      </c>
      <c r="H8" s="6">
        <f>IFERROR(__xludf.DUMMYFUNCTION("iferror(max(index(googlefinance($C8, $A$1, H$1, I$1),0,2)),0)"),0.0)</f>
        <v>0</v>
      </c>
      <c r="I8" s="6">
        <f>IFERROR(__xludf.DUMMYFUNCTION("iferror(max(index(googlefinance($C8, $A$1, I$1, J$1),0,2)),0)"),0.0)</f>
        <v>0</v>
      </c>
      <c r="J8" s="6">
        <f>IFERROR(__xludf.DUMMYFUNCTION("iferror(max(index(googlefinance($C8, $A$1, J$1, K$1),0,2)),0)"),0.0)</f>
        <v>0</v>
      </c>
      <c r="K8" s="6">
        <f>IFERROR(__xludf.DUMMYFUNCTION("iferror(max(index(googlefinance($C8, $A$1, K$1, L$1),0,2)),0)"),0.0)</f>
        <v>0</v>
      </c>
      <c r="L8" s="6">
        <f>IFERROR(__xludf.DUMMYFUNCTION("iferror(max(index(googlefinance($C8, $A$1, L$1, M$1),0,2)),0)"),0.0)</f>
        <v>0</v>
      </c>
      <c r="M8" s="6">
        <f>IFERROR(__xludf.DUMMYFUNCTION("iferror(max(index(googlefinance($C8, $A$1, M$1, N$1),0,2)),0)"),0.0)</f>
        <v>0</v>
      </c>
      <c r="N8" s="6">
        <f>IFERROR(__xludf.DUMMYFUNCTION("iferror(max(index(googlefinance($C8, $A$1, N$1, O$1),0,2)),0)"),0.0)</f>
        <v>0</v>
      </c>
      <c r="O8" s="6">
        <f>IFERROR(__xludf.DUMMYFUNCTION("iferror(max(index(googlefinance($C8, $A$1, O$1, P$1),0,2)),0)"),0.0)</f>
        <v>0</v>
      </c>
    </row>
    <row r="9">
      <c r="A9" s="4"/>
      <c r="B9" s="4" t="s">
        <v>15</v>
      </c>
      <c r="C9" s="4" t="s">
        <v>16</v>
      </c>
      <c r="D9" s="6">
        <f>IFERROR(__xludf.DUMMYFUNCTION("iferror(max(index(googlefinance($C9, $A$1, D$1, E$1),0,2)),0)"),9.79)</f>
        <v>9.79</v>
      </c>
      <c r="E9" s="6">
        <f>IFERROR(__xludf.DUMMYFUNCTION("iferror(max(index(googlefinance($C9, $A$1, E$1, F$1),0,2)),0)"),4.99)</f>
        <v>4.99</v>
      </c>
      <c r="F9" s="6">
        <f>IFERROR(__xludf.DUMMYFUNCTION("iferror(max(index(googlefinance($C9, $A$1, F$1, G$1),0,2)),0)"),4.39)</f>
        <v>4.39</v>
      </c>
      <c r="G9" s="6">
        <f>IFERROR(__xludf.DUMMYFUNCTION("iferror(max(index(googlefinance($C9, $A$1, G$1, H$1),0,2)),0)"),0.0)</f>
        <v>0</v>
      </c>
      <c r="H9" s="6">
        <f>IFERROR(__xludf.DUMMYFUNCTION("iferror(max(index(googlefinance($C9, $A$1, H$1, I$1),0,2)),0)"),0.0)</f>
        <v>0</v>
      </c>
      <c r="I9" s="6">
        <f>IFERROR(__xludf.DUMMYFUNCTION("iferror(max(index(googlefinance($C9, $A$1, I$1, J$1),0,2)),0)"),0.0)</f>
        <v>0</v>
      </c>
      <c r="J9" s="6">
        <f>IFERROR(__xludf.DUMMYFUNCTION("iferror(max(index(googlefinance($C9, $A$1, J$1, K$1),0,2)),0)"),0.0)</f>
        <v>0</v>
      </c>
      <c r="K9" s="6">
        <f>IFERROR(__xludf.DUMMYFUNCTION("iferror(max(index(googlefinance($C9, $A$1, K$1, L$1),0,2)),0)"),0.0)</f>
        <v>0</v>
      </c>
      <c r="L9" s="6">
        <f>IFERROR(__xludf.DUMMYFUNCTION("iferror(max(index(googlefinance($C9, $A$1, L$1, M$1),0,2)),0)"),0.0)</f>
        <v>0</v>
      </c>
      <c r="M9" s="6">
        <f>IFERROR(__xludf.DUMMYFUNCTION("iferror(max(index(googlefinance($C9, $A$1, M$1, N$1),0,2)),0)"),0.0)</f>
        <v>0</v>
      </c>
      <c r="N9" s="6">
        <f>IFERROR(__xludf.DUMMYFUNCTION("iferror(max(index(googlefinance($C9, $A$1, N$1, O$1),0,2)),0)"),0.0)</f>
        <v>0</v>
      </c>
      <c r="O9" s="6">
        <f>IFERROR(__xludf.DUMMYFUNCTION("iferror(max(index(googlefinance($C9, $A$1, O$1, P$1),0,2)),0)"),0.0)</f>
        <v>0</v>
      </c>
    </row>
    <row r="10">
      <c r="A10" s="4"/>
      <c r="B10" s="4" t="s">
        <v>17</v>
      </c>
      <c r="C10" s="4" t="s">
        <v>18</v>
      </c>
      <c r="D10" s="6">
        <f>IFERROR(__xludf.DUMMYFUNCTION("iferror(max(index(googlefinance($C10, $A$1, D$1, E$1),0,2)),0)"),70.96)</f>
        <v>70.96</v>
      </c>
      <c r="E10" s="6">
        <f>IFERROR(__xludf.DUMMYFUNCTION("iferror(max(index(googlefinance($C10, $A$1, E$1, F$1),0,2)),0)"),71.06)</f>
        <v>71.06</v>
      </c>
      <c r="F10" s="6">
        <f>IFERROR(__xludf.DUMMYFUNCTION("iferror(max(index(googlefinance($C10, $A$1, F$1, G$1),0,2)),0)"),68.05)</f>
        <v>68.05</v>
      </c>
      <c r="G10" s="6">
        <f>IFERROR(__xludf.DUMMYFUNCTION("iferror(max(index(googlefinance($C10, $A$1, G$1, H$1),0,2)),0)"),0.0)</f>
        <v>0</v>
      </c>
      <c r="H10" s="6">
        <f>IFERROR(__xludf.DUMMYFUNCTION("iferror(max(index(googlefinance($C10, $A$1, H$1, I$1),0,2)),0)"),0.0)</f>
        <v>0</v>
      </c>
      <c r="I10" s="6">
        <f>IFERROR(__xludf.DUMMYFUNCTION("iferror(max(index(googlefinance($C10, $A$1, I$1, J$1),0,2)),0)"),0.0)</f>
        <v>0</v>
      </c>
      <c r="J10" s="6">
        <f>IFERROR(__xludf.DUMMYFUNCTION("iferror(max(index(googlefinance($C10, $A$1, J$1, K$1),0,2)),0)"),0.0)</f>
        <v>0</v>
      </c>
      <c r="K10" s="6">
        <f>IFERROR(__xludf.DUMMYFUNCTION("iferror(max(index(googlefinance($C10, $A$1, K$1, L$1),0,2)),0)"),0.0)</f>
        <v>0</v>
      </c>
      <c r="L10" s="6">
        <f>IFERROR(__xludf.DUMMYFUNCTION("iferror(max(index(googlefinance($C10, $A$1, L$1, M$1),0,2)),0)"),0.0)</f>
        <v>0</v>
      </c>
      <c r="M10" s="6">
        <f>IFERROR(__xludf.DUMMYFUNCTION("iferror(max(index(googlefinance($C10, $A$1, M$1, N$1),0,2)),0)"),0.0)</f>
        <v>0</v>
      </c>
      <c r="N10" s="6">
        <f>IFERROR(__xludf.DUMMYFUNCTION("iferror(max(index(googlefinance($C10, $A$1, N$1, O$1),0,2)),0)"),0.0)</f>
        <v>0</v>
      </c>
      <c r="O10" s="6">
        <f>IFERROR(__xludf.DUMMYFUNCTION("iferror(max(index(googlefinance($C10, $A$1, O$1, P$1),0,2)),0)"),0.0)</f>
        <v>0</v>
      </c>
    </row>
    <row r="11">
      <c r="A11" s="4"/>
      <c r="B11" s="4" t="s">
        <v>19</v>
      </c>
      <c r="C11" s="4" t="s">
        <v>20</v>
      </c>
      <c r="D11" s="6">
        <f>IFERROR(__xludf.DUMMYFUNCTION("iferror(max(index(googlefinance($C11, $A$1, D$1, E$1),0,2)),0)"),128.44)</f>
        <v>128.44</v>
      </c>
      <c r="E11" s="6">
        <f>IFERROR(__xludf.DUMMYFUNCTION("iferror(max(index(googlefinance($C11, $A$1, E$1, F$1),0,2)),0)"),139.32)</f>
        <v>139.32</v>
      </c>
      <c r="F11" s="6">
        <f>IFERROR(__xludf.DUMMYFUNCTION("iferror(max(index(googlefinance($C11, $A$1, F$1, G$1),0,2)),0)"),147.93)</f>
        <v>147.93</v>
      </c>
      <c r="G11" s="6">
        <f>IFERROR(__xludf.DUMMYFUNCTION("iferror(max(index(googlefinance($C11, $A$1, G$1, H$1),0,2)),0)"),0.0)</f>
        <v>0</v>
      </c>
      <c r="H11" s="6">
        <f>IFERROR(__xludf.DUMMYFUNCTION("iferror(max(index(googlefinance($C11, $A$1, H$1, I$1),0,2)),0)"),0.0)</f>
        <v>0</v>
      </c>
      <c r="I11" s="6">
        <f>IFERROR(__xludf.DUMMYFUNCTION("iferror(max(index(googlefinance($C11, $A$1, I$1, J$1),0,2)),0)"),0.0)</f>
        <v>0</v>
      </c>
      <c r="J11" s="6">
        <f>IFERROR(__xludf.DUMMYFUNCTION("iferror(max(index(googlefinance($C11, $A$1, J$1, K$1),0,2)),0)"),0.0)</f>
        <v>0</v>
      </c>
      <c r="K11" s="6">
        <f>IFERROR(__xludf.DUMMYFUNCTION("iferror(max(index(googlefinance($C11, $A$1, K$1, L$1),0,2)),0)"),0.0)</f>
        <v>0</v>
      </c>
      <c r="L11" s="6">
        <f>IFERROR(__xludf.DUMMYFUNCTION("iferror(max(index(googlefinance($C11, $A$1, L$1, M$1),0,2)),0)"),0.0)</f>
        <v>0</v>
      </c>
      <c r="M11" s="6">
        <f>IFERROR(__xludf.DUMMYFUNCTION("iferror(max(index(googlefinance($C11, $A$1, M$1, N$1),0,2)),0)"),0.0)</f>
        <v>0</v>
      </c>
      <c r="N11" s="6">
        <f>IFERROR(__xludf.DUMMYFUNCTION("iferror(max(index(googlefinance($C11, $A$1, N$1, O$1),0,2)),0)"),0.0)</f>
        <v>0</v>
      </c>
      <c r="O11" s="6">
        <f>IFERROR(__xludf.DUMMYFUNCTION("iferror(max(index(googlefinance($C11, $A$1, O$1, P$1),0,2)),0)"),0.0)</f>
        <v>0</v>
      </c>
    </row>
    <row r="12">
      <c r="A12" s="4"/>
      <c r="B12" s="4" t="s">
        <v>21</v>
      </c>
      <c r="C12" s="4" t="s">
        <v>22</v>
      </c>
      <c r="D12" s="6">
        <f>IFERROR(__xludf.DUMMYFUNCTION("iferror(max(index(googlefinance($C12, $A$1, D$1, E$1),0,2)),0)"),182.59)</f>
        <v>182.59</v>
      </c>
      <c r="E12" s="6">
        <f>IFERROR(__xludf.DUMMYFUNCTION("iferror(max(index(googlefinance($C12, $A$1, E$1, F$1),0,2)),0)"),200.6)</f>
        <v>200.6</v>
      </c>
      <c r="F12" s="6">
        <f>IFERROR(__xludf.DUMMYFUNCTION("iferror(max(index(googlefinance($C12, $A$1, F$1, G$1),0,2)),0)"),203.02)</f>
        <v>203.02</v>
      </c>
      <c r="G12" s="6">
        <f>IFERROR(__xludf.DUMMYFUNCTION("iferror(max(index(googlefinance($C12, $A$1, G$1, H$1),0,2)),0)"),0.0)</f>
        <v>0</v>
      </c>
      <c r="H12" s="6">
        <f>IFERROR(__xludf.DUMMYFUNCTION("iferror(max(index(googlefinance($C12, $A$1, H$1, I$1),0,2)),0)"),0.0)</f>
        <v>0</v>
      </c>
      <c r="I12" s="6">
        <f>IFERROR(__xludf.DUMMYFUNCTION("iferror(max(index(googlefinance($C12, $A$1, I$1, J$1),0,2)),0)"),0.0)</f>
        <v>0</v>
      </c>
      <c r="J12" s="6">
        <f>IFERROR(__xludf.DUMMYFUNCTION("iferror(max(index(googlefinance($C12, $A$1, J$1, K$1),0,2)),0)"),0.0)</f>
        <v>0</v>
      </c>
      <c r="K12" s="6">
        <f>IFERROR(__xludf.DUMMYFUNCTION("iferror(max(index(googlefinance($C12, $A$1, K$1, L$1),0,2)),0)"),0.0)</f>
        <v>0</v>
      </c>
      <c r="L12" s="6">
        <f>IFERROR(__xludf.DUMMYFUNCTION("iferror(max(index(googlefinance($C12, $A$1, L$1, M$1),0,2)),0)"),0.0)</f>
        <v>0</v>
      </c>
      <c r="M12" s="6">
        <f>IFERROR(__xludf.DUMMYFUNCTION("iferror(max(index(googlefinance($C12, $A$1, M$1, N$1),0,2)),0)"),0.0)</f>
        <v>0</v>
      </c>
      <c r="N12" s="6">
        <f>IFERROR(__xludf.DUMMYFUNCTION("iferror(max(index(googlefinance($C12, $A$1, N$1, O$1),0,2)),0)"),0.0)</f>
        <v>0</v>
      </c>
      <c r="O12" s="6">
        <f>IFERROR(__xludf.DUMMYFUNCTION("iferror(max(index(googlefinance($C12, $A$1, O$1, P$1),0,2)),0)"),0.0)</f>
        <v>0</v>
      </c>
    </row>
    <row r="13">
      <c r="A13" s="4"/>
      <c r="B13" s="4" t="s">
        <v>23</v>
      </c>
      <c r="C13" s="4" t="s">
        <v>24</v>
      </c>
      <c r="D13" s="6">
        <f>IFERROR(__xludf.DUMMYFUNCTION("iferror(max(index(googlefinance($C13, $A$1, D$1, E$1),0,2)),0)"),593.29)</f>
        <v>593.29</v>
      </c>
      <c r="E13" s="6">
        <f>IFERROR(__xludf.DUMMYFUNCTION("iferror(max(index(googlefinance($C13, $A$1, E$1, F$1),0,2)),0)"),566.65)</f>
        <v>566.65</v>
      </c>
      <c r="F13" s="6">
        <f>IFERROR(__xludf.DUMMYFUNCTION("iferror(max(index(googlefinance($C13, $A$1, F$1, G$1),0,2)),0)"),556.99)</f>
        <v>556.99</v>
      </c>
      <c r="G13" s="6">
        <f>IFERROR(__xludf.DUMMYFUNCTION("iferror(max(index(googlefinance($C13, $A$1, G$1, H$1),0,2)),0)"),0.0)</f>
        <v>0</v>
      </c>
      <c r="H13" s="6">
        <f>IFERROR(__xludf.DUMMYFUNCTION("iferror(max(index(googlefinance($C13, $A$1, H$1, I$1),0,2)),0)"),0.0)</f>
        <v>0</v>
      </c>
      <c r="I13" s="6">
        <f>IFERROR(__xludf.DUMMYFUNCTION("iferror(max(index(googlefinance($C13, $A$1, I$1, J$1),0,2)),0)"),0.0)</f>
        <v>0</v>
      </c>
      <c r="J13" s="6">
        <f>IFERROR(__xludf.DUMMYFUNCTION("iferror(max(index(googlefinance($C13, $A$1, J$1, K$1),0,2)),0)"),0.0)</f>
        <v>0</v>
      </c>
      <c r="K13" s="6">
        <f>IFERROR(__xludf.DUMMYFUNCTION("iferror(max(index(googlefinance($C13, $A$1, K$1, L$1),0,2)),0)"),0.0)</f>
        <v>0</v>
      </c>
      <c r="L13" s="6">
        <f>IFERROR(__xludf.DUMMYFUNCTION("iferror(max(index(googlefinance($C13, $A$1, L$1, M$1),0,2)),0)"),0.0)</f>
        <v>0</v>
      </c>
      <c r="M13" s="6">
        <f>IFERROR(__xludf.DUMMYFUNCTION("iferror(max(index(googlefinance($C13, $A$1, M$1, N$1),0,2)),0)"),0.0)</f>
        <v>0</v>
      </c>
      <c r="N13" s="6">
        <f>IFERROR(__xludf.DUMMYFUNCTION("iferror(max(index(googlefinance($C13, $A$1, N$1, O$1),0,2)),0)"),0.0)</f>
        <v>0</v>
      </c>
      <c r="O13" s="6">
        <f>IFERROR(__xludf.DUMMYFUNCTION("iferror(max(index(googlefinance($C13, $A$1, O$1, P$1),0,2)),0)"),0.0)</f>
        <v>0</v>
      </c>
    </row>
    <row r="14">
      <c r="A14" s="4"/>
      <c r="B14" s="4" t="s">
        <v>25</v>
      </c>
      <c r="C14" s="4" t="s">
        <v>26</v>
      </c>
      <c r="D14" s="6">
        <f>IFERROR(__xludf.DUMMYFUNCTION("iferror(max(index(googlefinance($C14, $A$1, D$1, E$1),0,2)),0)"),199.96)</f>
        <v>199.96</v>
      </c>
      <c r="E14" s="6">
        <f>IFERROR(__xludf.DUMMYFUNCTION("iferror(max(index(googlefinance($C14, $A$1, E$1, F$1),0,2)),0)"),196.25)</f>
        <v>196.25</v>
      </c>
      <c r="F14" s="6">
        <f>IFERROR(__xludf.DUMMYFUNCTION("iferror(max(index(googlefinance($C14, $A$1, F$1, G$1),0,2)),0)"),193.58)</f>
        <v>193.58</v>
      </c>
      <c r="G14" s="6">
        <f>IFERROR(__xludf.DUMMYFUNCTION("iferror(max(index(googlefinance($C14, $A$1, G$1, H$1),0,2)),0)"),0.0)</f>
        <v>0</v>
      </c>
      <c r="H14" s="6">
        <f>IFERROR(__xludf.DUMMYFUNCTION("iferror(max(index(googlefinance($C14, $A$1, H$1, I$1),0,2)),0)"),0.0)</f>
        <v>0</v>
      </c>
      <c r="I14" s="6">
        <f>IFERROR(__xludf.DUMMYFUNCTION("iferror(max(index(googlefinance($C14, $A$1, I$1, J$1),0,2)),0)"),0.0)</f>
        <v>0</v>
      </c>
      <c r="J14" s="6">
        <f>IFERROR(__xludf.DUMMYFUNCTION("iferror(max(index(googlefinance($C14, $A$1, J$1, K$1),0,2)),0)"),0.0)</f>
        <v>0</v>
      </c>
      <c r="K14" s="6">
        <f>IFERROR(__xludf.DUMMYFUNCTION("iferror(max(index(googlefinance($C14, $A$1, K$1, L$1),0,2)),0)"),0.0)</f>
        <v>0</v>
      </c>
      <c r="L14" s="6">
        <f>IFERROR(__xludf.DUMMYFUNCTION("iferror(max(index(googlefinance($C14, $A$1, L$1, M$1),0,2)),0)"),0.0)</f>
        <v>0</v>
      </c>
      <c r="M14" s="6">
        <f>IFERROR(__xludf.DUMMYFUNCTION("iferror(max(index(googlefinance($C14, $A$1, M$1, N$1),0,2)),0)"),0.0)</f>
        <v>0</v>
      </c>
      <c r="N14" s="6">
        <f>IFERROR(__xludf.DUMMYFUNCTION("iferror(max(index(googlefinance($C14, $A$1, N$1, O$1),0,2)),0)"),0.0)</f>
        <v>0</v>
      </c>
      <c r="O14" s="6">
        <f>IFERROR(__xludf.DUMMYFUNCTION("iferror(max(index(googlefinance($C14, $A$1, O$1, P$1),0,2)),0)"),0.0)</f>
        <v>0</v>
      </c>
    </row>
    <row r="15">
      <c r="A15" s="4"/>
      <c r="B15" s="4" t="s">
        <v>27</v>
      </c>
      <c r="C15" s="4" t="s">
        <v>28</v>
      </c>
      <c r="D15" s="6">
        <f>IFERROR(__xludf.DUMMYFUNCTION("iferror(max(index(googlefinance($C15, $A$1, D$1, E$1),0,2)),0)"),53.9)</f>
        <v>53.9</v>
      </c>
      <c r="E15" s="6">
        <f>IFERROR(__xludf.DUMMYFUNCTION("iferror(max(index(googlefinance($C15, $A$1, E$1, F$1),0,2)),0)"),34.68)</f>
        <v>34.68</v>
      </c>
      <c r="F15" s="6">
        <f>IFERROR(__xludf.DUMMYFUNCTION("iferror(max(index(googlefinance($C15, $A$1, F$1, G$1),0,2)),0)"),33.33)</f>
        <v>33.33</v>
      </c>
      <c r="G15" s="6">
        <f>IFERROR(__xludf.DUMMYFUNCTION("iferror(max(index(googlefinance($C15, $A$1, G$1, H$1),0,2)),0)"),0.0)</f>
        <v>0</v>
      </c>
      <c r="H15" s="6">
        <f>IFERROR(__xludf.DUMMYFUNCTION("iferror(max(index(googlefinance($C15, $A$1, H$1, I$1),0,2)),0)"),0.0)</f>
        <v>0</v>
      </c>
      <c r="I15" s="6">
        <f>IFERROR(__xludf.DUMMYFUNCTION("iferror(max(index(googlefinance($C15, $A$1, I$1, J$1),0,2)),0)"),0.0)</f>
        <v>0</v>
      </c>
      <c r="J15" s="6">
        <f>IFERROR(__xludf.DUMMYFUNCTION("iferror(max(index(googlefinance($C15, $A$1, J$1, K$1),0,2)),0)"),0.0)</f>
        <v>0</v>
      </c>
      <c r="K15" s="6">
        <f>IFERROR(__xludf.DUMMYFUNCTION("iferror(max(index(googlefinance($C15, $A$1, K$1, L$1),0,2)),0)"),0.0)</f>
        <v>0</v>
      </c>
      <c r="L15" s="6">
        <f>IFERROR(__xludf.DUMMYFUNCTION("iferror(max(index(googlefinance($C15, $A$1, L$1, M$1),0,2)),0)"),0.0)</f>
        <v>0</v>
      </c>
      <c r="M15" s="6">
        <f>IFERROR(__xludf.DUMMYFUNCTION("iferror(max(index(googlefinance($C15, $A$1, M$1, N$1),0,2)),0)"),0.0)</f>
        <v>0</v>
      </c>
      <c r="N15" s="6">
        <f>IFERROR(__xludf.DUMMYFUNCTION("iferror(max(index(googlefinance($C15, $A$1, N$1, O$1),0,2)),0)"),0.0)</f>
        <v>0</v>
      </c>
      <c r="O15" s="6">
        <f>IFERROR(__xludf.DUMMYFUNCTION("iferror(max(index(googlefinance($C15, $A$1, O$1, P$1),0,2)),0)"),0.0)</f>
        <v>0</v>
      </c>
    </row>
    <row r="16">
      <c r="A16" s="4"/>
      <c r="B16" s="4" t="s">
        <v>29</v>
      </c>
      <c r="C16" s="4" t="s">
        <v>30</v>
      </c>
      <c r="D16" s="6">
        <f>IFERROR(__xludf.DUMMYFUNCTION("iferror(max(index(googlefinance($C16, $A$1, D$1, E$1),0,2)),0)"),147.1)</f>
        <v>147.1</v>
      </c>
      <c r="E16" s="6">
        <f>IFERROR(__xludf.DUMMYFUNCTION("iferror(max(index(googlefinance($C16, $A$1, E$1, F$1),0,2)),0)"),145.88)</f>
        <v>145.88</v>
      </c>
      <c r="F16" s="6">
        <f>IFERROR(__xludf.DUMMYFUNCTION("iferror(max(index(googlefinance($C16, $A$1, F$1, G$1),0,2)),0)"),146.66)</f>
        <v>146.66</v>
      </c>
      <c r="G16" s="6">
        <f>IFERROR(__xludf.DUMMYFUNCTION("iferror(max(index(googlefinance($C16, $A$1, G$1, H$1),0,2)),0)"),0.0)</f>
        <v>0</v>
      </c>
      <c r="H16" s="6">
        <f>IFERROR(__xludf.DUMMYFUNCTION("iferror(max(index(googlefinance($C16, $A$1, H$1, I$1),0,2)),0)"),0.0)</f>
        <v>0</v>
      </c>
      <c r="I16" s="6">
        <f>IFERROR(__xludf.DUMMYFUNCTION("iferror(max(index(googlefinance($C16, $A$1, I$1, J$1),0,2)),0)"),0.0)</f>
        <v>0</v>
      </c>
      <c r="J16" s="6">
        <f>IFERROR(__xludf.DUMMYFUNCTION("iferror(max(index(googlefinance($C16, $A$1, J$1, K$1),0,2)),0)"),0.0)</f>
        <v>0</v>
      </c>
      <c r="K16" s="6">
        <f>IFERROR(__xludf.DUMMYFUNCTION("iferror(max(index(googlefinance($C16, $A$1, K$1, L$1),0,2)),0)"),0.0)</f>
        <v>0</v>
      </c>
      <c r="L16" s="6">
        <f>IFERROR(__xludf.DUMMYFUNCTION("iferror(max(index(googlefinance($C16, $A$1, L$1, M$1),0,2)),0)"),0.0)</f>
        <v>0</v>
      </c>
      <c r="M16" s="6">
        <f>IFERROR(__xludf.DUMMYFUNCTION("iferror(max(index(googlefinance($C16, $A$1, M$1, N$1),0,2)),0)"),0.0)</f>
        <v>0</v>
      </c>
      <c r="N16" s="6">
        <f>IFERROR(__xludf.DUMMYFUNCTION("iferror(max(index(googlefinance($C16, $A$1, N$1, O$1),0,2)),0)"),0.0)</f>
        <v>0</v>
      </c>
      <c r="O16" s="6">
        <f>IFERROR(__xludf.DUMMYFUNCTION("iferror(max(index(googlefinance($C16, $A$1, O$1, P$1),0,2)),0)"),0.0)</f>
        <v>0</v>
      </c>
    </row>
    <row r="17">
      <c r="A17" s="4"/>
      <c r="B17" s="4" t="s">
        <v>31</v>
      </c>
      <c r="C17" s="4" t="s">
        <v>32</v>
      </c>
      <c r="D17" s="6">
        <f>IFERROR(__xludf.DUMMYFUNCTION("iferror(max(index(googlefinance($C17, $A$1, D$1, E$1),0,2)),0)"),183.78)</f>
        <v>183.78</v>
      </c>
      <c r="E17" s="6">
        <f>IFERROR(__xludf.DUMMYFUNCTION("iferror(max(index(googlefinance($C17, $A$1, E$1, F$1),0,2)),0)"),180.25)</f>
        <v>180.25</v>
      </c>
      <c r="F17" s="6">
        <f>IFERROR(__xludf.DUMMYFUNCTION("iferror(max(index(googlefinance($C17, $A$1, F$1, G$1),0,2)),0)"),180.21)</f>
        <v>180.21</v>
      </c>
      <c r="G17" s="6">
        <f>IFERROR(__xludf.DUMMYFUNCTION("iferror(max(index(googlefinance($C17, $A$1, G$1, H$1),0,2)),0)"),0.0)</f>
        <v>0</v>
      </c>
      <c r="H17" s="6">
        <f>IFERROR(__xludf.DUMMYFUNCTION("iferror(max(index(googlefinance($C17, $A$1, H$1, I$1),0,2)),0)"),0.0)</f>
        <v>0</v>
      </c>
      <c r="I17" s="6">
        <f>IFERROR(__xludf.DUMMYFUNCTION("iferror(max(index(googlefinance($C17, $A$1, I$1, J$1),0,2)),0)"),0.0)</f>
        <v>0</v>
      </c>
      <c r="J17" s="6">
        <f>IFERROR(__xludf.DUMMYFUNCTION("iferror(max(index(googlefinance($C17, $A$1, J$1, K$1),0,2)),0)"),0.0)</f>
        <v>0</v>
      </c>
      <c r="K17" s="6">
        <f>IFERROR(__xludf.DUMMYFUNCTION("iferror(max(index(googlefinance($C17, $A$1, K$1, L$1),0,2)),0)"),0.0)</f>
        <v>0</v>
      </c>
      <c r="L17" s="6">
        <f>IFERROR(__xludf.DUMMYFUNCTION("iferror(max(index(googlefinance($C17, $A$1, L$1, M$1),0,2)),0)"),0.0)</f>
        <v>0</v>
      </c>
      <c r="M17" s="6">
        <f>IFERROR(__xludf.DUMMYFUNCTION("iferror(max(index(googlefinance($C17, $A$1, M$1, N$1),0,2)),0)"),0.0)</f>
        <v>0</v>
      </c>
      <c r="N17" s="6">
        <f>IFERROR(__xludf.DUMMYFUNCTION("iferror(max(index(googlefinance($C17, $A$1, N$1, O$1),0,2)),0)"),0.0)</f>
        <v>0</v>
      </c>
      <c r="O17" s="6">
        <f>IFERROR(__xludf.DUMMYFUNCTION("iferror(max(index(googlefinance($C17, $A$1, O$1, P$1),0,2)),0)"),0.0)</f>
        <v>0</v>
      </c>
    </row>
    <row r="18">
      <c r="A18" s="4"/>
      <c r="B18" s="4" t="s">
        <v>33</v>
      </c>
      <c r="C18" s="4" t="s">
        <v>34</v>
      </c>
      <c r="D18" s="6">
        <f>IFERROR(__xludf.DUMMYFUNCTION("iferror(max(index(googlefinance($C18, $A$1, D$1, E$1),0,2)),0)"),71.0)</f>
        <v>71</v>
      </c>
      <c r="E18" s="6">
        <f>IFERROR(__xludf.DUMMYFUNCTION("iferror(max(index(googlefinance($C18, $A$1, E$1, F$1),0,2)),0)"),59.0)</f>
        <v>59</v>
      </c>
      <c r="F18" s="6">
        <f>IFERROR(__xludf.DUMMYFUNCTION("iferror(max(index(googlefinance($C18, $A$1, F$1, G$1),0,2)),0)"),49.8)</f>
        <v>49.8</v>
      </c>
      <c r="G18" s="6">
        <f>IFERROR(__xludf.DUMMYFUNCTION("iferror(max(index(googlefinance($C18, $A$1, G$1, H$1),0,2)),0)"),0.0)</f>
        <v>0</v>
      </c>
      <c r="H18" s="6">
        <f>IFERROR(__xludf.DUMMYFUNCTION("iferror(max(index(googlefinance($C18, $A$1, H$1, I$1),0,2)),0)"),0.0)</f>
        <v>0</v>
      </c>
      <c r="I18" s="6">
        <f>IFERROR(__xludf.DUMMYFUNCTION("iferror(max(index(googlefinance($C18, $A$1, I$1, J$1),0,2)),0)"),0.0)</f>
        <v>0</v>
      </c>
      <c r="J18" s="6">
        <f>IFERROR(__xludf.DUMMYFUNCTION("iferror(max(index(googlefinance($C18, $A$1, J$1, K$1),0,2)),0)"),0.0)</f>
        <v>0</v>
      </c>
      <c r="K18" s="6">
        <f>IFERROR(__xludf.DUMMYFUNCTION("iferror(max(index(googlefinance($C18, $A$1, K$1, L$1),0,2)),0)"),0.0)</f>
        <v>0</v>
      </c>
      <c r="L18" s="6">
        <f>IFERROR(__xludf.DUMMYFUNCTION("iferror(max(index(googlefinance($C18, $A$1, L$1, M$1),0,2)),0)"),0.0)</f>
        <v>0</v>
      </c>
      <c r="M18" s="6">
        <f>IFERROR(__xludf.DUMMYFUNCTION("iferror(max(index(googlefinance($C18, $A$1, M$1, N$1),0,2)),0)"),0.0)</f>
        <v>0</v>
      </c>
      <c r="N18" s="6">
        <f>IFERROR(__xludf.DUMMYFUNCTION("iferror(max(index(googlefinance($C18, $A$1, N$1, O$1),0,2)),0)"),0.0)</f>
        <v>0</v>
      </c>
      <c r="O18" s="6">
        <f>IFERROR(__xludf.DUMMYFUNCTION("iferror(max(index(googlefinance($C18, $A$1, O$1, P$1),0,2)),0)"),0.0)</f>
        <v>0</v>
      </c>
    </row>
    <row r="19">
      <c r="A19" s="4"/>
      <c r="B19" s="4" t="s">
        <v>35</v>
      </c>
      <c r="C19" s="4" t="s">
        <v>36</v>
      </c>
      <c r="D19" s="6">
        <f>IFERROR(__xludf.DUMMYFUNCTION("iferror(max(index(googlefinance($C19, $A$1, D$1, E$1),0,2)),0)"),155.81)</f>
        <v>155.81</v>
      </c>
      <c r="E19" s="6">
        <f>IFERROR(__xludf.DUMMYFUNCTION("iferror(max(index(googlefinance($C19, $A$1, E$1, F$1),0,2)),0)"),163.37)</f>
        <v>163.37</v>
      </c>
      <c r="F19" s="6">
        <f>IFERROR(__xludf.DUMMYFUNCTION("iferror(max(index(googlefinance($C19, $A$1, F$1, G$1),0,2)),0)"),159.55)</f>
        <v>159.55</v>
      </c>
      <c r="G19" s="6">
        <f>IFERROR(__xludf.DUMMYFUNCTION("iferror(max(index(googlefinance($C19, $A$1, G$1, H$1),0,2)),0)"),0.0)</f>
        <v>0</v>
      </c>
      <c r="H19" s="6">
        <f>IFERROR(__xludf.DUMMYFUNCTION("iferror(max(index(googlefinance($C19, $A$1, H$1, I$1),0,2)),0)"),0.0)</f>
        <v>0</v>
      </c>
      <c r="I19" s="6">
        <f>IFERROR(__xludf.DUMMYFUNCTION("iferror(max(index(googlefinance($C19, $A$1, I$1, J$1),0,2)),0)"),0.0)</f>
        <v>0</v>
      </c>
      <c r="J19" s="6">
        <f>IFERROR(__xludf.DUMMYFUNCTION("iferror(max(index(googlefinance($C19, $A$1, J$1, K$1),0,2)),0)"),0.0)</f>
        <v>0</v>
      </c>
      <c r="K19" s="6">
        <f>IFERROR(__xludf.DUMMYFUNCTION("iferror(max(index(googlefinance($C19, $A$1, K$1, L$1),0,2)),0)"),0.0)</f>
        <v>0</v>
      </c>
      <c r="L19" s="6">
        <f>IFERROR(__xludf.DUMMYFUNCTION("iferror(max(index(googlefinance($C19, $A$1, L$1, M$1),0,2)),0)"),0.0)</f>
        <v>0</v>
      </c>
      <c r="M19" s="6">
        <f>IFERROR(__xludf.DUMMYFUNCTION("iferror(max(index(googlefinance($C19, $A$1, M$1, N$1),0,2)),0)"),0.0)</f>
        <v>0</v>
      </c>
      <c r="N19" s="6">
        <f>IFERROR(__xludf.DUMMYFUNCTION("iferror(max(index(googlefinance($C19, $A$1, N$1, O$1),0,2)),0)"),0.0)</f>
        <v>0</v>
      </c>
      <c r="O19" s="6">
        <f>IFERROR(__xludf.DUMMYFUNCTION("iferror(max(index(googlefinance($C19, $A$1, O$1, P$1),0,2)),0)"),0.0)</f>
        <v>0</v>
      </c>
    </row>
    <row r="20">
      <c r="A20" s="4"/>
      <c r="B20" s="4" t="s">
        <v>37</v>
      </c>
      <c r="C20" s="4" t="s">
        <v>38</v>
      </c>
      <c r="D20" s="6">
        <f>IFERROR(__xludf.DUMMYFUNCTION("iferror(max(index(googlefinance($C20, $A$1, D$1, E$1),0,2)),0)"),286.79)</f>
        <v>286.79</v>
      </c>
      <c r="E20" s="6">
        <f>IFERROR(__xludf.DUMMYFUNCTION("iferror(max(index(googlefinance($C20, $A$1, E$1, F$1),0,2)),0)"),276.6)</f>
        <v>276.6</v>
      </c>
      <c r="F20" s="6">
        <f>IFERROR(__xludf.DUMMYFUNCTION("iferror(max(index(googlefinance($C20, $A$1, F$1, G$1),0,2)),0)"),292.8)</f>
        <v>292.8</v>
      </c>
      <c r="G20" s="6">
        <f>IFERROR(__xludf.DUMMYFUNCTION("iferror(max(index(googlefinance($C20, $A$1, G$1, H$1),0,2)),0)"),0.0)</f>
        <v>0</v>
      </c>
      <c r="H20" s="6">
        <f>IFERROR(__xludf.DUMMYFUNCTION("iferror(max(index(googlefinance($C20, $A$1, H$1, I$1),0,2)),0)"),0.0)</f>
        <v>0</v>
      </c>
      <c r="I20" s="6">
        <f>IFERROR(__xludf.DUMMYFUNCTION("iferror(max(index(googlefinance($C20, $A$1, I$1, J$1),0,2)),0)"),0.0)</f>
        <v>0</v>
      </c>
      <c r="J20" s="6">
        <f>IFERROR(__xludf.DUMMYFUNCTION("iferror(max(index(googlefinance($C20, $A$1, J$1, K$1),0,2)),0)"),0.0)</f>
        <v>0</v>
      </c>
      <c r="K20" s="6">
        <f>IFERROR(__xludf.DUMMYFUNCTION("iferror(max(index(googlefinance($C20, $A$1, K$1, L$1),0,2)),0)"),0.0)</f>
        <v>0</v>
      </c>
      <c r="L20" s="6">
        <f>IFERROR(__xludf.DUMMYFUNCTION("iferror(max(index(googlefinance($C20, $A$1, L$1, M$1),0,2)),0)"),0.0)</f>
        <v>0</v>
      </c>
      <c r="M20" s="6">
        <f>IFERROR(__xludf.DUMMYFUNCTION("iferror(max(index(googlefinance($C20, $A$1, M$1, N$1),0,2)),0)"),0.0)</f>
        <v>0</v>
      </c>
      <c r="N20" s="6">
        <f>IFERROR(__xludf.DUMMYFUNCTION("iferror(max(index(googlefinance($C20, $A$1, N$1, O$1),0,2)),0)"),0.0)</f>
        <v>0</v>
      </c>
      <c r="O20" s="6">
        <f>IFERROR(__xludf.DUMMYFUNCTION("iferror(max(index(googlefinance($C20, $A$1, O$1, P$1),0,2)),0)"),0.0)</f>
        <v>0</v>
      </c>
    </row>
    <row r="21">
      <c r="A21" s="4"/>
      <c r="B21" s="4" t="s">
        <v>39</v>
      </c>
      <c r="C21" s="4" t="s">
        <v>40</v>
      </c>
      <c r="D21" s="6">
        <f>IFERROR(__xludf.DUMMYFUNCTION("iferror(max(index(googlefinance($C21, $A$1, D$1, E$1),0,2)),0)"),60.03)</f>
        <v>60.03</v>
      </c>
      <c r="E21" s="6">
        <f>IFERROR(__xludf.DUMMYFUNCTION("iferror(max(index(googlefinance($C21, $A$1, E$1, F$1),0,2)),0)"),64.05)</f>
        <v>64.05</v>
      </c>
      <c r="F21" s="6">
        <f>IFERROR(__xludf.DUMMYFUNCTION("iferror(max(index(googlefinance($C21, $A$1, F$1, G$1),0,2)),0)"),61.02)</f>
        <v>61.02</v>
      </c>
      <c r="G21" s="6">
        <f>IFERROR(__xludf.DUMMYFUNCTION("iferror(max(index(googlefinance($C21, $A$1, G$1, H$1),0,2)),0)"),0.0)</f>
        <v>0</v>
      </c>
      <c r="H21" s="6">
        <f>IFERROR(__xludf.DUMMYFUNCTION("iferror(max(index(googlefinance($C21, $A$1, H$1, I$1),0,2)),0)"),0.0)</f>
        <v>0</v>
      </c>
      <c r="I21" s="6">
        <f>IFERROR(__xludf.DUMMYFUNCTION("iferror(max(index(googlefinance($C21, $A$1, I$1, J$1),0,2)),0)"),0.0)</f>
        <v>0</v>
      </c>
      <c r="J21" s="6">
        <f>IFERROR(__xludf.DUMMYFUNCTION("iferror(max(index(googlefinance($C21, $A$1, J$1, K$1),0,2)),0)"),0.0)</f>
        <v>0</v>
      </c>
      <c r="K21" s="6">
        <f>IFERROR(__xludf.DUMMYFUNCTION("iferror(max(index(googlefinance($C21, $A$1, K$1, L$1),0,2)),0)"),0.0)</f>
        <v>0</v>
      </c>
      <c r="L21" s="6">
        <f>IFERROR(__xludf.DUMMYFUNCTION("iferror(max(index(googlefinance($C21, $A$1, L$1, M$1),0,2)),0)"),0.0)</f>
        <v>0</v>
      </c>
      <c r="M21" s="6">
        <f>IFERROR(__xludf.DUMMYFUNCTION("iferror(max(index(googlefinance($C21, $A$1, M$1, N$1),0,2)),0)"),0.0)</f>
        <v>0</v>
      </c>
      <c r="N21" s="6">
        <f>IFERROR(__xludf.DUMMYFUNCTION("iferror(max(index(googlefinance($C21, $A$1, N$1, O$1),0,2)),0)"),0.0)</f>
        <v>0</v>
      </c>
      <c r="O21" s="6">
        <f>IFERROR(__xludf.DUMMYFUNCTION("iferror(max(index(googlefinance($C21, $A$1, O$1, P$1),0,2)),0)"),0.0)</f>
        <v>0</v>
      </c>
    </row>
    <row r="22">
      <c r="A22" s="4"/>
      <c r="B22" s="4" t="s">
        <v>41</v>
      </c>
      <c r="C22" s="4" t="s">
        <v>42</v>
      </c>
      <c r="D22" s="6">
        <f>IFERROR(__xludf.DUMMYFUNCTION("iferror(max(index(googlefinance($C22, $A$1, D$1, E$1),0,2)),0)"),3363.89)</f>
        <v>3363.89</v>
      </c>
      <c r="E22" s="6">
        <f>IFERROR(__xludf.DUMMYFUNCTION("iferror(max(index(googlefinance($C22, $A$1, E$1, F$1),0,2)),0)"),3434.0)</f>
        <v>3434</v>
      </c>
      <c r="F22" s="6">
        <f>IFERROR(__xludf.DUMMYFUNCTION("iferror(max(index(googlefinance($C22, $A$1, F$1, G$1),0,2)),0)"),3173.05)</f>
        <v>3173.05</v>
      </c>
      <c r="G22" s="6">
        <f>IFERROR(__xludf.DUMMYFUNCTION("iferror(max(index(googlefinance($C22, $A$1, G$1, H$1),0,2)),0)"),0.0)</f>
        <v>0</v>
      </c>
      <c r="H22" s="6">
        <f>IFERROR(__xludf.DUMMYFUNCTION("iferror(max(index(googlefinance($C22, $A$1, H$1, I$1),0,2)),0)"),0.0)</f>
        <v>0</v>
      </c>
      <c r="I22" s="6">
        <f>IFERROR(__xludf.DUMMYFUNCTION("iferror(max(index(googlefinance($C22, $A$1, I$1, J$1),0,2)),0)"),0.0)</f>
        <v>0</v>
      </c>
      <c r="J22" s="6">
        <f>IFERROR(__xludf.DUMMYFUNCTION("iferror(max(index(googlefinance($C22, $A$1, J$1, K$1),0,2)),0)"),0.0)</f>
        <v>0</v>
      </c>
      <c r="K22" s="6">
        <f>IFERROR(__xludf.DUMMYFUNCTION("iferror(max(index(googlefinance($C22, $A$1, K$1, L$1),0,2)),0)"),0.0)</f>
        <v>0</v>
      </c>
      <c r="L22" s="6">
        <f>IFERROR(__xludf.DUMMYFUNCTION("iferror(max(index(googlefinance($C22, $A$1, L$1, M$1),0,2)),0)"),0.0)</f>
        <v>0</v>
      </c>
      <c r="M22" s="6">
        <f>IFERROR(__xludf.DUMMYFUNCTION("iferror(max(index(googlefinance($C22, $A$1, M$1, N$1),0,2)),0)"),0.0)</f>
        <v>0</v>
      </c>
      <c r="N22" s="6">
        <f>IFERROR(__xludf.DUMMYFUNCTION("iferror(max(index(googlefinance($C22, $A$1, N$1, O$1),0,2)),0)"),0.0)</f>
        <v>0</v>
      </c>
      <c r="O22" s="6">
        <f>IFERROR(__xludf.DUMMYFUNCTION("iferror(max(index(googlefinance($C22, $A$1, O$1, P$1),0,2)),0)"),0.0)</f>
        <v>0</v>
      </c>
    </row>
    <row r="23">
      <c r="A23" s="4"/>
      <c r="B23" s="4" t="s">
        <v>43</v>
      </c>
      <c r="C23" s="4" t="s">
        <v>44</v>
      </c>
      <c r="D23" s="6">
        <f>IFERROR(__xludf.DUMMYFUNCTION("iferror(max(index(googlefinance($C23, $A$1, D$1, E$1),0,2)),0)"),10.48)</f>
        <v>10.48</v>
      </c>
      <c r="E23" s="6">
        <f>IFERROR(__xludf.DUMMYFUNCTION("iferror(max(index(googlefinance($C23, $A$1, E$1, F$1),0,2)),0)"),15.0)</f>
        <v>15</v>
      </c>
      <c r="F23" s="6">
        <f>IFERROR(__xludf.DUMMYFUNCTION("iferror(max(index(googlefinance($C23, $A$1, F$1, G$1),0,2)),0)"),10.24)</f>
        <v>10.24</v>
      </c>
      <c r="G23" s="6">
        <f>IFERROR(__xludf.DUMMYFUNCTION("iferror(max(index(googlefinance($C23, $A$1, G$1, H$1),0,2)),0)"),0.0)</f>
        <v>0</v>
      </c>
      <c r="H23" s="6">
        <f>IFERROR(__xludf.DUMMYFUNCTION("iferror(max(index(googlefinance($C23, $A$1, H$1, I$1),0,2)),0)"),0.0)</f>
        <v>0</v>
      </c>
      <c r="I23" s="6">
        <f>IFERROR(__xludf.DUMMYFUNCTION("iferror(max(index(googlefinance($C23, $A$1, I$1, J$1),0,2)),0)"),0.0)</f>
        <v>0</v>
      </c>
      <c r="J23" s="6">
        <f>IFERROR(__xludf.DUMMYFUNCTION("iferror(max(index(googlefinance($C23, $A$1, J$1, K$1),0,2)),0)"),0.0)</f>
        <v>0</v>
      </c>
      <c r="K23" s="6">
        <f>IFERROR(__xludf.DUMMYFUNCTION("iferror(max(index(googlefinance($C23, $A$1, K$1, L$1),0,2)),0)"),0.0)</f>
        <v>0</v>
      </c>
      <c r="L23" s="6">
        <f>IFERROR(__xludf.DUMMYFUNCTION("iferror(max(index(googlefinance($C23, $A$1, L$1, M$1),0,2)),0)"),0.0)</f>
        <v>0</v>
      </c>
      <c r="M23" s="6">
        <f>IFERROR(__xludf.DUMMYFUNCTION("iferror(max(index(googlefinance($C23, $A$1, M$1, N$1),0,2)),0)"),0.0)</f>
        <v>0</v>
      </c>
      <c r="N23" s="6">
        <f>IFERROR(__xludf.DUMMYFUNCTION("iferror(max(index(googlefinance($C23, $A$1, N$1, O$1),0,2)),0)"),0.0)</f>
        <v>0</v>
      </c>
      <c r="O23" s="6">
        <f>IFERROR(__xludf.DUMMYFUNCTION("iferror(max(index(googlefinance($C23, $A$1, O$1, P$1),0,2)),0)"),0.0)</f>
        <v>0</v>
      </c>
    </row>
    <row r="24">
      <c r="A24" s="4"/>
      <c r="B24" s="4" t="s">
        <v>45</v>
      </c>
      <c r="C24" s="4" t="s">
        <v>46</v>
      </c>
      <c r="D24" s="6">
        <f>IFERROR(__xludf.DUMMYFUNCTION("iferror(max(index(googlefinance($C24, $A$1, D$1, E$1),0,2)),0)"),25.1)</f>
        <v>25.1</v>
      </c>
      <c r="E24" s="6">
        <f>IFERROR(__xludf.DUMMYFUNCTION("iferror(max(index(googlefinance($C24, $A$1, E$1, F$1),0,2)),0)"),20.29)</f>
        <v>20.29</v>
      </c>
      <c r="F24" s="6">
        <f>IFERROR(__xludf.DUMMYFUNCTION("iferror(max(index(googlefinance($C24, $A$1, F$1, G$1),0,2)),0)"),17.69)</f>
        <v>17.69</v>
      </c>
      <c r="G24" s="6">
        <f>IFERROR(__xludf.DUMMYFUNCTION("iferror(max(index(googlefinance($C24, $A$1, G$1, H$1),0,2)),0)"),0.0)</f>
        <v>0</v>
      </c>
      <c r="H24" s="6">
        <f>IFERROR(__xludf.DUMMYFUNCTION("iferror(max(index(googlefinance($C24, $A$1, H$1, I$1),0,2)),0)"),0.0)</f>
        <v>0</v>
      </c>
      <c r="I24" s="6">
        <f>IFERROR(__xludf.DUMMYFUNCTION("iferror(max(index(googlefinance($C24, $A$1, I$1, J$1),0,2)),0)"),0.0)</f>
        <v>0</v>
      </c>
      <c r="J24" s="6">
        <f>IFERROR(__xludf.DUMMYFUNCTION("iferror(max(index(googlefinance($C24, $A$1, J$1, K$1),0,2)),0)"),0.0)</f>
        <v>0</v>
      </c>
      <c r="K24" s="6">
        <f>IFERROR(__xludf.DUMMYFUNCTION("iferror(max(index(googlefinance($C24, $A$1, K$1, L$1),0,2)),0)"),0.0)</f>
        <v>0</v>
      </c>
      <c r="L24" s="6">
        <f>IFERROR(__xludf.DUMMYFUNCTION("iferror(max(index(googlefinance($C24, $A$1, L$1, M$1),0,2)),0)"),0.0)</f>
        <v>0</v>
      </c>
      <c r="M24" s="6">
        <f>IFERROR(__xludf.DUMMYFUNCTION("iferror(max(index(googlefinance($C24, $A$1, M$1, N$1),0,2)),0)"),0.0)</f>
        <v>0</v>
      </c>
      <c r="N24" s="6">
        <f>IFERROR(__xludf.DUMMYFUNCTION("iferror(max(index(googlefinance($C24, $A$1, N$1, O$1),0,2)),0)"),0.0)</f>
        <v>0</v>
      </c>
      <c r="O24" s="6">
        <f>IFERROR(__xludf.DUMMYFUNCTION("iferror(max(index(googlefinance($C24, $A$1, O$1, P$1),0,2)),0)"),0.0)</f>
        <v>0</v>
      </c>
    </row>
    <row r="25">
      <c r="A25" s="4"/>
      <c r="B25" s="4" t="s">
        <v>47</v>
      </c>
      <c r="C25" s="4" t="s">
        <v>48</v>
      </c>
      <c r="D25" s="6">
        <f>IFERROR(__xludf.DUMMYFUNCTION("iferror(max(index(googlefinance($C25, $A$1, D$1, E$1),0,2)),0)"),59.61)</f>
        <v>59.61</v>
      </c>
      <c r="E25" s="6">
        <f>IFERROR(__xludf.DUMMYFUNCTION("iferror(max(index(googlefinance($C25, $A$1, E$1, F$1),0,2)),0)"),61.1)</f>
        <v>61.1</v>
      </c>
      <c r="F25" s="6">
        <f>IFERROR(__xludf.DUMMYFUNCTION("iferror(max(index(googlefinance($C25, $A$1, F$1, G$1),0,2)),0)"),64.73)</f>
        <v>64.73</v>
      </c>
      <c r="G25" s="6">
        <f>IFERROR(__xludf.DUMMYFUNCTION("iferror(max(index(googlefinance($C25, $A$1, G$1, H$1),0,2)),0)"),0.0)</f>
        <v>0</v>
      </c>
      <c r="H25" s="6">
        <f>IFERROR(__xludf.DUMMYFUNCTION("iferror(max(index(googlefinance($C25, $A$1, H$1, I$1),0,2)),0)"),0.0)</f>
        <v>0</v>
      </c>
      <c r="I25" s="6">
        <f>IFERROR(__xludf.DUMMYFUNCTION("iferror(max(index(googlefinance($C25, $A$1, I$1, J$1),0,2)),0)"),0.0)</f>
        <v>0</v>
      </c>
      <c r="J25" s="6">
        <f>IFERROR(__xludf.DUMMYFUNCTION("iferror(max(index(googlefinance($C25, $A$1, J$1, K$1),0,2)),0)"),0.0)</f>
        <v>0</v>
      </c>
      <c r="K25" s="6">
        <f>IFERROR(__xludf.DUMMYFUNCTION("iferror(max(index(googlefinance($C25, $A$1, K$1, L$1),0,2)),0)"),0.0)</f>
        <v>0</v>
      </c>
      <c r="L25" s="6">
        <f>IFERROR(__xludf.DUMMYFUNCTION("iferror(max(index(googlefinance($C25, $A$1, L$1, M$1),0,2)),0)"),0.0)</f>
        <v>0</v>
      </c>
      <c r="M25" s="6">
        <f>IFERROR(__xludf.DUMMYFUNCTION("iferror(max(index(googlefinance($C25, $A$1, M$1, N$1),0,2)),0)"),0.0)</f>
        <v>0</v>
      </c>
      <c r="N25" s="6">
        <f>IFERROR(__xludf.DUMMYFUNCTION("iferror(max(index(googlefinance($C25, $A$1, N$1, O$1),0,2)),0)"),0.0)</f>
        <v>0</v>
      </c>
      <c r="O25" s="6">
        <f>IFERROR(__xludf.DUMMYFUNCTION("iferror(max(index(googlefinance($C25, $A$1, O$1, P$1),0,2)),0)"),0.0)</f>
        <v>0</v>
      </c>
    </row>
    <row r="26">
      <c r="A26" s="4"/>
      <c r="B26" s="4" t="s">
        <v>49</v>
      </c>
      <c r="C26" s="4" t="s">
        <v>50</v>
      </c>
      <c r="D26" s="6">
        <f>IFERROR(__xludf.DUMMYFUNCTION("iferror(max(index(googlefinance($C26, $A$1, D$1, E$1),0,2)),0)"),55.49)</f>
        <v>55.49</v>
      </c>
      <c r="E26" s="6">
        <f>IFERROR(__xludf.DUMMYFUNCTION("iferror(max(index(googlefinance($C26, $A$1, E$1, F$1),0,2)),0)"),80.75)</f>
        <v>80.75</v>
      </c>
      <c r="F26" s="6">
        <f>IFERROR(__xludf.DUMMYFUNCTION("iferror(max(index(googlefinance($C26, $A$1, F$1, G$1),0,2)),0)"),78.73)</f>
        <v>78.73</v>
      </c>
      <c r="G26" s="6">
        <f>IFERROR(__xludf.DUMMYFUNCTION("iferror(max(index(googlefinance($C26, $A$1, G$1, H$1),0,2)),0)"),0.0)</f>
        <v>0</v>
      </c>
      <c r="H26" s="6">
        <f>IFERROR(__xludf.DUMMYFUNCTION("iferror(max(index(googlefinance($C26, $A$1, H$1, I$1),0,2)),0)"),0.0)</f>
        <v>0</v>
      </c>
      <c r="I26" s="6">
        <f>IFERROR(__xludf.DUMMYFUNCTION("iferror(max(index(googlefinance($C26, $A$1, I$1, J$1),0,2)),0)"),0.0)</f>
        <v>0</v>
      </c>
      <c r="J26" s="6">
        <f>IFERROR(__xludf.DUMMYFUNCTION("iferror(max(index(googlefinance($C26, $A$1, J$1, K$1),0,2)),0)"),0.0)</f>
        <v>0</v>
      </c>
      <c r="K26" s="6">
        <f>IFERROR(__xludf.DUMMYFUNCTION("iferror(max(index(googlefinance($C26, $A$1, K$1, L$1),0,2)),0)"),0.0)</f>
        <v>0</v>
      </c>
      <c r="L26" s="6">
        <f>IFERROR(__xludf.DUMMYFUNCTION("iferror(max(index(googlefinance($C26, $A$1, L$1, M$1),0,2)),0)"),0.0)</f>
        <v>0</v>
      </c>
      <c r="M26" s="6">
        <f>IFERROR(__xludf.DUMMYFUNCTION("iferror(max(index(googlefinance($C26, $A$1, M$1, N$1),0,2)),0)"),0.0)</f>
        <v>0</v>
      </c>
      <c r="N26" s="6">
        <f>IFERROR(__xludf.DUMMYFUNCTION("iferror(max(index(googlefinance($C26, $A$1, N$1, O$1),0,2)),0)"),0.0)</f>
        <v>0</v>
      </c>
      <c r="O26" s="6">
        <f>IFERROR(__xludf.DUMMYFUNCTION("iferror(max(index(googlefinance($C26, $A$1, O$1, P$1),0,2)),0)"),0.0)</f>
        <v>0</v>
      </c>
    </row>
    <row r="27">
      <c r="A27" s="4"/>
      <c r="B27" s="4" t="s">
        <v>51</v>
      </c>
      <c r="C27" s="4" t="s">
        <v>52</v>
      </c>
      <c r="D27" s="6">
        <f>IFERROR(__xludf.DUMMYFUNCTION("iferror(max(index(googlefinance($C27, $A$1, D$1, E$1),0,2)),0)"),122.75)</f>
        <v>122.75</v>
      </c>
      <c r="E27" s="6">
        <f>IFERROR(__xludf.DUMMYFUNCTION("iferror(max(index(googlefinance($C27, $A$1, E$1, F$1),0,2)),0)"),119.95)</f>
        <v>119.95</v>
      </c>
      <c r="F27" s="6">
        <f>IFERROR(__xludf.DUMMYFUNCTION("iferror(max(index(googlefinance($C27, $A$1, F$1, G$1),0,2)),0)"),78.08)</f>
        <v>78.08</v>
      </c>
      <c r="G27" s="6">
        <f>IFERROR(__xludf.DUMMYFUNCTION("iferror(max(index(googlefinance($C27, $A$1, G$1, H$1),0,2)),0)"),0.0)</f>
        <v>0</v>
      </c>
      <c r="H27" s="6">
        <f>IFERROR(__xludf.DUMMYFUNCTION("iferror(max(index(googlefinance($C27, $A$1, H$1, I$1),0,2)),0)"),0.0)</f>
        <v>0</v>
      </c>
      <c r="I27" s="6">
        <f>IFERROR(__xludf.DUMMYFUNCTION("iferror(max(index(googlefinance($C27, $A$1, I$1, J$1),0,2)),0)"),0.0)</f>
        <v>0</v>
      </c>
      <c r="J27" s="6">
        <f>IFERROR(__xludf.DUMMYFUNCTION("iferror(max(index(googlefinance($C27, $A$1, J$1, K$1),0,2)),0)"),0.0)</f>
        <v>0</v>
      </c>
      <c r="K27" s="6">
        <f>IFERROR(__xludf.DUMMYFUNCTION("iferror(max(index(googlefinance($C27, $A$1, K$1, L$1),0,2)),0)"),0.0)</f>
        <v>0</v>
      </c>
      <c r="L27" s="6">
        <f>IFERROR(__xludf.DUMMYFUNCTION("iferror(max(index(googlefinance($C27, $A$1, L$1, M$1),0,2)),0)"),0.0)</f>
        <v>0</v>
      </c>
      <c r="M27" s="6">
        <f>IFERROR(__xludf.DUMMYFUNCTION("iferror(max(index(googlefinance($C27, $A$1, M$1, N$1),0,2)),0)"),0.0)</f>
        <v>0</v>
      </c>
      <c r="N27" s="6">
        <f>IFERROR(__xludf.DUMMYFUNCTION("iferror(max(index(googlefinance($C27, $A$1, N$1, O$1),0,2)),0)"),0.0)</f>
        <v>0</v>
      </c>
      <c r="O27" s="6">
        <f>IFERROR(__xludf.DUMMYFUNCTION("iferror(max(index(googlefinance($C27, $A$1, O$1, P$1),0,2)),0)"),0.0)</f>
        <v>0</v>
      </c>
    </row>
    <row r="28">
      <c r="A28" s="4"/>
      <c r="B28" s="4" t="s">
        <v>53</v>
      </c>
      <c r="C28" s="4" t="s">
        <v>54</v>
      </c>
      <c r="D28" s="6">
        <f>IFERROR(__xludf.DUMMYFUNCTION("iferror(max(index(googlefinance($C28, $A$1, D$1, E$1),0,2)),0)"),448.17)</f>
        <v>448.17</v>
      </c>
      <c r="E28" s="6">
        <f>IFERROR(__xludf.DUMMYFUNCTION("iferror(max(index(googlefinance($C28, $A$1, E$1, F$1),0,2)),0)"),486.72)</f>
        <v>486.72</v>
      </c>
      <c r="F28" s="6">
        <f>IFERROR(__xludf.DUMMYFUNCTION("iferror(max(index(googlefinance($C28, $A$1, F$1, G$1),0,2)),0)"),429.44)</f>
        <v>429.44</v>
      </c>
      <c r="G28" s="6">
        <f>IFERROR(__xludf.DUMMYFUNCTION("iferror(max(index(googlefinance($C28, $A$1, G$1, H$1),0,2)),0)"),0.0)</f>
        <v>0</v>
      </c>
      <c r="H28" s="6">
        <f>IFERROR(__xludf.DUMMYFUNCTION("iferror(max(index(googlefinance($C28, $A$1, H$1, I$1),0,2)),0)"),0.0)</f>
        <v>0</v>
      </c>
      <c r="I28" s="6">
        <f>IFERROR(__xludf.DUMMYFUNCTION("iferror(max(index(googlefinance($C28, $A$1, I$1, J$1),0,2)),0)"),0.0)</f>
        <v>0</v>
      </c>
      <c r="J28" s="6">
        <f>IFERROR(__xludf.DUMMYFUNCTION("iferror(max(index(googlefinance($C28, $A$1, J$1, K$1),0,2)),0)"),0.0)</f>
        <v>0</v>
      </c>
      <c r="K28" s="6">
        <f>IFERROR(__xludf.DUMMYFUNCTION("iferror(max(index(googlefinance($C28, $A$1, K$1, L$1),0,2)),0)"),0.0)</f>
        <v>0</v>
      </c>
      <c r="L28" s="6">
        <f>IFERROR(__xludf.DUMMYFUNCTION("iferror(max(index(googlefinance($C28, $A$1, L$1, M$1),0,2)),0)"),0.0)</f>
        <v>0</v>
      </c>
      <c r="M28" s="6">
        <f>IFERROR(__xludf.DUMMYFUNCTION("iferror(max(index(googlefinance($C28, $A$1, M$1, N$1),0,2)),0)"),0.0)</f>
        <v>0</v>
      </c>
      <c r="N28" s="6">
        <f>IFERROR(__xludf.DUMMYFUNCTION("iferror(max(index(googlefinance($C28, $A$1, N$1, O$1),0,2)),0)"),0.0)</f>
        <v>0</v>
      </c>
      <c r="O28" s="6">
        <f>IFERROR(__xludf.DUMMYFUNCTION("iferror(max(index(googlefinance($C28, $A$1, O$1, P$1),0,2)),0)"),0.0)</f>
        <v>0</v>
      </c>
    </row>
    <row r="29">
      <c r="A29" s="4"/>
      <c r="B29" s="4" t="s">
        <v>55</v>
      </c>
      <c r="C29" s="4" t="s">
        <v>56</v>
      </c>
      <c r="D29" s="6">
        <f>IFERROR(__xludf.DUMMYFUNCTION("iferror(max(index(googlefinance($C29, $A$1, D$1, E$1),0,2)),0)"),38.03)</f>
        <v>38.03</v>
      </c>
      <c r="E29" s="6">
        <f>IFERROR(__xludf.DUMMYFUNCTION("iferror(max(index(googlefinance($C29, $A$1, E$1, F$1),0,2)),0)"),44.49)</f>
        <v>44.49</v>
      </c>
      <c r="F29" s="6">
        <f>IFERROR(__xludf.DUMMYFUNCTION("iferror(max(index(googlefinance($C29, $A$1, F$1, G$1),0,2)),0)"),38.59)</f>
        <v>38.59</v>
      </c>
      <c r="G29" s="6">
        <f>IFERROR(__xludf.DUMMYFUNCTION("iferror(max(index(googlefinance($C29, $A$1, G$1, H$1),0,2)),0)"),0.0)</f>
        <v>0</v>
      </c>
      <c r="H29" s="6">
        <f>IFERROR(__xludf.DUMMYFUNCTION("iferror(max(index(googlefinance($C29, $A$1, H$1, I$1),0,2)),0)"),0.0)</f>
        <v>0</v>
      </c>
      <c r="I29" s="6">
        <f>IFERROR(__xludf.DUMMYFUNCTION("iferror(max(index(googlefinance($C29, $A$1, I$1, J$1),0,2)),0)"),0.0)</f>
        <v>0</v>
      </c>
      <c r="J29" s="6">
        <f>IFERROR(__xludf.DUMMYFUNCTION("iferror(max(index(googlefinance($C29, $A$1, J$1, K$1),0,2)),0)"),0.0)</f>
        <v>0</v>
      </c>
      <c r="K29" s="6">
        <f>IFERROR(__xludf.DUMMYFUNCTION("iferror(max(index(googlefinance($C29, $A$1, K$1, L$1),0,2)),0)"),0.0)</f>
        <v>0</v>
      </c>
      <c r="L29" s="6">
        <f>IFERROR(__xludf.DUMMYFUNCTION("iferror(max(index(googlefinance($C29, $A$1, L$1, M$1),0,2)),0)"),0.0)</f>
        <v>0</v>
      </c>
      <c r="M29" s="6">
        <f>IFERROR(__xludf.DUMMYFUNCTION("iferror(max(index(googlefinance($C29, $A$1, M$1, N$1),0,2)),0)"),0.0)</f>
        <v>0</v>
      </c>
      <c r="N29" s="6">
        <f>IFERROR(__xludf.DUMMYFUNCTION("iferror(max(index(googlefinance($C29, $A$1, N$1, O$1),0,2)),0)"),0.0)</f>
        <v>0</v>
      </c>
      <c r="O29" s="6">
        <f>IFERROR(__xludf.DUMMYFUNCTION("iferror(max(index(googlefinance($C29, $A$1, O$1, P$1),0,2)),0)"),0.0)</f>
        <v>0</v>
      </c>
    </row>
    <row r="30">
      <c r="A30" s="4"/>
      <c r="B30" s="4" t="s">
        <v>57</v>
      </c>
      <c r="C30" s="4" t="s">
        <v>58</v>
      </c>
      <c r="D30" s="6">
        <f>IFERROR(__xludf.DUMMYFUNCTION("iferror(max(index(googlefinance($C30, $A$1, D$1, E$1),0,2)),0)"),149.93)</f>
        <v>149.93</v>
      </c>
      <c r="E30" s="6">
        <f>IFERROR(__xludf.DUMMYFUNCTION("iferror(max(index(googlefinance($C30, $A$1, E$1, F$1),0,2)),0)"),147.5)</f>
        <v>147.5</v>
      </c>
      <c r="F30" s="6">
        <f>IFERROR(__xludf.DUMMYFUNCTION("iferror(max(index(googlefinance($C30, $A$1, F$1, G$1),0,2)),0)"),134.75)</f>
        <v>134.75</v>
      </c>
      <c r="G30" s="6">
        <f>IFERROR(__xludf.DUMMYFUNCTION("iferror(max(index(googlefinance($C30, $A$1, G$1, H$1),0,2)),0)"),0.0)</f>
        <v>0</v>
      </c>
      <c r="H30" s="6">
        <f>IFERROR(__xludf.DUMMYFUNCTION("iferror(max(index(googlefinance($C30, $A$1, H$1, I$1),0,2)),0)"),0.0)</f>
        <v>0</v>
      </c>
      <c r="I30" s="6">
        <f>IFERROR(__xludf.DUMMYFUNCTION("iferror(max(index(googlefinance($C30, $A$1, I$1, J$1),0,2)),0)"),0.0)</f>
        <v>0</v>
      </c>
      <c r="J30" s="6">
        <f>IFERROR(__xludf.DUMMYFUNCTION("iferror(max(index(googlefinance($C30, $A$1, J$1, K$1),0,2)),0)"),0.0)</f>
        <v>0</v>
      </c>
      <c r="K30" s="6">
        <f>IFERROR(__xludf.DUMMYFUNCTION("iferror(max(index(googlefinance($C30, $A$1, K$1, L$1),0,2)),0)"),0.0)</f>
        <v>0</v>
      </c>
      <c r="L30" s="6">
        <f>IFERROR(__xludf.DUMMYFUNCTION("iferror(max(index(googlefinance($C30, $A$1, L$1, M$1),0,2)),0)"),0.0)</f>
        <v>0</v>
      </c>
      <c r="M30" s="6">
        <f>IFERROR(__xludf.DUMMYFUNCTION("iferror(max(index(googlefinance($C30, $A$1, M$1, N$1),0,2)),0)"),0.0)</f>
        <v>0</v>
      </c>
      <c r="N30" s="6">
        <f>IFERROR(__xludf.DUMMYFUNCTION("iferror(max(index(googlefinance($C30, $A$1, N$1, O$1),0,2)),0)"),0.0)</f>
        <v>0</v>
      </c>
      <c r="O30" s="6">
        <f>IFERROR(__xludf.DUMMYFUNCTION("iferror(max(index(googlefinance($C30, $A$1, O$1, P$1),0,2)),0)"),0.0)</f>
        <v>0</v>
      </c>
    </row>
    <row r="31">
      <c r="A31" s="4"/>
      <c r="B31" s="4" t="s">
        <v>59</v>
      </c>
      <c r="C31" s="4" t="s">
        <v>60</v>
      </c>
      <c r="D31" s="6">
        <f>IFERROR(__xludf.DUMMYFUNCTION("iferror(max(index(googlefinance($C31, $A$1, D$1, E$1),0,2)),0)"),30.2)</f>
        <v>30.2</v>
      </c>
      <c r="E31" s="6">
        <f>IFERROR(__xludf.DUMMYFUNCTION("iferror(max(index(googlefinance($C31, $A$1, E$1, F$1),0,2)),0)"),29.81)</f>
        <v>29.81</v>
      </c>
      <c r="F31" s="6">
        <f>IFERROR(__xludf.DUMMYFUNCTION("iferror(max(index(googlefinance($C31, $A$1, F$1, G$1),0,2)),0)"),30.87)</f>
        <v>30.87</v>
      </c>
      <c r="G31" s="6">
        <f>IFERROR(__xludf.DUMMYFUNCTION("iferror(max(index(googlefinance($C31, $A$1, G$1, H$1),0,2)),0)"),0.0)</f>
        <v>0</v>
      </c>
      <c r="H31" s="6">
        <f>IFERROR(__xludf.DUMMYFUNCTION("iferror(max(index(googlefinance($C31, $A$1, H$1, I$1),0,2)),0)"),0.0)</f>
        <v>0</v>
      </c>
      <c r="I31" s="6">
        <f>IFERROR(__xludf.DUMMYFUNCTION("iferror(max(index(googlefinance($C31, $A$1, I$1, J$1),0,2)),0)"),0.0)</f>
        <v>0</v>
      </c>
      <c r="J31" s="6">
        <f>IFERROR(__xludf.DUMMYFUNCTION("iferror(max(index(googlefinance($C31, $A$1, J$1, K$1),0,2)),0)"),0.0)</f>
        <v>0</v>
      </c>
      <c r="K31" s="6">
        <f>IFERROR(__xludf.DUMMYFUNCTION("iferror(max(index(googlefinance($C31, $A$1, K$1, L$1),0,2)),0)"),0.0)</f>
        <v>0</v>
      </c>
      <c r="L31" s="6">
        <f>IFERROR(__xludf.DUMMYFUNCTION("iferror(max(index(googlefinance($C31, $A$1, L$1, M$1),0,2)),0)"),0.0)</f>
        <v>0</v>
      </c>
      <c r="M31" s="6">
        <f>IFERROR(__xludf.DUMMYFUNCTION("iferror(max(index(googlefinance($C31, $A$1, M$1, N$1),0,2)),0)"),0.0)</f>
        <v>0</v>
      </c>
      <c r="N31" s="6">
        <f>IFERROR(__xludf.DUMMYFUNCTION("iferror(max(index(googlefinance($C31, $A$1, N$1, O$1),0,2)),0)"),0.0)</f>
        <v>0</v>
      </c>
      <c r="O31" s="6">
        <f>IFERROR(__xludf.DUMMYFUNCTION("iferror(max(index(googlefinance($C31, $A$1, O$1, P$1),0,2)),0)"),0.0)</f>
        <v>0</v>
      </c>
    </row>
    <row r="32">
      <c r="A32" s="4"/>
      <c r="B32" s="4" t="s">
        <v>61</v>
      </c>
      <c r="C32" s="4" t="s">
        <v>62</v>
      </c>
      <c r="D32" s="6">
        <f>IFERROR(__xludf.DUMMYFUNCTION("iferror(max(index(googlefinance($C32, $A$1, D$1, E$1),0,2)),0)"),188.54)</f>
        <v>188.54</v>
      </c>
      <c r="E32" s="6">
        <f>IFERROR(__xludf.DUMMYFUNCTION("iferror(max(index(googlefinance($C32, $A$1, E$1, F$1),0,2)),0)"),201.15)</f>
        <v>201.15</v>
      </c>
      <c r="F32" s="6">
        <f>IFERROR(__xludf.DUMMYFUNCTION("iferror(max(index(googlefinance($C32, $A$1, F$1, G$1),0,2)),0)"),207.09)</f>
        <v>207.09</v>
      </c>
      <c r="G32" s="6">
        <f>IFERROR(__xludf.DUMMYFUNCTION("iferror(max(index(googlefinance($C32, $A$1, G$1, H$1),0,2)),0)"),0.0)</f>
        <v>0</v>
      </c>
      <c r="H32" s="6">
        <f>IFERROR(__xludf.DUMMYFUNCTION("iferror(max(index(googlefinance($C32, $A$1, H$1, I$1),0,2)),0)"),0.0)</f>
        <v>0</v>
      </c>
      <c r="I32" s="6">
        <f>IFERROR(__xludf.DUMMYFUNCTION("iferror(max(index(googlefinance($C32, $A$1, I$1, J$1),0,2)),0)"),0.0)</f>
        <v>0</v>
      </c>
      <c r="J32" s="6">
        <f>IFERROR(__xludf.DUMMYFUNCTION("iferror(max(index(googlefinance($C32, $A$1, J$1, K$1),0,2)),0)"),0.0)</f>
        <v>0</v>
      </c>
      <c r="K32" s="6">
        <f>IFERROR(__xludf.DUMMYFUNCTION("iferror(max(index(googlefinance($C32, $A$1, K$1, L$1),0,2)),0)"),0.0)</f>
        <v>0</v>
      </c>
      <c r="L32" s="6">
        <f>IFERROR(__xludf.DUMMYFUNCTION("iferror(max(index(googlefinance($C32, $A$1, L$1, M$1),0,2)),0)"),0.0)</f>
        <v>0</v>
      </c>
      <c r="M32" s="6">
        <f>IFERROR(__xludf.DUMMYFUNCTION("iferror(max(index(googlefinance($C32, $A$1, M$1, N$1),0,2)),0)"),0.0)</f>
        <v>0</v>
      </c>
      <c r="N32" s="6">
        <f>IFERROR(__xludf.DUMMYFUNCTION("iferror(max(index(googlefinance($C32, $A$1, N$1, O$1),0,2)),0)"),0.0)</f>
        <v>0</v>
      </c>
      <c r="O32" s="6">
        <f>IFERROR(__xludf.DUMMYFUNCTION("iferror(max(index(googlefinance($C32, $A$1, O$1, P$1),0,2)),0)"),0.0)</f>
        <v>0</v>
      </c>
    </row>
    <row r="33">
      <c r="A33" s="4"/>
      <c r="B33" s="4" t="s">
        <v>63</v>
      </c>
      <c r="C33" s="4" t="s">
        <v>64</v>
      </c>
      <c r="D33" s="6">
        <f>IFERROR(__xludf.DUMMYFUNCTION("iferror(max(index(googlefinance($C33, $A$1, D$1, E$1),0,2)),0)"),27.53)</f>
        <v>27.53</v>
      </c>
      <c r="E33" s="6">
        <f>IFERROR(__xludf.DUMMYFUNCTION("iferror(max(index(googlefinance($C33, $A$1, E$1, F$1),0,2)),0)"),30.04)</f>
        <v>30.04</v>
      </c>
      <c r="F33" s="6">
        <f>IFERROR(__xludf.DUMMYFUNCTION("iferror(max(index(googlefinance($C33, $A$1, F$1, G$1),0,2)),0)"),31.76)</f>
        <v>31.76</v>
      </c>
      <c r="G33" s="6">
        <f>IFERROR(__xludf.DUMMYFUNCTION("iferror(max(index(googlefinance($C33, $A$1, G$1, H$1),0,2)),0)"),0.0)</f>
        <v>0</v>
      </c>
      <c r="H33" s="6">
        <f>IFERROR(__xludf.DUMMYFUNCTION("iferror(max(index(googlefinance($C33, $A$1, H$1, I$1),0,2)),0)"),0.0)</f>
        <v>0</v>
      </c>
      <c r="I33" s="6">
        <f>IFERROR(__xludf.DUMMYFUNCTION("iferror(max(index(googlefinance($C33, $A$1, I$1, J$1),0,2)),0)"),0.0)</f>
        <v>0</v>
      </c>
      <c r="J33" s="6">
        <f>IFERROR(__xludf.DUMMYFUNCTION("iferror(max(index(googlefinance($C33, $A$1, J$1, K$1),0,2)),0)"),0.0)</f>
        <v>0</v>
      </c>
      <c r="K33" s="6">
        <f>IFERROR(__xludf.DUMMYFUNCTION("iferror(max(index(googlefinance($C33, $A$1, K$1, L$1),0,2)),0)"),0.0)</f>
        <v>0</v>
      </c>
      <c r="L33" s="6">
        <f>IFERROR(__xludf.DUMMYFUNCTION("iferror(max(index(googlefinance($C33, $A$1, L$1, M$1),0,2)),0)"),0.0)</f>
        <v>0</v>
      </c>
      <c r="M33" s="6">
        <f>IFERROR(__xludf.DUMMYFUNCTION("iferror(max(index(googlefinance($C33, $A$1, M$1, N$1),0,2)),0)"),0.0)</f>
        <v>0</v>
      </c>
      <c r="N33" s="6">
        <f>IFERROR(__xludf.DUMMYFUNCTION("iferror(max(index(googlefinance($C33, $A$1, N$1, O$1),0,2)),0)"),0.0)</f>
        <v>0</v>
      </c>
      <c r="O33" s="6">
        <f>IFERROR(__xludf.DUMMYFUNCTION("iferror(max(index(googlefinance($C33, $A$1, O$1, P$1),0,2)),0)"),0.0)</f>
        <v>0</v>
      </c>
    </row>
    <row r="34">
      <c r="A34" s="4"/>
      <c r="B34" s="4" t="s">
        <v>65</v>
      </c>
      <c r="C34" s="4" t="s">
        <v>66</v>
      </c>
      <c r="D34" s="6">
        <f>IFERROR(__xludf.DUMMYFUNCTION("iferror(max(index(googlefinance($C34, $A$1, D$1, E$1),0,2)),0)"),41.08)</f>
        <v>41.08</v>
      </c>
      <c r="E34" s="6">
        <f>IFERROR(__xludf.DUMMYFUNCTION("iferror(max(index(googlefinance($C34, $A$1, E$1, F$1),0,2)),0)"),40.47)</f>
        <v>40.47</v>
      </c>
      <c r="F34" s="6">
        <f>IFERROR(__xludf.DUMMYFUNCTION("iferror(max(index(googlefinance($C34, $A$1, F$1, G$1),0,2)),0)"),40.81)</f>
        <v>40.81</v>
      </c>
      <c r="G34" s="6">
        <f>IFERROR(__xludf.DUMMYFUNCTION("iferror(max(index(googlefinance($C34, $A$1, G$1, H$1),0,2)),0)"),0.0)</f>
        <v>0</v>
      </c>
      <c r="H34" s="6">
        <f>IFERROR(__xludf.DUMMYFUNCTION("iferror(max(index(googlefinance($C34, $A$1, H$1, I$1),0,2)),0)"),0.0)</f>
        <v>0</v>
      </c>
      <c r="I34" s="6">
        <f>IFERROR(__xludf.DUMMYFUNCTION("iferror(max(index(googlefinance($C34, $A$1, I$1, J$1),0,2)),0)"),0.0)</f>
        <v>0</v>
      </c>
      <c r="J34" s="6">
        <f>IFERROR(__xludf.DUMMYFUNCTION("iferror(max(index(googlefinance($C34, $A$1, J$1, K$1),0,2)),0)"),0.0)</f>
        <v>0</v>
      </c>
      <c r="K34" s="6">
        <f>IFERROR(__xludf.DUMMYFUNCTION("iferror(max(index(googlefinance($C34, $A$1, K$1, L$1),0,2)),0)"),0.0)</f>
        <v>0</v>
      </c>
      <c r="L34" s="6">
        <f>IFERROR(__xludf.DUMMYFUNCTION("iferror(max(index(googlefinance($C34, $A$1, L$1, M$1),0,2)),0)"),0.0)</f>
        <v>0</v>
      </c>
      <c r="M34" s="6">
        <f>IFERROR(__xludf.DUMMYFUNCTION("iferror(max(index(googlefinance($C34, $A$1, M$1, N$1),0,2)),0)"),0.0)</f>
        <v>0</v>
      </c>
      <c r="N34" s="6">
        <f>IFERROR(__xludf.DUMMYFUNCTION("iferror(max(index(googlefinance($C34, $A$1, N$1, O$1),0,2)),0)"),0.0)</f>
        <v>0</v>
      </c>
      <c r="O34" s="6">
        <f>IFERROR(__xludf.DUMMYFUNCTION("iferror(max(index(googlefinance($C34, $A$1, O$1, P$1),0,2)),0)"),0.0)</f>
        <v>0</v>
      </c>
    </row>
    <row r="35">
      <c r="A35" s="4"/>
      <c r="B35" s="4" t="s">
        <v>67</v>
      </c>
      <c r="C35" s="4" t="s">
        <v>68</v>
      </c>
      <c r="D35" s="6">
        <f>IFERROR(__xludf.DUMMYFUNCTION("iferror(max(index(googlefinance($C35, $A$1, D$1, E$1),0,2)),0)"),140.91)</f>
        <v>140.91</v>
      </c>
      <c r="E35" s="6">
        <f>IFERROR(__xludf.DUMMYFUNCTION("iferror(max(index(googlefinance($C35, $A$1, E$1, F$1),0,2)),0)"),139.22)</f>
        <v>139.22</v>
      </c>
      <c r="F35" s="6">
        <f>IFERROR(__xludf.DUMMYFUNCTION("iferror(max(index(googlefinance($C35, $A$1, F$1, G$1),0,2)),0)"),132.4)</f>
        <v>132.4</v>
      </c>
      <c r="G35" s="6">
        <f>IFERROR(__xludf.DUMMYFUNCTION("iferror(max(index(googlefinance($C35, $A$1, G$1, H$1),0,2)),0)"),0.0)</f>
        <v>0</v>
      </c>
      <c r="H35" s="6">
        <f>IFERROR(__xludf.DUMMYFUNCTION("iferror(max(index(googlefinance($C35, $A$1, H$1, I$1),0,2)),0)"),0.0)</f>
        <v>0</v>
      </c>
      <c r="I35" s="6">
        <f>IFERROR(__xludf.DUMMYFUNCTION("iferror(max(index(googlefinance($C35, $A$1, I$1, J$1),0,2)),0)"),0.0)</f>
        <v>0</v>
      </c>
      <c r="J35" s="6">
        <f>IFERROR(__xludf.DUMMYFUNCTION("iferror(max(index(googlefinance($C35, $A$1, J$1, K$1),0,2)),0)"),0.0)</f>
        <v>0</v>
      </c>
      <c r="K35" s="6">
        <f>IFERROR(__xludf.DUMMYFUNCTION("iferror(max(index(googlefinance($C35, $A$1, K$1, L$1),0,2)),0)"),0.0)</f>
        <v>0</v>
      </c>
      <c r="L35" s="6">
        <f>IFERROR(__xludf.DUMMYFUNCTION("iferror(max(index(googlefinance($C35, $A$1, L$1, M$1),0,2)),0)"),0.0)</f>
        <v>0</v>
      </c>
      <c r="M35" s="6">
        <f>IFERROR(__xludf.DUMMYFUNCTION("iferror(max(index(googlefinance($C35, $A$1, M$1, N$1),0,2)),0)"),0.0)</f>
        <v>0</v>
      </c>
      <c r="N35" s="6">
        <f>IFERROR(__xludf.DUMMYFUNCTION("iferror(max(index(googlefinance($C35, $A$1, N$1, O$1),0,2)),0)"),0.0)</f>
        <v>0</v>
      </c>
      <c r="O35" s="6">
        <f>IFERROR(__xludf.DUMMYFUNCTION("iferror(max(index(googlefinance($C35, $A$1, O$1, P$1),0,2)),0)"),0.0)</f>
        <v>0</v>
      </c>
    </row>
    <row r="36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