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n\Documents\Personal\GIT\LIXIE\"/>
    </mc:Choice>
  </mc:AlternateContent>
  <xr:revisionPtr revIDLastSave="0" documentId="13_ncr:1_{1BD1C1A9-F559-4AAC-A8D4-01454FAAB8AA}" xr6:coauthVersionLast="47" xr6:coauthVersionMax="47" xr10:uidLastSave="{00000000-0000-0000-0000-000000000000}"/>
  <bookViews>
    <workbookView xWindow="28680" yWindow="-120" windowWidth="29040" windowHeight="17025" xr2:uid="{D710429E-998A-4A21-9B88-DC76FA7AC216}"/>
  </bookViews>
  <sheets>
    <sheet name="Small Run Estimate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D29" i="2"/>
  <c r="F19" i="2"/>
  <c r="G19" i="2" s="1"/>
  <c r="AJ21" i="2"/>
  <c r="AJ20" i="2"/>
  <c r="AJ19" i="2"/>
  <c r="AJ18" i="2"/>
  <c r="AJ17" i="2"/>
  <c r="AI17" i="2"/>
  <c r="AI18" i="2" s="1"/>
  <c r="AI19" i="2" s="1"/>
  <c r="AI20" i="2" s="1"/>
  <c r="AI21" i="2" s="1"/>
  <c r="AJ16" i="2"/>
  <c r="AJ15" i="2"/>
  <c r="AJ14" i="2"/>
  <c r="AJ13" i="2"/>
  <c r="AJ12" i="2"/>
  <c r="AJ11" i="2"/>
  <c r="AJ10" i="2"/>
  <c r="AJ9" i="2"/>
  <c r="AJ8" i="2"/>
  <c r="AJ7" i="2"/>
  <c r="AJ6" i="2"/>
  <c r="AI8" i="2"/>
  <c r="AI9" i="2" s="1"/>
  <c r="AI10" i="2" s="1"/>
  <c r="AI11" i="2" s="1"/>
  <c r="AI12" i="2" s="1"/>
  <c r="AI13" i="2" s="1"/>
  <c r="AI7" i="2"/>
  <c r="AH16" i="2"/>
  <c r="AH15" i="2"/>
  <c r="AH14" i="2"/>
  <c r="AH13" i="2"/>
  <c r="AF16" i="2"/>
  <c r="AF15" i="2"/>
  <c r="AF14" i="2"/>
  <c r="AF13" i="2"/>
  <c r="F13" i="2"/>
  <c r="G13" i="2" s="1"/>
  <c r="Y15" i="2"/>
  <c r="Y14" i="2"/>
  <c r="Y13" i="2"/>
  <c r="D32" i="2"/>
  <c r="D31" i="2"/>
  <c r="D30" i="2"/>
  <c r="D28" i="2"/>
  <c r="D27" i="2"/>
  <c r="D26" i="2"/>
  <c r="D25" i="2"/>
  <c r="AH6" i="2"/>
  <c r="AG7" i="2"/>
  <c r="AF6" i="2"/>
  <c r="AF7" i="2"/>
  <c r="AE8" i="2"/>
  <c r="AE9" i="2" s="1"/>
  <c r="AD6" i="2"/>
  <c r="AC6" i="2"/>
  <c r="AB7" i="2"/>
  <c r="AA12" i="2"/>
  <c r="AA11" i="2"/>
  <c r="AA10" i="2"/>
  <c r="AA9" i="2"/>
  <c r="AA8" i="2"/>
  <c r="AA7" i="2"/>
  <c r="AA6" i="2"/>
  <c r="F14" i="2"/>
  <c r="G14" i="2" s="1"/>
  <c r="F12" i="2"/>
  <c r="G12" i="2" s="1"/>
  <c r="F9" i="2"/>
  <c r="G9" i="2" s="1"/>
  <c r="F8" i="2"/>
  <c r="G8" i="2" s="1"/>
  <c r="F7" i="2"/>
  <c r="G7" i="2" s="1"/>
  <c r="F6" i="2"/>
  <c r="G6" i="2" s="1"/>
  <c r="J19" i="2" l="1"/>
  <c r="L19" i="2" s="1"/>
  <c r="AI14" i="2"/>
  <c r="AF8" i="2"/>
  <c r="AF9" i="2"/>
  <c r="AE10" i="2"/>
  <c r="AB8" i="2"/>
  <c r="AH7" i="2"/>
  <c r="AD7" i="2"/>
  <c r="AG8" i="2"/>
  <c r="AC7" i="2"/>
  <c r="J14" i="2"/>
  <c r="L14" i="2" s="1"/>
  <c r="J13" i="2"/>
  <c r="L13" i="2" s="1"/>
  <c r="J8" i="2"/>
  <c r="L8" i="2" s="1"/>
  <c r="J7" i="2"/>
  <c r="L7" i="2" s="1"/>
  <c r="J6" i="2"/>
  <c r="L6" i="2" s="1"/>
  <c r="J9" i="2"/>
  <c r="L9" i="2" s="1"/>
  <c r="AI15" i="2" l="1"/>
  <c r="AH8" i="2"/>
  <c r="AG9" i="2"/>
  <c r="AE11" i="2"/>
  <c r="AF10" i="2"/>
  <c r="AC8" i="2"/>
  <c r="AB9" i="2"/>
  <c r="AD8" i="2"/>
  <c r="J12" i="2"/>
  <c r="L12" i="2" s="1"/>
  <c r="AI16" i="2" l="1"/>
  <c r="AB10" i="2"/>
  <c r="F15" i="2" s="1"/>
  <c r="AD9" i="2"/>
  <c r="AC9" i="2"/>
  <c r="AE12" i="2"/>
  <c r="AF12" i="2" s="1"/>
  <c r="AF11" i="2"/>
  <c r="AG10" i="2"/>
  <c r="AH9" i="2"/>
  <c r="F16" i="2" l="1"/>
  <c r="F17" i="2"/>
  <c r="G17" i="2" s="1"/>
  <c r="J17" i="2" s="1"/>
  <c r="L17" i="2" s="1"/>
  <c r="AG11" i="2"/>
  <c r="AH10" i="2"/>
  <c r="AB11" i="2"/>
  <c r="G15" i="2" s="1"/>
  <c r="J15" i="2" s="1"/>
  <c r="L15" i="2" s="1"/>
  <c r="AD10" i="2"/>
  <c r="AC10" i="2"/>
  <c r="G16" i="2" l="1"/>
  <c r="J16" i="2" s="1"/>
  <c r="L16" i="2" s="1"/>
  <c r="AB12" i="2"/>
  <c r="AD11" i="2"/>
  <c r="AC11" i="2"/>
  <c r="AG12" i="2"/>
  <c r="F18" i="2" s="1"/>
  <c r="G18" i="2" s="1"/>
  <c r="AH11" i="2"/>
  <c r="AH12" i="2" l="1"/>
  <c r="AD12" i="2"/>
  <c r="AC12" i="2"/>
  <c r="J18" i="2" l="1"/>
  <c r="L18" i="2" s="1"/>
  <c r="F3" i="2"/>
</calcChain>
</file>

<file path=xl/sharedStrings.xml><?xml version="1.0" encoding="utf-8"?>
<sst xmlns="http://schemas.openxmlformats.org/spreadsheetml/2006/main" count="88" uniqueCount="62">
  <si>
    <t>Ponoko</t>
  </si>
  <si>
    <t>Thickness</t>
  </si>
  <si>
    <t>Qty</t>
  </si>
  <si>
    <t>Price</t>
  </si>
  <si>
    <t>Each</t>
  </si>
  <si>
    <t>Supplier</t>
  </si>
  <si>
    <t>Shipping</t>
  </si>
  <si>
    <t>Handling</t>
  </si>
  <si>
    <t>Material</t>
  </si>
  <si>
    <t>Clear Acrylic</t>
  </si>
  <si>
    <t>Description</t>
  </si>
  <si>
    <t>BASES</t>
  </si>
  <si>
    <t>PCB</t>
  </si>
  <si>
    <t>DECIMAL</t>
  </si>
  <si>
    <t>Nitrile Gloves</t>
  </si>
  <si>
    <t>35mm M3 Screw</t>
  </si>
  <si>
    <t>25mm M3 screw</t>
  </si>
  <si>
    <t>Light Filter</t>
  </si>
  <si>
    <t>M3 Flange Nut</t>
  </si>
  <si>
    <t>ESP8266</t>
  </si>
  <si>
    <t>Link</t>
  </si>
  <si>
    <t>JLC</t>
  </si>
  <si>
    <t>Reverse Mount LEDs</t>
  </si>
  <si>
    <t>veromount Official Store</t>
  </si>
  <si>
    <t>https://www.aliexpress.us/item/3256804063632410.html?spm=a2g0o.cart.0.0.b89838da6fX6sa&amp;mp=1&amp;gatewayAdapt=glo2usa&amp;_randl_shipto=US</t>
  </si>
  <si>
    <t>6061-T6 Aluminum</t>
  </si>
  <si>
    <t>Sinier Store Store</t>
  </si>
  <si>
    <t>https://www.aliexpress.us/item/3256803590949003.html?spm=a2g0o.productlist.main.1.628370d877fmQo&amp;algo_pvid=cdcd237c-ea54-42c6-908d-37acec8c6945&amp;algo_exp_id=cdcd237c-ea54-42c6-908d-37acec8c6945-0&amp;pdp_ext_f=%7B%22sku_id%22%3A%2212000028778924926%22%7D&amp;pdp_npi=2%40dis%21USD%2129.64%2112.75%21%21%21%21%21%4021227d8316668022323342570d074f%2112000028778924926%21sea&amp;curPageLogUid=DwKQPqTq5PrM</t>
  </si>
  <si>
    <t>SHOUZHENG FASTENER Store</t>
  </si>
  <si>
    <t>https://www.aliexpress.com/item/3256804033774565.html?spm=a2g0o.cart.0.0.26bd38daxLe5zc&amp;mp=1</t>
  </si>
  <si>
    <t>https://www.aliexpress.com/item/3256804055381890.html?spm=a2g0o.cart.0.0.4f8138daJxUMmj&amp;mp=1</t>
  </si>
  <si>
    <t>https://www.aliexpress.com/item/3256803969060157.html?spm=a2g0o.cart.0.0.1a8138davO6E52&amp;mp=1</t>
  </si>
  <si>
    <t>Nylon washer</t>
  </si>
  <si>
    <t>NUMS0-9</t>
  </si>
  <si>
    <t>Gray Translucent Acrylic</t>
  </si>
  <si>
    <t>Black Melamine MDF</t>
  </si>
  <si>
    <t>Cost Per Display Digit</t>
  </si>
  <si>
    <t>Qty per 
Display Digit</t>
  </si>
  <si>
    <t>Price Lookups</t>
  </si>
  <si>
    <t>ENTER QUANTITY YOU WOULD LIKE TO MAKE HERE ----&gt;</t>
  </si>
  <si>
    <t>Notes</t>
  </si>
  <si>
    <t>Prices quoted on 10/27/2022 from ponoko.com</t>
  </si>
  <si>
    <t>Replace with PCB?</t>
  </si>
  <si>
    <t>Estimated Cost-----&gt;</t>
  </si>
  <si>
    <t>LEDs</t>
  </si>
  <si>
    <t>Gloves</t>
  </si>
  <si>
    <t>Screw 25mm</t>
  </si>
  <si>
    <t>Screw 35mm</t>
  </si>
  <si>
    <t>Nylon Washer</t>
  </si>
  <si>
    <t>Nut</t>
  </si>
  <si>
    <t>QTY</t>
  </si>
  <si>
    <t>Total Cost</t>
  </si>
  <si>
    <t>Cost Each</t>
  </si>
  <si>
    <t>Estimations 
(Pre-Calculated)</t>
  </si>
  <si>
    <t>Female Wire</t>
  </si>
  <si>
    <t>Female Jumper Wires 10cm</t>
  </si>
  <si>
    <t>https://www.aliexpress.us/item/3256804425682359.html?spm=a2g0o.productlist.main.1.77855fd4Z0hJOc&amp;algo_pvid=ae97e723-841b-4347-961b-6c3195e819ef&amp;algo_exp_id=ae97e723-841b-4347-961b-6c3195e819ef-0&amp;pdp_ext_f=%7B%22sku_id%22%3A%2212000029827650805%22%7D&amp;pdp_npi=2%40dis%21USD%210.9%210.9%21%21%21%21%21%402102110316669124946818028d077f%2112000029827650805%21sea&amp;curPageLogUid=pjq9i1GZgUdJ</t>
  </si>
  <si>
    <t>Fnd Chips Store</t>
  </si>
  <si>
    <t>NUM0-9.dxf</t>
  </si>
  <si>
    <t>BASEx2.dxf</t>
  </si>
  <si>
    <t>DECIMAL.dxf</t>
  </si>
  <si>
    <t>LIGHTFILTER.dxf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</si>
</sst>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"/>
    <numFmt numFmtId="167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0" fontId="3" fillId="0" borderId="0" xfId="2"/>
    <xf numFmtId="165" fontId="0" fillId="0" borderId="0" xfId="0" applyNumberFormat="1"/>
    <xf numFmtId="0" fontId="2" fillId="2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164" fontId="0" fillId="3" borderId="0" xfId="0" applyNumberFormat="1" applyFill="1"/>
    <xf numFmtId="0" fontId="0" fillId="5" borderId="0" xfId="0" applyFill="1"/>
    <xf numFmtId="0" fontId="0" fillId="0" borderId="0" xfId="0" applyFill="1"/>
    <xf numFmtId="164" fontId="0" fillId="4" borderId="0" xfId="0" applyNumberFormat="1" applyFill="1"/>
    <xf numFmtId="0" fontId="2" fillId="2" borderId="0" xfId="0" applyFont="1" applyFill="1" applyAlignment="1">
      <alignment horizontal="center" wrapText="1"/>
    </xf>
    <xf numFmtId="167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3256804033774565.html?spm=a2g0o.cart.0.0.26bd38daxLe5zc&amp;mp=1" TargetMode="External"/><Relationship Id="rId7" Type="http://schemas.openxmlformats.org/officeDocument/2006/relationships/hyperlink" Target="https://www.aliexpress.us/item/3256804425682359.html?spm=a2g0o.productlist.main.1.77855fd4Z0hJOc&amp;algo_pvid=ae97e723-841b-4347-961b-6c3195e819ef&amp;algo_exp_id=ae97e723-841b-4347-961b-6c3195e819ef-0&amp;pdp_ext_f=%7B%22sku_id%22%3A%2212000029827650805%22%7D&amp;pdp_npi=2%40dis%21USD%210.9%210.9%21%21%21%21%21%402102110316669124946818028d077f%2112000029827650805%21sea&amp;curPageLogUid=pjq9i1GZgUdJ" TargetMode="External"/><Relationship Id="rId2" Type="http://schemas.openxmlformats.org/officeDocument/2006/relationships/hyperlink" Target="https://www.aliexpress.us/item/3256803590949003.html?spm=a2g0o.productlist.main.1.628370d877fmQo&amp;algo_pvid=cdcd237c-ea54-42c6-908d-37acec8c6945&amp;algo_exp_id=cdcd237c-ea54-42c6-908d-37acec8c6945-0&amp;pdp_ext_f=%7B%22sku_id%22%3A%2212000028778924926%22%7D&amp;pdp_npi=2%40dis%21USD%2129.64%2112.75%21%21%21%21%21%4021227d8316668022323342570d074f%2112000028778924926%21sea&amp;curPageLogUid=DwKQPqTq5PrM" TargetMode="External"/><Relationship Id="rId1" Type="http://schemas.openxmlformats.org/officeDocument/2006/relationships/hyperlink" Target="https://www.aliexpress.us/item/3256804063632410.html?spm=a2g0o.cart.0.0.b89838da6fX6sa&amp;mp=1&amp;gatewayAdapt=glo2usa&amp;_randl_shipto=US" TargetMode="External"/><Relationship Id="rId6" Type="http://schemas.openxmlformats.org/officeDocument/2006/relationships/hyperlink" Target="https://www.aliexpress.com/item/3256803969060157.html?spm=a2g0o.cart.0.0.1a8138davO6E52&amp;mp=1" TargetMode="External"/><Relationship Id="rId5" Type="http://schemas.openxmlformats.org/officeDocument/2006/relationships/hyperlink" Target="https://www.aliexpress.com/item/3256804055381890.html?spm=a2g0o.cart.0.0.4f8138daJxUMmj&amp;mp=1" TargetMode="External"/><Relationship Id="rId4" Type="http://schemas.openxmlformats.org/officeDocument/2006/relationships/hyperlink" Target="https://www.aliexpress.com/item/3256804033774565.html?spm=a2g0o.cart.0.0.26bd38daxLe5zc&amp;m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B846-A916-4EAC-827F-2D58875162C6}">
  <dimension ref="A1:AJ32"/>
  <sheetViews>
    <sheetView tabSelected="1" zoomScaleNormal="100" workbookViewId="0"/>
  </sheetViews>
  <sheetFormatPr defaultRowHeight="15" x14ac:dyDescent="0.25"/>
  <cols>
    <col min="1" max="1" width="18.7109375" customWidth="1"/>
    <col min="2" max="2" width="9.140625" customWidth="1"/>
    <col min="3" max="3" width="14.28515625" customWidth="1"/>
    <col min="4" max="4" width="9.5703125" bestFit="1" customWidth="1"/>
    <col min="5" max="5" width="9.140625" customWidth="1"/>
    <col min="6" max="6" width="9.140625" bestFit="1" customWidth="1"/>
    <col min="7" max="7" width="12" bestFit="1" customWidth="1"/>
    <col min="11" max="12" width="12" bestFit="1" customWidth="1"/>
    <col min="13" max="13" width="17.5703125" bestFit="1" customWidth="1"/>
  </cols>
  <sheetData>
    <row r="1" spans="1:36" x14ac:dyDescent="0.25">
      <c r="F1" s="4" t="s">
        <v>2</v>
      </c>
    </row>
    <row r="2" spans="1:36" x14ac:dyDescent="0.25">
      <c r="E2" s="6" t="s">
        <v>39</v>
      </c>
      <c r="F2" s="8">
        <v>10</v>
      </c>
      <c r="H2" t="str">
        <f>IF(F2&gt;200,"The math is broken now.  I didn't really program this for large runs",IF(F2*22&gt;1000,"Woah! Do you really want to handsolder "&amp;F2*22&amp;" LEDs??",""))</f>
        <v/>
      </c>
    </row>
    <row r="3" spans="1:36" x14ac:dyDescent="0.25">
      <c r="E3" s="6" t="s">
        <v>43</v>
      </c>
      <c r="F3" s="10">
        <f>SUM(G6:I9)+SUM(G12:I27)</f>
        <v>445.84999999999997</v>
      </c>
    </row>
    <row r="4" spans="1:36" x14ac:dyDescent="0.25">
      <c r="Q4" t="s">
        <v>41</v>
      </c>
    </row>
    <row r="5" spans="1:36" ht="30" x14ac:dyDescent="0.25">
      <c r="A5" s="4" t="s">
        <v>10</v>
      </c>
      <c r="B5" s="4" t="s">
        <v>5</v>
      </c>
      <c r="C5" s="4" t="s">
        <v>8</v>
      </c>
      <c r="D5" s="4" t="s">
        <v>1</v>
      </c>
      <c r="E5" s="4"/>
      <c r="F5" s="4" t="s">
        <v>2</v>
      </c>
      <c r="G5" s="4" t="s">
        <v>3</v>
      </c>
      <c r="H5" s="4" t="s">
        <v>7</v>
      </c>
      <c r="I5" s="4" t="s">
        <v>6</v>
      </c>
      <c r="J5" s="4" t="s">
        <v>4</v>
      </c>
      <c r="K5" s="4" t="s">
        <v>37</v>
      </c>
      <c r="L5" s="4" t="s">
        <v>36</v>
      </c>
      <c r="M5" s="4" t="s">
        <v>40</v>
      </c>
      <c r="Q5" s="4" t="s">
        <v>38</v>
      </c>
      <c r="R5" t="s">
        <v>11</v>
      </c>
      <c r="S5" t="s">
        <v>33</v>
      </c>
      <c r="T5" t="s">
        <v>13</v>
      </c>
      <c r="U5" t="s">
        <v>17</v>
      </c>
      <c r="V5" s="4" t="s">
        <v>38</v>
      </c>
      <c r="W5" t="s">
        <v>12</v>
      </c>
      <c r="X5" s="4" t="s">
        <v>38</v>
      </c>
      <c r="Y5" t="s">
        <v>44</v>
      </c>
      <c r="Z5" s="4" t="s">
        <v>38</v>
      </c>
      <c r="AA5" t="s">
        <v>45</v>
      </c>
      <c r="AB5" s="4" t="s">
        <v>38</v>
      </c>
      <c r="AC5" t="s">
        <v>47</v>
      </c>
      <c r="AD5" t="s">
        <v>46</v>
      </c>
      <c r="AE5" s="4" t="s">
        <v>38</v>
      </c>
      <c r="AF5" t="s">
        <v>48</v>
      </c>
      <c r="AG5" s="4" t="s">
        <v>38</v>
      </c>
      <c r="AH5" t="s">
        <v>49</v>
      </c>
      <c r="AI5" s="4" t="s">
        <v>38</v>
      </c>
      <c r="AJ5" t="s">
        <v>54</v>
      </c>
    </row>
    <row r="6" spans="1:36" x14ac:dyDescent="0.25">
      <c r="A6" t="s">
        <v>59</v>
      </c>
      <c r="B6" t="s">
        <v>0</v>
      </c>
      <c r="C6" t="s">
        <v>35</v>
      </c>
      <c r="D6" s="3">
        <v>6.4</v>
      </c>
      <c r="E6" s="3"/>
      <c r="F6">
        <f>F$2</f>
        <v>10</v>
      </c>
      <c r="G6" s="1">
        <f>VLOOKUP(F6,Q$6:U$16,2,TRUE)*F6</f>
        <v>77.400000000000006</v>
      </c>
      <c r="H6" s="1"/>
      <c r="I6" s="1"/>
      <c r="J6" s="1">
        <f>G6/F6</f>
        <v>7.74</v>
      </c>
      <c r="K6">
        <v>1</v>
      </c>
      <c r="L6" s="1">
        <f>K6*J6</f>
        <v>7.74</v>
      </c>
      <c r="M6" s="5"/>
      <c r="Q6">
        <v>1</v>
      </c>
      <c r="R6" s="9">
        <v>16.62</v>
      </c>
      <c r="S6">
        <v>31.01</v>
      </c>
      <c r="T6" s="9">
        <v>10.76</v>
      </c>
      <c r="U6" s="9">
        <v>8.84</v>
      </c>
      <c r="V6" s="9">
        <v>5</v>
      </c>
      <c r="W6" s="9">
        <v>11.5</v>
      </c>
      <c r="X6" s="9">
        <v>50</v>
      </c>
      <c r="Y6" s="9">
        <v>6.46</v>
      </c>
      <c r="Z6" s="9">
        <v>100</v>
      </c>
      <c r="AA6" s="9">
        <f>Z6/100*12.75</f>
        <v>12.75</v>
      </c>
      <c r="AB6" s="9">
        <v>200</v>
      </c>
      <c r="AC6">
        <f>AB6/200*8.16</f>
        <v>8.16</v>
      </c>
      <c r="AD6">
        <f>AB6/200*6.56</f>
        <v>6.56</v>
      </c>
      <c r="AE6" s="9">
        <v>100</v>
      </c>
      <c r="AF6" s="9">
        <f>AE6/100*1.08+1.09</f>
        <v>2.17</v>
      </c>
      <c r="AG6" s="9">
        <v>50</v>
      </c>
      <c r="AH6" s="9">
        <f>AG6/50*2.64+1.17</f>
        <v>3.81</v>
      </c>
      <c r="AI6" s="9">
        <v>40</v>
      </c>
      <c r="AJ6" s="9">
        <f>AI6/40*0.87+1.37</f>
        <v>2.2400000000000002</v>
      </c>
    </row>
    <row r="7" spans="1:36" x14ac:dyDescent="0.25">
      <c r="A7" t="s">
        <v>58</v>
      </c>
      <c r="B7" t="s">
        <v>0</v>
      </c>
      <c r="C7" t="s">
        <v>9</v>
      </c>
      <c r="D7" s="3">
        <v>1.5</v>
      </c>
      <c r="E7" s="3"/>
      <c r="F7">
        <f>F$2</f>
        <v>10</v>
      </c>
      <c r="G7" s="1">
        <f>VLOOKUP(F7,Q$6:U$16,3,TRUE)*F7</f>
        <v>171.70000000000002</v>
      </c>
      <c r="H7" s="1"/>
      <c r="I7" s="1"/>
      <c r="J7" s="1">
        <f t="shared" ref="J7:J9" si="0">G7/F7</f>
        <v>17.170000000000002</v>
      </c>
      <c r="K7">
        <v>1</v>
      </c>
      <c r="L7" s="1">
        <f>K7*J7</f>
        <v>17.170000000000002</v>
      </c>
      <c r="M7" s="5"/>
      <c r="Q7">
        <v>4</v>
      </c>
      <c r="R7" s="9">
        <v>9.1</v>
      </c>
      <c r="S7">
        <v>19.22</v>
      </c>
      <c r="T7" s="9">
        <v>5.62</v>
      </c>
      <c r="U7" s="9">
        <v>4.25</v>
      </c>
      <c r="V7" s="9">
        <v>10</v>
      </c>
      <c r="W7" s="9">
        <v>14.5</v>
      </c>
      <c r="X7" s="9">
        <v>100</v>
      </c>
      <c r="Y7" s="9">
        <v>10.199999999999999</v>
      </c>
      <c r="Z7" s="9">
        <v>200</v>
      </c>
      <c r="AA7" s="9">
        <f t="shared" ref="AA7:AC12" si="1">Z7/100*12.75</f>
        <v>25.5</v>
      </c>
      <c r="AB7" s="9">
        <f>AB6+200</f>
        <v>400</v>
      </c>
      <c r="AC7">
        <f t="shared" ref="AC7:AC12" si="2">AB7/200*8.16</f>
        <v>16.32</v>
      </c>
      <c r="AD7">
        <f t="shared" ref="AD7:AD12" si="3">AB7/200*6.56</f>
        <v>13.12</v>
      </c>
      <c r="AE7" s="9">
        <v>200</v>
      </c>
      <c r="AF7" s="9">
        <f>AE7/100*1.08+1.24</f>
        <v>3.4000000000000004</v>
      </c>
      <c r="AG7" s="9">
        <f>AG6+50</f>
        <v>100</v>
      </c>
      <c r="AH7" s="9">
        <f>AG7/50*2.64+2.74</f>
        <v>8.02</v>
      </c>
      <c r="AI7" s="9">
        <f>AI6+40</f>
        <v>80</v>
      </c>
      <c r="AJ7" s="9">
        <f t="shared" ref="AJ7:AJ16" si="4">AI7/40*0.87+1.37</f>
        <v>3.1100000000000003</v>
      </c>
    </row>
    <row r="8" spans="1:36" x14ac:dyDescent="0.25">
      <c r="A8" t="s">
        <v>60</v>
      </c>
      <c r="B8" t="s">
        <v>0</v>
      </c>
      <c r="C8" t="s">
        <v>34</v>
      </c>
      <c r="D8" s="3">
        <v>3</v>
      </c>
      <c r="E8" s="3"/>
      <c r="F8">
        <f>F$2</f>
        <v>10</v>
      </c>
      <c r="G8" s="1">
        <f>VLOOKUP(F8,Q$6:U$16,4,TRUE)*F8</f>
        <v>34.900000000000006</v>
      </c>
      <c r="H8" s="1"/>
      <c r="I8" s="1"/>
      <c r="J8" s="1">
        <f t="shared" si="0"/>
        <v>3.4900000000000007</v>
      </c>
      <c r="K8">
        <v>1</v>
      </c>
      <c r="L8" s="1">
        <f>K8*J8</f>
        <v>3.4900000000000007</v>
      </c>
      <c r="M8" s="5"/>
      <c r="Q8">
        <v>5</v>
      </c>
      <c r="R8" s="9">
        <v>8.89</v>
      </c>
      <c r="S8">
        <v>18.11</v>
      </c>
      <c r="T8" s="9">
        <v>5.33</v>
      </c>
      <c r="U8" s="9">
        <v>3.96</v>
      </c>
      <c r="V8" s="9">
        <v>15</v>
      </c>
      <c r="W8" s="9">
        <v>16</v>
      </c>
      <c r="X8" s="9">
        <v>200</v>
      </c>
      <c r="Y8" s="9">
        <v>16.57</v>
      </c>
      <c r="Z8" s="9">
        <v>300</v>
      </c>
      <c r="AA8" s="9">
        <f t="shared" si="1"/>
        <v>38.25</v>
      </c>
      <c r="AB8" s="9">
        <f>AB7+200</f>
        <v>600</v>
      </c>
      <c r="AC8">
        <f t="shared" si="2"/>
        <v>24.48</v>
      </c>
      <c r="AD8">
        <f t="shared" si="3"/>
        <v>19.68</v>
      </c>
      <c r="AE8" s="9">
        <f>AE7+100</f>
        <v>300</v>
      </c>
      <c r="AF8" s="9">
        <f>AE8/100*1.08+1.39</f>
        <v>4.63</v>
      </c>
      <c r="AG8" s="9">
        <f>AG7+50</f>
        <v>150</v>
      </c>
      <c r="AH8" s="9">
        <f>AG8/50*2.64+3.07</f>
        <v>10.99</v>
      </c>
      <c r="AI8" s="9">
        <f t="shared" ref="AI8:AI21" si="5">AI7+40</f>
        <v>120</v>
      </c>
      <c r="AJ8" s="9">
        <f t="shared" si="4"/>
        <v>3.98</v>
      </c>
    </row>
    <row r="9" spans="1:36" x14ac:dyDescent="0.25">
      <c r="A9" t="s">
        <v>61</v>
      </c>
      <c r="B9" t="s">
        <v>0</v>
      </c>
      <c r="C9" t="s">
        <v>25</v>
      </c>
      <c r="D9" s="3">
        <v>1</v>
      </c>
      <c r="E9" s="3"/>
      <c r="F9">
        <f>F$2</f>
        <v>10</v>
      </c>
      <c r="G9" s="1">
        <f>VLOOKUP(F9,Q$6:U$16,5,TRUE)*F9</f>
        <v>33.4</v>
      </c>
      <c r="H9" s="1"/>
      <c r="I9" s="1"/>
      <c r="J9" s="1">
        <f t="shared" si="0"/>
        <v>3.34</v>
      </c>
      <c r="K9">
        <v>1</v>
      </c>
      <c r="L9" s="1">
        <f>K9*J9</f>
        <v>3.34</v>
      </c>
      <c r="M9" s="7" t="s">
        <v>42</v>
      </c>
      <c r="Q9">
        <v>8</v>
      </c>
      <c r="R9" s="9">
        <v>8.02</v>
      </c>
      <c r="S9">
        <v>17.54</v>
      </c>
      <c r="T9" s="9">
        <v>4.84</v>
      </c>
      <c r="U9" s="9">
        <v>3.48</v>
      </c>
      <c r="V9" s="9">
        <v>20</v>
      </c>
      <c r="W9" s="9">
        <v>16.8</v>
      </c>
      <c r="X9" s="9">
        <v>300</v>
      </c>
      <c r="Y9" s="9">
        <v>24.05</v>
      </c>
      <c r="Z9" s="9">
        <v>400</v>
      </c>
      <c r="AA9" s="9">
        <f t="shared" si="1"/>
        <v>51</v>
      </c>
      <c r="AB9" s="9">
        <f>AB8+200</f>
        <v>800</v>
      </c>
      <c r="AC9">
        <f t="shared" si="2"/>
        <v>32.64</v>
      </c>
      <c r="AD9">
        <f t="shared" si="3"/>
        <v>26.24</v>
      </c>
      <c r="AE9" s="9">
        <f>AE8+100</f>
        <v>400</v>
      </c>
      <c r="AF9" s="9">
        <f>AE9/100*1.08+2.96</f>
        <v>7.28</v>
      </c>
      <c r="AG9" s="9">
        <f>AG8+50</f>
        <v>200</v>
      </c>
      <c r="AH9" s="9">
        <f>AG9/50*2.64+3.41</f>
        <v>13.97</v>
      </c>
      <c r="AI9" s="9">
        <f t="shared" si="5"/>
        <v>160</v>
      </c>
      <c r="AJ9" s="9">
        <f>AI9/40*0.87+1.37</f>
        <v>4.8499999999999996</v>
      </c>
    </row>
    <row r="10" spans="1:36" x14ac:dyDescent="0.25">
      <c r="Q10">
        <v>10</v>
      </c>
      <c r="R10" s="9">
        <v>7.74</v>
      </c>
      <c r="S10">
        <v>17.170000000000002</v>
      </c>
      <c r="T10" s="9">
        <v>3.49</v>
      </c>
      <c r="U10" s="9">
        <v>3.34</v>
      </c>
      <c r="V10" s="9">
        <v>25</v>
      </c>
      <c r="W10" s="9">
        <v>17.600000000000001</v>
      </c>
      <c r="X10" s="9">
        <v>500</v>
      </c>
      <c r="Y10" s="9">
        <v>36.119999999999997</v>
      </c>
      <c r="Z10" s="9">
        <v>500</v>
      </c>
      <c r="AA10" s="9">
        <f t="shared" si="1"/>
        <v>63.75</v>
      </c>
      <c r="AB10" s="9">
        <f>AB9+200</f>
        <v>1000</v>
      </c>
      <c r="AC10">
        <f t="shared" si="2"/>
        <v>40.799999999999997</v>
      </c>
      <c r="AD10">
        <f t="shared" si="3"/>
        <v>32.799999999999997</v>
      </c>
      <c r="AE10" s="9">
        <f>AE9+100</f>
        <v>500</v>
      </c>
      <c r="AF10" s="9">
        <f>AE10/100*1.08+3.19</f>
        <v>8.59</v>
      </c>
      <c r="AG10" s="9">
        <f>AG9+50</f>
        <v>250</v>
      </c>
      <c r="AH10" s="9">
        <f>AG10/50*2.64+3.75</f>
        <v>16.950000000000003</v>
      </c>
      <c r="AI10" s="9">
        <f t="shared" si="5"/>
        <v>200</v>
      </c>
      <c r="AJ10" s="9">
        <f>AI10/40*0.87+2.51</f>
        <v>6.8599999999999994</v>
      </c>
    </row>
    <row r="11" spans="1:36" ht="30" x14ac:dyDescent="0.25">
      <c r="A11" s="4" t="s">
        <v>10</v>
      </c>
      <c r="B11" s="4" t="s">
        <v>5</v>
      </c>
      <c r="C11" s="4" t="s">
        <v>20</v>
      </c>
      <c r="D11" s="4"/>
      <c r="E11" s="4"/>
      <c r="F11" s="4" t="s">
        <v>2</v>
      </c>
      <c r="G11" s="4" t="s">
        <v>3</v>
      </c>
      <c r="H11" s="4"/>
      <c r="I11" s="4" t="s">
        <v>6</v>
      </c>
      <c r="J11" s="4" t="s">
        <v>4</v>
      </c>
      <c r="K11" s="4" t="s">
        <v>37</v>
      </c>
      <c r="L11" s="4" t="s">
        <v>36</v>
      </c>
      <c r="M11" s="4" t="s">
        <v>40</v>
      </c>
      <c r="Q11">
        <v>50</v>
      </c>
      <c r="R11" s="9">
        <v>4.91</v>
      </c>
      <c r="S11">
        <v>12.02</v>
      </c>
      <c r="T11" s="9">
        <v>2.7</v>
      </c>
      <c r="U11" s="9">
        <v>1.91</v>
      </c>
      <c r="V11" s="9">
        <v>30</v>
      </c>
      <c r="W11" s="9">
        <v>18.399999999999999</v>
      </c>
      <c r="X11" s="9">
        <v>1000</v>
      </c>
      <c r="Y11" s="9">
        <v>65.87</v>
      </c>
      <c r="Z11" s="9">
        <v>600</v>
      </c>
      <c r="AA11" s="9">
        <f t="shared" si="1"/>
        <v>76.5</v>
      </c>
      <c r="AB11" s="9">
        <f>AB10+200</f>
        <v>1200</v>
      </c>
      <c r="AC11">
        <f t="shared" si="2"/>
        <v>48.96</v>
      </c>
      <c r="AD11">
        <f t="shared" si="3"/>
        <v>39.36</v>
      </c>
      <c r="AE11" s="9">
        <f>AE10+100</f>
        <v>600</v>
      </c>
      <c r="AF11" s="9">
        <f>AE11/100*1.08+3.41</f>
        <v>9.89</v>
      </c>
      <c r="AG11" s="9">
        <f>AG10+50</f>
        <v>300</v>
      </c>
      <c r="AH11" s="9">
        <f>AG11/50*2.64+4.08</f>
        <v>19.920000000000002</v>
      </c>
      <c r="AI11" s="9">
        <f t="shared" si="5"/>
        <v>240</v>
      </c>
      <c r="AJ11" s="9">
        <f t="shared" ref="AJ11:AJ21" si="6">AI11/40*0.87+2.51</f>
        <v>7.7299999999999995</v>
      </c>
    </row>
    <row r="12" spans="1:36" x14ac:dyDescent="0.25">
      <c r="A12" t="s">
        <v>12</v>
      </c>
      <c r="B12" t="s">
        <v>21</v>
      </c>
      <c r="C12" t="s">
        <v>12</v>
      </c>
      <c r="F12">
        <f>IF(F2*K12&lt;=V6,V6,IF(F2*K12&lt;=V7,V7,IF(F2*K12&lt;=V8,V8,IF(F2*K12&lt;=V9,V9,IF(F2*K12&lt;=V10,V10,IF(F2*K12&lt;=V11,V11,IF(F2*K12&lt;=V12,V12,F2)))))))</f>
        <v>10</v>
      </c>
      <c r="G12" s="1">
        <f>IF(F12&gt;V6,VLOOKUP(F12,V6:W18,2,TRUE)+F12,W6+F12)</f>
        <v>24.5</v>
      </c>
      <c r="H12" s="1"/>
      <c r="I12" s="1">
        <v>40</v>
      </c>
      <c r="J12" s="1">
        <f>SUM(G12:I12)/F12</f>
        <v>6.45</v>
      </c>
      <c r="K12">
        <v>1</v>
      </c>
      <c r="L12" s="1">
        <f t="shared" ref="L12:L20" si="7">K12*J12</f>
        <v>6.45</v>
      </c>
      <c r="Q12">
        <v>100</v>
      </c>
      <c r="R12" s="9">
        <v>4.43</v>
      </c>
      <c r="S12">
        <v>10.59</v>
      </c>
      <c r="T12" s="9">
        <v>2.0299999999999998</v>
      </c>
      <c r="U12" s="9">
        <v>1.37</v>
      </c>
      <c r="V12" s="9">
        <v>50</v>
      </c>
      <c r="W12" s="9">
        <v>22.9</v>
      </c>
      <c r="X12" s="9">
        <v>2000</v>
      </c>
      <c r="Y12" s="9">
        <v>121.97</v>
      </c>
      <c r="Z12" s="9">
        <v>700</v>
      </c>
      <c r="AA12" s="9">
        <f t="shared" si="1"/>
        <v>89.25</v>
      </c>
      <c r="AB12" s="9">
        <f>AB11+200</f>
        <v>1400</v>
      </c>
      <c r="AC12">
        <f t="shared" si="2"/>
        <v>57.120000000000005</v>
      </c>
      <c r="AD12">
        <f t="shared" si="3"/>
        <v>45.919999999999995</v>
      </c>
      <c r="AE12" s="9">
        <f>AE11+100</f>
        <v>700</v>
      </c>
      <c r="AF12" s="9">
        <f>AE12/100*1.08+3.63</f>
        <v>11.190000000000001</v>
      </c>
      <c r="AG12" s="9">
        <f>AG11+50</f>
        <v>350</v>
      </c>
      <c r="AH12" s="9">
        <f>AG12/50*2.64+4.42</f>
        <v>22.9</v>
      </c>
      <c r="AI12" s="9">
        <f t="shared" si="5"/>
        <v>280</v>
      </c>
      <c r="AJ12" s="9">
        <f t="shared" si="6"/>
        <v>8.6</v>
      </c>
    </row>
    <row r="13" spans="1:36" x14ac:dyDescent="0.25">
      <c r="A13" t="s">
        <v>22</v>
      </c>
      <c r="B13" t="s">
        <v>23</v>
      </c>
      <c r="C13" s="2" t="s">
        <v>24</v>
      </c>
      <c r="F13">
        <f>IF(F$2*K13&lt;X6,X6,IF(F$2*K13&lt;X7,X7,IF(F$2*K13&lt;X8,X8,IF(F$2*K13&lt;X9,X9,IF(F$2*K13&lt;X10,X10,IF(F$2*K13&lt;X11,X11,IF(F$2*K13&lt;X12,X12,IF(F$2*K13&lt;X13,X13,IF(F$2*K13&lt;X14,X14,IF(F$2*K13&lt;X15,FALSE))))))))))</f>
        <v>300</v>
      </c>
      <c r="G13" s="1">
        <f>VLOOKUP(F13,X6:Y18,2,TRUE)</f>
        <v>24.05</v>
      </c>
      <c r="H13" s="1"/>
      <c r="I13" s="1"/>
      <c r="J13" s="1">
        <f t="shared" ref="J13:J20" si="8">SUM(G13:I13)/F13</f>
        <v>8.0166666666666664E-2</v>
      </c>
      <c r="K13">
        <v>22</v>
      </c>
      <c r="L13" s="1">
        <f t="shared" si="7"/>
        <v>1.7636666666666665</v>
      </c>
      <c r="Q13">
        <v>500</v>
      </c>
      <c r="R13" s="9">
        <v>3.21</v>
      </c>
      <c r="S13">
        <v>8.36</v>
      </c>
      <c r="T13" s="9">
        <v>1.57</v>
      </c>
      <c r="U13" s="9">
        <v>1.1200000000000001</v>
      </c>
      <c r="V13" s="9">
        <v>75</v>
      </c>
      <c r="W13" s="9">
        <v>59.16</v>
      </c>
      <c r="X13" s="9">
        <v>4000</v>
      </c>
      <c r="Y13">
        <f>Y12*2</f>
        <v>243.94</v>
      </c>
      <c r="AE13" s="9">
        <v>1000</v>
      </c>
      <c r="AF13" s="9">
        <f>AE13/100*1.08+4.31</f>
        <v>15.11</v>
      </c>
      <c r="AG13">
        <v>500</v>
      </c>
      <c r="AH13" s="9">
        <f>AG13/50*2.64+5.43</f>
        <v>31.830000000000002</v>
      </c>
      <c r="AI13" s="9">
        <f t="shared" si="5"/>
        <v>320</v>
      </c>
      <c r="AJ13" s="9">
        <f t="shared" si="6"/>
        <v>9.4699999999999989</v>
      </c>
    </row>
    <row r="14" spans="1:36" x14ac:dyDescent="0.25">
      <c r="A14" t="s">
        <v>14</v>
      </c>
      <c r="B14" t="s">
        <v>26</v>
      </c>
      <c r="C14" s="2" t="s">
        <v>27</v>
      </c>
      <c r="F14">
        <f>IF(F$2*K14&lt;Z6,Z6,IF(F$2*K14&lt;Z7,Z7,IF(F$2*K14&lt;Z8,Z8,IF(F$2*K14&lt;Z9,Z9,IF(F$2*K14&lt;Z10,Z10,IF(F$2*K14&lt;Z11,Z11,IF(F$2*K14&lt;Z12,Z12,FALSE)))))))</f>
        <v>100</v>
      </c>
      <c r="G14" s="1">
        <f>VLOOKUP(F14,Z6:AA12,2,TRUE)</f>
        <v>12.75</v>
      </c>
      <c r="H14" s="1"/>
      <c r="I14" s="1"/>
      <c r="J14" s="1">
        <f t="shared" si="8"/>
        <v>0.1275</v>
      </c>
      <c r="K14">
        <v>2</v>
      </c>
      <c r="L14" s="1">
        <f t="shared" si="7"/>
        <v>0.255</v>
      </c>
      <c r="Q14">
        <v>1000</v>
      </c>
      <c r="R14" s="9">
        <v>2.84</v>
      </c>
      <c r="S14">
        <v>7.22</v>
      </c>
      <c r="T14" s="9">
        <v>1.4</v>
      </c>
      <c r="U14" s="9">
        <v>0.99</v>
      </c>
      <c r="V14" s="9">
        <v>100</v>
      </c>
      <c r="W14" s="9">
        <v>64.760000000000005</v>
      </c>
      <c r="X14" s="9">
        <v>6000</v>
      </c>
      <c r="Y14">
        <f>Y12*3</f>
        <v>365.90999999999997</v>
      </c>
      <c r="AE14" s="9">
        <v>1500</v>
      </c>
      <c r="AF14" s="9">
        <f>AE14/100*1.08+5.43</f>
        <v>21.630000000000003</v>
      </c>
      <c r="AG14">
        <v>1000</v>
      </c>
      <c r="AH14" s="9">
        <f>AG14/50*2.64+8.79</f>
        <v>61.59</v>
      </c>
      <c r="AI14" s="9">
        <f t="shared" si="5"/>
        <v>360</v>
      </c>
      <c r="AJ14" s="9">
        <f t="shared" si="6"/>
        <v>10.34</v>
      </c>
    </row>
    <row r="15" spans="1:36" x14ac:dyDescent="0.25">
      <c r="A15" t="s">
        <v>15</v>
      </c>
      <c r="B15" t="s">
        <v>28</v>
      </c>
      <c r="C15" s="2" t="s">
        <v>29</v>
      </c>
      <c r="F15">
        <f>IF(F$2*K15&lt;AB6,AB6,IF(F$2*K15&lt;AB7,AB7,IF(F$2*K15&lt;AB8,AB8,IF(F$2*K15&lt;AB9,AB9,IF(F$2*K15&lt;AB10,AB10,IF(F$2*K15&lt;AB11,AB11,IF(F$2*K15&lt;AB12,AB12,FALSE)))))))</f>
        <v>200</v>
      </c>
      <c r="G15" s="1">
        <f>VLOOKUP(F15,AB6:AD12,2,TRUE)</f>
        <v>8.16</v>
      </c>
      <c r="H15" s="1"/>
      <c r="I15" s="1"/>
      <c r="J15" s="1">
        <f t="shared" si="8"/>
        <v>4.0800000000000003E-2</v>
      </c>
      <c r="K15">
        <v>4</v>
      </c>
      <c r="L15" s="1">
        <f t="shared" si="7"/>
        <v>0.16320000000000001</v>
      </c>
      <c r="Q15">
        <v>5000</v>
      </c>
      <c r="R15" s="9">
        <v>1.89</v>
      </c>
      <c r="S15">
        <v>4.42</v>
      </c>
      <c r="T15" s="9">
        <v>1.05</v>
      </c>
      <c r="U15" s="9">
        <v>0.71</v>
      </c>
      <c r="V15" s="9">
        <v>125</v>
      </c>
      <c r="W15" s="9">
        <v>70.36</v>
      </c>
      <c r="X15" s="9">
        <v>8000</v>
      </c>
      <c r="Y15">
        <f>Y12*4</f>
        <v>487.88</v>
      </c>
      <c r="AE15" s="9">
        <v>2000</v>
      </c>
      <c r="AF15" s="9">
        <f>AE15/100*1.08+6.55</f>
        <v>28.150000000000002</v>
      </c>
      <c r="AG15">
        <v>1500</v>
      </c>
      <c r="AH15" s="9">
        <f>AG15/50*2.64+12.15</f>
        <v>91.350000000000009</v>
      </c>
      <c r="AI15" s="9">
        <f t="shared" si="5"/>
        <v>400</v>
      </c>
      <c r="AJ15" s="9">
        <f t="shared" si="6"/>
        <v>11.209999999999999</v>
      </c>
    </row>
    <row r="16" spans="1:36" x14ac:dyDescent="0.25">
      <c r="A16" t="s">
        <v>16</v>
      </c>
      <c r="B16" t="s">
        <v>28</v>
      </c>
      <c r="C16" s="2" t="s">
        <v>29</v>
      </c>
      <c r="F16">
        <f>F15</f>
        <v>200</v>
      </c>
      <c r="G16" s="1">
        <f>VLOOKUP(F16,AB6:AD12,3,TRUE)</f>
        <v>6.56</v>
      </c>
      <c r="H16" s="1"/>
      <c r="I16" s="1"/>
      <c r="J16" s="1">
        <f t="shared" si="8"/>
        <v>3.2799999999999996E-2</v>
      </c>
      <c r="K16">
        <v>4</v>
      </c>
      <c r="L16" s="1">
        <f t="shared" si="7"/>
        <v>0.13119999999999998</v>
      </c>
      <c r="Q16">
        <v>10000</v>
      </c>
      <c r="R16" s="9">
        <v>1.5</v>
      </c>
      <c r="S16">
        <v>3.73</v>
      </c>
      <c r="T16" s="9">
        <v>0.87</v>
      </c>
      <c r="U16" s="9">
        <v>0.6</v>
      </c>
      <c r="V16" s="9">
        <v>150</v>
      </c>
      <c r="W16" s="9">
        <v>76.06</v>
      </c>
      <c r="AE16" s="9">
        <v>2500</v>
      </c>
      <c r="AF16" s="9">
        <f>AE16/100*1.08+7.67</f>
        <v>34.67</v>
      </c>
      <c r="AG16">
        <v>3000</v>
      </c>
      <c r="AH16" s="9">
        <f>AG16/50*2.64+22.23</f>
        <v>180.63</v>
      </c>
      <c r="AI16" s="9">
        <f t="shared" si="5"/>
        <v>440</v>
      </c>
      <c r="AJ16" s="9">
        <f t="shared" si="6"/>
        <v>12.08</v>
      </c>
    </row>
    <row r="17" spans="1:36" x14ac:dyDescent="0.25">
      <c r="A17" t="s">
        <v>32</v>
      </c>
      <c r="B17" t="s">
        <v>28</v>
      </c>
      <c r="C17" s="2" t="s">
        <v>31</v>
      </c>
      <c r="F17">
        <f>IF(F$2*K17&lt;AE6,AE6,IF(F$2*K17&lt;AE7,AE7,IF(F$2*K17&lt;AE8,AE8,IF(F$2*K17&lt;AE9,AE9,IF(F$2*K17&lt;AE10,AE10,IF(F$2*K17&lt;AE11,AE11,IF(F$2*K17&lt;AE12,AE12,IF(F$2*K17&lt;AE13,AE13,IF(F$2*K17&lt;AE14,AE14,IF(F$2*K17&lt;AE15,AE15,IF(F$2*K17&lt;AE16,AE16,FALSE)))))))))))</f>
        <v>100</v>
      </c>
      <c r="G17" s="1">
        <f>VLOOKUP(F17,AE6:AF18,2,TRUE)</f>
        <v>2.17</v>
      </c>
      <c r="H17" s="1"/>
      <c r="I17" s="1"/>
      <c r="J17" s="1">
        <f t="shared" si="8"/>
        <v>2.1700000000000001E-2</v>
      </c>
      <c r="K17">
        <v>8</v>
      </c>
      <c r="L17" s="1">
        <f t="shared" si="7"/>
        <v>0.1736</v>
      </c>
      <c r="R17" s="9"/>
      <c r="T17" s="9"/>
      <c r="U17" s="9"/>
      <c r="V17" s="9">
        <v>200</v>
      </c>
      <c r="W17" s="9">
        <v>87.26</v>
      </c>
      <c r="AI17" s="9">
        <f t="shared" si="5"/>
        <v>480</v>
      </c>
      <c r="AJ17" s="9">
        <f t="shared" si="6"/>
        <v>12.95</v>
      </c>
    </row>
    <row r="18" spans="1:36" x14ac:dyDescent="0.25">
      <c r="A18" t="s">
        <v>18</v>
      </c>
      <c r="B18" t="s">
        <v>28</v>
      </c>
      <c r="C18" s="2" t="s">
        <v>30</v>
      </c>
      <c r="F18">
        <f>IF(F$2*K18&lt;AG6,AG6,IF(F$2*K18&lt;AG7,AG7,IF(F$2*K18&lt;AG8,AG8,IF(F$2*K18&lt;AG9,AG9,IF(F$2*K18&lt;AG10,AG10,IF(F$2*K18&lt;AG11,AG11,IF(F$2*K18&lt;AG12,AG12,IF(F$2*K18&lt;AG13,AG13,IF(F$2*K18&lt;AG14,AG14,IF(F$2*K18&lt;AG15,AG15,IF(F$2*K18&lt;AG16,AG16,FALSE)))))))))))</f>
        <v>100</v>
      </c>
      <c r="G18" s="1">
        <f>VLOOKUP(F18,AG6:AH18,2,TRUE)</f>
        <v>8.02</v>
      </c>
      <c r="H18" s="1"/>
      <c r="I18" s="1"/>
      <c r="J18" s="1">
        <f t="shared" si="8"/>
        <v>8.0199999999999994E-2</v>
      </c>
      <c r="K18">
        <v>8</v>
      </c>
      <c r="L18" s="1">
        <f t="shared" si="7"/>
        <v>0.64159999999999995</v>
      </c>
      <c r="R18" s="9"/>
      <c r="T18" s="9"/>
      <c r="U18" s="9"/>
      <c r="V18" s="9">
        <v>250</v>
      </c>
      <c r="W18" s="9">
        <v>98.56</v>
      </c>
      <c r="AI18" s="9">
        <f t="shared" si="5"/>
        <v>520</v>
      </c>
      <c r="AJ18" s="9">
        <f t="shared" si="6"/>
        <v>13.82</v>
      </c>
    </row>
    <row r="19" spans="1:36" x14ac:dyDescent="0.25">
      <c r="A19" t="s">
        <v>55</v>
      </c>
      <c r="B19" t="s">
        <v>57</v>
      </c>
      <c r="C19" s="2" t="s">
        <v>56</v>
      </c>
      <c r="F19">
        <f>IF(F$2*K19&lt;AI6,AI6,IF(F$2*K19&lt;AI7,AI7,IF(F$2*K19&lt;AI8,AI8,IF(F$2*K19&lt;AI9,AI9,IF(F$2*K19&lt;AI10,AI10,IF(F$2*K19&lt;AI11,AI11,IF(F$2*K19&lt;AI12,AI12,IF(F$2*K19&lt;AI13,AI13,IF(F$2*K19&lt;AI14,AI14,IF(F$2*K19&lt;AI15,AI15,IF(F$2*K19&lt;AI16,AI16,IF(F$2*K19&lt;AI17,AI17,IF(F$2*K19&lt;AI18,AI18,IF(F$2*K19&lt;AI19,AI19,IF(F$2*K19&lt;AI20,AI20,IF(F$2*K19&lt;AI21,AI21))))))))))))))))</f>
        <v>40</v>
      </c>
      <c r="G19" s="1">
        <f>VLOOKUP(F19,AI6:AJ21,2,TRUE)</f>
        <v>2.2400000000000002</v>
      </c>
      <c r="H19" s="1"/>
      <c r="I19" s="1"/>
      <c r="J19" s="1">
        <f>SUM(G19:I19)/F19</f>
        <v>5.6000000000000008E-2</v>
      </c>
      <c r="K19">
        <v>3</v>
      </c>
      <c r="L19" s="1">
        <f>K19*J19</f>
        <v>0.16800000000000004</v>
      </c>
      <c r="R19" s="9"/>
      <c r="T19" s="9"/>
      <c r="U19" s="9"/>
      <c r="AI19" s="9">
        <f t="shared" si="5"/>
        <v>560</v>
      </c>
      <c r="AJ19" s="9">
        <f t="shared" si="6"/>
        <v>14.69</v>
      </c>
    </row>
    <row r="20" spans="1:36" x14ac:dyDescent="0.25">
      <c r="A20" t="s">
        <v>19</v>
      </c>
      <c r="R20" s="9"/>
      <c r="T20" s="9"/>
      <c r="U20" s="9"/>
      <c r="AI20" s="9">
        <f t="shared" si="5"/>
        <v>600</v>
      </c>
      <c r="AJ20" s="9">
        <f t="shared" si="6"/>
        <v>15.56</v>
      </c>
    </row>
    <row r="21" spans="1:36" x14ac:dyDescent="0.25">
      <c r="R21" s="9"/>
      <c r="T21" s="9"/>
      <c r="U21" s="9"/>
      <c r="AI21" s="9">
        <f t="shared" si="5"/>
        <v>640</v>
      </c>
      <c r="AJ21" s="9">
        <f t="shared" si="6"/>
        <v>16.43</v>
      </c>
    </row>
    <row r="22" spans="1:36" x14ac:dyDescent="0.25">
      <c r="R22" s="9"/>
      <c r="T22" s="9"/>
      <c r="U22" s="9"/>
    </row>
    <row r="23" spans="1:36" ht="30" customHeight="1" x14ac:dyDescent="0.25">
      <c r="B23" s="11" t="s">
        <v>53</v>
      </c>
      <c r="C23" s="11"/>
      <c r="R23" s="9"/>
      <c r="T23" s="9"/>
      <c r="U23" s="9"/>
    </row>
    <row r="24" spans="1:36" x14ac:dyDescent="0.25">
      <c r="B24" t="s">
        <v>50</v>
      </c>
      <c r="C24" t="s">
        <v>51</v>
      </c>
      <c r="D24" t="s">
        <v>52</v>
      </c>
      <c r="T24" s="9"/>
      <c r="U24" s="9"/>
    </row>
    <row r="25" spans="1:36" x14ac:dyDescent="0.25">
      <c r="B25">
        <v>1</v>
      </c>
      <c r="C25" s="1">
        <v>165.88</v>
      </c>
      <c r="D25" s="12">
        <f>C25/B25</f>
        <v>165.88</v>
      </c>
    </row>
    <row r="26" spans="1:36" x14ac:dyDescent="0.25">
      <c r="B26">
        <v>2</v>
      </c>
      <c r="C26" s="1">
        <v>233.11</v>
      </c>
      <c r="D26" s="12">
        <f t="shared" ref="D26:D30" si="9">C26/B26</f>
        <v>116.55500000000001</v>
      </c>
    </row>
    <row r="27" spans="1:36" x14ac:dyDescent="0.25">
      <c r="B27">
        <v>4</v>
      </c>
      <c r="C27" s="1">
        <v>255.15</v>
      </c>
      <c r="D27" s="12">
        <f t="shared" si="9"/>
        <v>63.787500000000001</v>
      </c>
    </row>
    <row r="28" spans="1:36" x14ac:dyDescent="0.25">
      <c r="B28">
        <v>8</v>
      </c>
      <c r="C28" s="1">
        <v>392.01</v>
      </c>
      <c r="D28" s="12">
        <f t="shared" si="9"/>
        <v>49.001249999999999</v>
      </c>
    </row>
    <row r="29" spans="1:36" x14ac:dyDescent="0.25">
      <c r="B29">
        <v>10</v>
      </c>
      <c r="C29" s="1">
        <v>445.85</v>
      </c>
      <c r="D29" s="12">
        <f t="shared" si="9"/>
        <v>44.585000000000001</v>
      </c>
    </row>
    <row r="30" spans="1:36" x14ac:dyDescent="0.25">
      <c r="B30">
        <v>16</v>
      </c>
      <c r="C30" s="1">
        <v>665.73</v>
      </c>
      <c r="D30" s="12">
        <f>C30/B30</f>
        <v>41.608125000000001</v>
      </c>
    </row>
    <row r="31" spans="1:36" x14ac:dyDescent="0.25">
      <c r="B31">
        <v>32</v>
      </c>
      <c r="C31" s="1">
        <v>1250.45</v>
      </c>
      <c r="D31" s="12">
        <f>C31/B31</f>
        <v>39.076562500000001</v>
      </c>
    </row>
    <row r="32" spans="1:36" x14ac:dyDescent="0.25">
      <c r="B32">
        <v>200</v>
      </c>
      <c r="C32" s="5">
        <v>4739.7299999999996</v>
      </c>
      <c r="D32" s="12">
        <f t="shared" ref="D32" si="10">C32/B32</f>
        <v>23.698649999999997</v>
      </c>
    </row>
  </sheetData>
  <mergeCells count="1">
    <mergeCell ref="B23:C23"/>
  </mergeCells>
  <hyperlinks>
    <hyperlink ref="C13" r:id="rId1" xr:uid="{F717F2A7-F81A-4C30-ADAD-9A9096E85993}"/>
    <hyperlink ref="C14" r:id="rId2" display="https://www.aliexpress.us/item/3256803590949003.html?spm=a2g0o.productlist.main.1.628370d877fmQo&amp;algo_pvid=cdcd237c-ea54-42c6-908d-37acec8c6945&amp;algo_exp_id=cdcd237c-ea54-42c6-908d-37acec8c6945-0&amp;pdp_ext_f=%7B%22sku_id%22%3A%2212000028778924926%22%7D&amp;pdp_npi=2%40dis%21USD%2129.64%2112.75%21%21%21%21%21%4021227d8316668022323342570d074f%2112000028778924926%21sea&amp;curPageLogUid=DwKQPqTq5PrM" xr:uid="{77A0812F-9B15-4A22-9F38-70F04D7730F1}"/>
    <hyperlink ref="C16" r:id="rId3" xr:uid="{EA3AC734-F9A8-41FE-9383-1F0A267A47C0}"/>
    <hyperlink ref="C15" r:id="rId4" xr:uid="{F5C15B65-7934-41EA-8B88-95112A569E5F}"/>
    <hyperlink ref="C18" r:id="rId5" xr:uid="{D6850211-EDB8-4E91-AD8F-1C07E9713231}"/>
    <hyperlink ref="C17" r:id="rId6" xr:uid="{51C53C9F-0C17-4C94-B2AB-99FEBA8A9A23}"/>
    <hyperlink ref="C19" r:id="rId7" display="https://www.aliexpress.us/item/3256804425682359.html?spm=a2g0o.productlist.main.1.77855fd4Z0hJOc&amp;algo_pvid=ae97e723-841b-4347-961b-6c3195e819ef&amp;algo_exp_id=ae97e723-841b-4347-961b-6c3195e819ef-0&amp;pdp_ext_f=%7B%22sku_id%22%3A%2212000029827650805%22%7D&amp;pdp_npi=2%40dis%21USD%210.9%210.9%21%21%21%21%21%402102110316669124946818028d077f%2112000029827650805%21sea&amp;curPageLogUid=pjq9i1GZgUdJ" xr:uid="{DE6AE20F-F248-4D42-A08D-ECA28F04E3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 Run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2g Engineering</dc:creator>
  <cp:lastModifiedBy>2g Engineering</cp:lastModifiedBy>
  <dcterms:created xsi:type="dcterms:W3CDTF">2022-10-25T19:28:40Z</dcterms:created>
  <dcterms:modified xsi:type="dcterms:W3CDTF">2022-10-28T15:08:21Z</dcterms:modified>
</cp:coreProperties>
</file>