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defaultThemeVersion="124226"/>
  <mc:AlternateContent xmlns:mc="http://schemas.openxmlformats.org/markup-compatibility/2006">
    <mc:Choice Requires="x15">
      <x15ac:absPath xmlns:x15ac="http://schemas.microsoft.com/office/spreadsheetml/2010/11/ac" url="/Users/thuyduong/Downloads/pnj/"/>
    </mc:Choice>
  </mc:AlternateContent>
  <xr:revisionPtr revIDLastSave="0" documentId="13_ncr:1_{9B4EB467-20BD-9D46-92BB-C063B18FF91A}" xr6:coauthVersionLast="47" xr6:coauthVersionMax="47" xr10:uidLastSave="{00000000-0000-0000-0000-000000000000}"/>
  <bookViews>
    <workbookView xWindow="900" yWindow="500" windowWidth="26840" windowHeight="14480" activeTab="1" xr2:uid="{00000000-000D-0000-FFFF-FFFF00000000}"/>
  </bookViews>
  <sheets>
    <sheet name="CB_DATA_" sheetId="4" state="veryHidden" r:id="rId1"/>
    <sheet name="PNJDATA" sheetId="2" r:id="rId2"/>
    <sheet name="PNJ (Sau ĐC)" sheetId="3" r:id="rId3"/>
  </sheets>
  <definedNames>
    <definedName name="CB_10610046a5eb4a0e8109e74cfdbcdc1a" localSheetId="2" hidden="1">'PNJ (Sau ĐC)'!$I$148</definedName>
    <definedName name="CB_2477554117934d3f807e7358ed3217c0" localSheetId="2" hidden="1">'PNJ (Sau ĐC)'!$I$139</definedName>
    <definedName name="CB_5711ef34af7f4688a08960afe0c90c5e" localSheetId="2" hidden="1">'PNJ (Sau ĐC)'!$C$198</definedName>
    <definedName name="CB_5d3e4379dcf34597bd6217f094557231" localSheetId="2" hidden="1">'PNJ (Sau ĐC)'!$I$143</definedName>
    <definedName name="CB_86719809cd494868b5a8fa16b7f2ff9a" localSheetId="2" hidden="1">'PNJ (Sau ĐC)'!$D$188</definedName>
    <definedName name="CB_Block_00000000000000000000000000000000" localSheetId="2" hidden="1">"'7.0.0.0"</definedName>
    <definedName name="CB_Block_00000000000000000000000000000000" localSheetId="1" hidden="1">"'7.0.0.0"</definedName>
    <definedName name="CB_Block_00000000000000000000000000000001" localSheetId="0" hidden="1">"'637199969745679091"</definedName>
    <definedName name="CB_Block_00000000000000000000000000000001" localSheetId="2" hidden="1">"'637199969761377578"</definedName>
    <definedName name="CB_Block_00000000000000000000000000000001" localSheetId="1" hidden="1">"'637199901609829830"</definedName>
    <definedName name="CB_Block_00000000000000000000000000000003" localSheetId="2" hidden="1">"'11.1.2391.0"</definedName>
    <definedName name="CB_Block_00000000000000000000000000000003" localSheetId="1" hidden="1">"'11.1.2391.0"</definedName>
    <definedName name="CB_BlockExt_00000000000000000000000000000003" localSheetId="2" hidden="1">"'11.1.2.1.000"</definedName>
    <definedName name="CB_BlockExt_00000000000000000000000000000003" localSheetId="1" hidden="1">"'11.1.2.1.000"</definedName>
    <definedName name="CB_d0605175b3204adda6cdda48dc7b6156" localSheetId="2" hidden="1">'PNJ (Sau ĐC)'!$I$144</definedName>
    <definedName name="CB_dca3a5e99a7d449083bdd9b3fcfed18c" localSheetId="2" hidden="1">'PNJ (Sau ĐC)'!$I$140</definedName>
    <definedName name="CBWorkbookPriority" localSheetId="0" hidden="1">-729492880</definedName>
    <definedName name="CBx_0d2f4931633344d39b71e4d9029864d9" localSheetId="0" hidden="1">"'PNJ (Sau ĐC)'!$A$1"</definedName>
    <definedName name="CBx_4d2dc5d1156045998ac99c62b2426636" localSheetId="0" hidden="1">"'CB_DATA_'!$A$1"</definedName>
    <definedName name="CBx_a6669c2d2a82447c8577cb68aefac85d" localSheetId="0" hidden="1">"'PNJDATA'!$A$1"</definedName>
    <definedName name="CBx_Sheet_Guid" localSheetId="0" hidden="1">"'4d2dc5d1-1560-4599-8ac9-9c62b2426636"</definedName>
    <definedName name="CBx_Sheet_Guid" localSheetId="2" hidden="1">"'0d2f4931-6333-44d3-9b71-e4d9029864d9"</definedName>
    <definedName name="CBx_Sheet_Guid" localSheetId="1" hidden="1">"'a6669c2d-2a82-447c-8577-cb68aefac85d"</definedName>
    <definedName name="CBx_SheetRef" localSheetId="0" hidden="1">CB_DATA_!$A$14</definedName>
    <definedName name="CBx_SheetRef" localSheetId="2" hidden="1">CB_DATA_!$C$14</definedName>
    <definedName name="CBx_SheetRef" localSheetId="1" hidden="1">CB_DATA_!$B$14</definedName>
    <definedName name="CBx_StorageType" localSheetId="0" hidden="1">2</definedName>
    <definedName name="CBx_StorageType" localSheetId="2" hidden="1">2</definedName>
    <definedName name="CBx_StorageType" localSheetId="1"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6" i="3" l="1"/>
  <c r="G196" i="2" l="1"/>
  <c r="P2" i="4"/>
  <c r="G179" i="2" l="1"/>
  <c r="J272" i="3"/>
  <c r="L271" i="3"/>
  <c r="K238" i="3"/>
  <c r="J238" i="3"/>
  <c r="I238" i="3"/>
  <c r="K237" i="3"/>
  <c r="J237" i="3"/>
  <c r="I237" i="3"/>
  <c r="K236" i="3"/>
  <c r="J236" i="3"/>
  <c r="I236" i="3"/>
  <c r="K235" i="3"/>
  <c r="J235" i="3"/>
  <c r="I235" i="3"/>
  <c r="K234" i="3"/>
  <c r="J234" i="3"/>
  <c r="I234" i="3"/>
  <c r="K233" i="3"/>
  <c r="J233" i="3"/>
  <c r="I233" i="3"/>
  <c r="C196" i="3"/>
  <c r="C194" i="3"/>
  <c r="C152" i="3"/>
  <c r="G121" i="3"/>
  <c r="F121" i="3"/>
  <c r="F130" i="3" s="1"/>
  <c r="F147" i="3" s="1"/>
  <c r="E121" i="3"/>
  <c r="E130" i="3" s="1"/>
  <c r="E147" i="3" s="1"/>
  <c r="D121" i="3"/>
  <c r="C121" i="3"/>
  <c r="G120" i="3"/>
  <c r="F120" i="3"/>
  <c r="F129" i="3" s="1"/>
  <c r="F146" i="3" s="1"/>
  <c r="E120" i="3"/>
  <c r="D120" i="3"/>
  <c r="C120" i="3"/>
  <c r="G119" i="3"/>
  <c r="C153" i="3" s="1"/>
  <c r="C155" i="3" s="1"/>
  <c r="F119" i="3"/>
  <c r="E119" i="3"/>
  <c r="D119" i="3"/>
  <c r="C119" i="3"/>
  <c r="G118" i="3"/>
  <c r="F118" i="3"/>
  <c r="F127" i="3" s="1"/>
  <c r="F144" i="3" s="1"/>
  <c r="E118" i="3"/>
  <c r="E125" i="3" s="1"/>
  <c r="E142" i="3" s="1"/>
  <c r="D118" i="3"/>
  <c r="D125" i="3" s="1"/>
  <c r="C118" i="3"/>
  <c r="E103" i="3"/>
  <c r="G101" i="3"/>
  <c r="F101" i="3"/>
  <c r="E101" i="3"/>
  <c r="D101" i="3"/>
  <c r="C101" i="3"/>
  <c r="E100" i="3"/>
  <c r="D100" i="3"/>
  <c r="G85" i="3"/>
  <c r="F85" i="3"/>
  <c r="E85" i="3"/>
  <c r="D85" i="3"/>
  <c r="C85" i="3"/>
  <c r="G81" i="3"/>
  <c r="F81" i="3"/>
  <c r="E81" i="3"/>
  <c r="D81" i="3"/>
  <c r="C81" i="3"/>
  <c r="E78" i="3"/>
  <c r="G72" i="3"/>
  <c r="G78" i="3" s="1"/>
  <c r="F72" i="3"/>
  <c r="F78" i="3" s="1"/>
  <c r="D72" i="3"/>
  <c r="D78" i="3" s="1"/>
  <c r="C72" i="3"/>
  <c r="C78" i="3" s="1"/>
  <c r="G58" i="3"/>
  <c r="D58" i="3"/>
  <c r="C58" i="3"/>
  <c r="G52" i="3"/>
  <c r="G103" i="3" s="1"/>
  <c r="F52" i="3"/>
  <c r="F51" i="3" s="1"/>
  <c r="E52" i="3"/>
  <c r="D52" i="3"/>
  <c r="C52" i="3"/>
  <c r="C103" i="3" s="1"/>
  <c r="E51" i="3"/>
  <c r="E65" i="3" s="1"/>
  <c r="G44" i="3"/>
  <c r="G100" i="3" s="1"/>
  <c r="G102" i="3" s="1"/>
  <c r="F44" i="3"/>
  <c r="F100" i="3" s="1"/>
  <c r="D44" i="3"/>
  <c r="C44" i="3"/>
  <c r="C100" i="3" s="1"/>
  <c r="C102" i="3" s="1"/>
  <c r="D43" i="3"/>
  <c r="C43" i="3"/>
  <c r="G26" i="3"/>
  <c r="G128" i="3" s="1"/>
  <c r="G145" i="3" s="1"/>
  <c r="F26" i="3"/>
  <c r="E26" i="3"/>
  <c r="E128" i="3" s="1"/>
  <c r="E145" i="3" s="1"/>
  <c r="D26" i="3"/>
  <c r="D24" i="3" s="1"/>
  <c r="C26" i="3"/>
  <c r="C24" i="3" s="1"/>
  <c r="G18" i="3"/>
  <c r="F18" i="3"/>
  <c r="F126" i="3" s="1"/>
  <c r="F143" i="3" s="1"/>
  <c r="D18" i="3"/>
  <c r="D126" i="3" s="1"/>
  <c r="C18" i="3"/>
  <c r="C15" i="3" s="1"/>
  <c r="G15" i="3"/>
  <c r="K238" i="2"/>
  <c r="J238" i="2"/>
  <c r="I238" i="2"/>
  <c r="K237" i="2"/>
  <c r="J237" i="2"/>
  <c r="I237" i="2"/>
  <c r="K236" i="2"/>
  <c r="J236" i="2"/>
  <c r="I236" i="2"/>
  <c r="K235" i="2"/>
  <c r="J235" i="2"/>
  <c r="I235" i="2"/>
  <c r="K234" i="2"/>
  <c r="J234" i="2"/>
  <c r="I234" i="2"/>
  <c r="K233" i="2"/>
  <c r="J233" i="2"/>
  <c r="I233" i="2"/>
  <c r="C196" i="2"/>
  <c r="C194" i="2"/>
  <c r="G121" i="2"/>
  <c r="F121" i="2"/>
  <c r="E121" i="2"/>
  <c r="D121" i="2"/>
  <c r="C121" i="2"/>
  <c r="G120" i="2"/>
  <c r="F120" i="2"/>
  <c r="E120" i="2"/>
  <c r="E129" i="2" s="1"/>
  <c r="E146" i="2" s="1"/>
  <c r="D120" i="2"/>
  <c r="D129" i="2" s="1"/>
  <c r="C120" i="2"/>
  <c r="G119" i="2"/>
  <c r="F119" i="2"/>
  <c r="E119" i="2"/>
  <c r="D119" i="2"/>
  <c r="D124" i="2" s="1"/>
  <c r="C119" i="2"/>
  <c r="G118" i="2"/>
  <c r="C152" i="2" s="1"/>
  <c r="F118" i="2"/>
  <c r="F125" i="2" s="1"/>
  <c r="F142" i="2" s="1"/>
  <c r="E118" i="2"/>
  <c r="D118" i="2"/>
  <c r="D127" i="2" s="1"/>
  <c r="C118" i="2"/>
  <c r="G101" i="2"/>
  <c r="F101" i="2"/>
  <c r="E101" i="2"/>
  <c r="D101" i="2"/>
  <c r="C101" i="2"/>
  <c r="E100" i="2"/>
  <c r="G85" i="2"/>
  <c r="F85" i="2"/>
  <c r="E85" i="2"/>
  <c r="D85" i="2"/>
  <c r="C85" i="2"/>
  <c r="G81" i="2"/>
  <c r="F81" i="2"/>
  <c r="E81" i="2"/>
  <c r="D81" i="2"/>
  <c r="C81" i="2"/>
  <c r="E78" i="2"/>
  <c r="E82" i="2" s="1"/>
  <c r="G72" i="2"/>
  <c r="G78" i="2" s="1"/>
  <c r="F72" i="2"/>
  <c r="F78" i="2" s="1"/>
  <c r="D72" i="2"/>
  <c r="D78" i="2" s="1"/>
  <c r="D82" i="2" s="1"/>
  <c r="C72" i="2"/>
  <c r="C78" i="2" s="1"/>
  <c r="C82" i="2" s="1"/>
  <c r="G58" i="2"/>
  <c r="D58" i="2"/>
  <c r="C58" i="2"/>
  <c r="G52" i="2"/>
  <c r="G103" i="2" s="1"/>
  <c r="F52" i="2"/>
  <c r="F103" i="2" s="1"/>
  <c r="E52" i="2"/>
  <c r="E103" i="2" s="1"/>
  <c r="D52" i="2"/>
  <c r="D103" i="2" s="1"/>
  <c r="C52" i="2"/>
  <c r="C103" i="2" s="1"/>
  <c r="D51" i="2"/>
  <c r="G44" i="2"/>
  <c r="G100" i="2" s="1"/>
  <c r="F44" i="2"/>
  <c r="F100" i="2" s="1"/>
  <c r="D44" i="2"/>
  <c r="D100" i="2" s="1"/>
  <c r="C44" i="2"/>
  <c r="C100" i="2" s="1"/>
  <c r="C43" i="2"/>
  <c r="G26" i="2"/>
  <c r="F26" i="2"/>
  <c r="F24" i="2" s="1"/>
  <c r="E26" i="2"/>
  <c r="E128" i="2" s="1"/>
  <c r="E145" i="2" s="1"/>
  <c r="D26" i="2"/>
  <c r="D128" i="2" s="1"/>
  <c r="C26" i="2"/>
  <c r="D24" i="2"/>
  <c r="C24" i="2"/>
  <c r="G18" i="2"/>
  <c r="G126" i="2" s="1"/>
  <c r="G143" i="2" s="1"/>
  <c r="C160" i="2" s="1"/>
  <c r="F18" i="2"/>
  <c r="F126" i="2" s="1"/>
  <c r="F143" i="2" s="1"/>
  <c r="D18" i="2"/>
  <c r="D126" i="2" s="1"/>
  <c r="C18" i="2"/>
  <c r="C15" i="2"/>
  <c r="C11" i="4"/>
  <c r="B11" i="4"/>
  <c r="A11" i="4"/>
  <c r="G51" i="3" l="1"/>
  <c r="D15" i="2"/>
  <c r="D40" i="2" s="1"/>
  <c r="D43" i="2"/>
  <c r="E51" i="2"/>
  <c r="E65" i="2" s="1"/>
  <c r="D130" i="2"/>
  <c r="D147" i="2" s="1"/>
  <c r="F43" i="3"/>
  <c r="F63" i="3" s="1"/>
  <c r="C82" i="3"/>
  <c r="G128" i="2"/>
  <c r="G145" i="2" s="1"/>
  <c r="F43" i="2"/>
  <c r="F51" i="2"/>
  <c r="G43" i="3"/>
  <c r="G63" i="3" s="1"/>
  <c r="G82" i="2"/>
  <c r="G15" i="2"/>
  <c r="G24" i="2"/>
  <c r="G40" i="2" s="1"/>
  <c r="G43" i="2"/>
  <c r="E102" i="2"/>
  <c r="F130" i="2"/>
  <c r="F147" i="2" s="1"/>
  <c r="D15" i="3"/>
  <c r="F82" i="3"/>
  <c r="F111" i="3" s="1"/>
  <c r="F131" i="3" s="1"/>
  <c r="F148" i="3" s="1"/>
  <c r="G127" i="2"/>
  <c r="G144" i="2" s="1"/>
  <c r="G129" i="2"/>
  <c r="G146" i="2" s="1"/>
  <c r="C165" i="2" s="1"/>
  <c r="G130" i="2"/>
  <c r="G147" i="2" s="1"/>
  <c r="C166" i="2" s="1"/>
  <c r="F15" i="3"/>
  <c r="G82" i="3"/>
  <c r="F125" i="3"/>
  <c r="F142" i="3" s="1"/>
  <c r="D179" i="2"/>
  <c r="H179" i="2"/>
  <c r="I179" i="2"/>
  <c r="F179" i="2"/>
  <c r="E179" i="2"/>
  <c r="D40" i="3"/>
  <c r="C63" i="3"/>
  <c r="C51" i="3"/>
  <c r="C65" i="3" s="1"/>
  <c r="D82" i="3"/>
  <c r="F103" i="3"/>
  <c r="E124" i="3"/>
  <c r="E140" i="3" s="1"/>
  <c r="D129" i="3"/>
  <c r="D146" i="3" s="1"/>
  <c r="G130" i="3"/>
  <c r="G147" i="3" s="1"/>
  <c r="C166" i="3" s="1"/>
  <c r="G24" i="3"/>
  <c r="G40" i="3" s="1"/>
  <c r="D123" i="3"/>
  <c r="D139" i="3" s="1"/>
  <c r="F124" i="3"/>
  <c r="F140" i="3" s="1"/>
  <c r="E129" i="3"/>
  <c r="E146" i="3" s="1"/>
  <c r="D130" i="3"/>
  <c r="G124" i="3"/>
  <c r="G140" i="3" s="1"/>
  <c r="D127" i="3"/>
  <c r="D144" i="3" s="1"/>
  <c r="E127" i="3"/>
  <c r="E144" i="3" s="1"/>
  <c r="E82" i="3"/>
  <c r="E111" i="3" s="1"/>
  <c r="E131" i="3" s="1"/>
  <c r="E148" i="3" s="1"/>
  <c r="E126" i="3"/>
  <c r="E143" i="3" s="1"/>
  <c r="L235" i="2"/>
  <c r="M235" i="2" s="1"/>
  <c r="L233" i="3"/>
  <c r="D111" i="3"/>
  <c r="D131" i="3" s="1"/>
  <c r="D148" i="3" s="1"/>
  <c r="D86" i="3"/>
  <c r="G111" i="3"/>
  <c r="G131" i="3" s="1"/>
  <c r="G148" i="3" s="1"/>
  <c r="C179" i="3" s="1"/>
  <c r="G86" i="3"/>
  <c r="C104" i="3"/>
  <c r="C110" i="3"/>
  <c r="C111" i="3"/>
  <c r="C131" i="3" s="1"/>
  <c r="C86" i="3"/>
  <c r="F15" i="2"/>
  <c r="F40" i="2"/>
  <c r="C40" i="3"/>
  <c r="F65" i="3"/>
  <c r="E102" i="3"/>
  <c r="G104" i="3"/>
  <c r="G107" i="3" s="1"/>
  <c r="C163" i="3"/>
  <c r="C176" i="3" s="1"/>
  <c r="D152" i="3"/>
  <c r="D165" i="3" s="1"/>
  <c r="D143" i="3"/>
  <c r="C109" i="3"/>
  <c r="G65" i="3"/>
  <c r="G110" i="3"/>
  <c r="C156" i="3"/>
  <c r="E126" i="2"/>
  <c r="E143" i="2" s="1"/>
  <c r="E125" i="2"/>
  <c r="E142" i="2" s="1"/>
  <c r="F128" i="3"/>
  <c r="F145" i="3" s="1"/>
  <c r="F24" i="3"/>
  <c r="F40" i="3" s="1"/>
  <c r="D103" i="3"/>
  <c r="D51" i="3"/>
  <c r="E63" i="3"/>
  <c r="G127" i="3"/>
  <c r="G144" i="3" s="1"/>
  <c r="C161" i="3" s="1"/>
  <c r="G123" i="3"/>
  <c r="G139" i="3" s="1"/>
  <c r="G129" i="3"/>
  <c r="G146" i="3" s="1"/>
  <c r="C165" i="3" s="1"/>
  <c r="G125" i="3"/>
  <c r="G142" i="3" s="1"/>
  <c r="D147" i="3"/>
  <c r="H147" i="3" s="1"/>
  <c r="E124" i="2"/>
  <c r="E140" i="2" s="1"/>
  <c r="G126" i="3"/>
  <c r="G143" i="3" s="1"/>
  <c r="C160" i="3" s="1"/>
  <c r="F86" i="3"/>
  <c r="D102" i="3"/>
  <c r="F102" i="3"/>
  <c r="D142" i="3"/>
  <c r="E123" i="3"/>
  <c r="E139" i="3" s="1"/>
  <c r="D124" i="3"/>
  <c r="D128" i="3"/>
  <c r="D63" i="2"/>
  <c r="F123" i="3"/>
  <c r="F139" i="3" s="1"/>
  <c r="C40" i="2"/>
  <c r="F82" i="2"/>
  <c r="F86" i="2" s="1"/>
  <c r="G124" i="2"/>
  <c r="G140" i="2" s="1"/>
  <c r="F129" i="2"/>
  <c r="F146" i="2" s="1"/>
  <c r="E130" i="2"/>
  <c r="E147" i="2" s="1"/>
  <c r="L234" i="2"/>
  <c r="M234" i="2" s="1"/>
  <c r="L236" i="2"/>
  <c r="M236" i="2" s="1"/>
  <c r="N236" i="2" s="1"/>
  <c r="L234" i="3"/>
  <c r="L238" i="3"/>
  <c r="D145" i="2"/>
  <c r="G111" i="2"/>
  <c r="G131" i="2" s="1"/>
  <c r="G148" i="2" s="1"/>
  <c r="C179" i="2" s="1"/>
  <c r="G86" i="2"/>
  <c r="D140" i="2"/>
  <c r="C161" i="2"/>
  <c r="C111" i="2"/>
  <c r="C131" i="2" s="1"/>
  <c r="C86" i="2"/>
  <c r="E111" i="2"/>
  <c r="E131" i="2" s="1"/>
  <c r="E148" i="2" s="1"/>
  <c r="E86" i="2"/>
  <c r="D146" i="2"/>
  <c r="H146" i="2" s="1"/>
  <c r="D102" i="2"/>
  <c r="D111" i="2"/>
  <c r="D131" i="2" s="1"/>
  <c r="D148" i="2" s="1"/>
  <c r="D86" i="2"/>
  <c r="C163" i="2"/>
  <c r="C176" i="2" s="1"/>
  <c r="D152" i="2"/>
  <c r="D166" i="2" s="1"/>
  <c r="F102" i="2"/>
  <c r="F111" i="2"/>
  <c r="F131" i="2" s="1"/>
  <c r="F148" i="2" s="1"/>
  <c r="D144" i="2"/>
  <c r="H126" i="2"/>
  <c r="F128" i="2"/>
  <c r="F145" i="2" s="1"/>
  <c r="E63" i="2"/>
  <c r="D65" i="2"/>
  <c r="C102" i="2"/>
  <c r="G102" i="2"/>
  <c r="E104" i="2"/>
  <c r="E107" i="2" s="1"/>
  <c r="E123" i="2"/>
  <c r="E139" i="2" s="1"/>
  <c r="G125" i="2"/>
  <c r="G142" i="2" s="1"/>
  <c r="E127" i="2"/>
  <c r="E144" i="2" s="1"/>
  <c r="D143" i="2"/>
  <c r="H143" i="2" s="1"/>
  <c r="F124" i="2"/>
  <c r="F140" i="2" s="1"/>
  <c r="C51" i="2"/>
  <c r="C63" i="2" s="1"/>
  <c r="G51" i="2"/>
  <c r="G63" i="2" s="1"/>
  <c r="E110" i="2"/>
  <c r="F123" i="2"/>
  <c r="F139" i="2" s="1"/>
  <c r="D125" i="2"/>
  <c r="F127" i="2"/>
  <c r="F144" i="2" s="1"/>
  <c r="C153" i="2"/>
  <c r="C155" i="2" s="1"/>
  <c r="C156" i="2" s="1"/>
  <c r="L233" i="2"/>
  <c r="M233" i="2" s="1"/>
  <c r="N233" i="2" s="1"/>
  <c r="C244" i="2" s="1"/>
  <c r="G123" i="2"/>
  <c r="G139" i="2" s="1"/>
  <c r="D123" i="2"/>
  <c r="L235" i="3"/>
  <c r="L237" i="2"/>
  <c r="L238" i="2"/>
  <c r="M238" i="2" s="1"/>
  <c r="L236" i="3"/>
  <c r="L237" i="3"/>
  <c r="H142" i="3" l="1"/>
  <c r="H147" i="2"/>
  <c r="G109" i="3"/>
  <c r="C167" i="3"/>
  <c r="H130" i="2"/>
  <c r="H130" i="3"/>
  <c r="C180" i="3"/>
  <c r="C181" i="3" s="1"/>
  <c r="G108" i="3"/>
  <c r="C180" i="2"/>
  <c r="C181" i="2" s="1"/>
  <c r="F63" i="2"/>
  <c r="F65" i="2"/>
  <c r="N234" i="2"/>
  <c r="C245" i="2" s="1"/>
  <c r="N235" i="2"/>
  <c r="C248" i="2" s="1"/>
  <c r="M237" i="2"/>
  <c r="N237" i="2" s="1"/>
  <c r="C249" i="2" s="1"/>
  <c r="M234" i="3"/>
  <c r="M235" i="3"/>
  <c r="M237" i="3"/>
  <c r="M238" i="3"/>
  <c r="M236" i="3"/>
  <c r="M233" i="3"/>
  <c r="E86" i="3"/>
  <c r="E88" i="3" s="1"/>
  <c r="E89" i="3" s="1"/>
  <c r="H146" i="3"/>
  <c r="C247" i="2"/>
  <c r="D153" i="3"/>
  <c r="D155" i="3" s="1"/>
  <c r="D156" i="3" s="1"/>
  <c r="D180" i="3" s="1"/>
  <c r="D163" i="3"/>
  <c r="D176" i="3" s="1"/>
  <c r="D161" i="3"/>
  <c r="D160" i="3"/>
  <c r="D166" i="3"/>
  <c r="D167" i="3" s="1"/>
  <c r="E152" i="3"/>
  <c r="E160" i="3" s="1"/>
  <c r="D159" i="3"/>
  <c r="H144" i="3"/>
  <c r="H126" i="3"/>
  <c r="G106" i="3"/>
  <c r="G112" i="3"/>
  <c r="G94" i="3"/>
  <c r="G88" i="3"/>
  <c r="G89" i="3" s="1"/>
  <c r="H123" i="3"/>
  <c r="D104" i="3"/>
  <c r="D109" i="3" s="1"/>
  <c r="D110" i="3"/>
  <c r="H127" i="3"/>
  <c r="H139" i="3"/>
  <c r="D140" i="3"/>
  <c r="H140" i="3" s="1"/>
  <c r="H124" i="3"/>
  <c r="F110" i="3"/>
  <c r="F104" i="3"/>
  <c r="F108" i="3"/>
  <c r="D63" i="3"/>
  <c r="D65" i="3"/>
  <c r="H143" i="3"/>
  <c r="E110" i="3"/>
  <c r="E104" i="3"/>
  <c r="E108" i="3" s="1"/>
  <c r="C148" i="3"/>
  <c r="H148" i="3" s="1"/>
  <c r="H131" i="3"/>
  <c r="H129" i="2"/>
  <c r="D145" i="3"/>
  <c r="H145" i="3" s="1"/>
  <c r="H128" i="3"/>
  <c r="H125" i="3"/>
  <c r="F112" i="3"/>
  <c r="F88" i="3"/>
  <c r="F89" i="3" s="1"/>
  <c r="H129" i="3"/>
  <c r="C112" i="3"/>
  <c r="C88" i="3"/>
  <c r="C89" i="3" s="1"/>
  <c r="C94" i="3"/>
  <c r="C106" i="3"/>
  <c r="C107" i="3"/>
  <c r="D112" i="3"/>
  <c r="D88" i="3"/>
  <c r="D89" i="3" s="1"/>
  <c r="D94" i="3"/>
  <c r="D159" i="2"/>
  <c r="D160" i="2"/>
  <c r="D163" i="2"/>
  <c r="D176" i="2" s="1"/>
  <c r="D161" i="2"/>
  <c r="E152" i="2"/>
  <c r="E166" i="2" s="1"/>
  <c r="D153" i="2"/>
  <c r="D155" i="2" s="1"/>
  <c r="D156" i="2" s="1"/>
  <c r="D180" i="2" s="1"/>
  <c r="D165" i="2"/>
  <c r="D167" i="2" s="1"/>
  <c r="E106" i="2"/>
  <c r="C148" i="2"/>
  <c r="H148" i="2" s="1"/>
  <c r="H131" i="2"/>
  <c r="H124" i="2"/>
  <c r="H144" i="2"/>
  <c r="F112" i="2"/>
  <c r="F88" i="2"/>
  <c r="F89" i="2" s="1"/>
  <c r="F104" i="2"/>
  <c r="F108" i="2" s="1"/>
  <c r="F110" i="2"/>
  <c r="E109" i="2"/>
  <c r="E112" i="2"/>
  <c r="E88" i="2"/>
  <c r="E89" i="2" s="1"/>
  <c r="C65" i="2"/>
  <c r="H140" i="2"/>
  <c r="G112" i="2"/>
  <c r="G94" i="2"/>
  <c r="G88" i="2"/>
  <c r="G89" i="2" s="1"/>
  <c r="G65" i="2"/>
  <c r="H123" i="2"/>
  <c r="D139" i="2"/>
  <c r="H139" i="2" s="1"/>
  <c r="G110" i="2"/>
  <c r="G104" i="2"/>
  <c r="H127" i="2"/>
  <c r="E108" i="2"/>
  <c r="H128" i="2"/>
  <c r="D142" i="2"/>
  <c r="H142" i="2" s="1"/>
  <c r="H125" i="2"/>
  <c r="C110" i="2"/>
  <c r="C104" i="2"/>
  <c r="D112" i="2"/>
  <c r="D94" i="2"/>
  <c r="D88" i="2"/>
  <c r="D89" i="2" s="1"/>
  <c r="D104" i="2"/>
  <c r="D108" i="2"/>
  <c r="D110" i="2"/>
  <c r="C94" i="2"/>
  <c r="C112" i="2"/>
  <c r="C88" i="2"/>
  <c r="C89" i="2" s="1"/>
  <c r="C167" i="2"/>
  <c r="H145" i="2"/>
  <c r="N238" i="2"/>
  <c r="C246" i="2" s="1"/>
  <c r="C201" i="3" l="1"/>
  <c r="G113" i="3"/>
  <c r="D108" i="3"/>
  <c r="D113" i="3" s="1"/>
  <c r="E112" i="3"/>
  <c r="M240" i="2"/>
  <c r="M241" i="2" s="1"/>
  <c r="M242" i="2"/>
  <c r="M242" i="3"/>
  <c r="K270" i="3" s="1"/>
  <c r="L270" i="3" s="1"/>
  <c r="N234" i="3"/>
  <c r="N233" i="3"/>
  <c r="N236" i="3"/>
  <c r="N237" i="3"/>
  <c r="N238" i="3"/>
  <c r="N235" i="3"/>
  <c r="M240" i="3"/>
  <c r="E153" i="3"/>
  <c r="E155" i="3" s="1"/>
  <c r="E156" i="3" s="1"/>
  <c r="E180" i="3" s="1"/>
  <c r="E159" i="3"/>
  <c r="D162" i="3"/>
  <c r="D175" i="3" s="1"/>
  <c r="D177" i="3" s="1"/>
  <c r="E161" i="3"/>
  <c r="E166" i="3"/>
  <c r="E163" i="3"/>
  <c r="E176" i="3" s="1"/>
  <c r="F152" i="3"/>
  <c r="F160" i="3" s="1"/>
  <c r="E165" i="2"/>
  <c r="E167" i="2" s="1"/>
  <c r="E160" i="2"/>
  <c r="E165" i="3"/>
  <c r="E153" i="2"/>
  <c r="E155" i="2" s="1"/>
  <c r="E156" i="2" s="1"/>
  <c r="E180" i="2" s="1"/>
  <c r="D162" i="2"/>
  <c r="D175" i="2" s="1"/>
  <c r="D177" i="2" s="1"/>
  <c r="C108" i="3"/>
  <c r="C113" i="3" s="1"/>
  <c r="F107" i="3"/>
  <c r="F106" i="3"/>
  <c r="F109" i="3"/>
  <c r="F113" i="3" s="1"/>
  <c r="E106" i="3"/>
  <c r="E109" i="3"/>
  <c r="E107" i="3"/>
  <c r="D106" i="3"/>
  <c r="D107" i="3"/>
  <c r="F152" i="2"/>
  <c r="F161" i="2" s="1"/>
  <c r="E161" i="2"/>
  <c r="E159" i="2"/>
  <c r="E163" i="2"/>
  <c r="E176" i="2" s="1"/>
  <c r="G109" i="2"/>
  <c r="G107" i="2"/>
  <c r="G106" i="2"/>
  <c r="D107" i="2"/>
  <c r="D109" i="2"/>
  <c r="D113" i="2" s="1"/>
  <c r="D106" i="2"/>
  <c r="E113" i="2"/>
  <c r="F109" i="2"/>
  <c r="F113" i="2" s="1"/>
  <c r="F107" i="2"/>
  <c r="F106" i="2"/>
  <c r="C109" i="2"/>
  <c r="C106" i="2"/>
  <c r="C107" i="2"/>
  <c r="G108" i="2"/>
  <c r="N240" i="2"/>
  <c r="E113" i="3" l="1"/>
  <c r="M241" i="3"/>
  <c r="B243" i="3"/>
  <c r="B245" i="3"/>
  <c r="B242" i="3"/>
  <c r="N240" i="3"/>
  <c r="E162" i="3"/>
  <c r="F159" i="3"/>
  <c r="F163" i="3"/>
  <c r="F176" i="3" s="1"/>
  <c r="E167" i="3"/>
  <c r="F166" i="3"/>
  <c r="F153" i="3"/>
  <c r="F155" i="3" s="1"/>
  <c r="F156" i="3" s="1"/>
  <c r="F180" i="3" s="1"/>
  <c r="F165" i="3"/>
  <c r="G152" i="3"/>
  <c r="H152" i="3" s="1"/>
  <c r="F161" i="3"/>
  <c r="F163" i="2"/>
  <c r="F176" i="2" s="1"/>
  <c r="F166" i="2"/>
  <c r="F165" i="2"/>
  <c r="F160" i="2"/>
  <c r="G152" i="2"/>
  <c r="G166" i="2" s="1"/>
  <c r="F153" i="2"/>
  <c r="F155" i="2" s="1"/>
  <c r="F156" i="2" s="1"/>
  <c r="F180" i="2" s="1"/>
  <c r="E162" i="2"/>
  <c r="E175" i="2" s="1"/>
  <c r="E177" i="2" s="1"/>
  <c r="E178" i="2" s="1"/>
  <c r="E181" i="2" s="1"/>
  <c r="E185" i="2" s="1"/>
  <c r="F159" i="2"/>
  <c r="G113" i="2"/>
  <c r="C108" i="2"/>
  <c r="C113" i="2" s="1"/>
  <c r="K269" i="3" l="1"/>
  <c r="L269" i="3" s="1"/>
  <c r="E175" i="3"/>
  <c r="E177" i="3" s="1"/>
  <c r="F162" i="3"/>
  <c r="F167" i="3"/>
  <c r="F167" i="2"/>
  <c r="G166" i="3"/>
  <c r="G159" i="3"/>
  <c r="G161" i="3"/>
  <c r="G153" i="3"/>
  <c r="G155" i="3" s="1"/>
  <c r="G156" i="3" s="1"/>
  <c r="G180" i="3" s="1"/>
  <c r="G165" i="3"/>
  <c r="G160" i="3"/>
  <c r="G163" i="3"/>
  <c r="G176" i="3" s="1"/>
  <c r="C159" i="3"/>
  <c r="C162" i="3" s="1"/>
  <c r="C175" i="3" s="1"/>
  <c r="C177" i="3" s="1"/>
  <c r="D178" i="3" s="1"/>
  <c r="D181" i="3" s="1"/>
  <c r="F162" i="2"/>
  <c r="C159" i="2"/>
  <c r="C162" i="2" s="1"/>
  <c r="C175" i="2" s="1"/>
  <c r="C177" i="2" s="1"/>
  <c r="D178" i="2" s="1"/>
  <c r="D181" i="2" s="1"/>
  <c r="E182" i="2" s="1"/>
  <c r="H152" i="2"/>
  <c r="H160" i="2" s="1"/>
  <c r="G165" i="2"/>
  <c r="G167" i="2" s="1"/>
  <c r="G160" i="2"/>
  <c r="G159" i="2"/>
  <c r="G153" i="2"/>
  <c r="G155" i="2" s="1"/>
  <c r="G156" i="2" s="1"/>
  <c r="G180" i="2" s="1"/>
  <c r="G161" i="2"/>
  <c r="G163" i="2"/>
  <c r="G176" i="2" s="1"/>
  <c r="H165" i="3"/>
  <c r="H153" i="3"/>
  <c r="H155" i="3" s="1"/>
  <c r="H156" i="3" s="1"/>
  <c r="H180" i="3" s="1"/>
  <c r="H160" i="3"/>
  <c r="H166" i="3"/>
  <c r="H159" i="3"/>
  <c r="I152" i="3"/>
  <c r="H163" i="3"/>
  <c r="H176" i="3" s="1"/>
  <c r="H161" i="3"/>
  <c r="D185" i="3" l="1"/>
  <c r="D182" i="3"/>
  <c r="E178" i="3"/>
  <c r="E181" i="3" s="1"/>
  <c r="G167" i="3"/>
  <c r="H159" i="2"/>
  <c r="F175" i="3"/>
  <c r="F177" i="3" s="1"/>
  <c r="F175" i="2"/>
  <c r="F177" i="2" s="1"/>
  <c r="F178" i="2" s="1"/>
  <c r="F181" i="2" s="1"/>
  <c r="F185" i="2" s="1"/>
  <c r="H161" i="2"/>
  <c r="H165" i="2"/>
  <c r="H163" i="2"/>
  <c r="H176" i="2" s="1"/>
  <c r="H166" i="2"/>
  <c r="I152" i="2"/>
  <c r="I163" i="2" s="1"/>
  <c r="I176" i="2" s="1"/>
  <c r="G162" i="3"/>
  <c r="D182" i="2"/>
  <c r="D185" i="2"/>
  <c r="G162" i="2"/>
  <c r="G175" i="2" s="1"/>
  <c r="G177" i="2" s="1"/>
  <c r="H153" i="2"/>
  <c r="H155" i="2" s="1"/>
  <c r="H156" i="2" s="1"/>
  <c r="H180" i="2" s="1"/>
  <c r="H167" i="3"/>
  <c r="I166" i="3"/>
  <c r="I159" i="3"/>
  <c r="I163" i="3"/>
  <c r="I176" i="3" s="1"/>
  <c r="I161" i="3"/>
  <c r="I165" i="3"/>
  <c r="I153" i="3"/>
  <c r="I155" i="3" s="1"/>
  <c r="I156" i="3" s="1"/>
  <c r="I180" i="3" s="1"/>
  <c r="I160" i="3"/>
  <c r="H162" i="3"/>
  <c r="E185" i="3" l="1"/>
  <c r="E182" i="3"/>
  <c r="F178" i="3"/>
  <c r="F181" i="3" s="1"/>
  <c r="G175" i="3"/>
  <c r="G177" i="3" s="1"/>
  <c r="H167" i="2"/>
  <c r="H162" i="2"/>
  <c r="I153" i="2"/>
  <c r="I155" i="2" s="1"/>
  <c r="I156" i="2" s="1"/>
  <c r="I180" i="2" s="1"/>
  <c r="I161" i="2"/>
  <c r="I160" i="2"/>
  <c r="G178" i="2"/>
  <c r="G181" i="2" s="1"/>
  <c r="G185" i="2" s="1"/>
  <c r="F182" i="2"/>
  <c r="I166" i="2"/>
  <c r="I159" i="2"/>
  <c r="I165" i="2"/>
  <c r="I167" i="3"/>
  <c r="H175" i="3"/>
  <c r="H177" i="3" s="1"/>
  <c r="I162" i="3"/>
  <c r="F182" i="3" l="1"/>
  <c r="F185" i="3"/>
  <c r="G178" i="3"/>
  <c r="G181" i="3" s="1"/>
  <c r="H178" i="3"/>
  <c r="H181" i="3" s="1"/>
  <c r="H175" i="2"/>
  <c r="H177" i="2" s="1"/>
  <c r="H178" i="2" s="1"/>
  <c r="H181" i="2" s="1"/>
  <c r="H185" i="2" s="1"/>
  <c r="I167" i="2"/>
  <c r="I162" i="2"/>
  <c r="G182" i="2"/>
  <c r="I175" i="3"/>
  <c r="I177" i="3" s="1"/>
  <c r="H185" i="3" l="1"/>
  <c r="H182" i="3"/>
  <c r="G182" i="3"/>
  <c r="G185" i="3"/>
  <c r="I178" i="3"/>
  <c r="I181" i="3" s="1"/>
  <c r="H182" i="2"/>
  <c r="I175" i="2"/>
  <c r="I177" i="2" s="1"/>
  <c r="I178" i="2" s="1"/>
  <c r="I181" i="2" s="1"/>
  <c r="I182" i="2" s="1"/>
  <c r="I184" i="2" s="1"/>
  <c r="I185" i="2" s="1"/>
  <c r="C186" i="2" s="1"/>
  <c r="C187" i="2" s="1"/>
  <c r="I185" i="3" l="1"/>
  <c r="C186" i="3" s="1"/>
  <c r="C193" i="3" s="1"/>
  <c r="D222" i="3" s="1"/>
  <c r="I182" i="3"/>
  <c r="I184" i="3" s="1"/>
  <c r="C193" i="2"/>
  <c r="D214" i="2" s="1"/>
  <c r="D226" i="2"/>
  <c r="C195" i="3" l="1"/>
  <c r="K272" i="3" s="1"/>
  <c r="L272" i="3" s="1"/>
  <c r="D206" i="3"/>
  <c r="D210" i="3"/>
  <c r="C187" i="3"/>
  <c r="D218" i="3"/>
  <c r="D214" i="3"/>
  <c r="D226" i="3"/>
  <c r="D210" i="2"/>
  <c r="C195" i="2"/>
  <c r="C198" i="2" s="1"/>
  <c r="C200" i="2" s="1"/>
  <c r="D222" i="2"/>
  <c r="D206" i="2"/>
  <c r="D218" i="2"/>
  <c r="C198" i="3" l="1"/>
  <c r="C200" i="3" s="1"/>
  <c r="M243" i="2"/>
  <c r="D211" i="2"/>
  <c r="D227" i="2"/>
  <c r="D223" i="2"/>
  <c r="D207" i="2"/>
  <c r="D219" i="2"/>
  <c r="D215" i="2"/>
  <c r="D227" i="3" l="1"/>
  <c r="D211" i="3"/>
  <c r="D223" i="3"/>
  <c r="D219" i="3"/>
  <c r="D207" i="3"/>
  <c r="D215" i="3"/>
</calcChain>
</file>

<file path=xl/sharedStrings.xml><?xml version="1.0" encoding="utf-8"?>
<sst xmlns="http://schemas.openxmlformats.org/spreadsheetml/2006/main" count="622" uniqueCount="286">
  <si>
    <t>Lớp: ADC01</t>
  </si>
  <si>
    <t>Nhóm 7</t>
  </si>
  <si>
    <t>Thành viên: Vũ Ngọc Quỳnh Anh</t>
  </si>
  <si>
    <t xml:space="preserve">                  Nguyễn Hải Thùy Dương</t>
  </si>
  <si>
    <t xml:space="preserve">                  Nguyễn Hà Nhi</t>
  </si>
  <si>
    <t xml:space="preserve">                  Cao Ngọc Lâm Phương</t>
  </si>
  <si>
    <t xml:space="preserve">                  Lâm Nguyễn Xuân Phương</t>
  </si>
  <si>
    <t>ĐỊNH GIÁ CÔNG TY CỔ PHẦN VÀNG BẠC ĐÁ QUÝ PHÚ NHUẬN</t>
  </si>
  <si>
    <t>MCK:</t>
  </si>
  <si>
    <t>PNJ</t>
  </si>
  <si>
    <t>ĐVT: tr.ĐVN</t>
  </si>
  <si>
    <t>STT</t>
  </si>
  <si>
    <t>KHOẢN MỤC TÍNH</t>
  </si>
  <si>
    <t>TÀI SẢN</t>
  </si>
  <si>
    <t>A</t>
  </si>
  <si>
    <t>TÀI SẢN NGẮN HẠN</t>
  </si>
  <si>
    <t>I</t>
  </si>
  <si>
    <t>Tiền và các khoản tương đương tiền</t>
  </si>
  <si>
    <t>II</t>
  </si>
  <si>
    <t>Các khoản đầu tư tài chính ngắn hạn</t>
  </si>
  <si>
    <t>III</t>
  </si>
  <si>
    <t>Các khoản phải thu ngắn hạn</t>
  </si>
  <si>
    <t xml:space="preserve">Phải thu khách hàng </t>
  </si>
  <si>
    <t>Trả trước cho người bán</t>
  </si>
  <si>
    <t xml:space="preserve">Các khoản phải thu khác </t>
  </si>
  <si>
    <t>IV</t>
  </si>
  <si>
    <t>Hàng tồn kho</t>
  </si>
  <si>
    <t>V</t>
  </si>
  <si>
    <t>Tài khoản ngắn hạn khác</t>
  </si>
  <si>
    <t>B</t>
  </si>
  <si>
    <t>TÀI SẢN DÀI HẠN</t>
  </si>
  <si>
    <t>Các khoản phải thu dài hạn</t>
  </si>
  <si>
    <t>Tài sản cố định (ròng)</t>
  </si>
  <si>
    <t xml:space="preserve">Nguyên giá TSCĐ hữu hình </t>
  </si>
  <si>
    <t>Giá trị hao mòn lũy kế TSCĐ hữu hình</t>
  </si>
  <si>
    <t>Nguyên giá TSCĐ vô hình</t>
  </si>
  <si>
    <t>Giá trị hao mòn lũy kế TSCĐ vô hình</t>
  </si>
  <si>
    <t>Nguyên giá TSCĐ hữu hình thuế TC</t>
  </si>
  <si>
    <t xml:space="preserve">Giá trị hao mòn lũy kế </t>
  </si>
  <si>
    <t xml:space="preserve">Chi phí xây dựng cơ bản dở dang </t>
  </si>
  <si>
    <t>Bất động sản đầu tư</t>
  </si>
  <si>
    <t>Nguyên giá</t>
  </si>
  <si>
    <t>Các khoản đầu tư tài chính dài hạn</t>
  </si>
  <si>
    <t>Lợi thế thương mại</t>
  </si>
  <si>
    <t>VI</t>
  </si>
  <si>
    <t>Tài sản dài hạn khác</t>
  </si>
  <si>
    <t>TỔNG TÀI SẢN</t>
  </si>
  <si>
    <t>NGUỒN VỐN</t>
  </si>
  <si>
    <t>NỢ PHẢI TRẢ</t>
  </si>
  <si>
    <t>Nợ ngắn hạn</t>
  </si>
  <si>
    <t>Vay nợ ngắn hạn</t>
  </si>
  <si>
    <t>Phải trả cho người bán</t>
  </si>
  <si>
    <t>Người mua trả tiền trước</t>
  </si>
  <si>
    <t>Các khoản nợ ngắn hạn khác</t>
  </si>
  <si>
    <t>Nợ dài hạn</t>
  </si>
  <si>
    <t>Nợ khác</t>
  </si>
  <si>
    <t>NGUỒN VỐN CHỦ SỞ HỮU</t>
  </si>
  <si>
    <t xml:space="preserve">I </t>
  </si>
  <si>
    <t>Vốn chủ sở hữu</t>
  </si>
  <si>
    <t>Vốn đầu tư của chủ sở hữu</t>
  </si>
  <si>
    <t>Thặng dư vốn cổ phần</t>
  </si>
  <si>
    <t>Cổ phiếu quỹ</t>
  </si>
  <si>
    <t>Các quỹ thuộc vốn chủ sở hữu</t>
  </si>
  <si>
    <t>Lợi nhuận chưa phân phối</t>
  </si>
  <si>
    <t>Nguồn kinh phí khác</t>
  </si>
  <si>
    <t>Quỹ khen thưởng phúc lợi</t>
  </si>
  <si>
    <t>Nguồn kinh phí sự nghiệp</t>
  </si>
  <si>
    <t>Nguồn kinh phí đã hình thành TSCĐ</t>
  </si>
  <si>
    <t>C</t>
  </si>
  <si>
    <t>LỢI ÍCH CỦA CÁC CỔ ĐÔNG THIỂU SỐ</t>
  </si>
  <si>
    <t>TỔNG CỘNG NGUỒN VỐN</t>
  </si>
  <si>
    <t>D/E=</t>
  </si>
  <si>
    <t>ĐVT: Tr.ĐVN</t>
  </si>
  <si>
    <t>Tổng doanh thu thuần</t>
  </si>
  <si>
    <t>Giá vốn hàng bán</t>
  </si>
  <si>
    <t>Lãi gộp</t>
  </si>
  <si>
    <t>Doanh thu hoạt động tài chính</t>
  </si>
  <si>
    <t>Chi phí tài chính</t>
  </si>
  <si>
    <t>Trong đó: Chi phí lãi vay</t>
  </si>
  <si>
    <t>Chi phí bán hàng</t>
  </si>
  <si>
    <t>Chi phí QL doanh nghiệp</t>
  </si>
  <si>
    <t>Lợi nhuận thuần từ hoạt động kinh doanh</t>
  </si>
  <si>
    <t>Thu nhập khác</t>
  </si>
  <si>
    <t>Chi phí khác</t>
  </si>
  <si>
    <t>Lợi nhuận khác</t>
  </si>
  <si>
    <t>Tổng lợi nhuận kế toán trước thuế</t>
  </si>
  <si>
    <t>Thuế TN DN</t>
  </si>
  <si>
    <t>Thuế TNDN được hoãn</t>
  </si>
  <si>
    <t>Thuế TNDN còn phải nộp</t>
  </si>
  <si>
    <t>Lợi nhuận sau thuế thu nhập</t>
  </si>
  <si>
    <t>Lợi ích của các cổ đông thiểu số</t>
  </si>
  <si>
    <t>Lợi nhuận sau thuế của TCT mẹ</t>
  </si>
  <si>
    <t>Số cổ phần bình quân (M=100,000 đ/CP)</t>
  </si>
  <si>
    <t>Thu nhập sau thuế/CP (VNĐ)</t>
  </si>
  <si>
    <t>Phân bổ cho:</t>
  </si>
  <si>
    <t>Cổ tức</t>
  </si>
  <si>
    <t>LNGL</t>
  </si>
  <si>
    <t>NỢ NGẮN HẠN (các khoản nợ ngắn hạn có chịu lãi)</t>
  </si>
  <si>
    <t>NỢ DÀI HẠN</t>
  </si>
  <si>
    <t>TỔNG NỢ</t>
  </si>
  <si>
    <t>VỐN CHỦ SỞ HỮU</t>
  </si>
  <si>
    <t>TỔNG NGUỒN</t>
  </si>
  <si>
    <t>Tính chi phí vốn</t>
  </si>
  <si>
    <t>Wstd</t>
  </si>
  <si>
    <t>Wd</t>
  </si>
  <si>
    <t>WD</t>
  </si>
  <si>
    <t>WS</t>
  </si>
  <si>
    <t>rd(chi phí lãi vay/tổng nợ)</t>
  </si>
  <si>
    <t>T%(thuế phải nộp/Tổng lợi nhuận kế toán trước thuế)</t>
  </si>
  <si>
    <t xml:space="preserve">rs=ROE </t>
  </si>
  <si>
    <t>WACC</t>
  </si>
  <si>
    <t>Cơ sở dự báo</t>
  </si>
  <si>
    <t>TB</t>
  </si>
  <si>
    <t>Tổng thu nhập (doanh thu+ thu nhập khác)</t>
  </si>
  <si>
    <t>Tổng chi phí (GVHB+CPHĐ+..)</t>
  </si>
  <si>
    <t>Các khoản phải trả</t>
  </si>
  <si>
    <t>Chi phí tích lũy (thuế phải nộp+chi phí phải trả+quỹ khen thưởng)</t>
  </si>
  <si>
    <t xml:space="preserve">Tỷ lệ tăng doanh thu </t>
  </si>
  <si>
    <t>Tỷ lệ chi phí/DT</t>
  </si>
  <si>
    <t>Tỷ lệ TM/DT</t>
  </si>
  <si>
    <t>Tỷ lệ khoản phải thu/DT</t>
  </si>
  <si>
    <t>Tỷ lệ tồn kho/DT</t>
  </si>
  <si>
    <t>Tỷ lệ TSCĐ ròng /DT</t>
  </si>
  <si>
    <t>Tỷ lệ khoản phải trả/DT</t>
  </si>
  <si>
    <t>Tỷ lệ chi phí tích lũy/DT</t>
  </si>
  <si>
    <t>Thuế</t>
  </si>
  <si>
    <t>Tình huống rủi ro</t>
  </si>
  <si>
    <t>Tốt nhất</t>
  </si>
  <si>
    <t>xấu nhất</t>
  </si>
  <si>
    <t>KHOẢN MỤC TÍNH</t>
  </si>
  <si>
    <t>Dự báo</t>
  </si>
  <si>
    <t>Tỷ lệ tăng doanh thu</t>
  </si>
  <si>
    <t>Tỷ lệ khooản phải trả/DT</t>
  </si>
  <si>
    <t>Thuế</t>
  </si>
  <si>
    <t>Kế hoạch ngân lưu:</t>
  </si>
  <si>
    <t>B. Một phần Báo Cáo Thu Nhập</t>
  </si>
  <si>
    <t xml:space="preserve">Tổng D thu </t>
  </si>
  <si>
    <t xml:space="preserve">Tổng Chi phí </t>
  </si>
  <si>
    <t xml:space="preserve"> Tổng chi phí hoạt động</t>
  </si>
  <si>
    <t>EBIT</t>
  </si>
  <si>
    <t xml:space="preserve"> C. Một phần Bảng CĐKT</t>
  </si>
  <si>
    <t>Tài sản hoạt động</t>
  </si>
  <si>
    <t>Tiền mặt</t>
  </si>
  <si>
    <t>Khoản phải thu</t>
  </si>
  <si>
    <t>Tồn kho</t>
  </si>
  <si>
    <t xml:space="preserve"> TSLĐ hoạt động</t>
  </si>
  <si>
    <t>TSCĐ ròng</t>
  </si>
  <si>
    <t>Nợ hoạt động</t>
  </si>
  <si>
    <t>Khooản phải trả</t>
  </si>
  <si>
    <t>Chi phií tích lũy</t>
  </si>
  <si>
    <t xml:space="preserve"> Tổng nợ ngắn hạn hoạt động</t>
  </si>
  <si>
    <t>THỰC TẾ</t>
  </si>
  <si>
    <t>DỰ BÁO</t>
  </si>
  <si>
    <t>Tính FCF</t>
  </si>
  <si>
    <t>NOWC=TSLĐ hoạt động - NNH HĐ</t>
  </si>
  <si>
    <t>Vốn hoạt động thuần (NOC)</t>
  </si>
  <si>
    <t>Đầu tư vào vốn hoạt động</t>
  </si>
  <si>
    <t>Thuế (giả định)</t>
  </si>
  <si>
    <t>NOPAT</t>
  </si>
  <si>
    <t>Ngân lưu tự do (FCF)</t>
  </si>
  <si>
    <t>Tỷ lệ tăng trưởng FCF</t>
  </si>
  <si>
    <t>Giá trị hoạt động</t>
  </si>
  <si>
    <t>Giá terminal (giá trị cuối)*</t>
  </si>
  <si>
    <t>Giá trị hoạt động</t>
  </si>
  <si>
    <t>Phân chia MVA</t>
  </si>
  <si>
    <t xml:space="preserve"> </t>
  </si>
  <si>
    <t>ĐVT:tr.ĐVN</t>
  </si>
  <si>
    <t xml:space="preserve"> + Giá trị tài sản đầu tư</t>
  </si>
  <si>
    <t xml:space="preserve"> = Tổng giá trị nội tại của DN</t>
  </si>
  <si>
    <t xml:space="preserve"> - Nợ</t>
  </si>
  <si>
    <t xml:space="preserve"> - Cổ phiếu ưu đãi</t>
  </si>
  <si>
    <t xml:space="preserve"> = Giá trị nội tại vốn cổ phần thường</t>
  </si>
  <si>
    <t xml:space="preserve"> Tổng số cổ phiếu đang lưu hành</t>
  </si>
  <si>
    <t>Giá nội tại của một cổ phiếu thường</t>
  </si>
  <si>
    <t>trCP</t>
  </si>
  <si>
    <t>Số cổ phiếu đang lưu hành tính đến ngày 31/12/2018</t>
  </si>
  <si>
    <t>CP</t>
  </si>
  <si>
    <t>8.1 Tác động của tỷ lệ tăng DT</t>
  </si>
  <si>
    <t>Giá trị HĐ</t>
  </si>
  <si>
    <t>Giá trị CP</t>
  </si>
  <si>
    <t>8.2 Tác động của tăng CP/DT</t>
  </si>
  <si>
    <t>8.3 Tác động của Tồn kho/DT</t>
  </si>
  <si>
    <t>8.4 Tác động của KPThu/DT</t>
  </si>
  <si>
    <t>8.6 Tác động của WACC</t>
  </si>
  <si>
    <t>Các tình huống rủi ro</t>
  </si>
  <si>
    <t>Bi quan (1)</t>
  </si>
  <si>
    <t>Cơ sở (2)</t>
  </si>
  <si>
    <t>Lạc quan (3)</t>
  </si>
  <si>
    <t>TH1</t>
  </si>
  <si>
    <t>TH2</t>
  </si>
  <si>
    <t>TH3</t>
  </si>
  <si>
    <t>TB-Cơ sở(2)</t>
  </si>
  <si>
    <t>%giảm
 GTDN</t>
  </si>
  <si>
    <t xml:space="preserve">Thứ tự ưu tiên rủi ro </t>
  </si>
  <si>
    <t>RR1_Thay đổi tỷ lệ DT</t>
  </si>
  <si>
    <t>Nghiêm trọng</t>
  </si>
  <si>
    <t>Cao</t>
  </si>
  <si>
    <t>RR3_Thay đổi tỷ lệ KPThu</t>
  </si>
  <si>
    <t>RR4_Thay đổi tỷ lệ tồn kho</t>
  </si>
  <si>
    <t>Trung bình</t>
  </si>
  <si>
    <t>Tổng RR=</t>
  </si>
  <si>
    <t>ĐLC tiêu cực=</t>
  </si>
  <si>
    <t>%GTDN</t>
  </si>
  <si>
    <t>Nhỏ</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</si>
  <si>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</si>
  <si>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</si>
  <si>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</si>
  <si>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</si>
  <si>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</si>
  <si>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</si>
  <si>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</si>
  <si>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</si>
  <si>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</si>
  <si>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</si>
  <si>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</si>
  <si>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</si>
  <si>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4d2dc5d1-1560-4599-8ac9-9c62b2426636</t>
  </si>
  <si>
    <t>CB_Block_0</t>
  </si>
  <si>
    <t>㜸〱敤㕣㕢㙣ㅣ搵ㄹ摥ㄹ敦慣㜷搶㜶㙣攲㄰〸㔷㜳扦㌸㕡攲㤰ㄴ㔲㥡〶㕦挸〵㜲㌱戱ㄳ㡡㈸㕤挶扢㘷散㐹㜶㘶捤捣慣ㄳ搳戴つ㉤㠵搲㡢㉡攰愱㠵搲ㄶ愱ち戵㉦㔵攱㠱㐲㑢ㅦ㉡㔵㙡㔵㐱㔵愹愸㔲ㅦ㉡㔱㔴搱㠷㔶㔵愴慡ㄲて㐸昴晢捥捣散捥敥㝡挷捥〲慤㔳㜹㤲晤㜳收摣捦昹慦攷晦捦㈴愵愴㔲愹昷昱昰㕦㍥㘹㈶㉥㤹㕡昴㝣㘱攷挷㉢攵戲㈸晡㔶挵昱昲愳慥㙢㉣敥户㍣扦ぢㄵ㌲〵ぢ攵㥥㔶昰慣㠷㐴戶戰㈰㕣て㤵戴㔴㉡㥢搵㔵㤴戳ㄳ晥〶愲ㄷ㥤慤㝡搳〰搳攳㘳㠷㘶㡥愱搷㈹扦攲㡡捤㐳㐷㠳戶㍢㐷㐶昲㈳昹慤㌷敦ㄸ挹㙦搹㍣㌴㕥㉤晢㔵㔷散㜴㐴搵㜷㡤昲收愱挹敡㑣搹㉡摥㈵ㄶ愷㉢挷㠵戳㔳捣㙣戹㜹挶搸㜶敢挸戶敤摢捤ㅤ㍢㙥敤挵搰愹㠳攳㘳㤳慥㌰扤て愹㑦㡤㔳摥㌶㈱㡡ㄶ搷㈶㠴㙢㌹戳昹昱㌱晣㡤捤ㅦ㙦户攴愷收㠴昰㌹戴㜰㠵㔳ㄴ㥥㡥㠶㍤昶愸攷㔵敤㜹㙥㥥㙥敦挶㔲㡢㠶攷㙢昶戸㈸㤷㜵㍢敡㌵㙢ㅦ挲摥㤵㡤挵㕥㝢㑡㌸㥥攵㕢ぢ㤶扦㤸戱愷搱㔱愹捦㍥攲㠹挳㠶㌳㉢づㅡ戶搰散㍤㔵慢㤴づ㥥㔴搷㜵㔱ㄷ昱㠹挹攵攷㐷㍤㝢㝣捥㜰攵㡣㍣㙥㑣㐲摤摤㙥戱戱敥㔵敤晢攵搴攵〸散昳㥡昶昵㔰㜲搴㜰㙢㌵㠷摢搷っㄷ摦㌸㠳㥢摡搷㡦敤㔱㘳㥢ㅢ摡户㤱㕢搹㔸㕢改〹改㕢敥㈸ㄶ愳㘷〸扡〹戲〴㐴愰㥥㈳攸㈱攸〵㔰搲晦〲㤷挴ㅢ戲㐸㉤ㄸ㙡㘱㐶㉤ㄴ搵㐲㐹㉤〸戵㘰慡㠵㔹戵㌰愷ㄶ㉣戵㜰㑣㉤ㅣ㐷㥤攸挹㜶㜷慢攱昳敦㔳挵㜷摥㝥㙡攳挱㤷㝥㍡晣㤳㡤㙦っ晥愱㜷ㅤ㉡摤ㅤ㑥㙡挲㌵㑥㠰搴敡㔴扣㌵扦㠵㝦㤶攷ち㌰㠵戹摤扣挵ㅣㄹ㈹㙤摦㘲摣㙣㘸㕣㔶〲昲ㅢ〸㘵〰㜵㝢捤㝢㉣愷㔴㌹㈱㜱㜷挹㤸攱㠹晡挶つ㠷㘵㘳㤵慡㔳昲㉥㕥扡㜰捡㌷㝣㜱㔱㜳㔹扤㤳㤶㘶㔳㘰㉢攱挹昱㉥㙢㙥㜶搴㈸㔷挵攸㐹㉢㈸扥戴愹搸㥥㜴㉢㌳敤㑢㜷扢攲挱㕡㘹换㡣㐶㈱搴ㄶ㘴摦㉤慢っ㡡㠲㜹つ㡤捦㔵㍣攱挸改つ摢㤳㔶昱戸㜰愷〴㐵愲㈸挹愵㥥捦愲㤰敢㠷て㌹㔸㈸戸戵㜴㘵㍣搷扣攳愴て㘶ㄶ㈵捣㜷㕥戸晥攲戴㌱㔳ㄶㅢㅢ慡〴㘳愲㘰㔳㐳昶敥㑡戱敡㡤㔷ㅣ摦慤㤴ㅢ㑢㐶㑢ぢ〶㈴㑤改㐰愵㈴搲改㤴ㄴち㄰戸㕤㕤㡡㤲扡戱㍤㉦㐸㐴挴㔰㑣㐶扥戰㤱散昲㠷戱㍡慣愲㉣㐸㤳敡搵换㜴挶昹㑡ㄹ㤳挰㠱戱㌵㔱㝦㜰搰敢㤷改戶㠶戹㡦戶戲慡づ㠶慢扦㘳㐱㌸晥㕥挳㈹㤵㠵㥢愸晤ㄴ捥㐸敦〷搰捥㐰㈰戴摤㍤慡㍡攵愴戲愸㥤戰㑡晥㕣㘶㑥㔸戳㜳㍥昲愰㈱戳㔹㙥㙤换愳㥦㠷㉣㝤㍤挱㈰㐰㉥㤷捡㙣㘰愵㑣づ㑦㑡愳㜴㑡攰攵〶㐱捥㜶つ扣摣㙢敥戶捡扥〸㠴㜲扦〹㡣〴㕡㑤愲慦㡦㈴敡ㅡ挵㐰㘱㙣㌰挷㐱愵㠶攵昸㡢㜵扥㙤攱㤲㠰㠸搶㘴挱慡㤳〵ㄴ〵㡤昲㈰㠱搷㐰㌴㑤搲㈰戹㜲㡣㠸挸〶〹㥡ㅤ㍤㌷ㄲㄹ敢㈷挸〸搴㡦ㄳ㈱㙢㙦㘹㉦㈳㐸散慤㐴捡㐶㙤昹㜱㑤㥡㉤㘵换〷搲散㝣㙣㥣扥㤱攰〲㠲ぢ〹㌶〱㈸敦㐰挲㔱捡㈱摤昸攸ㄷ攳㕤扦㠴攰㔲〰挸㈷㥤㌲㈷ㄴ㔵戴愱㔶㘲㐷戲㕥ㅦ散㘴㘹ㄴ〷愲㠸㤶㜱捤捥散戳㈵愲㐳慢㜳㜵攸摡戴搴戱搷戶愷捤昸㜲㐸㤱〹㔵攳㙢㕤愶㙡㝣㈳㔸戵㐳扤㜵㌹㥡敡㐳〴㔷〰〴㡡㠵挶敥捡慣㜹㥡㤳攷㠴㐹ㄴㄸ㐲ㅤ㉡昷㤰㠸㘹晥㈷〸戸㤶愳换㥡晤㑣㔳㜰搸㍣攷敤攷捤敤㜹㍢㐴㝡㤳捥㕣搳㌹昴ㄵ㥤愵〵㝤㈵搸㑢昹㜳㕢晤㜲㌵㡡昵㙢〸慥〵㘸搲㉦㍣㜹㥦慤㤷㐰㥡挴㜶っ㜳敢改㜱㤱ㄶ敥昴攲扣㤰摡愷搷㥣㌶摣㔹攱挳㝢戱㙦〲㜶㜰挵㜵㐵ㄹ〷摡㤲捣攰搹攵㠲挶㑣㙦户㕢戱㤹扦㘶ㅦ㝢攷㠴㘲㐸愷搵慥㔴㤳㝤㥣㘰㘷挶晣㑤㌱捡愱晥扤戹扤㤰㠸㌵㙡㈴㉦戶㑢㍥㕢慥㐹㤲づ㈴挹昵搸㔶晤〶〰㐸〹攵㡦㙤㈵捡㌰慢㙤㤶搵ㅡ慤㔵㝡昷ㄲ㑥㈶㑤晥挳ㄶ㌹搲ㄳ㌸㙢挷攰㍢昰晡散㈹换慥〹㡢ㅥ㝢㔲戸㐵昸ㄵ慣戲挸〵㉥㔹㡡㥡㌵㔹㜱㡥挸㡡慥慥㤶戳㜴㠲㙦㑤搲㐹㤳㤴㐸攴昶挴挲㠴㜳㜸㥤愸攸㠲愴㔰㐹㜰ぢ搵㈴㄰㈹㡦㜵搷㐴㑣〷㈲㈶㡦㡤搳㙦㈲搸㐲㌰〲愰晤づ㤲㘶愵ㅢ捦㔰㔸昷〲摤搹㠵㐲㉡㑢㌴㐸昷攰ㅢ㙤㠵搵㌶づ戳㥤攰㘳〰㑤收て㥤㡦〹㠴㈸㔱ㅥ㈳㐴㕡㑢扡㜹搴ㄲ㈷㐸〳敢㑣〴㤵挶慢㥥㕦戱ㄹ㔵敡㌳㈷㉡〷㉢晥㠴攵捤㈳ち㌵㘸㠶㠹㝢收㠴〳敡㜲㘱晢㌴攵㔵收攷㐵㐹㌷愷㉡㔵㠸戶㝤ㄳ慢攱㔰㡥昵挱㤶㤴攷㜲㔵挱搳搹搹ㄸ㕤㈸昲㐴っ㕦㉢㍤戱㉢昲㝣昳搰搷㕦摦搱㘹换㉦㡢ㅥ㌳㘰㍡愶戳㈶㜶ㄱ㔱㠳㔲户㌹㍤攷ち㌱搱㘷敥㜱慤㔲搹㜲〴㤱〱ㅢ㤳㠱扡晤㘲ㄶㄱ㠲挹ち攳㝦ㄵ愷捦㥣㜶つ挷㥢㌷ㄸ㑣㕣㕣摦昰㈶㐳㈲㥡㌹㘶㌹ㅥ㠶㤱㔸㘴扡摦㥣㥡慢㥣㐰戴戶㙡㍢㝢㡣㜹㙦㔵㘰㠵㐴ㅦ㍣ㄲ㌵㡡慡愸慡㤲㔵戳㥤攲㠷〷昲㔴㙡㉢㝥㘹〲㠹慢㤴㐶㝦㜹㠲昶愶㕤ㅦ挶㘷㘸愷㜳㑥扤㠸ㅣ搵㌲扢ㄲ愵㌰㌹㔵扦㤵㙤㜶〰摣戹攷挸扥㝡㔴敥〳挵慢㌵㝡昸ㄳ㘴扣㈴㡢㕡㄰㠴晥戹㜵〱愹㌰㡦㤴〳づ〴挶昹搶㑣㝥㌹㔳搶㈱昵慤慢㈷㜷㈳㡡搴㙢敥㌷㘶㐴ㄹ戱㘸摢昰搷〵㉦㌴㘳㙤愳散㠵㘵攳ㄵ摢㌶㐸㕡㈴换愹愲㐱ちㅥ慤晡㤵〳㤶愳㥢〰㤲晥挲㉣攳㈴戲㡣㤳㌲慢搷㍣捣戰愰㑣戳慦捡慣攱㕡晥㥣㙤ㄵ戳㝣㘱攸㙥㔵搰㈴㤸㥣㤲㌷㝡㈲㤹㌱搴㘴捤ㅦ㠱挹收攵㠱敥㍣攴㈸户㡥攸〷攵慡㑡〶㝦㤴づㅤ㑢㄰㌰搲㑢慡摦㠶摥㌴㜹㌳〲㈲㐷㍥㘷愲晢ㄷ㘷扥㠰㥣挰㉦㐷慣㈷㤰〸㍣㠲㌱㈱㑦昷㜶挶㍣攲㔸㍥戰㐷㡣敤戶晣〹て㈸〷㐰㔲ㅥ㙦㉦㤲㔸㡤㌵ㅡ慥㘹㠵换㕢㡢ㅡ搴挴㘵慤攵㜱扤㜱昵ㄲ挵㠱㐶㠹㈹㤲攵㉡㐹捤戲挴ㅣ㔷㤳慡㔱愴攲㡥戴㡤㤲攴㌶慤敦㍢愵挸〷㔰㑣㤲㘶㔲晡㑥㐹㈸〸昲㤲㍡愰愳攸慦㑦㈶㡦㔸戴㠶㌶㐰㡥㝡㉡挸敢ぢ挳㠱晢㜰攵愴㈴㜲攱ㅢ昸㝢㕤㤸㍣㔴昵ㅢ㑡㡣㤳㠳㘱挹㘸戹㝣挸㠱㤵㔰㌴摣搲㉡㘱㘹慣㉤搰㌰㤲㍢㍢搵晥挱昶挶ㄸ㌱㘴㐳㠶㐴ㄲ晣挰㘰㐳㌰㔷㉣㥡㑡敢慣㡦㕢㕤换捥昲敤㠰㌰ㅣ㠹㠱㈹扦㌴㈱ㄶ愴ㄹ㔶户攴〷㘵㠳摡㘹㔱捡㔱摤ㅣ㥤昱愰搲㝤捡昱㌰㈵ㄹ㕣㌷て搳㉤㠵ぢっ㄰扢㘱㙡戲攸㈳慣㕢敢㠰㈷㠳搵㠳ㅤ散㐸㄰㌶愱㜵㐶〹㥡㐹㈰摣挶㐵㤰㜷㍡挴㈸〴愹㈹㥦㝦敥㔲㥥㜹㥡捦㡦㜶愵愲㐴挸㐴っ㜵㈵㔸て㐰㙥㍣㉡㐹㉥ㅡ㡣㠲攵㠱㘴㤳㐲慢㌷捡愳㠹搱㐷㤳捦昵㜱㠳㠷㜱慣㝥戲㑤ㄹ㜷摣㝣ぢ摡戴扣戸捥摣攷ㄴ换搵㤲㤰慡㌸㤲搵㔲㈳慦ち㝣挹敢㝦〱㌷㈵散㑢戸㈹晢㜰㤴攲㤲㠹愴捥敤㙥晤㤳㘸㉥㠵ㅣ晡〸㘴ㅢ㠳㡦〹㙥㌹ㄹっ㙢戹愳㐰晢㜰㝤晤昲㠲扣㌸〷㤱搶㤲㐵㔹戶ㅦ㜷昱㙡ㄱ㘴挹㙤戱㙡晢㉢晢㉢戴搹㘳㔹㝢慤㈰㙢㔵攰〸敢っ〴㕥㈶〳㘳愴㐳敥㘰㈷愹㌳㘱㘴昷捣ㄷ攴㙢敡捣慥搰昸㔰ㄸ摦攵㈹㈸㠵㕤〵㈳搱攰㔶敢㔶户挲挸㉦㉤㙦晤㜶〰㠵㈱㘰ㅡ戴愸ㄹㄸ㌸㘳㐸㉦㙦攰㌰ㄸ㤹㄰ㅤ㡤〷㔲ㄹ愳ㅣ㠴挳ㅥ㐸〳㌷昱㈰㍤㕤㠱ㄲ昲㌷挸㑢㘱搱扤挴㘱ㅢ㐷愰㡡扢戱㈹㜳搲昰㜱昵挵搹搴㤴㍤㕡㉡搱摣㠵㝦㙥㔵㘰ㄵ搷㌶〲㜳㜴㐳搳㠵㉣戹㈶摡㜷㔷㌵ㄵ㠴ㄷ〵户㑥攴昷ㅡ㝥㜱㙥捡㕦っ㉥㙤㜵㑡ㄲ摡㉦攰㡦㔸㜲㜴摡捣㘹㠷㤷㔰ㄷ戸昷戹攳㑥攵㠴㈳攷愵㜹扣昱㐷㉢㔶敦敥收㈴㜳愹昷昱㐷㍥㙡㑡㝢つ㍤慥㘴摡散愰敥㈰㘱㍦昲〹愴挱㄰搲〹㜴〲摢扤㜶㘳㠰㜴戲愱㠹㑥愴㈰㔸㈳ㄴ㘷昶㐳㈳ㄴ攵攷㐰㉢㠹㈵㌸㤲㘳捦㕦〰敢㉢㍦㐳づㄱ㡥昷㔰㡣㘸㔷㈰㤵㠰㍡㈹挸挳敢ㅤ扣っ昲晦㠳愵㠸㥢㤷㘴愷晦〲㌳㉢慦㌶愳攸㌲愲攸㤵㔶ㄴ㌱㄰㝢㔶㈱㙦捥㝥敤愸昹㤱㕦敢晤ㅦㅥ㌵敦〴㠶昹㐸㙢っ㐱㌵〶攳㙢挶㐰㔷㡢㌱㜰つ㡡愵㌱㜰ㄷ摢㌰㕥ㅦㄸ〳愱户攳〰㌲㤶㌷〶ㄸ挵㑢㌰昹㘲㐱搵㤸〳㠳㘷慤㡤㌶㍤㘱㝢㜱扤㔶㜸㠸摣㐳㍤㜹攳昰㍤㕤搰㥡㍤㘹戸㠶扤㐹收敦㜱〵搴㤶㍢㡤晢摡戲〹㕢㕣戴㘴㠹㙣戴㠴㔷㈲昲愷慦㜹㑥㔶㜶㑢ㅤ㤸ち㥥挰㔱慦㘴㤵捣〷昰㠹㈸㍣㈱愴㍥扢攱挷㝢晥昲搰㈳扢㜸㉦㉤愴㔵㡤㠱攰㑥㠲昳戴ㅣ㄰扥㡤㕤〹㌹㥦㥦摦ㅣ挰㠷㐸搶㝣㔹㡣ㄹ慥戴㜷㍣摤㡥㤲〱攱挵〸㌳㈰扥搵㘰㑣攲㠶㐳㘰㑣收㥢ㅣ㥢昲昳㈵改っ捣挷㈶㉥扤㜷㔱㠰㔰㘹慢戲㍡戴㉢戵㤷愰㜴捥㜲㈲㡤昶㈰捦㤷㝣ㄴ攵挵㘶慤戶㥤㕡㑤㥡㠹捡㌰㙡㐴㔲ち㤱〶㔲㐸晣挸挲搰扦㤴㔲㤳㐸㘸㜹㠰㠴ㄸ㕡㜳㌰㤷㈷晦㌵㈱㈰㙡搷晢㍡晣㔴〵扢〸㉣㐶㕥昷㑥捦慥戴㍡㈳搵挴愰慣㍣㝤摣㡤㠴㍣愶㌰㠳㔱㕡㤹㝢ㄸ㠹攸搱㐶㤰㕡戱攳㠹㠳昴搹㐱㠸㉤㘰㙣捤愶㔷㉤㘷摦攱㔴㜱挷〳㝡㈶㈳ㄵ㠶戳㥥搹㌸㝡捡㘸㕣㔰㌵ㄷ㘴ㄱ昶〷挹㕡愳㥥戰〸㍡换搹㠴昳㈷挲㝣晣ㅥ㠸攵挳昵慥捦㙦㉥愱㡥㜳扡戱㐰晥㘰㝦㕤㤶挰搸ㄸ㤵ㅣ〳〹扢愲㕡搹攰ㄲ昸ㄴ㥡㐸㝢㕥搱敢㐹㡥愵㈸㡣㐶㐷㥣搵愵戶攸㝦挶愹㈵㘷㑤戳㌶〳搶つ晡晦㈸㌲㤶搵晦ち愳㙣ㄲ㘵昷㠴〹扥㘸㡣㤴㉣ㅢ㥣攱㡥挰㠷㡤㌰㡤㍣〲敢㌲挹攰㜶㤰㥡挲㈷慡㐱戱㤴攰昰㜰愵㥢㉦㐱搴摡搲戶敤㘹㉢〰ㄹ〵搲㝥〸ㄱ搴戶㍤㈷摤㝡㡥捤摣㡢散つ〷慣愲㕢昱㉡愶㍦㌴㠵昰敥㄰扦㌰㌳㘱昳㡣㉡㉦㌴ぢ戵慢戰ㄳ扤昷愱捤挱㐳㄰搸〷㠵晦㘱㐵ㅤㄹ㐳㔸㔹捣㠲㕦ㅢつ挴〲㐹搴づ摥㜹收摤㔵愳㡣て㔴て挱慢改㌳㙢㔵㈸扢挰户摣㝣ㄷ㠳㕢㠷摢㔸㜷挱昳㈳捡㜹㠴挱攴ㄲ敥扢㥦晢摡扣〷㡤㜵挳戵㜹慣搹㤹㜷㉤愷晤〰㌸㕤搹㈸㡤㈴挳㌱昹摤㜱㑥扦㥦㄰㜱ㅥ㝡㐷㔷敥㡡㘵㙦㠳愰昳昰戳㙤扡扣㠶换㜰㤴慤㈰捥晤ㄹ㌴㔵㙥㈷挰㑦㉦㠴〹扥㈸昴攷摤挶挴㜳㔸ㄶㄹ〰改㔴挶〰㘸㑦搵摦㕢㡡慡ㄵㅥ㉤㐸㠵㌹攵扢㈸攷㉥〵慢㉤㌱て㐷つ㜹㠴㐰㕡ㄷ〰搱愳昰〸㈱挷㝦〶つ㙡攳捦㈲户晤昸摦㕥㜲㝣㉡㝦戹扥㜸晦〳㤱昲搰㡦愱㔸㍦㑥㔰㈶戰〱〶㈲ㅤ搲㑦戱㐸㔹㤳〹㠲〸慦敥㐲ㅡ捦敦挳㝦摦摡昵挶敢㝣晥戱㑢㤱㠲㄰㐵㡤慢愰㈰㤴慢㜸㈲扥㡡㜹攴戶㕦挵㌷㤷㕡挵〰㘵㈴㘷愲扢〰㝤㕤ち㘹㐵慥捡㐳㠲ㅢ捡㥦㈲ㄱ㡡㐴挳㉣〶㠸㔸搹戶㡡〴摡㜲攷㘵摢〵㈴愲戶〳搱昶㘸摣㤱㠴㙦㜹愴愱挴扢㡦㜴摦㘴〲晦㙢㈶㔰㡦㔹㍢㜴扣慥ち㈱㠱戵昱攳搸戶戲㍤搳㘱㔰㕦㜹㍣挲搰摥扤搱㠷㔲㙡ㄸ㘶〲㠵〴愶㈹㈹㡡ㅢ愹㝣㈵慡晣攲换㜵㉦㈹ち昰㠰㡣㠲捡愴㍣㔹昹戱愸昲㔶㝣㠴㈵敢愴㜸㘹㠰捦㕢㔱㘵㔲愸慣晣㘸㔴昹敦㕢㌷搵㉡㐷〴ㄹ昴慣㤱㕡ㄲ㡣㕥㜹っ㠸㝤㤰捤搳戵㘶㔲㤱昶㤸㐱㌶㐵愸㡣ㄶ㤷愵㉡敤挵晤てㄷ㥦㐴敦挷㜵㈶摣晡㠰戴つ晥㘷㠴㝤戸收㌴㘱昸〶扥㜸㕥㐰㝣搹搵攵ㅢㅢ㘷捣㐳㉥㌲扡捤㝤ㅥづ㔷愵㔵㐵㈲戰ぢ搲挱晥㉥攳㠷㑦戰㈱敢晢ㄱ挵挵㔴㕥ㅢ改㑣㡢挸㔸㑡㕡㜹㈴挲㙣敡㜴㥤㘶昴捦〱㌹㤰㤷㠰㑣攸㥦〷っ㘲㉦ㅢ㤸㌱㐰㐱㈰戹晣㌴ㄲ晡挳〴㕦〴挸㈹攴㝡搲㐱收㑢〰晤搱晦㑢㌱戴㈰ㅤ㈷慡㜲㉡ㅡ㉣㑥㐶晡㤷搹攰㔱㠰㉥㜸㙣㤵㤰〸㜳晡㘳挸㠹て㑡〹㈲〷㝤㥣〵㕦㈵昸ㅡ㐰㑥攳㘴㔷扣㙢㕣㔳㠷㉡散敢㘸慡㜰㉢愴㐰晢㐶㤸攰㡢㜶ㅡ攰戶昶㐶㌳捦挴搱㜷晣㠸㙥㌶㝣戰㝦〷㍥挰㕦攴愲扢昰晦㡦㘸搲挲㑦慢ㅦ敦慣㉦㌲㠱挶昹昰攷㘲戳㍦㐰㍦㕣㔷摤搸㘴㡦㥦挰㉦慢㘶㤴㠷昱敦㘹晣㤴〷㌱〲㐷愱捡捤挲摦㐲ㅡ㤰〵昳㘱〱㜵㤷晥〴㠰㐲ㅣㄳ㑦晡㤳㝣㈳㙡搹扦晥㔴㤸攰㡢㐲扣㥥㘶愲ㅣ㌶㡦〶㈴慥㘵挱昱愶〱㠹㝦㔹㜰㉣㍥攰户㤰慢㐸㘴㈱搱愸㥥㠸戴㌴㜳㥦〶攸敢敡攷摣愸敥搴㤳㑡昱㠱搲〳て扣摢㥦ㅥ扡㈸晤愹摢㝢㥦㝥敢户㙦㍦昹收愷㜷晥敤扤㘷㥦㝤昳慦㑦扥晥摥㙢㌳㍢㝦晤晣昳扦扡昳晢慦扦扤摥㝣㑥㝤昹摤晤捦㥤ㅡ㌹㝥敡㐱昳挸㡤㝢㑥摤㝢散敥㤱挹昳㠶扢扡扡扢慦ㅢ晣捤㠵搷て㥣㝥昰ㄵ攵㤷㝦扡挰㔱攴㜲㌹愰〰㠸㥥〱㉥㕢㑥攳㍢㐸㘰ㅡ㥣昱㐷㍡つ㉥昷㌴㝥㑡㈹摣愸㌱扣㘴攱摣攰〴㘴㐱戱戱愰攷㍦㜹㐶戳搶</t>
  </si>
  <si>
    <t>Decisioneering:7.0.0.0</t>
  </si>
  <si>
    <t>a6669c2d-2a82-447c-8577-cb68aefac85d</t>
  </si>
  <si>
    <t>CB_Block_7.0.0.0:1</t>
  </si>
  <si>
    <t>Khẩu vị rủi ro của DN</t>
  </si>
  <si>
    <t>giảm giá trị DN</t>
  </si>
  <si>
    <t>KQ mô phỏng</t>
  </si>
  <si>
    <t>Điểm tổn thương</t>
  </si>
  <si>
    <t>Khả năng</t>
  </si>
  <si>
    <t>Giảm giá trị Cty 35%</t>
  </si>
  <si>
    <t>Phương án điều chỉnh</t>
  </si>
  <si>
    <t>Trước điều chỉnh</t>
  </si>
  <si>
    <t>Sau điều chỉnh</t>
  </si>
  <si>
    <t>%giảm</t>
  </si>
  <si>
    <t>Giảm tỷ lệ tăng DT</t>
  </si>
  <si>
    <t>Độ lệch chuẩn tiêu cực</t>
  </si>
  <si>
    <t>Giá trị công ty</t>
  </si>
  <si>
    <t>0d2f4931-6333-44d3-9b71-e4d9029864d9</t>
  </si>
  <si>
    <t>RR6_Thay đổi WACC</t>
  </si>
  <si>
    <t>RR5_Thay đổi %T</t>
  </si>
  <si>
    <t>cập nhật ngày 12/03/2020 về cổ phiếu PNJ</t>
  </si>
  <si>
    <t>EPS cơ bản (nghìn đồng)</t>
  </si>
  <si>
    <t>       EPS pha loãng (nghìn đồng):</t>
  </si>
  <si>
    <t>       P/E :</t>
  </si>
  <si>
    <t>(**) Hệ số beta:</t>
  </si>
  <si>
    <t>KLCP đang niêm yết:</t>
  </si>
  <si>
    <t>P/E=</t>
  </si>
  <si>
    <t>KLCP đang lưu hành:</t>
  </si>
  <si>
    <t>EPS=</t>
  </si>
  <si>
    <t>(nguồn tr.9 Báo cáo hợp nhất 2018)</t>
  </si>
  <si>
    <t>P=</t>
  </si>
  <si>
    <t>Giá thị trường tại thời điểm 12.2018</t>
  </si>
  <si>
    <t>KLCP lưu hành TB 10 phiên</t>
  </si>
  <si>
    <t>EPS cơ bản</t>
  </si>
  <si>
    <r>
      <t>       Giá trị sổ sách /cp</t>
    </r>
    <r>
      <rPr>
        <sz val="12"/>
        <color indexed="63"/>
        <rFont val="Times New Roman"/>
        <family val="1"/>
      </rPr>
      <t> (nghìn đồng):</t>
    </r>
  </si>
  <si>
    <r>
      <t>Vốn hóa thị trường</t>
    </r>
    <r>
      <rPr>
        <sz val="12"/>
        <color indexed="63"/>
        <rFont val="Times New Roman"/>
        <family val="1"/>
      </rPr>
      <t> (tỷ đồng):</t>
    </r>
  </si>
  <si>
    <t>BẢNG 1: BẢNG CÂN ĐỐI KẾ TOÁN (2014-2018)</t>
  </si>
  <si>
    <t>BẢNG 2 : BÁO CÁO KẾT QUẢ HOẠT ĐỘNG KINH DOANH (2014-2018)</t>
  </si>
  <si>
    <t>BẢNG 3: BẢNG CƠ CẤU NGUỒN VỐN VÀ CHI PHÍ VỐN (2014-2018)</t>
  </si>
  <si>
    <t>BẢNG 4: BẢNG TÍNH TỶ LỆ CÁC KHOẢN MỤC THEO DOANH THU (2014-2018)</t>
  </si>
  <si>
    <t>Cơ bản</t>
  </si>
  <si>
    <t>Tổng chi phí hoạt động</t>
  </si>
  <si>
    <t xml:space="preserve">Tổng Doanh thu </t>
  </si>
  <si>
    <t>(năm 2019)</t>
  </si>
  <si>
    <t>Bi quan=</t>
  </si>
  <si>
    <t>Lạc quan=</t>
  </si>
  <si>
    <t>BẢNG 5: DỰ BÁO KẾ HOẠCH NGÂN LƯU CHO CÔNG TY PNJ TỪ 2014 ĐẾN 2018</t>
  </si>
  <si>
    <t>BẢNG 6: ĐỊNH GIÁ NGÂN LƯU TỰ DO (FCF) CỦA PNJ</t>
  </si>
  <si>
    <t xml:space="preserve"> BẢNG 7: TÍNH GIÁ CỔ PHẦN THƯỜNG TẠI THỜI ĐIỂM 31/12/2018</t>
  </si>
  <si>
    <t>Cập nhật ngày 12/03/2020 về cổ phiếu PNJ</t>
  </si>
  <si>
    <t>BẢNG 8:  SỬ DỤNG ĐỘ NHẠY ĐỂ ĐO LƯỜNG CÁC RỦI RO ĐƠN LẺ</t>
  </si>
  <si>
    <t>BẢNG 9: ĐỊNH LƯỢNG VÀ XẾP HẠNG RỦI RO RIÊNG LẺ</t>
  </si>
  <si>
    <t>RR2_Thay đổi tỷ lệ chi phí</t>
  </si>
  <si>
    <t>Cải thiện</t>
  </si>
  <si>
    <t>8.5 Tác động của Thuế</t>
  </si>
  <si>
    <t>Đánh giá Rủi ro</t>
  </si>
  <si>
    <t>WACC_PNJ=</t>
  </si>
  <si>
    <t>35% GTDN=</t>
  </si>
  <si>
    <t>㜸〱敤㕣㕢㙣ㅣ搵ㄹ摥ㄹ敦慣㜷搶㜶㙣攲㜰㐹戸㤹晢挵改ㄲ〷㔲愰㌴つ扥攴〶戹㤸搸〹㐵㤴㉥攳摤㌳昶㈴㍢戳㘶㘶搶㠹㈹㉤愱愵㔰摡愲ち晡㐰戹戴㐵愸愲敤ぢㄲ㝤㐰搰搲㠷㑡㤵㕡㈱㐰㝤㐰㤵晡㔰㠹愲慡㝤㘸㔵㐵敡ぢて㐸昴晢捥捣散捥敥㝡挷捥〶㕡愷昲㈴晢攷捣戹㥦昳㕦捦晦㥦㐹㑡㐹愵㔲ㅦ攳攱扦㝣搲㑣㕣㌴戵攸昹挲捥㡦㔷捡㘵㔱昴慤㡡攳攵㐷㕤搷㔸摣㘷㜹㝥ㄷ㉡㘴ちㄶ捡㍤慤攰㔹て㡡㙣㘱㐱戸ㅥ㉡㘹愹㔴㌶慢慢㈸㘷㈷晣つ㐴㉦㍡㕢昵愶〱愶挷挷づ捥ㅣ㐵慦㔳㝥挵ㄵ㥢㠷㡥〴㙤户㡦㡣攴㐷昲㕢㙦扣㜵㈴扦㘵昳搰㜸戵散㔷㕤戱摤ㄱ㔵摦㌵捡㥢㠷㈶慢㌳㘵慢㜸愷㔸㥣慥ㅣㄳ捥㜶㌱戳攵挶ㄹ攳愶㕢㐶㙥摡戶捤扣昵搶㕢㝡㌱㜴敡挰昸搸愴㉢㑣敦ㄳ敡㔳攳㤴㙦㥡㄰㐵㡢㙢ㄳ挲戵㥣搹晣昸ㄸ晥挶收㡦户㥢昳㔳㜳㐲昸ㅣ㕡戸挲㈹ち㑦㐷挳ㅥ㝢搴昳慡昶㍣㌷㑦户㜷㘱愹㐵挳昳㌵㝢㕣㤴换扡ㅤ昵㥡戵て㘲敦捡挶㘲慦㍤㈵ㅣ捦昲慤〵换㕦捣搸搳攸愸搴㘷ㅦ昶挴㈱挳㤹ㄵ〷っ㕢㘸昶敥慡㔵㑡〷㑦慡敢㥡愸㡢昸挴攴昲昳愳㥥㍤㍥㘷戸㜲㐶ㅥ㌷㈶愱敥㉥户搸㔸昷㡡昶晤㜲敡㜲〴昶㜹㔵晢㝡㈸㌹㘲戸戵㥡挳敤㙢㠶㡢㙦㥣挱つ敤敢挷昶愸戱捤㜵敤摢挸慤㙣慣慤昴㠴昴㉤㜷ㄴ㡢搱㌳〴摤〴㔹〲㈲㔰捦ㄱ昴㄰昴〲㈸改㝦㠳㑢攲つ㔹愴ㄶっ戵㌰愳ㄶ㡡㙡愱愴ㄶ㠴㕡㌰搵挲慣㕡㤸㔳ぢ㤶㕡㌸慡ㄶ㡥愱㑥昴㘴扢扢搵昰搱㥦㝣㌷㌷昸昲敥〳㡦㝤收愷慦㍣晦搶㌳て昷慥㐳愵扢挲㐹㑤戸挶㜱㤰㕡㥤㡡户收户昰捦昲㕣〱愶㌰户㤹㌷㥢㈳㈳愵㙤㕢㡣ㅢつ㡤换㑡㐰㝥〳愱っ愰㙥慦㜹户攵㤴㉡挷㈵敥㉥ㅡ㌳㍣㔱摦戸攱戰㙣慣㔲㜵㑡摥㠵㑢ㄷ㑥昹㠶㉦㌶㌵㤷搵㍢㘹㘹㌶〵戶ㄲ㥥ㅣ敦㤲收㘶㐷㡣㜲㔵㡣㥥戰㠲攲㡢㥢㡡敤㐹户㌲搳扥㜴㤷㉢ㅥ愸㤵戶捣㘸ㄴ㐲㙤㐱昶摤戲捡愰㈸㤸搷搰昸㕣挵ㄳ㡥㥣摥戰㍤㘹ㄵ㡦〹㜷㑡㔰㈴㡡㤲㕣敡戹㉣ち戹㝥昸愰㠳㠵㠲㕢㑢㤷挷㜳捤㥤㈷㝣㌰戳㈸㘱扥昳挲昵ㄷ愷㡤㤹戲㌸慦愱㑡㌰㈶ち㌶㌶㘴敦慡ㄴ慢摥㜸挵昱摤㑡戹戱㘴戴戴㘰㐰搲㤴昶㔷㑡㈲㥤㑥㐹愱〰㠱摢搵愵㈸愹敢摢昳㠲㐴㐴っ挵㘴攴ぢㅡ挹㉥㝦〸慢挳㉡捡㠲㌴愹㕥戹㑣㘷㥣慦㤴㌱〹ㅣㄸ㕢ㄳ昵〷〷扤㜶㤹㙥㙢㤸晢㜴㉢慢敡㘰戸晡㥤ぢ挲昱昷ㄸ㑥愹㉣摣㐴敤愷㜰㐶㝡㍦㠰㜶ち〲愱敤敥㔱搵㈹㈷㤴㐵敤戸㔵昲攷㌲㜳挲㥡㥤昳㤱〷つ㤹捤㜲㙢㕢ㅥ晤ㅣ㘴改敢〹〶〱㜲戹㔴㘶〳㉢㘵㜲㜸㔲ㅡ愵㔳〲㉦㌷〸㜲戶㙢攰攵㕥㜳㤷㔵昶㐵㈰㤴晢㑤㘰㈴搰㙡ㄲ㝤㝤㈴㔱搷㈸〶ち㘳㠳㌹づ㉡㌵㉣挷㕦慣昳㙤ぢ㤷〴㐴戴㈶ぢ㔶㥤㉣愰㈸㘸㤴〷〹扣〶愲㘹㤲〶挹㤵㘳㐴㐴㌶㐸搰散攸戹㤱挸㔸㍦㐱㐶愰㝥㥣〸㔹㝢㑢㝢ㄹ㐱㘲㙦㈵㔲㌶㙡换㡦㙢搲㙣㈹㕢㍥㤰㘶攷㘲攳昴昳〸捥㈷戸㠰㘰㈳㠰昲㌷㐸㌸㑡㌹愴ㅢㅦ晤㐲扣敢ㄷㄱ㕣っ〰昹愴㔳收㠴愲㡡㌶搴㑡散㐸搶敢㠳㥤㉣㡤攲㐰ㄴ搱㌲慥搹㤹㝤戶㐴㜴㘸㜵慥づ㕤㥢㤶㍡昶敡昶戴ㄹ㕦づ㈹㌲愱㙡㝣慤换㔴㡤㙦〴慢㜶愸户㉥㐵㔳㝤㠸攰㌲㠰㐰戱搰搸㕤㤹㌵㑦㜳昲慣㌰㠹〲㐳愸㐳攵ㅥㄲ㌱捤晦〴〱搷㜲㜴㔹戳㥦㘹ちづ㥢㘷扤晤扣戹㍤㙦㠷㐸㙦搲㤹㙢㍡㠷扥愲搳戴愰㉦〷㝢㈹㝦㙥慢㕦慥㐴戱㝥ㄵ挱搵〰㑤晡㠵㈷敦搳昵ㄲ㐸㤳搸㡥㘱㙥㍤㍤㉥搲挲㥤㕥㥣ㄷ㔲晢昴㥡搳㠶㍢㉢㝣㜸㉦昶㑥挰づ慥戸慥㈸攳㐰㕢㤲ㄹ㍣扢㥣摦㤸改敤㜲㉢㌶昳搷散㘳敦慣㔰っ改戴摡㤵㙡戲㡦ㄳ散捣㤸扦㈹㐶㌹搴扦㌷戶ㄷㄲ戱㐶㡤攴挵㜶挹㘷换㌵㐹搲㠱㈴戹ㄶ摢慡㕦〷〰㈹愱晣戱慤㐴ㄹ㘶戵捤戲㕡愳戵㑡敦㕥挲挹愴挹㝦搸㈲㐷㝡〲㘷敤ㄸ㝣〷㕥㥦㍤㘵搹㌵㘱搱㘳㑦ち户〸扦㠲㔵ㄶ戹挰㈵㑢㔱戳㈶㉢捥ㄲ㔹搱搵搵㜲㤶㑥昰慤㐹㍡㘹㤲ㄲ㠹摣㥥㔸㤸㜰づ慦ㄳㄵ㕤㤰ㄴ㉡〹㙥愱㥡〴㈲攵戱敥㥡㠸改㐰挴攴戱㜱晡つ〴㕢〸㐶〰戴㜷㈱㘹㔶扡昱っ㠵㜵㉦搰㥤㕤㈸愴戲㐴㠳㜴て扥搳㔶㔸摤挴㘱戶ㄱ㝣ㄶ愰挹晣愱昳㌱㠱㄰㈵捡㘳㠴㐸㙢㐹㌷㡦㔸攲㌸㘹㘰㥤㠹愰搲㜸搵昳㉢㌶愳㑡㝤收㐴攵㐰挵㥦戰扣㜹㐴愱〶捤㌰㜱昷㥣㜰㐰㕤㉥㙣㥦愶扣捡晣扣㈸改收㔴愵ち搱戶㜷㘲㌵ㅣ捡戱㍥搸㤲昲㕣慥㉡㜸㍡㍢ㅢ愳ぢ㐵㥥㠸攱㙢愵㈷㜶㐵㥥㙦ㅥ晡晡敢㍢㍡㙤昹㘵搱㘳〶㑣挷㜴搶挴㉥㈲㙡㔰敡㌶愷攷㕣㈱㈶晡捣摤慥㔵㉡㕢㡥㈰㌲㘰㘳㌲㔰户㑦捣㈲㐲㌰㔹㘱晣慦攲昴㤹搳慥攱㜸昳〶㠳㠹㡢敢ㅢ摥㘴㐸㐴㌳挷㉣挷挳㌰ㄲ㡢㑣昷㥢㔳㜳㤵攳㠸搶㔶㙤㘷户㌱敦慤ち慣㤰攸㠳㐷愲㐶㔱ㄵ㔵㔵戲㙡戶㔳晣昰㐰㥥㑡㙤挵㉦㑤㈰㜱㤵搲攸㉦㑦搰摥戴敢挳昸っ敤㜴捥愹ㄷ㤱愳㕡㘶㔷愲ㄴ㈶愷敡户戰捤慤〰㜷散㍥扣户ㅥ㤵㍢愳㜸戵㐶て㝦㠲㡣㤷㘴㔱ぢ㠲搰㍦户㉥㈰ㄵ收㤱㜲挰㠱挰㌸摦㥡挹㉦㘷捡㍡愴扥㜵昵攴㉥㐴㤱㝡捤㝤挶㡣㈸㈳ㄶ㙤ㅢ晥扡攰㠵㘶慣㙤㤴扤戰㙣扣㘲摢〶㐹㡢㘴㌹㔵㌴㐸挱愳㔵扦戲摦㜲㜴ㄳ㐰搲㕦㤸㘵㥣㐰㤶㜱㐲㘶昵㥡㠷ㄸㄶ㤴㘹昶㔵㤹㌵㕣换㥦戳慤㘲㤶㉦っ摤慤ち㥡〴㤳㔳昲㐶㑦㈴㌳㠶㥡慣昹挳㌰搹扣㍣搰㥤㠷ㅣ攵搶ㄱ晤愰㕣㔵挹攰㡦搲愱㘳〹〲㐶㝡㐹昵摢搰㥢㈶㙦㐶㐰攴挸攷㔴㜴晦攲搴挳挸〹晣㜲挴㝡〲㠹挰㈳ㄸㄳ昲㜴㙦㘷捣挳㡥攵〳㝢挴搸㉥换㥦昰㠰㜲〰㈴攵昱㜶㤳挴㙡慣搱㜰㑤㉢㕣摡㕡搴愰㈶㉥㘹㉤㡦敢㡤㉢㤷㈸づ㌴㑡㑣㤱㉣㔷㐹㙡㤶㈵收戸㥡㔴㡤㈲ㄵ㜷愴㙤㤴㈴户㘹㝤摦㈹㐵捥㐰㌱㐹㥡㐹改摢㈵愱㈰挸㑢敡㠰㡥愲扦㍥㤹㍣㘲搱ㅡ摡〰㌹敡愹㈰慦㉦っ〷敥挵㤵㤳㤲挸㠵㙦攰敦㜵㘱昲㘰搵㙦㈸㌱㑥っ㠶㈵愳攵昲㐱〷㔶㐲搱㜰㑢慢㠴愵戱戶㐰挳㐸敥散㔴晢〷摢ㅢ㘳挴㤰つㄹㄲ㐹昰〳㠳つ挱㕣戱㘸㉡慤戳㍥㙥㜵㉤㍢换户晤挲㜰㈴〶愶晣搲㠴㔸㤰㘶㔸摤㤲ㅦ㤴つ㙡愷㐵㈹㐷㜵㜳㜴挶㠳㑡昷㈹挷挳㤴㘴㜰摤㍣㐴户ㄴ㉥㌰㐰散㠶愹挹愲㡦戰㙥慤〳㥥っ㔶て㜶戰㈳㐱搸㠴搶ㄹ㈵㘸㈶㠱㜰ㅢㄷ㐱摥改㄰愳㄰愴愶㝣晥戵㐳㜹敥㔹㍥㍦摦㤱㡡ㄲ㈱ㄳ㌱搴㤵㘰㍤〰戹昱愸㈴戹㘸㌰ち㤶〷㤲㑤ち慤摥㈸㡦㈶㐶ㅦ㑤㍥搷挷つㅥ挶戱晡挹㌶㘵摣㜱昳㉤㘸搳昲攲㍡㜳慦㔳㉣㔷㑢㐲慡攲㐸㔶㑢㡤扣㉡昰㈵慦晦〵摣㤴戰㉦攱愶散挵㔱㡡㑢㈶㤲㍡户扢昵㉦愰戹ㄴ㜲攸㈳㤰㙤っ㍥㈶戸攵㘴㌰慣攵㡥〲敤挳昵昵换ぢ昲攲ㅣ㐴㕡㑢ㄶ㘵搹㍥摣挵慢㐵㤰㈵户挵慡敤慢散慢搰㘶㡦㘵敤戱㠲慣㔵㠱㈳慣㌳㄰㜸㤹っ㡣㤱づ戹㠳㥤愴㑥㠵㤱摤㔳て换搷搴愹ㅤ愱昱愱㌰扥换㔳㔰ち扢ち㐶愲挱慤搶慤㙥㠵㤱㕦㕡摥晡敤〰ち㐳挰㌴㘸㔱㌳㌰㜰挶㤰㕥摥挰㘱㌰㌲㈱㍡ㅡて愴㌲㐶㌹〸㠷㍤㤰〶㙥攲㐱㝡扡〲㈵攴㙦㤰㤷挲愲㝢㠹挳㌶㡥㐰ㄵ昷扣愶捣㐹挳挷搵ㄷ㘷㘳㔳昶㘸愹㐴㜳ㄷ晥戹㔵㠱㔵㕣摢〸捣搱つ㑤ㄷ戲攴㥡㘸摦㕤搱㔴㄰㕥ㄴ摣㍡㤱摦㘳昸挵戹㈹㝦㌱戸戴搵㈹㐹㘸扦㠶㍦㘲挹搱㘹㌳愷ㅤ㕥㐲㕤攰摥攷㡥㌹㤵攳㡥㥣㤷收昱挶ㅦ慤㔸扤扢㥢㤳捣愵㍥挶ㅦ昹愸㈹敤㑤昴戸㤲㘹戳㠳扡㠳㠴晤挸㈷㤰〶㐳㐸㈷搰〹㙣昷摡㡤〱搲挹㠶㈶㍡㤱㠲㘰㡤㔰㥣搹㑦㡣㔰㤴㕦〱慤㈴㤶攰㐸㡥㍤㝦ㄹ慣慦晣ㄲ㌹㐴㌸摥㐳㌱愲㕤㠶㔴〲敡愴㈰て慦㜷昰㌲挸晦て㤶㈲㙥㕥㤲㥤晥ぢ捣慣扣搱㡣愲㑢㠸愲搷㕢㔱挴㐰散㘹㠵扣㌹晢戵愳收愷㝥慤昷㝦㜸搴扣〳ㄸ收㈳慤㌱〴搵ㄸ㡣慦ㄹ〳㕤㉤挶挰㔵㈸㤶挶挰㥤㙣挳㜸㝤㘰っ㠴摥㡥晤挸㔸摥ㄸ㘰ㄴ㉦挱攴㡢〵㔵㘳づっ㥥戵捥戳改〹摢㠳敢戵挲㐳攴ㅥ敡挹ㅢ㠷敦改晣搶散㐹挳㌵散㡤㌲㝦户㉢愰戶摣㘹摣搷㤶㑤搸㘲搳㤲㈵戲搱ㄲ㕥㠹挸㥦扥收㌹㔹搹㉤㜵㘰㉡㜸〲㐷扤㤲㔵㌲㘷攰ㄳ㔱㜸㐲㐸㝤㘵挳㉢扢晦昲攰愳㍢㜸㉦㉤愴㔵㡤㠱攰㑥㠲昳戴ㅣ㄰扥㡤㕤〹㌹㤷㥦摦散挷㠷㐸搶㝣㔹㡣ㄹ慥戴㜷㍣摤㡥㤲〱攱挵〸㌳㈰扥搵㘰㑣攲㠶㐳㘰㑣收㥢ㅣ㥢昲昳㈵改っ捣挷㈶㉥扤㜷㔱㠰㔰㘹慢戲㍡戴㉢戵㕦㐰改㥣收㐴ㅡ敤㐱㥥㉦昹㈸捡慢捤㕡㙤ㅢ戵㥡㌴ㄳ㤵㘱搴㠸愴ㄴ㈲つ愴㤰昸㤱㠵愱㝦㈹愵㈶㤱搰昲〰〹㌱戴收㘰㉥㑦晥㙢㐲㐰搴慥昷㜵昸愹ち㜶ㄱ㔸㡣扣敥㥤㥥㕤㘹㜵㐶慡㠹㐱㔹㜹晡戸ぢ〹㜹㑣㘱〶愳戴㌲昷㄰ㄲ搱愳㡤㈰戵㘲挷ㄳ〷改戳㠳㄰㕢挰搸㥡㑤慦㕡捥摥改㔴㜱挷〳㝡㈶㈳ㄵ㠶戳㥥搹㌸㝡捡㘸㕣㔰㌵ㄷ㘴ㄱ昶〷挹㕡愳㥥戰〸㍡换搹㠸昳㈷挲㝣晣ㅥ㠸攵挳昵慥捦㙤㉥愱㡥㜳扡戱㐰晥㘰㝦㕤㤲挰搸ㄸ㤵ㅣ〳〹扢愲㕡搹攰ㄲ昸ㄴ㥡㐸㝢㕥搱敢㐹㡥愵㈸㡣㐶㐷㥣搵愵戶攸㝦挶愹㈵㘷㑤戳㌶〳搶つ晡晦〸㌲㤶搵晦ち愳㙣ㄲ㘵㜷㠷〹扥㘸㡣㤴㉣ㅢ㥣攱㡥挰㠷㡤㌰㡤㍣〲敢㌲挹攰㜶㤰㥡挲㈷慡㐱戱㤴攰昰㜰愵㥢㉦㐱搴摡搲戶敤㘹㉢〰ㄹ〵搲㝥〶ㄱ搴戶㍤㈷摤㝡㡥捤摣㠳散つ晢慤愲㕢昱㉡愶㍦㌴㠵昰敥㄰扦㌰㌳㘱昳㡣㉡㉦㌷ぢ戵㉢戰ㄳ扤昷愲捤㠱㠳㄰搸〷㠴晦㐹㐵ㅤㄹ㐳㔸㔹捣㠲㕦ㅢつ挴〲㐹搴づ摥㌹收㕤㔵愳㡣て㔴て挲慢改㌳㙢㔵㈸扢挰户摣㝣ㄷ㠳㕢㠷摢㔸㜷挲昳㈳捡㜹㠴挱攴ㄲ敥扤㡦晢摡扣〷㡤㜵挳戵㜹慣搹㤹㜷㉤愷晤〴㌸㕤搹㈸㡤㈴挳㌱昹摤㜱㑥扦㡦㄰㜱ㅥ㝡㐷㔷敥㡡㘵㙦㠳愰昳昰戳㙤扡扣㠶换㜰㤴慤㈰捥晤㘵㌴㔵㙥㈷挰㑦㉦㠴〹扥㈸昴攷摤挶挴㡢㔸ㄶㄹ〰改㔴挶〰㘸㑦搵㍦㕡㡡慡ㄵㅥ㉤㐸㠵㌹攵㠷㈸攷㉥〵慢㉤㌱て㐷つ㜹㠴㐰㕡ㄷ〰搱愳昰〸㈱挷㝦づつ㙡攳捦㈲户晤昸㍦㔸㜲㝣㉡㝦戹扥㜸晦〳㤱昲搰㡦愲㔸㍦㐶㔰㈶戰〱〶㈲ㅤ搲㑦戱㐸㔹㤳〹㠲〸㙦散㐰ㅡ捦ㅦ挲㝦摦摦昱捥摢㝣晥戹㐳㤱㠲㄰㐵㡤慢愰㈰㤴慢㜸㉡扥㡡㜹攴戶㕦挵昷㤶㕡挵〰㘵㈴㘷愲扢〰㝤㕤ち㘹㐵慥捡㐳㠲ㅢ捡㥦㈲ㄱ㡡㐴挳㉣〶㠸㔸搹戶㡡〴摡㜲攷㘵摢〵㈴愲戶〳搱昶㘸摣㤱㠴㙦㜹愴愱挴扢㡦㜴摦㘴〲晦㙢㈶㔰㡦㔹㍢㜴扣慥ち㈱㠱戵昱攳搸戶戲㍤搳㘱㔰㕦㜹㈲挲搰㥥㍤搱㠷㔲㙡ㄸ㘶〲㠵〴愶㈹㈹㡡ㅢ愹㝣㉢慡晣敡㙢㜵㉦㈹ち昰㠰㡣㠲捡愴㍣㔹昹昱愸昲㔶㝣㠴㈵敢愴㜸㘹㠰捦晢㔱㘵㔲愸慣晣㔸㔴昹ㅦ㕢㌷搶㉡㐷〴ㄹ昴慣㤱㕡ㄲ㡣㕥㜹っ㠸㝤㤰捤搳戵㘶㔲㤱昶㤸㐱㌶㐵愸㡣ㄶ㤷愵㉡敤挵晤てㄷ㥦㐴敦挳㜵㈶摣晡㠰戴つ晥㘷㠴扤戸收㌴㘱昸〶扥㜸㕥㐰㝣搹搵攵ㅢㅢ㘷捣㠳㉥㌲扡捤扤ㅥづ㔷愵㔵㐵㈲戰ぢ搲挱晥㉥攳㠷㑦戰㈱敢晢ㄱ挵挵㔴㕥ㅢ改㑣㡢挸㔸㑡㕡㜹㌴挲㙣敡㘴㥤㘶昴慦〲㌹㤰㤷㠰㑣攸㕦〳っ㘲㉦ㅢ㤸㌱㐰㐱㈰戹晣㈴ㄲ晡㈳〴㕦〷挸㈹攴㝡搲㐱收ㅢ〰晤搱晦㑢㌱戴㈰ㅤ㈷慡昲㔰㌴㔸㥣㡣昴㙦戲挱㘳〰㕤昰搸㉡㈱ㄱ收昴挷㤱ㄳㅦ㤴ㄲ㐴づ晡〴ぢ扥㑤昰ㅤ㠰㥣挶挹慥㜸搷戸愶づ㔵搸㜷搱㔴攱㔶㐸㠱昶㘴㤸攰㡢㜶ㄲ攰戶昶㐶㌳捦挴搱㜷晣㠸㙥㌶㝣戰扦ㄳㅦ攰㉦㜲搱㕤昸晦㐷㌴㘹攱愷搵捦㜵搶ㄷ㤹㐰攳㝣昸㜳戱搹㘷搰て搷㔵㌷㌶搹攳攷昱换慡ㄹ攵ㄱ晣㝢ㄲ㍦攵〱㡣挰㔱愸㜲戳昰户㤰〶㘴挱㝣㔸㐰摤愵㍦〵愰㄰挷挴㤳晥㌴摦㠸㕡昶慦㝦㍦㑣昰㐵㈱㕥㑦㌲㔱づ㥢㐷〳ㄲ搷戲攰㔸搳㠰挴扦㉣㌸ㅡㅦ昰ㄹ攴㉡ㄲ㔹㐸㌴慡㈷㈲㉤捤摣㘷〱晡扡晡㌹㌷慡㍢昵㠴㔲扣扦㜴晦晤ㅦ昶愷㠷㌶愵扦㜸㝢敦戳敦扦昵挱搳敦㝤㘹晢摦㍦㝡攱㠵昷晥晡昴摢ㅦ扤㌹戳晤㜷㉦扤昴摢㍢㝥晣昶〷敢捤ㄷ搵搷㍥摣昷攲㐳㈳挷ㅥ㝡挰㍣㝣晤敥㠷敥㌹㝡搷挸攴㌹挳㕤㕤摤摤搷っ晥晥㠲㙢〷㑥㍥昰扡昲㥢㍦㥤敦㈸㜲戹ㅣ㔰〰㐴捦〰㤷㉤愷昱㍣ㄲ㤸〶㘷晣愹㑥㠳换㍤㠹㥦㔲ち㌷㙡っ㉦㔹㌸㌷㌸〱㔹㔰㙣㉣攸昹て㑤ㅡ戲㜵</t>
  </si>
  <si>
    <t>Mô phỏng CB</t>
  </si>
  <si>
    <t>Khoản mục</t>
  </si>
  <si>
    <t xml:space="preserve">Tổng rủi ro riêng lẻ </t>
  </si>
  <si>
    <t xml:space="preserve">Khả năng xảy ra </t>
  </si>
  <si>
    <t>㜸〱敤㕣㝦㝣㕣㔵㤵㥦㍢挹扣捣㥢㈴捤㤴㤶㤶ㅦ㙤ㄹ愰㐸㘹㑡㘸㥡搶㌶㘰〹㘹搲ㅦ愹改捦愴㉤㠸㙣㜸㤹㜹搳っ㥤ㅦ㘱收愵㑤〴ㄶ晣愸㈸㡡昲㑢㍦㕡㐵㐱㐰㕤㕤㤵㕤ㄵ挱㔶戶㉡摤ㄵㄵ晣昱㔱㍦扢散〷㤷〶ㄱ㔶㈹㡡扡敥愲ぢ㜴扦摦昳摥㈴㙦摥扣㤹戴戵㝥戶㝦昸㥡㌹㜳敥扤攷㥥㝢捦戹㍦捥戹攷摤㘹㐰〵〲㠱㈳㜸昸捤愷㤶挸㥣扥戱㠲㘵㘶㕡扡㜲改戴ㄹ户㔲戹㙣愱愵㌳㥦㌷挶㝡㔳〵慢〶〴摡㐰ち攵㠵搰㐰㈱昵㌶㌳㍣戰摢捣ㄷ㐰ㄴち〴挲㘱㍤㠸昲㍡攷ㄳ㉤㈶㜴搶搲㙢〹㐰ㄵ搰㌵〲㔲改㘱〲ㅤ愰㈱〲搰摦戵㙡搳攰㌵㘸戳捦捡攵捤㐵戱敤㌶攷㤵慤慤㉤慤㉤㑢摡摡㕢㕢ㄶ㉦㡡㜵㡤愴慤㤱扣戹㌲㙢㡥㔸㜹㈳扤㈸戶㜹㘴㌰㥤㡡扦搹ㅣ敢捦敤㌲戳㉢捤挱挵㙤㠳挶搲ㄵ慤㑢㤷㉤㑢戶户慦㘸愸〷攷㡤㕤慢㌶攷捤㘴攱㐴昱㙣㈰捦㑤㕤慢㕡㌶㥡搶㠹攲搹〸㥥㘰搹㥤换ㄸ愹散〹㘲ㅡ愲收㤷㜵㥢昱ㄴ㠷挸㌴昳愹散捥ㄶ㜴扢㐴搱㐸㉤㙦改㉣ㄴ㐶㌲挳ㅣ敤㉥㌳㥤摥㙡㈶㘵㘸㌲摤〵㙢戳㤱捦ㄴㅡ㌲搴㥦㤹㌷戳㜱戳㌰㉤戳㝡㌴㙥愶ㅤ挲㐲㌸戳摤挸㙦㌴㌲㘶㉤㤱愶㡣㍤㠶㍤〹㌳㙢愵慣戱挶捣戶㠲戹搵挸敥㌴㐹ㄲ捡慣ㅤ㐹㈵㔴㙤㉤晥〲㌵攷晢昵㑣〶ち晤挹㜴つㄹ㜹㑢㔲ㅣ挲㔶㍦㕡搷㜴ㄱ㈹㑡晡挵㈹ㄵ昳搴攲㤸昵愵㌲㙦㌶昳㔹㌳捤㐶㌸㤲捤ㅥ㈲㔱㤰㍤づㄳ㥡㥡㄰〷昴慡摥㔹㈲㤴㠵慤㘸搳〰ㄶ昶攷㔳㄰㜳㈴㙤攴ㄷ㙤㐸㘵㔷㉥㙥㘹㕤戶愸㌷戵换㑣愷捣㠲㠵攴㤲㐵ㅢ㡣㔱㝥㉦搳㥢㐰慦㐷㔹㜳㍡挰㥣晥愱㤱昱㝤〷㘲ぢち挶㐸散攰ㅤ愹昱晤㙦ㅦ㠹挵㠷挶昷摦㤲ㅤ扡㐰㍦㠵戴㌳〰㔴敤㘱慣㔵㜷摢搴㑢㜰挰〸づっ〶〷攲挱㠱㐴㜰挰っづ㈴㠳〳㍢㠳〳㐳挱㠱㔴㜰攰㥡攰挰㉥搰ㄴ㥦㜰㕤㕤搰㜹搶〴㡣攸㡢㥦㥡戶晥敤晡ぢ扤慦㝤晤改㌳㐲㕣㥥㙤㝥㡡昰敡㜸つ搶㘶摣㈸㔸捥昰㜳ㅤ㥦搸搹㌱昵攴㔸㤳㡦晦攵㈷〷ㅡ㌹㈱㤳㐳㍦ㄵㅡ搲㘷〱㘸戳〱搶慤㑤㍤昶挹㤸㤵ㅦ摦晦扥㔸㜶㝣晦摥㔴捣ㅡ摦昷挹㔴㙣昷昸晥㍢戲戱昸昸晥て挵㠶㠷挶昷㝤㈶ㅢ戳㠶晥攵ㅦ挶昷㝦㍣扢戳挲挴㌸㡤㝣㑦〷㔰敡㜹㑣っ㑥㡥愵扦㤹扥攳挶〷摦戳收摥㕢慥㝥昰搰㜷ㅡ晥㐶㜱扦㤵㍤晢㑣㈰㘷㙥捣攵㌳搸㌲㌷㤸〶愷㘷摢愲㍥㉢搱㙤敥〶扡戸㑤㥦㐳㙥㜳〱戴㜹〰㡢晡挷昷㍦ㅣ㑢㡦敦㝦㌷扡户晦慥㙣㙣搷㔰敥愲敥晥ち㍤㌹㡢㜵㘳〰㑡㍤攳昴㘴㘴换搵㍦㡣㝤昹㘷敢㍦晤攴扦慦㝢晡㍡㘳扢攲愶㉦㍤㌹〷挸㥣搲㥥㉣㕥敡敡㑡慢㝥㉥㈸昴昹〰摡㜹〰换㈶扢㠲㑥㡣敦扢㍦㉢ち扡ㅦ㡡ㅢㅡ愹摣愷㌷㤰挹昹〰㑡晤㥢搳愷戱慥㑢慦晡晤搳ㅦ㕥晤攸攰散㤷㍦戸㉤摦慡㌸㜷愵㑦ㄷ〰㤹㕢摡愷搶㔶㜷㥦㕡昵㠵攴搷っ愰㉤〲戸㘸戲㔳搶挱㜷㘰㠸ㄲ㌹㈳㍢挴ㅥ㔵㔰搱㠵慣摥〲愰搴㡦㥣敥㜴㙥摢㌳晦慥搹ㅤㅢ㙥晡摢挲攵㉦㉤㤹晤つ挵㉤㔷扡戳ㄸ㠸愷㍢㉢摡㕤摤㔹搱慥户㤲摦ㄲ〰慤つ愰㜹戲㍢昱愱ㄴ昴昳搸ㄷ㉡㙢㘶㈹慢㉥〳㔰敡扢㑥㔷㝥昹愹晢㥦扥攱愳户㜷扦攳搱愷扥晣敡敢㍦扡㔵搱㈶㑢㔷㤶〳㌹摢愳㤹㌷㉥㈹搱つ㤲晡ち昲㙣〷搰㉥〶㤸户愳戳慢㙢㘰昳挶昵ㄵ㤴㜱〹愹摦〴愰搴㘳㑥て昴㡦㕣㝢㜳捦㤳㐳敢ㅥ晡扢㍦捤㝡昸㜷㐷㍥摡㜰㈹㡡户㌸晢㙣㜷摥搸〳换㌵㘹ㄴ㤷戴㘰捥ㅥ㡤㌷〰㘷㈰戹㉣戹㍣搹摡㥡㔸戶搸㘸㌳㐲摣㜹㡦搶散㜰㠳㙥㐸敥㐸㘵ㄳ戹㍤㘲㠷收慣㌲ち收攴捥搳散㤴慤捡㡤㘴ㄳ㠵㌳晤ぢ晢㉣挳㌲捦昰㤶㑤㌲㈹慢搶〷㉢㙤ㄶ愴扤㜹摥㙡摢㡤昴㠸搹㌹㥡戲㡢攷㝡㡡㘱愳㜳㠳㤵㑢搷攴捤㙢㈷㑡换㝡搴〹㔷㙦户昰㉥㤳搲㉥戲晢ㄵ敢ㅡ捡ㄵ捣慣㜴慦㌹戳㌹ㄵ摦㘵收晢㑣㍡㡡㘶㐲㐴㍤㤵㐵㡥愳搰扣㈹ぢ㐱㘱晡ㄳ攷戸㜳㤳慢㐷㉤㌳㥢㌰ㄳ攸敦戰㤹户挶晡㡤挱戴㌹慢㠴挴㙥ㄳ〵愷㤷㘴慦挹挵㐷ち㕤戹慣㤵捦愵㑢㑢㍡ㄳ扢つ㌸㈷㠹つ戹㠴〹摦愲㤶㑦㐰〵㙡㙡㤴ち㉣昴戳㙢攴㕢㘸㤱㠱㜰つ㌱㑤敡㘹愵搳慥㘵㉢愴㠳ㄴ㘹㤳㜳㌲㌸㝦ち㘶挲㤷㙣㉥愸㑣攸㤲㠹㕥㌵愹ㄷ㔴愶㤶㍥㑥㡣摣㕦㤶㌸ㄸ㥣攱㐸扦㝡㌷ㅣ戸㜵㐶㌶㤱㌶昳㔵捦〴㡡㍤搲㍢〰㐲摦挰㙡慥愸㍤㝡ㄸ㙡㔴㡤㠵昶愴ㄲ搶㤰㌶㘴愶㜶づ㔹挸挳戹㈱ㅣ愶㙡换ㅥ扤ㄳ㔹晡㉡㠲㉥㠰㐸㈴愰㜵㤳㐸㡢攸慢敤㜴㠸㙢昴搸㕤㐳㥥㑣㜴㜱㐵㜱㙥㈸㠴㌲昰㘹ち㌵㌵㝥㔲慥㌳ち㐳ㄶ愷㘷搵㐲㍡㠱晡ㅡ㠲戵〰㈱扡㙣㔳㝡㥥摣㠹㙡改㘰㌷㘶扡捤愴㠱㘳㡤慣㙥㘵㠴㌲戶愷摣㙤ㄶ攲㍡㕤敡ㅥ慣㤵㔱つㄸㄶ㝦㐳㠶戳摦ㅣ戵扡つ换愸换挰㌹挷㈸改㈰㙡㤶㕡㌶挶㥡㡤㤲㔷慣ㅤ㜱㔲攰㄰ㄵ搴挵愵㕥㌲㙣㑥㔸㌸㔸㉦㠱ㅡ〷㔶ㄷ〲㝤愷㠷愴㜹㈷㝡愹㤳つ摦㍦戱搶捣昶㡦つ㥢〵㤲㠷戵慡慡昴㉥㉦㌲摢ㄴㅦ摣㘶愵搲㠵ㄶ昴㜴㙤㍥㌷㌲㝣㈲昹㤰㤷扥づ愰昸㠴ㅥ挶㉣㍥㝡㤹㜸㘶慥摢捤戱ㄹㄸ〸㠴挹㡤㌹㍡ㅤ㝢㥤戳ㄵ捣㡥攰㑢ㅥ扤ㄷ㕦㤱㙡㘵㈱㝡晡挷㜲㈰愱㠷搷㤰㠱㠶晡昳愶ㅣ戱挲㤲㠰戶ㅢ㌳㍢㜲昹㕤㠳戹摣㉥捥愷㘹㤲㉡っ㤹愶挵㘳㑢扤㜳㑣㤳攳㤸㔲㌵㌵㈵攷ち搷昹㠶挷㔲㙤㌳㐰㘳㘷㍡ㅤ㉢㜲㉣㘸㕢㤰㔵㠳〳㤴戶ㄵ挸㠲捥敥㤶㌷㉦㙤ㅢ攸㕦㌲戰㜱㈸㤷㔹㍥戰㡡㝥摡捥ぢ慤挷扥㤰ㅤ愲㈳㌰戰㜸㐵换㘸扡㌰慡扥〰㙤搰㔳㙤敤戹愸戱㉤晥攳敥㡦㕤晢摣㔳挱㡦㈴㥥㔲㥦㜷ち捡づ㈶㜴㥦慢㔸散㤲戳挰㑣搰㤶㔸散㠶攴㥡㔴摡㌲昳戲㈹㌷㈵昱㘵ㅦ㠵㈵摤㐸㐳㤴㌷攲昶㈱㜳㘶戲ぢ戶〸㘷㙦㙢㙣搲㍡㤷搹㐲摢㔴晣搵攲㥦㜴ㄶ㕦散㝤㠹搵慦㘲㔱㌱㘹㍣㌶扦㍡戱㙢ㄲ搱搸昹慥㑦㤹㔲㉤攰㕣㍡挹㐸敦摤㑣㈴挰㌰㐱敦㥥㠴愴㕥㕣搹ㄳ攰㘴㉦㥦愴慣㔴搱敡晥搵㘷昱㡢㘳摡㍥换㌶㈸㑥摦㑥戰㠳攰㜲㠲㉢〰搴愷戱ㄹ搱㤷㜹ㄶ㕢㜹㈷㌲づ挲㘱㜸㑥戶昵㉢㐹昳㔶㠲慢〰攰㤱挸ㅥて㠷㘴〰㐹敤㙡㠰愶㘲㠰㈴㘶㑦戱㐸㐰昱昰㑦㐷㐵㌷〸〶〱ㅡ攲〰ㅢ搷㤹㘹昸扦㈷㉡㉡ㄹ㘲㐰愰扡挵挶晣愱㙦㌲㉢搳㌷㤶㡤て攵㜳㔹㐴㜰改㐸㜴挶ㄱ搶㉢㈸㐳换昴收扡㐶㉣㉤戳㉥㠵慦㠶捣㔶㜳搸㌴慣㉥㥣㙦攰愵昴㈲攸㈳㍥㐸㑦㘲昴晦搳㐷〹搰㤱挴搱㜱搲㑤㔱摥搵㙢㝢ぢ㡥㝡㕢扡㜳〸ㄱ㥢ㄲ挳愶摡㌵つ晥收㐹攸㠴〴昴〴㝡㜷捦㙦㍦㜷挹㜹ㅦ㝦昰㠸昳㝤㈳㘶愱㍣㍡㠳㐷攵づ挵㑥攴㐶慡㤵㈹㐶㠸攸㔴攸㌴攲㕡ㅡ愰〶搳㐰愷搹㔶㜷㠲戵慦㌵扥挳㈹㈸ぢ㈸㌱㑣㈴搱换㘱搶扦つ㘴㕣㈷挰㑢ㅦ㍤㡦戴㕥㈰愰㡢敦㕡㈷扢敤愴㘲愸㐹搶挴ㅥㄲ㡤〲愸戳〰㌸㍤昵㌱㠰攲愳㙥〶㝦㝡㘴戲晣收㈱扢㕣〹㌷㈰㌷愲㔷㈹㔳㌱㔰㑣㈸㐱愷敦㘲㉢攰㝡㌰昶㔵挰㜵㑥㐱㔹ㅣ敢㕣搴ㄵ〵摣っ㐴㡤㠱捣㕦〱敦㘱ㅢ户㄰扣ㄷ挰愵㠰㕢敤愴㥡㡦㙦㔱挰晢㐹昴〱〰挵㤸㤵㈸攰㌶㈰挵㐷つ愳㡤〹〵㌰㈲㔶慥㠰扢㤰ㅢ搱慢㤴㈹㐶挲晣ㄴ㤰慣愴〰搳㈹㈸ぢ㥡㌱㄰㈶ち戸ㅢ㠸㡡㔷㔴挰㈷㔰慣摦㐳㜰㉦㠰㑢〱昷搹㐹搵㡣㙦㔱挰晤㐰昴〷〰ㄴ愳㘴愲㠰㑦〱㈹㍥敡㉤㙥〵㉣㐲㜶戹〲㍥㡢摣㠸㕥愵㑣㌱昶收愷㠰捤㤵ㄴ戰挹㈹㈸ぢ搳㌱昴㈶ち昸ㄲ㄰戵愱愲〲扥㠲㘲晤㈱㠲慦〲戸ㄴ昰㠸㥤㔴㑢昰㉤ち昸ㅡ㠹昶〱愸愵〰愲㠰晤㐰㡡㡦敡㜶㉢愰つ搹攵ち㌸㠰摣㠸㕥愵㑣㌱攲攷愷㠰㡢㉢㈹愰摤㈹㈸ぢづ慥〰㈷㔱挰攳㐰搴昲㡡ち昸㉥㡡昵敦ㄱ㍣〱攰㔲挰昷敤愴㙡挷户㈸攰〷㈴晡㈱㠰㘲㘸㔰ㄴ昰㈳㈰挵㐷戵戸ㄵ挰〸㘳戹〲㝥㡡摣㠸㕥愵㑣㌱攰攸愷㠰昹㤵ㄴ㜰慥㔳攰㡤㑤㠶㍡挰改ㄸ㘳㑡㝡㜲㝢捡摣挳㐳昰戴㈴㕥㠸㜵㡤ㄴ慣㥣㥣搸ㅢ㤳摤戹㡤㌹慢㍢㔵ㄸ㑥ㅢ㘳㌳㤲づ戲㘳挸捣㈲㥥㤶㐷㔸捤㤳㤷ㅢㅥ㌶ㄳ㝡戲㉦㌷㤲㡦㥢㍤摤㈷㐳扣つ敡挰搰㐹愸㉤愸昰ㅣ㕦〸〹㈶㕤㘱㤶攰〹㠴㍡挱搰ㅢ〹㜰㜹捤㤳〷㌴㑥㥦愶㐹㡤昶愷慣戴㔹㥦㤴㜲挱挳㐹㘸ㄱ㐱捡㐴㕤戲㝦〸㈷攴敥挶攴摡㝣㉡㤱㑥㘵㑤づ〶づ㝤㝣换搸㙢敥㐴㐰㜲㜳慥㤰攲ㅢ搰挶㘴㝦摥挸ㄶ㠶ㄹ㕢㠹㡦㥤㔲㤲ㄲ〷㈸㤴㕣㤵捡ㄶ搰㡣㡣㈲昱愶㘴摦㔰㙥て㕥㤹㡦㘴戲㙢㡤攱挲㐹㌱㉡戴㤸昶㈳㐳愳㠲㉡ㄸ㔴攱㘰昸㜸挷㐷晢て㜰㥢㍤昹㥡㌳㠶戹㙡攵㔳㠳㈳㔴㥡㌴挴ㅤ慤㤶㐰挶㌱㄰㕡〵慣捡攱㠷㐷㈰㈷㔴捣㌰㈸晢㕢昲㉡搱㌷㈲㌷㜱ㄷ㠱挷ㅥ晤ㄹ搶㌹〴戰㝥敤戶㥥挹ㄷ〴㝦搶㤵㠱㔰ㄷ昸㜹㕤㑡敦散㥢㠸挷㥥ち攲㘹昶㌴㘲ㅥ㘷ㄵ㔶㈷㘶〳㔳摥愹ㄹ㐹ちつ㘷改戴㐹㜴つ㐲㝡つ挹㕥㘳搰㑣攳昰㤰㌱慣㘹㜶㠲〷㐱扣戰㉢㌸㘵㕤戹㑣挶攰戴攳㤴敤㡢ㅢ㘹㌳㥣散ㅣ戱㜲㜸摢慣㈷〱㘴㙥㍡㔹挶㈸戲㡣㔱挹㙡㐸㙥攵ㅢち挱挹㉢户搳挸愷慣愱㑣㉡ㅥ㘶㠲㙦ㄱ㑥㡡昹㡡㍤㐴㕣㝢㈸㤴㑦㜱㍦昱ㅥ㘹㙣攷ㅥ挳摤㠲〳ㄶ㔵㜷〸挴㤸搵㐱愵攱㥦㍡捥〰㌶㜶ㅦ㌱㉡晡戳攰ㄶち〲㜰㍢㤲攷攵攲〵㤹㤷㙦㐴㡥㙣㔰㙡㌵〹昰搱㝦敥㈰㑣搴㌲〴㕣㌵扡挹㌷㡥㤱摥㥣㤱㔸㠳戰㔳㉥㕦攷㕣㜱〹㘳㘸戹摤攴愳㡣㌷㜷攱ㄵ〶㕥㡤散㑥㈵捣㝣㤸ㄹ㝤㌸愶搵㌲㔲慤搹㘳㐸摤〴㐲愱晡戰㕦㕢㍤㐵㕥昳㥤㈸㥥晢㈲㑦㑦ㄹ晦挳㕢㔶搰㥣㐱㉣㔹㑦捦〱搵㝦〱愰ㄸ挹愶㍣ㅥ㠲攷㐹昰〲㐰㠸㌱㔳敦搸㤴㠶㝥ㄱ㈰收㡢挴㕡戹ㅣ挲愰㜴ㄸ〱㕣㠹㘶㠷㐴㤰㝡㔷ㄴ㕡戳〳搰攱攲㡤ㄳ慤て戳摣㑣㐴散㍤㤶㠷㔴づ㐷㌰㔸㡢愱搶扣昱挰戲㘶挱㉣搳㘷㑡㜸㕡㌵愰ぢ摡㝦〲㌴㜰戱㠰晦㐰㑦敢搲ㄵ㘵ㅥ㐴㈴愲晦ち㐴㠱㠸敡〵㉣㑡捥〹改愸收㐵愰晡㘱㠰搰㌶㠰㉡晢〳㡥㔷慥攸搲㌴㄰㙢挹㙤搹㤴㠵愵换ㅥ慣㐹㔹㡣㥣㈷〱㠰㑡ㄸ攸っ㔹搲慥㑡捤ㄳ敥挲㔹攵㐵㈵晥挳扣昲㜲户㐳㌱摦愷搸㜶㌵㕣ㅥ挶㔴㐴攲㜲昸昴昱㘴昲㐱㤴ㅤㄶ㜰摣㄰㜵㕥攵㈰㥡㑢敦㥣昲㝦㠶挷愲扤㠴晡戵㔶晥攰敤㑡晦㌵㔰散〸昴㘰昴摦〰愵ㄷ挳搰㔲昵㜹攲〹㉣㐶攸挹搸㜹㡤㑥攴扡㈷㕢挰㍥㄰㜱㔲搸攵愷㌹攸愶ㄱ慢愴挴ㄸ㥤攱㤴㈰㔰扦㈹ぢ摢ㅣ㌷昲㠹㤳㘴㘳㠷㈲㙣ㅦ㐴昶攸攳昴て挱㠴㡦㙢㍢㠶挷晦㌲㜲愸㙢㐶昰㡥㈵㉥换〳㑣㈳搵㍤ㄱ慥つ㌳挵扢㌱㌲ち昶摤ㄸ㜱搶㌷㥢昰戴㜱㤹㉤㙤捥㤰ちㄳ㐹搹挴昴㘴攷㘰〱㡥㥦㐵㡢敥㘰戲摡昵攴㔶㌳㙤昰慤㍡っ戰㠳㙤㡥㕢㜸ぢ㌱挱㠰㙦捣㑦㥥ㄱ㠲㐶㙡㥤㔱㔲㌲㑥㕡㤵挹㕢㉡〴ㄷ搲㜱㡥㉡㜶昵愴㍣扦敥㔰ㅦ摤换攷戳ㅤ㠱㈲攲ㅣ〷㉥〷晢㉡㝥㈴㌶㕣㙦㄰㝤㐶昱摤㡥扤捤挹づ搶㔰捣愳戳搹挸㠳㐱摥挲戵ㄲ㕥㘴㙢攲搲㐹挳ㅡ㕢㈹昸㔵改戱㘹挹㥥㙣㍣㍤㤲㌰挵㈹㉢㙥摣攲㥢㥤ㄴ攳㈵㌷㜵敤戱慡愲ㄷ㐷㈹㍤戸慥㕢扣㘶㜰晣愷㌳晤户ㄸ〴戱㥡攰ㄱ搱㝦㡦ㄴ搷摤ㄵ昸㍥收㌷ㄶㄱ㔴㍡㘵昲㝤㥢㕣て挵搶㔶㤶挵㍤㡤㘱攷㠹㤷ㅥ戲攲㕣㘴扤戹摥ㅣ㑦㜷慥慣㜵㈹㍢敢愴ㄸ㈷挸㘹㙦㝣㥡〶搷昴㌸㔷〸㤹㘰搷㝢㘴摥扢敡㙦㔵慢㍢㙢扦㜸昶㍤〷㈲㠷㍡〲捡㜶㐵昹㑡愲㤳㈴ㄲ〶㠶ㄱ慡〹昰〸ㄶ㥣㍣㠷㈹扥戰攰㔹㑣晦〳㠰攲㥢ぢㅥ㜱㘰慣㜴㕡㌰晤㝦〰愶㜶㜹〷愴〶挸㕦㜱㄰扡扣捡〰㈸㍡㑢㐰㌱㈷挴㡦晣㈳㔰晤㑦〰㙡㄰挰㠷攰㝦㐹昰㉡㐰㈸〱攰摤㘸㉡〶昰㙢㔸㈳㐳㜷㌰㥣愱㕢㡣㘵慡攱㑡〴㕥㔰挰戵搶敡挳㜱戲㝤つ攰挹㈷㥥㔸㠹慦㠰摡〹㔰㙣摦攵捤扤㡥㙣晤〸〹㠶〱挴〵愶挳㙦㙦㌸㉡㡦㍣搱愹〶㈵〵㘶搸ㄷ攰愶㍣敦慡〲慡㠹㥥改慢㉡㐶扥㙤㍤㍢㐷㡢ㅡ攴㑥慤㘷㐶挸㐱㠸ㅢ昳㘴攲㈴ㄴ挳攴㐵㌱㠰ㄶ昵ㅣ〲㠱慥㤱㜰搴㥦愰㡥〴㘱ㄲ㡣㠱㠰㍥扢愶㈳攵昶㠵㤷晡昹挲昵㈰㠲㉦捣搰㝡戱㔹㤷昶ㅡ挸戵㤱㕣㙦〶㠱㔷㝢敦㐱㕥㈷㍥戸ㄸつ㤲愳搶ㅥ愳攵愲扤㈶㌲㝥㉦㔲㈵摡㥢㡥摣愹戵㜷㉢慡㠱㌰愰㥦㐲㈶㑥㐲㌱挶㕥ㄴ〳㘸㔱㝢㌳㐰愰捦㈴攱〷晣〹㑥㈵挱㉣ㄲ摣〶〲搱摥㙣愴摣摡㙢昳搳摥改㈰㠲昶敥㜲㜱㜵㘹敦っ㜲㍤㤳㕣ㄹ㐳昷㙡㡦㠱昳㑥㝣〲摡ㅣ㤰ㅣ戵昶敥㐱つ搱摥㕣㌲扥ㄷ愹ㄲ敤㥤㠵摣愹戵㜷ㅦ慡㠱㄰户㜹挹挴㐹愸晢㠱昸㘸敦㙣㄰攸攷㤰昰〱㝦㠲㜳㐹㌰㥦〴㡣攷㡢昶捥㐳捡愵扤戶㜶㍦敤㥤て㈲㘸㡦㐱晤㘲戳㉥敤㉤㈰搷ぢ挸昵㑢㈰昰㙡㡦㔱昷㑥㝣〲摡㐲㤰ㅣ戵昶ㅥ㐲つ搱㕥㌳ㄹ㌳㘰㕦愲扤ぢ㤱㍢戵昶ㅥ㐱㌵㄰攲愲㉦㤹㌸〹昵㌵㈰㐵㌱㠰ㄶ攷摥㐵㈰搰ㄷ㤳㤰㤱㝦ㅦ㠲㔶ㄲ㉣㈱〱㕦〶㠸昶摡㤰㜲㘹㙦改㘲㍦敤㉤〳ㄱ戴㜷挰挵搵愵扤㌷㤲敢㜲㜲㝤ㅣ〴㕥敤㌱㘴摦㠹㑦㐰㕢〱㤲愳搶摥昷㔰㐳戴搷㑥挶㑦㈰㔵愲扤㑢㤰㍢戵昶扥㡦㙡㈰挴捤㘰㌲㜱ㄲ㡡慦〶㝣㤴戳ㄲ〴晡愵㈴攴㙢〳ㅦ㠲づㄲ㕣㐶〲扥㐹㄰敤㜵㈲㌵扤ㄸ〳㈸㕥㔱㕥改愷挲㉥㔰㐲㠵㍦㜵戱㜶愹戰㥢慣㔷㤳昵㌳㈰㈰愹扥㠶㈹㈰㌵昸㠴㥥〵昰〶㐶捡㠲㔶挲㉦挹昰㔵㥦㌵㤶㐶挸㤰㈸〳㈵㌶㐶摢㠶㐳ㅦ昲㄰扥挹攵㘱ち㙡扤㔷㍣㈶敡㕥㡡昶敡㘷㝡㉥慤㑡㌵㤶ㅣ挲㈷昴戵搷换㉦㘶㑥搴㘷挷㈷㙦戰戱づㅦ㙤ㅤ昲㘷㙥㐸挵昳戹㐲㉥㘹挵晡㄰ㄲ㡦昱ㄲ㜰ㄲづ㕦㘷攸㘱㜰昴㙤㤳㠲搵㘶昹㕢㥦摤扣ㄴㄷ搹㤵捤敤挹㑡㙦㐲〵摥㠵㘶㙢㝡㕤ㅤ㥢愱ㅢ㈸捦戹㔰㕥昴攷㐰㔹㔹㕦て㤲挶㥡攸㜳㜶㔹㈰捡㜰ㄴ㥦攸昳昶㜷㈰捡昸ㄳ㥦搰慦〰㡥㌶ㄸ㐴摥㙡㔰挵㔵㐲㤹戵㜵㜵㘵㈱㠲戲㈰搲挴㤵㐵㑤㙢㘰㘳て㐱㘴㙦㕣挱扦㔲愹㐶㔹㌹㠸㡦摥㡢㝣㝤〳㐰㈴晡㈲搲㥣㉣摡㐶㈴愷㜷慤ㅡ㈸晤搵㤴戶〹搹つ挸ㄶ㠷㜷㉢㙥㉡㙢㥢㤱㌳つ㌹慥愰㜹昴戰挳㐵摦㠲㐲昹㐱㤱晣戴㈸挴㘰㠴户愷慥〰戶㉢〲〲慦㈹㄰㜵㠵愵㐴收改挹㉤㈳㐶ㅡ㍦摥摡㠴㘳㤱挵慣㤳挱㤹慥戵て愷㔳づ户㠸㜰攵㔵搴扡㔷〷愵愳攵挸㈶户㔲㡦捦㌵㡦㠴㍥㍦攵㥣㈸戶㠲ㄱ㜲慤㌲昶㡥攳ㅦ搱户愱〰〷㈹挵愰ㄱ㘹昴敤㠴捥愳ㄸ摥㈸换つ昱㈸㜶昴攷㍥搶㥦㌱ㄹ〵㘶扣扦㌹㡤㈳昰㔱扣㕥搹㠱扡㡡㐷扤戲㍥㈸㌹㑡愰㐴扦〲㘵㥣摥ㅡ挹㜸㤴攰晥愷㍥つ挵㜰搷〱ㅥ搰慥〴㐹挵慤㐴㍤〰㌲㙥㈷愵摢〱㑦ㄹ戲ㅤ㕣㠵捡搸づ㜸愲攰ㄳ攵愹㠲㑦㤴㐷〸㍥㔱ㅥ㈳昸㌴搱昱㈷ㄷ㜶攵㠴㍥搱搷挱㡥攳愵㜳扤敡㕣㥤㍡ㄷ㘴㤴昲㐹扥挱慣㔹愴㌸ㄵ㠰㐷〹㕢㘷〹〷㈱㤱攲〱㐰戴昳㌱㤷㜶㜴㙥戴摣㔳搵㕥㕦㐵㘰敦户ㄵ㌱〴〴㡡愰换捦㈷㑡户㕦㄰晡昸㠲㠴ㅤ㐴搱㝢攷摥愸㍥っ㤶摣户愴㡦搷㈰㔷摦〵㄰㠹搲㠱昷㤳㠷㍥扤攴攷㐸㍢ㄷ㉣攴㤷㘱慡〹㐹晣〵昴扣㠳㠸㍣㜴挹㐵㥥昷晢捡昳㍥㕦㜹攸㤸换挰敥〶〲㜹攸㠴昳㠹搲ㄱㄷ㠴㕥户㈰昴扣昹㈸晡搳㈲捦㉤㙥㜹㐶㤱慢㡦〱㐴愲㜴愹晤攴愱㤷㉤昹㌷㤰㜶㍥㜸挹捦换㤴㌸挹㑣摤㠴㝣晣〹㤱愲㤳㉣昲摣攸㉢捦つ扥昲挴㔰㐹攴㜹㈷㄰挸㐳户㤸㑦㤴慥戱㈰昴㠳〵㤹敦㈰㡡ㅥ慥挸㜳㥤㕢㥥㥢㤱慢扦ㅢ㈰ㄲ㕤〰攸㈷て晤㕥挹㝦ㅦ㘹㥢挱㔵㝥㤹愶挴㙤㘵敡〳挸挷㥦㉤て摤㔶㤱攷㕡㕦㜹㜲扥昲搰㜹ㄵ㜹敥〴〲㜹㉥㈲㍢㍣㔱㍡慢㠲搰㌳ㄵ㠴摥㈹ㅦ㐵㥦㔳攴挹戸攵昹㈰㜲昵て〱㐴愲㜴㍢晤攴愱㈷㉡昹㝢㐹换㤰㠵晣戴㑤戵㈳㠹扦㠰㝥户㠳㤰㐸搱㤱ㄴ㜹攲扥昲ㄸ扥昲搰㥤ㄴ㜹敥〵〲㜹攸㍡昲㠹搲㝤ㄴ㠴扥愲㈰㤷㌹㠸愲〳㈸昲っ戸攵戹て戹晡晤〰㤱㘸㌷愰㥦㍣㜴ぢ㈵晦㌳愴㙤〷㔷昹㙤㕣㤴づ愲㜴攲㜳㐰ㅡ㙢㐲昴㜱㉥愹晣㡥挲㘵攴㥢ㄱ挵㉢昹戵搴㙡晣晡㘹㉣〸捥㌵㜸㈵㘸扦㐸慢つ㕥㝣㝣扣㘸㉢ㄹ慦攱㈷戴つ戲晥ㄹ㝣㈰㤱换挰㤱攳㔹昸攸㥦㐷㝥ㄳ㍤ㅦ㙥捡㥥㡤昹攵づ攴昱戹㑣㘰㈰散㝣㐷㥤敦㤹㤷㌵搱㕤㤲㥡㔷愹戳敦散っㅤ扡搱㝢㐱戲㑤㥥挷㍡散㤰昱㜷ㅣ㡥㍦散㔰昴㠹㘶㠰慦㕣㝣㜴摤昹摢っ㌱㝤敦晣㙤㜲ち扣㍦㐱㔰㌴搱昸ぢ攸㕦〲攴攸昲ㄳ㉤摡㘹㈵㐶㤲挵ㄳ㌹㉣扥〲戴㌲攲㕦〱愲㍦〴搰ㄸ㔴戴㘵ㅣ㝡戵ㅥ㙤㔱摦愲愲㠷㤹㐳〳㌲搹摤㌴昹㙤〵㔰慢㉢㜵户摢㈹昰摥搱㡣㈶挰㐹㕡㝥ㄴ㐸㘳㡤愲摤㤰㐶㔷戹ㅢ㍤㠰摣愶㙢〰㐲㘸攵愸挷愵㠹收㐳㙡㔴ㅦ㡦ㅦ㜷㈰㕣昹攲㤶㐷㍥搱愱㘸㐹㈶〵摢㌲㈱搸捡㑡㠲扤挹㈹昰摥扤㡣收挱㐹〴晢㘷㈰㄰㙣㌷扥㐴戰㡢摤㠲㝤ㅢ戹㑤㌴つ挷㈶ㄸ敤㐸㔵挱慥㥢昹挵戵攳㙦㝢愰挳晥㝥㘷㠷扡〱㌵晣〴㕢㔶㐹戰愵㑥㠱昷㑥㘵昴㈶㜰ㄲ挱㥥〴〲挱㘸㐹㐴戰㈵㙥挱㝥㠰摣㈶摡㠸㘳ㄳ㡣〶愵慡㘰ㄷ扣昵戶㙦晤㘱挱搷㍢昶昵㌴〴㥢摦㝤㜳㠷愲㙤昱ㄳ散挲㑡㠲㉤㜲ち扣㜷㈵愳戴㐶㈲搸㑦㠱㐰㌰㥡ㄴㄱ㙣愱㕢戰㝦㐵㙥ㄳ㡤挵戱〹㐶换㔲㔵㌰㝢愴づ㜷っ㐶㉦㙦晦捡攳㕦敤㔰㌴㌲㝥㠲㥤㔷㐹戰昹㑥㠱昷づ㘴㤴㘶㐹〴晢ㄹ㄰〸㐶摢㈲㠲㥤攳ㄶ散ㄹ攴㌶搱㙡ㅣ㥢㘰㌴㌱㔵〵晢晢㑢㜷㕣昹㡦〷づ㜶晣收昵搱〷摦戲昷昶づ㐵㙢攳㈷搸摣㑡㠲捤㜱ち捡敥㌶㝥づ㥣愶扡摢攸晡㠹㌲㕦愳㠶㤲㡣㕢搴㈷敤㙣㥡ㄴ㜹㕤㥤㤶㐳㝦〳慥㈱攵昱㈳攱㕥摣戸挳攵㈳晣攷ㅢ捥㐹ㄷ㌷昱ㄸ挶㉦㕥㜴搱㈵挵捡㕡㜲㔳ㅥ㌷㕦敡㤲㍤〵扣㤰㑤㠴昱㈳㐷ぢ㍦攱捡㥥っ㘷㔰㠴㘱㙡㘹㝡㘱〲昸挳攲愰㙦〴㠴愱つ敦ぢつ搷改㝢㔲ㅦ挵㤷㜲㐱摥㕥㍡扥ㄳ愸昶ぢ㡣㤷晢㑥㕥挲㜵㈷慦㔶㥤㠱㘱戶㡦㔶㌷〵㡥㐸扦㜱㔴搳㕦㐰ㅤ㌱㠸㘲搵〰㈲晡㉦㤹搵つち〱㠱㄰慤戶㔷㌸挶愴搶㔰㝡捦㉦㜸敢敢㡢㌱㈳戶㄰愵㤱㤴愵昱㈲㜹ㅥ㈶㜸〹㈰愲㘸〸㌹扤戴㕦〳搴攳㕣㝣㜱捣㝥戱愲搴㜴摦㝥扥っ㍡㥤㤶㤰愷㈹㐰昴昳㜷捣㥡散愷愲㕤ㄵ㥥晦〵㘴昲愷㌷ㄲ㝡㉡〴㔵㝤㤱敦㡢㑢㑥㥦㤴晦扦挹㐴昸〶㠱〹摦㔷㤸攵攲㑢㤳㑣ㅤ昴敦摤㜷搹㙢㙤㔷㜵㉡摡㔲㘹攸㑦㐰㡡㠱搱㔲㘵㠷㡡㡤〵摣捡㝥ㄵ昴ㅥ㘵扦捥㉣㔷㘳㌴挵㙣慣昸㈸摡㌷㘹㡣〷㙢晦挶㡥扣收㌷戲㐱搰㝢ㅡ攳㝣㜵㌷㐶昳㔸搲ㄸ㙤㡥㌴愶㔵㙣散㡦扥㡤㠵换ㅢ㡢㜸ㅡ愳挹㉡㘹㡣㜶㐰ㅡ㙢愸搸搸敦㝤ㅢ㥢㔶摥ㄸ晦㠳㈹户㘴㌴㈳㈵㡤㜱㙦㤶挶㑥愹搸搸㑢扥㡤捤㉣㙦㙣㤶愷㌱㙥敤敥挶㐲㕣㔴㐷扤敡㐱㝢扣㈱㤹搳搰ㄱ挵攵㑡ㅥ晡改㑣〱㤱てㄷ摣㝡㝣搴昳㤰㡡摥攵㥢㔰ㄲづ㙡敡㜰戱攰ㄷ㑥〱㕦㡤㠶㜱昳㠹ぢ㔳㙡㍣攷ㄴ搰㝤搶攷㤲㈹ㄷ㥦㙣ㄴ昳㤸攲扡挳㕦㐰㍦换摤㈰ㄷ㤲搰挴㤸换㌵㈴㌴㘷扢㘹㌸晦㠵收ㅣ收㜲敡ぢ捤戹㙥ㅡ㑥㕢愱㤹捦㕣捥㔸愱㌹捦㑤挳搹㈶㌴㙦㘰㉥㈷㥡搰㥣敦愶攱㈴ㄱ㥡〵捣攵晣㄰㥡ぢ摣㌴ㅣ㕢愱㔹挸㕣づ慢搰㌴扢㘹㐴挷㤴戶攸搱〳て㐴愹敢㕡收㕥〸愴戱愶㠹㙡攲戵愳攰愸㡡㕦㥤戸晡敡㔷㥡㙡㘳㘷搴㕥㝥㔹挳摥㐳摦㝤昶捥㥦扣㜵攵ぢ慦摥㝤昷㑦㥥扢昳㠹㔷扦㍥戸昲摢昷摤㜷㜰晤㍤㑦㍣㝢㑡昲摥攰㔷㕦改扤昷晡搶㕤搷㕦㥢摣戶㜰敤昵㔷㕣戳愵㜵昳昴收㥡㥡扡扡昳㘷㍣㝥摡㠲攸㑤搷㍥愲扥昹搴散慣ㄲ捤戳挱㤲㙥㜰〴愴ㅢㄷ㐹㌷㤴攸扥㡣㡡㘳㈰㔴慤㌶㤵㘸扦㡣㡡愳㈰㔴㙤㌶㤵攸扦㡣㡡攳㈰㔴换㙣㉡ㄹ㠱㌲㉡㡥㠴㔰㉤户愹㘴っ捡愸㌸ㄶ㐲搵㙥㔳挹㈸㤴㔱㜱㌴㠴敡ㄲ㥢㡡ㅡ㤷㜹㝡搰㤹愷慢㔰〵搱㉥㐵ㅤ㐸挱㘳㥥〲㡡㉤〵摦昲ㄴ㔰㔲㈹昸愶愷㠰挲㐹挱㌷㍣〵㤴㐷ちづ㜸ち㈸㠲ㄴ晣㤳愷㠰扤㤶㠲㐷㑢ぢ敡晦て㝡㐰㘲㔹</t>
  </si>
  <si>
    <t>Giới hạn mềm</t>
  </si>
  <si>
    <t>Giới hạn cứng</t>
  </si>
  <si>
    <t>Giảm tỷ lệ CP/DT</t>
  </si>
  <si>
    <t>Giá trị hoạt động của công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</si>
</sst>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0.0"/>
    <numFmt numFmtId="165" formatCode="0.0%"/>
    <numFmt numFmtId="166" formatCode="&quot;$&quot;#,##0.00000_);[Red]\(&quot;$&quot;#,##0.00000\)"/>
    <numFmt numFmtId="167" formatCode="&quot;$&quot;#,##0.00;[Red]&quot;$&quot;#,##0.00"/>
    <numFmt numFmtId="168" formatCode="0.000"/>
  </numFmts>
  <fonts count="29" x14ac:knownFonts="1">
    <font>
      <sz val="11"/>
      <color theme="1"/>
      <name val="Calibri"/>
      <charset val="134"/>
      <scheme val="minor"/>
    </font>
    <font>
      <sz val="12"/>
      <name val="Times New Roman"/>
      <family val="1"/>
    </font>
    <font>
      <b/>
      <sz val="14"/>
      <color indexed="10"/>
      <name val="Times New Roman"/>
      <family val="1"/>
    </font>
    <font>
      <b/>
      <sz val="14"/>
      <name val="Times New Roman"/>
      <family val="1"/>
    </font>
    <font>
      <b/>
      <sz val="12"/>
      <name val="Times New Roman"/>
      <family val="1"/>
    </font>
    <font>
      <sz val="12"/>
      <color theme="1"/>
      <name val="Times New Roman"/>
      <family val="1"/>
    </font>
    <font>
      <sz val="12"/>
      <color indexed="48"/>
      <name val="Times New Roman"/>
      <family val="1"/>
    </font>
    <font>
      <b/>
      <i/>
      <sz val="12"/>
      <name val="Times New Roman"/>
      <family val="1"/>
    </font>
    <font>
      <sz val="12"/>
      <color indexed="10"/>
      <name val="Times New Roman"/>
      <family val="1"/>
    </font>
    <font>
      <sz val="12"/>
      <color indexed="12"/>
      <name val="Times New Roman"/>
      <family val="1"/>
    </font>
    <font>
      <b/>
      <sz val="12"/>
      <color indexed="10"/>
      <name val="Times New Roman"/>
      <family val="1"/>
    </font>
    <font>
      <b/>
      <i/>
      <sz val="12"/>
      <color indexed="48"/>
      <name val="Times New Roman"/>
      <family val="1"/>
    </font>
    <font>
      <b/>
      <sz val="12"/>
      <color indexed="30"/>
      <name val="Times New Roman"/>
      <family val="1"/>
    </font>
    <font>
      <i/>
      <sz val="12"/>
      <name val="Times New Roman"/>
      <family val="1"/>
    </font>
    <font>
      <sz val="11"/>
      <color theme="1"/>
      <name val="Calibri"/>
      <family val="2"/>
      <scheme val="minor"/>
    </font>
    <font>
      <b/>
      <sz val="11"/>
      <color theme="1"/>
      <name val="Calibri"/>
      <family val="2"/>
      <scheme val="minor"/>
    </font>
    <font>
      <b/>
      <sz val="12"/>
      <color rgb="FFFF0000"/>
      <name val="Times New Roman"/>
      <family val="1"/>
    </font>
    <font>
      <u/>
      <sz val="11"/>
      <color theme="10"/>
      <name val="Calibri"/>
      <charset val="134"/>
      <scheme val="minor"/>
    </font>
    <font>
      <sz val="14"/>
      <name val="Times New Roman"/>
      <family val="1"/>
    </font>
    <font>
      <b/>
      <sz val="12"/>
      <color indexed="12"/>
      <name val="Times New Roman"/>
      <family val="1"/>
    </font>
    <font>
      <sz val="12"/>
      <color rgb="FFFF0000"/>
      <name val="Times New Roman"/>
      <family val="1"/>
    </font>
    <font>
      <sz val="12"/>
      <color indexed="8"/>
      <name val="Times New Roman"/>
      <family val="1"/>
    </font>
    <font>
      <b/>
      <sz val="12"/>
      <color indexed="48"/>
      <name val="Times New Roman"/>
      <family val="1"/>
    </font>
    <font>
      <u/>
      <sz val="12"/>
      <color theme="10"/>
      <name val="Times New Roman"/>
      <family val="1"/>
    </font>
    <font>
      <b/>
      <sz val="12"/>
      <color rgb="FF333333"/>
      <name val="Times New Roman"/>
      <family val="1"/>
    </font>
    <font>
      <sz val="12"/>
      <color indexed="63"/>
      <name val="Times New Roman"/>
      <family val="1"/>
    </font>
    <font>
      <b/>
      <sz val="16"/>
      <color indexed="10"/>
      <name val="Times New Roman"/>
      <family val="1"/>
    </font>
    <font>
      <b/>
      <sz val="12"/>
      <color theme="1"/>
      <name val="Times New Roman"/>
      <family val="1"/>
    </font>
    <font>
      <b/>
      <sz val="12"/>
      <color rgb="FF0070C0"/>
      <name val="Times New Roman"/>
      <family val="1"/>
    </font>
  </fonts>
  <fills count="10">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rgb="FF00FF00"/>
        <bgColor indexed="64"/>
      </patternFill>
    </fill>
    <fill>
      <patternFill patternType="solid">
        <fgColor rgb="FF00B0F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14" fillId="0" borderId="0" applyFont="0" applyFill="0" applyBorder="0" applyAlignment="0" applyProtection="0"/>
    <xf numFmtId="0" fontId="17" fillId="0" borderId="0" applyNumberFormat="0" applyFill="0" applyBorder="0" applyAlignment="0" applyProtection="0"/>
  </cellStyleXfs>
  <cellXfs count="248">
    <xf numFmtId="0" fontId="0" fillId="0" borderId="0" xfId="0"/>
    <xf numFmtId="0" fontId="1" fillId="0" borderId="0" xfId="0" applyFont="1"/>
    <xf numFmtId="0" fontId="3" fillId="0" borderId="0" xfId="0" applyFont="1"/>
    <xf numFmtId="0" fontId="4" fillId="2" borderId="1" xfId="0" applyFont="1" applyFill="1" applyBorder="1" applyAlignment="1">
      <alignment horizontal="center"/>
    </xf>
    <xf numFmtId="0" fontId="5" fillId="0" borderId="1" xfId="0" applyFont="1" applyBorder="1"/>
    <xf numFmtId="0" fontId="4" fillId="0" borderId="1" xfId="0" applyFont="1" applyBorder="1"/>
    <xf numFmtId="0" fontId="1" fillId="0" borderId="1" xfId="0" applyFont="1" applyBorder="1"/>
    <xf numFmtId="0" fontId="6" fillId="0" borderId="1" xfId="0" applyFont="1" applyBorder="1"/>
    <xf numFmtId="0" fontId="7" fillId="0" borderId="1" xfId="0" applyFont="1" applyBorder="1"/>
    <xf numFmtId="0" fontId="8" fillId="0" borderId="1" xfId="0" applyFont="1" applyBorder="1"/>
    <xf numFmtId="0" fontId="9" fillId="0" borderId="1" xfId="0" applyFont="1" applyBorder="1"/>
    <xf numFmtId="0" fontId="10" fillId="0" borderId="1" xfId="0" applyFont="1" applyBorder="1"/>
    <xf numFmtId="0" fontId="11" fillId="0" borderId="1" xfId="0" applyFont="1" applyBorder="1"/>
    <xf numFmtId="164" fontId="1" fillId="0" borderId="1" xfId="0" applyNumberFormat="1" applyFont="1" applyBorder="1"/>
    <xf numFmtId="0" fontId="5" fillId="0" borderId="0" xfId="0" applyFont="1"/>
    <xf numFmtId="0" fontId="10" fillId="0" borderId="0" xfId="0" applyFont="1"/>
    <xf numFmtId="0" fontId="1" fillId="0" borderId="0" xfId="0" applyFont="1" applyAlignment="1">
      <alignment horizontal="right" vertical="center"/>
    </xf>
    <xf numFmtId="0" fontId="4" fillId="3" borderId="1" xfId="0" applyFont="1" applyFill="1" applyBorder="1" applyAlignment="1">
      <alignment horizontal="center"/>
    </xf>
    <xf numFmtId="0" fontId="12" fillId="0" borderId="1" xfId="0" applyFont="1" applyBorder="1"/>
    <xf numFmtId="0" fontId="13" fillId="0" borderId="1" xfId="0" applyFont="1" applyBorder="1"/>
    <xf numFmtId="0" fontId="5" fillId="0" borderId="2" xfId="0" applyFont="1" applyBorder="1"/>
    <xf numFmtId="0" fontId="1" fillId="0" borderId="2" xfId="0" applyFont="1" applyBorder="1"/>
    <xf numFmtId="0" fontId="5" fillId="0" borderId="3" xfId="0" applyFont="1" applyBorder="1"/>
    <xf numFmtId="0" fontId="1" fillId="0" borderId="3" xfId="0" applyFont="1" applyBorder="1"/>
    <xf numFmtId="1" fontId="1" fillId="0" borderId="2" xfId="0" applyNumberFormat="1" applyFont="1" applyBorder="1"/>
    <xf numFmtId="1" fontId="1" fillId="0" borderId="1" xfId="0" applyNumberFormat="1" applyFont="1" applyBorder="1"/>
    <xf numFmtId="2" fontId="1" fillId="0" borderId="1" xfId="0" applyNumberFormat="1" applyFont="1" applyBorder="1"/>
    <xf numFmtId="2" fontId="10" fillId="4" borderId="1" xfId="0" applyNumberFormat="1" applyFont="1" applyFill="1" applyBorder="1"/>
    <xf numFmtId="0" fontId="15" fillId="0" borderId="0" xfId="0" applyFont="1"/>
    <xf numFmtId="0" fontId="0" fillId="0" borderId="0" xfId="0" quotePrefix="1"/>
    <xf numFmtId="2" fontId="16" fillId="4" borderId="1" xfId="0" applyNumberFormat="1" applyFont="1" applyFill="1" applyBorder="1"/>
    <xf numFmtId="1" fontId="4" fillId="0" borderId="1" xfId="0" applyNumberFormat="1" applyFont="1" applyBorder="1"/>
    <xf numFmtId="0" fontId="5" fillId="0" borderId="1" xfId="0" applyFont="1" applyBorder="1" applyAlignment="1">
      <alignment horizontal="right" wrapText="1"/>
    </xf>
    <xf numFmtId="0" fontId="4" fillId="0" borderId="0" xfId="0" applyFont="1"/>
    <xf numFmtId="0" fontId="4" fillId="4" borderId="1" xfId="0" applyFont="1" applyFill="1" applyBorder="1" applyAlignment="1">
      <alignment horizontal="center"/>
    </xf>
    <xf numFmtId="0" fontId="1" fillId="0" borderId="1" xfId="0" applyFont="1" applyBorder="1" applyAlignment="1">
      <alignment horizontal="right"/>
    </xf>
    <xf numFmtId="0" fontId="1" fillId="0" borderId="1" xfId="0" applyFont="1" applyBorder="1" applyAlignment="1">
      <alignment horizontal="left"/>
    </xf>
    <xf numFmtId="10" fontId="1" fillId="0" borderId="1" xfId="1" applyNumberFormat="1" applyFont="1" applyBorder="1"/>
    <xf numFmtId="10" fontId="9" fillId="0" borderId="1" xfId="1" applyNumberFormat="1" applyFont="1" applyBorder="1"/>
    <xf numFmtId="10" fontId="1" fillId="0" borderId="1" xfId="0" applyNumberFormat="1" applyFont="1" applyBorder="1"/>
    <xf numFmtId="10" fontId="16" fillId="4" borderId="1" xfId="0" applyNumberFormat="1" applyFont="1" applyFill="1" applyBorder="1"/>
    <xf numFmtId="0" fontId="16" fillId="0" borderId="0" xfId="0" applyFont="1"/>
    <xf numFmtId="0" fontId="1" fillId="0" borderId="1" xfId="0" applyFont="1" applyBorder="1" applyAlignment="1">
      <alignment wrapText="1"/>
    </xf>
    <xf numFmtId="0" fontId="16" fillId="4" borderId="1" xfId="0" applyFont="1" applyFill="1" applyBorder="1" applyAlignment="1">
      <alignment horizontal="center"/>
    </xf>
    <xf numFmtId="0" fontId="1" fillId="0" borderId="4" xfId="0" applyFont="1" applyBorder="1"/>
    <xf numFmtId="0" fontId="19" fillId="0" borderId="1" xfId="0" applyFont="1" applyBorder="1"/>
    <xf numFmtId="10" fontId="19" fillId="0" borderId="1" xfId="1" applyNumberFormat="1" applyFont="1" applyBorder="1"/>
    <xf numFmtId="10" fontId="19" fillId="4" borderId="1" xfId="1" applyNumberFormat="1" applyFont="1" applyFill="1" applyBorder="1"/>
    <xf numFmtId="10" fontId="5" fillId="0" borderId="1" xfId="1" applyNumberFormat="1" applyFont="1" applyBorder="1"/>
    <xf numFmtId="10" fontId="5" fillId="0" borderId="0" xfId="0" applyNumberFormat="1" applyFont="1"/>
    <xf numFmtId="0" fontId="5" fillId="0" borderId="5" xfId="0" applyFont="1" applyBorder="1"/>
    <xf numFmtId="0" fontId="5" fillId="0" borderId="7" xfId="0" applyFont="1" applyBorder="1"/>
    <xf numFmtId="10" fontId="1" fillId="0" borderId="0" xfId="1" applyNumberFormat="1" applyFont="1"/>
    <xf numFmtId="0" fontId="4" fillId="0" borderId="8" xfId="0" applyFont="1" applyBorder="1" applyAlignment="1">
      <alignment horizontal="center"/>
    </xf>
    <xf numFmtId="0" fontId="4" fillId="0" borderId="8" xfId="0" applyFont="1" applyBorder="1"/>
    <xf numFmtId="0" fontId="4" fillId="0" borderId="1" xfId="0" applyFont="1" applyBorder="1" applyAlignment="1">
      <alignment horizontal="center"/>
    </xf>
    <xf numFmtId="0" fontId="4" fillId="0" borderId="6" xfId="0" applyFont="1" applyBorder="1" applyAlignment="1">
      <alignment horizontal="center"/>
    </xf>
    <xf numFmtId="0" fontId="4" fillId="5" borderId="9" xfId="0" applyFont="1" applyFill="1" applyBorder="1" applyAlignment="1">
      <alignment horizontal="center"/>
    </xf>
    <xf numFmtId="0" fontId="1" fillId="5" borderId="11" xfId="0" applyFont="1" applyFill="1" applyBorder="1"/>
    <xf numFmtId="10" fontId="1" fillId="5" borderId="1" xfId="1" applyNumberFormat="1" applyFont="1" applyFill="1" applyBorder="1"/>
    <xf numFmtId="9" fontId="5" fillId="0" borderId="3" xfId="0" applyNumberFormat="1" applyFont="1" applyBorder="1"/>
    <xf numFmtId="9" fontId="5" fillId="0" borderId="1" xfId="0" applyNumberFormat="1" applyFont="1" applyBorder="1"/>
    <xf numFmtId="9" fontId="20" fillId="4" borderId="1" xfId="0" applyNumberFormat="1" applyFont="1" applyFill="1" applyBorder="1"/>
    <xf numFmtId="165" fontId="21" fillId="0" borderId="1" xfId="0" applyNumberFormat="1" applyFont="1" applyBorder="1" applyAlignment="1">
      <alignment horizontal="right" wrapText="1" readingOrder="1"/>
    </xf>
    <xf numFmtId="0" fontId="22" fillId="0" borderId="1" xfId="0" applyFont="1" applyBorder="1"/>
    <xf numFmtId="0" fontId="1" fillId="4" borderId="1" xfId="0" applyFont="1" applyFill="1" applyBorder="1"/>
    <xf numFmtId="2" fontId="9" fillId="4" borderId="1" xfId="0" applyNumberFormat="1" applyFont="1" applyFill="1" applyBorder="1"/>
    <xf numFmtId="2" fontId="1" fillId="4" borderId="1" xfId="0" applyNumberFormat="1" applyFont="1" applyFill="1" applyBorder="1"/>
    <xf numFmtId="2" fontId="9" fillId="0" borderId="1" xfId="0" applyNumberFormat="1" applyFont="1" applyBorder="1"/>
    <xf numFmtId="165" fontId="5" fillId="4" borderId="1" xfId="0" applyNumberFormat="1" applyFont="1" applyFill="1" applyBorder="1"/>
    <xf numFmtId="8" fontId="1" fillId="0" borderId="1" xfId="0" applyNumberFormat="1" applyFont="1" applyBorder="1"/>
    <xf numFmtId="166" fontId="1" fillId="0" borderId="1" xfId="0" applyNumberFormat="1" applyFont="1" applyBorder="1"/>
    <xf numFmtId="9" fontId="1" fillId="0" borderId="0" xfId="0" applyNumberFormat="1" applyFont="1"/>
    <xf numFmtId="0" fontId="23" fillId="0" borderId="1" xfId="2" applyFont="1" applyBorder="1" applyAlignment="1" applyProtection="1">
      <alignment horizontal="left" vertical="center" wrapText="1" indent="1"/>
    </xf>
    <xf numFmtId="0" fontId="24" fillId="0" borderId="1" xfId="0" applyFont="1" applyBorder="1" applyAlignment="1">
      <alignment horizontal="right" vertical="center" wrapText="1"/>
    </xf>
    <xf numFmtId="0" fontId="24" fillId="0" borderId="1" xfId="0" applyFont="1" applyBorder="1" applyAlignment="1">
      <alignment horizontal="left" vertical="center" wrapText="1" indent="1"/>
    </xf>
    <xf numFmtId="3" fontId="24" fillId="0" borderId="1" xfId="0" applyNumberFormat="1" applyFont="1" applyBorder="1" applyAlignment="1">
      <alignment horizontal="right" vertical="center" wrapText="1"/>
    </xf>
    <xf numFmtId="4" fontId="24" fillId="0" borderId="1" xfId="0" applyNumberFormat="1" applyFont="1" applyBorder="1" applyAlignment="1">
      <alignment horizontal="right" vertical="center" wrapText="1"/>
    </xf>
    <xf numFmtId="3" fontId="24" fillId="0" borderId="1" xfId="0" applyNumberFormat="1" applyFont="1" applyBorder="1"/>
    <xf numFmtId="0" fontId="5" fillId="6" borderId="1" xfId="0" applyFont="1" applyFill="1" applyBorder="1"/>
    <xf numFmtId="9" fontId="5" fillId="6" borderId="1" xfId="0" applyNumberFormat="1" applyFont="1" applyFill="1" applyBorder="1"/>
    <xf numFmtId="0" fontId="5" fillId="4" borderId="1" xfId="0" applyFont="1" applyFill="1" applyBorder="1"/>
    <xf numFmtId="2" fontId="5" fillId="0" borderId="1" xfId="0" applyNumberFormat="1" applyFont="1" applyBorder="1"/>
    <xf numFmtId="10" fontId="5" fillId="6" borderId="1" xfId="0" applyNumberFormat="1" applyFont="1" applyFill="1" applyBorder="1"/>
    <xf numFmtId="2" fontId="5" fillId="0" borderId="0" xfId="0" applyNumberFormat="1" applyFont="1"/>
    <xf numFmtId="2" fontId="1" fillId="0" borderId="0" xfId="0" applyNumberFormat="1" applyFont="1"/>
    <xf numFmtId="0" fontId="4" fillId="0" borderId="0" xfId="0" applyFont="1" applyAlignment="1">
      <alignment horizontal="left"/>
    </xf>
    <xf numFmtId="10" fontId="5" fillId="0" borderId="1" xfId="0" applyNumberFormat="1" applyFont="1" applyBorder="1"/>
    <xf numFmtId="10" fontId="5" fillId="0" borderId="0" xfId="1" applyNumberFormat="1" applyFont="1"/>
    <xf numFmtId="0" fontId="4"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vertical="center"/>
    </xf>
    <xf numFmtId="10" fontId="5" fillId="0" borderId="1" xfId="1" applyNumberFormat="1" applyFont="1" applyBorder="1" applyAlignment="1">
      <alignment vertical="center"/>
    </xf>
    <xf numFmtId="2" fontId="5" fillId="0" borderId="0" xfId="1" applyNumberFormat="1" applyFont="1"/>
    <xf numFmtId="10" fontId="1" fillId="0" borderId="0" xfId="0" applyNumberFormat="1" applyFont="1"/>
    <xf numFmtId="0" fontId="4" fillId="0" borderId="0" xfId="0" applyFont="1" applyAlignment="1">
      <alignment horizontal="center"/>
    </xf>
    <xf numFmtId="10" fontId="16" fillId="0" borderId="0" xfId="0" applyNumberFormat="1" applyFont="1"/>
    <xf numFmtId="0" fontId="4" fillId="0" borderId="6" xfId="0" applyFont="1" applyBorder="1"/>
    <xf numFmtId="0" fontId="1" fillId="0" borderId="0" xfId="0" applyFont="1" applyAlignment="1">
      <alignment horizontal="right"/>
    </xf>
    <xf numFmtId="0" fontId="4" fillId="0" borderId="1" xfId="0" applyFont="1" applyBorder="1" applyAlignment="1">
      <alignment horizontal="left"/>
    </xf>
    <xf numFmtId="0" fontId="5" fillId="0" borderId="0" xfId="0" applyFont="1" applyAlignment="1">
      <alignment vertical="center"/>
    </xf>
    <xf numFmtId="0" fontId="18" fillId="0" borderId="0" xfId="0" applyFont="1" applyAlignment="1">
      <alignment vertical="center"/>
    </xf>
    <xf numFmtId="0" fontId="1" fillId="0" borderId="0" xfId="0" applyFont="1" applyAlignment="1">
      <alignment vertical="center"/>
    </xf>
    <xf numFmtId="0" fontId="10" fillId="0" borderId="0" xfId="0" applyFont="1" applyAlignment="1">
      <alignment vertical="center"/>
    </xf>
    <xf numFmtId="0" fontId="3" fillId="0" borderId="0" xfId="0" applyFont="1" applyAlignment="1">
      <alignment vertical="center"/>
    </xf>
    <xf numFmtId="0" fontId="16" fillId="0" borderId="0" xfId="0" applyFont="1" applyAlignment="1">
      <alignment vertical="center"/>
    </xf>
    <xf numFmtId="0" fontId="4" fillId="0" borderId="0" xfId="0" applyFont="1" applyAlignment="1">
      <alignment vertical="center"/>
    </xf>
    <xf numFmtId="0" fontId="4" fillId="2" borderId="1" xfId="0" applyFont="1" applyFill="1" applyBorder="1" applyAlignment="1">
      <alignment horizontal="center" vertical="center"/>
    </xf>
    <xf numFmtId="0" fontId="5" fillId="0" borderId="1" xfId="0" applyFont="1" applyBorder="1" applyAlignment="1">
      <alignment vertical="center"/>
    </xf>
    <xf numFmtId="0" fontId="4" fillId="0" borderId="1" xfId="0"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xf>
    <xf numFmtId="0" fontId="8" fillId="0" borderId="1" xfId="0" applyFont="1" applyBorder="1" applyAlignment="1">
      <alignment vertical="center"/>
    </xf>
    <xf numFmtId="0" fontId="9" fillId="0" borderId="1" xfId="0" applyFont="1" applyBorder="1" applyAlignment="1">
      <alignment vertical="center"/>
    </xf>
    <xf numFmtId="0" fontId="10" fillId="0" borderId="1" xfId="0" applyFont="1" applyBorder="1" applyAlignment="1">
      <alignment vertical="center"/>
    </xf>
    <xf numFmtId="0" fontId="11" fillId="0" borderId="1" xfId="0" applyFont="1" applyBorder="1" applyAlignment="1">
      <alignment vertical="center"/>
    </xf>
    <xf numFmtId="164" fontId="1" fillId="0" borderId="1" xfId="0" applyNumberFormat="1" applyFont="1" applyBorder="1" applyAlignment="1">
      <alignment vertical="center"/>
    </xf>
    <xf numFmtId="0" fontId="4" fillId="3" borderId="1" xfId="0" applyFont="1" applyFill="1" applyBorder="1" applyAlignment="1">
      <alignment horizontal="center" vertical="center"/>
    </xf>
    <xf numFmtId="0" fontId="12" fillId="0" borderId="1" xfId="0" applyFont="1" applyBorder="1" applyAlignment="1">
      <alignment vertical="center"/>
    </xf>
    <xf numFmtId="0" fontId="13" fillId="0" borderId="1" xfId="0" applyFont="1" applyBorder="1" applyAlignment="1">
      <alignment vertical="center"/>
    </xf>
    <xf numFmtId="1" fontId="1" fillId="0" borderId="1" xfId="0" applyNumberFormat="1" applyFont="1" applyBorder="1" applyAlignment="1">
      <alignment vertical="center"/>
    </xf>
    <xf numFmtId="1" fontId="4" fillId="0" borderId="1" xfId="0" applyNumberFormat="1" applyFont="1" applyBorder="1" applyAlignment="1">
      <alignment vertical="center"/>
    </xf>
    <xf numFmtId="0" fontId="5" fillId="0" borderId="2" xfId="0" applyFont="1" applyBorder="1" applyAlignment="1">
      <alignment vertical="center"/>
    </xf>
    <xf numFmtId="0" fontId="1" fillId="0" borderId="2" xfId="0" applyFont="1" applyBorder="1" applyAlignment="1">
      <alignment vertical="center"/>
    </xf>
    <xf numFmtId="0" fontId="5" fillId="0" borderId="3" xfId="0" applyFont="1" applyBorder="1" applyAlignment="1">
      <alignment vertical="center"/>
    </xf>
    <xf numFmtId="0" fontId="1" fillId="0" borderId="3" xfId="0" applyFont="1" applyBorder="1" applyAlignment="1">
      <alignment vertical="center"/>
    </xf>
    <xf numFmtId="1" fontId="1" fillId="0" borderId="2" xfId="0" applyNumberFormat="1" applyFont="1" applyBorder="1" applyAlignment="1">
      <alignment vertical="center"/>
    </xf>
    <xf numFmtId="0" fontId="4" fillId="4" borderId="1" xfId="0" applyFont="1" applyFill="1" applyBorder="1" applyAlignment="1">
      <alignment horizontal="center" vertical="center"/>
    </xf>
    <xf numFmtId="0" fontId="4" fillId="0" borderId="0" xfId="0" applyFont="1" applyAlignment="1">
      <alignment horizontal="center" vertical="center"/>
    </xf>
    <xf numFmtId="0" fontId="1" fillId="0" borderId="1" xfId="0" applyFont="1" applyBorder="1" applyAlignment="1">
      <alignment horizontal="right" vertical="center"/>
    </xf>
    <xf numFmtId="0" fontId="1" fillId="0" borderId="1" xfId="0" applyFont="1" applyBorder="1" applyAlignment="1">
      <alignment horizontal="left" vertical="center"/>
    </xf>
    <xf numFmtId="0" fontId="9" fillId="0" borderId="0" xfId="0" applyFont="1" applyAlignment="1">
      <alignment vertical="center"/>
    </xf>
    <xf numFmtId="10" fontId="1" fillId="0" borderId="1" xfId="1" applyNumberFormat="1" applyFont="1" applyBorder="1" applyAlignment="1">
      <alignment vertical="center"/>
    </xf>
    <xf numFmtId="10" fontId="1" fillId="0" borderId="0" xfId="1" applyNumberFormat="1" applyFont="1" applyBorder="1" applyAlignment="1">
      <alignment vertical="center"/>
    </xf>
    <xf numFmtId="10" fontId="9" fillId="0" borderId="1" xfId="1" applyNumberFormat="1" applyFont="1" applyBorder="1" applyAlignment="1">
      <alignment vertical="center"/>
    </xf>
    <xf numFmtId="10" fontId="9" fillId="0" borderId="0" xfId="1" applyNumberFormat="1" applyFont="1" applyBorder="1" applyAlignment="1">
      <alignment vertical="center"/>
    </xf>
    <xf numFmtId="10" fontId="1" fillId="0" borderId="1" xfId="0" applyNumberFormat="1" applyFont="1" applyBorder="1" applyAlignment="1">
      <alignment vertical="center"/>
    </xf>
    <xf numFmtId="10" fontId="16" fillId="4" borderId="1" xfId="0" applyNumberFormat="1" applyFont="1" applyFill="1" applyBorder="1" applyAlignment="1">
      <alignment vertical="center"/>
    </xf>
    <xf numFmtId="10" fontId="1" fillId="0" borderId="0" xfId="0" applyNumberFormat="1" applyFont="1" applyAlignment="1">
      <alignment vertical="center"/>
    </xf>
    <xf numFmtId="10" fontId="16" fillId="0" borderId="0" xfId="0" applyNumberFormat="1" applyFont="1" applyAlignment="1">
      <alignment vertical="center"/>
    </xf>
    <xf numFmtId="0" fontId="1" fillId="0" borderId="1" xfId="0" applyFont="1" applyBorder="1" applyAlignment="1">
      <alignment vertical="center" wrapText="1"/>
    </xf>
    <xf numFmtId="0" fontId="16" fillId="4" borderId="1" xfId="0" applyFont="1" applyFill="1" applyBorder="1" applyAlignment="1">
      <alignment horizontal="center" vertical="center"/>
    </xf>
    <xf numFmtId="0" fontId="19" fillId="0" borderId="1" xfId="0" applyFont="1" applyBorder="1" applyAlignment="1">
      <alignment vertical="center"/>
    </xf>
    <xf numFmtId="10" fontId="19" fillId="0" borderId="1" xfId="1" applyNumberFormat="1" applyFont="1" applyBorder="1" applyAlignment="1">
      <alignment vertical="center"/>
    </xf>
    <xf numFmtId="10" fontId="19" fillId="4" borderId="1" xfId="1" applyNumberFormat="1" applyFont="1" applyFill="1" applyBorder="1" applyAlignment="1">
      <alignment vertical="center"/>
    </xf>
    <xf numFmtId="10" fontId="5" fillId="0" borderId="1" xfId="0" applyNumberFormat="1" applyFont="1" applyBorder="1" applyAlignment="1">
      <alignment vertical="center"/>
    </xf>
    <xf numFmtId="0" fontId="5" fillId="0" borderId="5" xfId="0" applyFont="1" applyBorder="1" applyAlignment="1">
      <alignment vertical="center"/>
    </xf>
    <xf numFmtId="0" fontId="4" fillId="0" borderId="6" xfId="0" applyFont="1" applyBorder="1" applyAlignment="1">
      <alignment vertical="center"/>
    </xf>
    <xf numFmtId="0" fontId="5" fillId="0" borderId="7" xfId="0" applyFont="1" applyBorder="1" applyAlignment="1">
      <alignment vertical="center"/>
    </xf>
    <xf numFmtId="10" fontId="1" fillId="0" borderId="0" xfId="1" applyNumberFormat="1" applyFont="1" applyAlignment="1">
      <alignment vertical="center"/>
    </xf>
    <xf numFmtId="0" fontId="4" fillId="0" borderId="8" xfId="0" applyFont="1" applyBorder="1" applyAlignment="1">
      <alignment horizontal="center" vertical="center"/>
    </xf>
    <xf numFmtId="0" fontId="4" fillId="0" borderId="8" xfId="0" applyFont="1" applyBorder="1" applyAlignment="1">
      <alignment vertical="center"/>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5" borderId="9" xfId="0" applyFont="1" applyFill="1" applyBorder="1" applyAlignment="1">
      <alignment horizontal="center" vertical="center"/>
    </xf>
    <xf numFmtId="0" fontId="5" fillId="0" borderId="10" xfId="0" applyFont="1" applyBorder="1" applyAlignment="1">
      <alignment vertical="center"/>
    </xf>
    <xf numFmtId="0" fontId="1" fillId="5" borderId="11" xfId="0" applyFont="1" applyFill="1" applyBorder="1" applyAlignment="1">
      <alignment vertical="center"/>
    </xf>
    <xf numFmtId="0" fontId="5" fillId="0" borderId="12" xfId="0" applyFont="1" applyBorder="1" applyAlignment="1">
      <alignment vertical="center"/>
    </xf>
    <xf numFmtId="10" fontId="1" fillId="5" borderId="1" xfId="1" applyNumberFormat="1" applyFont="1" applyFill="1" applyBorder="1" applyAlignment="1">
      <alignment vertical="center"/>
    </xf>
    <xf numFmtId="9" fontId="20" fillId="8" borderId="3" xfId="1" applyFont="1" applyFill="1" applyBorder="1" applyAlignment="1">
      <alignment vertical="center"/>
    </xf>
    <xf numFmtId="9" fontId="5" fillId="0" borderId="3" xfId="0" applyNumberFormat="1" applyFont="1" applyBorder="1" applyAlignment="1">
      <alignment vertical="center"/>
    </xf>
    <xf numFmtId="9" fontId="20" fillId="8" borderId="1" xfId="0" applyNumberFormat="1" applyFont="1" applyFill="1" applyBorder="1" applyAlignment="1">
      <alignment vertical="center"/>
    </xf>
    <xf numFmtId="9" fontId="5" fillId="0" borderId="1" xfId="0" applyNumberFormat="1" applyFont="1" applyBorder="1" applyAlignment="1">
      <alignment vertical="center"/>
    </xf>
    <xf numFmtId="9" fontId="20" fillId="4" borderId="1" xfId="0" applyNumberFormat="1" applyFont="1" applyFill="1" applyBorder="1" applyAlignment="1">
      <alignment vertical="center"/>
    </xf>
    <xf numFmtId="165" fontId="21" fillId="0" borderId="1" xfId="0" applyNumberFormat="1" applyFont="1" applyBorder="1" applyAlignment="1">
      <alignment horizontal="right" vertical="center" wrapText="1"/>
    </xf>
    <xf numFmtId="0" fontId="22" fillId="0" borderId="1" xfId="0" applyFont="1" applyBorder="1" applyAlignment="1">
      <alignment vertical="center"/>
    </xf>
    <xf numFmtId="0" fontId="1" fillId="4" borderId="1" xfId="0" applyFont="1" applyFill="1" applyBorder="1" applyAlignment="1">
      <alignment vertical="center"/>
    </xf>
    <xf numFmtId="2" fontId="9" fillId="4" borderId="1" xfId="0" applyNumberFormat="1" applyFont="1" applyFill="1" applyBorder="1" applyAlignment="1">
      <alignment vertical="center"/>
    </xf>
    <xf numFmtId="2" fontId="1" fillId="4" borderId="1" xfId="0" applyNumberFormat="1" applyFont="1" applyFill="1" applyBorder="1" applyAlignment="1">
      <alignment vertical="center"/>
    </xf>
    <xf numFmtId="2" fontId="9" fillId="0" borderId="1" xfId="0" applyNumberFormat="1" applyFont="1" applyBorder="1" applyAlignment="1">
      <alignment vertical="center"/>
    </xf>
    <xf numFmtId="2" fontId="1" fillId="0" borderId="1" xfId="0" applyNumberFormat="1" applyFont="1" applyBorder="1" applyAlignment="1">
      <alignment vertical="center"/>
    </xf>
    <xf numFmtId="0" fontId="1" fillId="0" borderId="4" xfId="0" applyFont="1" applyBorder="1" applyAlignment="1">
      <alignment vertical="center"/>
    </xf>
    <xf numFmtId="8" fontId="1" fillId="0" borderId="1" xfId="0" applyNumberFormat="1" applyFont="1" applyBorder="1" applyAlignment="1">
      <alignment vertical="center"/>
    </xf>
    <xf numFmtId="166" fontId="1" fillId="0" borderId="1" xfId="0" applyNumberFormat="1" applyFont="1" applyBorder="1" applyAlignment="1">
      <alignment vertical="center"/>
    </xf>
    <xf numFmtId="10" fontId="16" fillId="8" borderId="0" xfId="0" applyNumberFormat="1" applyFont="1" applyFill="1" applyAlignment="1">
      <alignment vertical="center"/>
    </xf>
    <xf numFmtId="9" fontId="1" fillId="0" borderId="0" xfId="0" applyNumberFormat="1" applyFont="1" applyAlignment="1">
      <alignment vertical="center"/>
    </xf>
    <xf numFmtId="0" fontId="23" fillId="0" borderId="1" xfId="2" applyFont="1" applyBorder="1" applyAlignment="1" applyProtection="1">
      <alignment horizontal="left" vertical="center" wrapText="1"/>
    </xf>
    <xf numFmtId="0" fontId="24" fillId="0" borderId="1" xfId="0" applyFont="1" applyBorder="1" applyAlignment="1">
      <alignment horizontal="left" vertical="center" wrapText="1"/>
    </xf>
    <xf numFmtId="3" fontId="24" fillId="0" borderId="1" xfId="0" applyNumberFormat="1" applyFont="1" applyBorder="1" applyAlignment="1">
      <alignment vertical="center"/>
    </xf>
    <xf numFmtId="2" fontId="10" fillId="4" borderId="1" xfId="0" applyNumberFormat="1" applyFont="1" applyFill="1" applyBorder="1" applyAlignment="1">
      <alignment vertical="center"/>
    </xf>
    <xf numFmtId="1" fontId="5" fillId="4" borderId="1" xfId="0" applyNumberFormat="1" applyFont="1" applyFill="1" applyBorder="1" applyAlignment="1">
      <alignment vertical="center"/>
    </xf>
    <xf numFmtId="0" fontId="5" fillId="6" borderId="1" xfId="0" applyFont="1" applyFill="1" applyBorder="1" applyAlignment="1">
      <alignment vertical="center"/>
    </xf>
    <xf numFmtId="9" fontId="5" fillId="6" borderId="1" xfId="0" applyNumberFormat="1" applyFont="1" applyFill="1" applyBorder="1" applyAlignment="1">
      <alignment vertical="center"/>
    </xf>
    <xf numFmtId="0" fontId="5" fillId="4" borderId="1" xfId="0" applyFont="1" applyFill="1" applyBorder="1" applyAlignment="1">
      <alignment vertical="center"/>
    </xf>
    <xf numFmtId="2" fontId="5" fillId="0" borderId="1" xfId="0" applyNumberFormat="1" applyFont="1" applyBorder="1" applyAlignment="1">
      <alignment vertical="center"/>
    </xf>
    <xf numFmtId="10" fontId="5" fillId="6" borderId="1" xfId="0" applyNumberFormat="1" applyFont="1" applyFill="1" applyBorder="1" applyAlignment="1">
      <alignment vertical="center"/>
    </xf>
    <xf numFmtId="10" fontId="5" fillId="0" borderId="0" xfId="0" applyNumberFormat="1" applyFont="1" applyAlignment="1">
      <alignment vertical="center"/>
    </xf>
    <xf numFmtId="2" fontId="5" fillId="0" borderId="0" xfId="0" applyNumberFormat="1" applyFont="1" applyAlignment="1">
      <alignment vertical="center"/>
    </xf>
    <xf numFmtId="0" fontId="4" fillId="0" borderId="0" xfId="0" applyFont="1" applyAlignment="1">
      <alignment horizontal="left" vertical="center"/>
    </xf>
    <xf numFmtId="0" fontId="5" fillId="0" borderId="1" xfId="0" applyFont="1" applyBorder="1" applyAlignment="1">
      <alignment horizontal="right" vertical="center" wrapText="1"/>
    </xf>
    <xf numFmtId="10" fontId="5" fillId="0" borderId="0" xfId="1" applyNumberFormat="1" applyFont="1" applyAlignment="1">
      <alignment vertical="center"/>
    </xf>
    <xf numFmtId="2" fontId="1" fillId="0" borderId="0" xfId="0" applyNumberFormat="1" applyFont="1" applyAlignment="1">
      <alignment vertical="center"/>
    </xf>
    <xf numFmtId="2" fontId="5" fillId="0" borderId="0" xfId="1" applyNumberFormat="1" applyFont="1" applyAlignment="1">
      <alignment vertical="center"/>
    </xf>
    <xf numFmtId="0" fontId="5" fillId="0" borderId="0" xfId="0" applyFont="1" applyAlignment="1">
      <alignment horizontal="right" vertical="center"/>
    </xf>
    <xf numFmtId="9" fontId="1" fillId="0" borderId="1" xfId="0" applyNumberFormat="1" applyFont="1" applyBorder="1" applyAlignment="1">
      <alignment vertical="center"/>
    </xf>
    <xf numFmtId="0" fontId="5" fillId="0" borderId="1" xfId="1" applyNumberFormat="1" applyFont="1" applyBorder="1" applyAlignment="1">
      <alignment vertical="center"/>
    </xf>
    <xf numFmtId="10" fontId="5" fillId="0" borderId="1" xfId="0" applyNumberFormat="1" applyFont="1" applyBorder="1" applyAlignment="1">
      <alignment horizontal="right" vertical="center"/>
    </xf>
    <xf numFmtId="2" fontId="20" fillId="0" borderId="0" xfId="0" applyNumberFormat="1" applyFont="1" applyAlignment="1">
      <alignment vertical="center"/>
    </xf>
    <xf numFmtId="0" fontId="16" fillId="0" borderId="0" xfId="0" applyFont="1" applyAlignment="1">
      <alignment horizontal="left" vertical="center"/>
    </xf>
    <xf numFmtId="2" fontId="16" fillId="0" borderId="0" xfId="0" applyNumberFormat="1" applyFont="1" applyAlignment="1">
      <alignment vertical="center"/>
    </xf>
    <xf numFmtId="0" fontId="5" fillId="0" borderId="8" xfId="0" applyFont="1" applyBorder="1" applyAlignment="1">
      <alignment vertical="center"/>
    </xf>
    <xf numFmtId="0" fontId="5" fillId="0" borderId="0" xfId="0" applyFont="1" applyAlignment="1">
      <alignment horizontal="right" vertical="center" wrapText="1"/>
    </xf>
    <xf numFmtId="9" fontId="5" fillId="0" borderId="0" xfId="0" applyNumberFormat="1" applyFont="1" applyAlignment="1">
      <alignment vertical="center"/>
    </xf>
    <xf numFmtId="10" fontId="5" fillId="0" borderId="0" xfId="1" applyNumberFormat="1" applyFont="1" applyBorder="1" applyAlignment="1">
      <alignment vertical="center"/>
    </xf>
    <xf numFmtId="1" fontId="1" fillId="0" borderId="0" xfId="0" applyNumberFormat="1" applyFont="1" applyAlignment="1">
      <alignment vertical="center"/>
    </xf>
    <xf numFmtId="0" fontId="5" fillId="0" borderId="0" xfId="0" applyFont="1" applyAlignment="1">
      <alignment horizontal="right" wrapText="1"/>
    </xf>
    <xf numFmtId="0" fontId="4" fillId="4" borderId="9" xfId="0" applyFont="1" applyFill="1" applyBorder="1" applyAlignment="1">
      <alignment horizontal="center"/>
    </xf>
    <xf numFmtId="0" fontId="1" fillId="4" borderId="11" xfId="0" applyFont="1" applyFill="1" applyBorder="1"/>
    <xf numFmtId="9" fontId="20" fillId="4" borderId="3" xfId="1" applyFont="1" applyFill="1" applyBorder="1"/>
    <xf numFmtId="2" fontId="9" fillId="0" borderId="0" xfId="0" applyNumberFormat="1" applyFont="1"/>
    <xf numFmtId="8" fontId="9" fillId="0" borderId="1" xfId="0" applyNumberFormat="1" applyFont="1" applyBorder="1"/>
    <xf numFmtId="10" fontId="16" fillId="4" borderId="0" xfId="0" applyNumberFormat="1" applyFont="1" applyFill="1"/>
    <xf numFmtId="9" fontId="5" fillId="0" borderId="0" xfId="0" applyNumberFormat="1" applyFont="1"/>
    <xf numFmtId="1" fontId="1" fillId="0" borderId="1" xfId="1" applyNumberFormat="1" applyFont="1" applyFill="1" applyBorder="1" applyAlignment="1">
      <alignment horizontal="center"/>
    </xf>
    <xf numFmtId="168" fontId="5" fillId="0" borderId="1" xfId="0" applyNumberFormat="1" applyFont="1" applyBorder="1"/>
    <xf numFmtId="10" fontId="5" fillId="0" borderId="0" xfId="1" applyNumberFormat="1" applyFont="1" applyBorder="1"/>
    <xf numFmtId="1" fontId="1" fillId="0" borderId="0" xfId="0" applyNumberFormat="1" applyFont="1"/>
    <xf numFmtId="1" fontId="1" fillId="0" borderId="0" xfId="1" applyNumberFormat="1" applyFont="1" applyFill="1" applyBorder="1"/>
    <xf numFmtId="0" fontId="1" fillId="0" borderId="0" xfId="0" applyFont="1" applyAlignment="1">
      <alignment horizontal="center"/>
    </xf>
    <xf numFmtId="0" fontId="9" fillId="0" borderId="0" xfId="0" applyFont="1"/>
    <xf numFmtId="10" fontId="1" fillId="0" borderId="0" xfId="1" applyNumberFormat="1" applyFont="1" applyFill="1" applyBorder="1"/>
    <xf numFmtId="10" fontId="9" fillId="0" borderId="0" xfId="1" applyNumberFormat="1" applyFont="1" applyFill="1" applyBorder="1"/>
    <xf numFmtId="0" fontId="4" fillId="0" borderId="10" xfId="0" applyFont="1" applyBorder="1" applyAlignment="1">
      <alignment horizontal="center" vertical="center"/>
    </xf>
    <xf numFmtId="0" fontId="16" fillId="4" borderId="8" xfId="0" applyFont="1" applyFill="1" applyBorder="1" applyAlignment="1">
      <alignment horizontal="center" vertical="center"/>
    </xf>
    <xf numFmtId="0" fontId="20" fillId="4" borderId="3" xfId="0" applyFont="1" applyFill="1" applyBorder="1" applyAlignment="1">
      <alignment vertical="center"/>
    </xf>
    <xf numFmtId="0" fontId="5" fillId="0" borderId="8" xfId="0" applyFont="1" applyBorder="1"/>
    <xf numFmtId="2" fontId="16" fillId="4" borderId="1" xfId="0" applyNumberFormat="1" applyFont="1" applyFill="1" applyBorder="1" applyAlignment="1">
      <alignment vertical="center"/>
    </xf>
    <xf numFmtId="1" fontId="1" fillId="0" borderId="1" xfId="0" applyNumberFormat="1" applyFont="1" applyBorder="1" applyAlignment="1">
      <alignment horizontal="center" vertical="center"/>
    </xf>
    <xf numFmtId="2" fontId="16" fillId="0" borderId="1" xfId="0" applyNumberFormat="1" applyFont="1" applyBorder="1" applyAlignment="1">
      <alignment vertical="center"/>
    </xf>
    <xf numFmtId="0" fontId="27" fillId="0" borderId="1" xfId="0" applyFont="1" applyBorder="1" applyAlignment="1">
      <alignment horizontal="center" vertical="center"/>
    </xf>
    <xf numFmtId="0" fontId="16" fillId="4" borderId="0" xfId="0" applyFont="1" applyFill="1" applyAlignment="1">
      <alignment vertical="center"/>
    </xf>
    <xf numFmtId="0" fontId="5" fillId="7"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165" fontId="1" fillId="4" borderId="1" xfId="0" applyNumberFormat="1" applyFont="1" applyFill="1" applyBorder="1" applyAlignment="1">
      <alignment vertical="center"/>
    </xf>
    <xf numFmtId="167" fontId="1" fillId="0" borderId="1" xfId="0" applyNumberFormat="1" applyFont="1" applyBorder="1" applyAlignment="1">
      <alignment vertical="center"/>
    </xf>
    <xf numFmtId="10" fontId="1" fillId="9" borderId="1" xfId="1" applyNumberFormat="1" applyFont="1" applyFill="1" applyBorder="1" applyAlignment="1">
      <alignment vertical="center"/>
    </xf>
    <xf numFmtId="0" fontId="4" fillId="0" borderId="3" xfId="0" applyFont="1" applyBorder="1" applyAlignment="1">
      <alignment horizontal="center" vertical="center"/>
    </xf>
    <xf numFmtId="0" fontId="19" fillId="0" borderId="5" xfId="0" applyFont="1" applyBorder="1" applyAlignment="1">
      <alignment horizontal="center" vertical="center"/>
    </xf>
    <xf numFmtId="0" fontId="19" fillId="0" borderId="1" xfId="0" applyFont="1" applyBorder="1" applyAlignment="1">
      <alignment horizontal="center" vertical="center"/>
    </xf>
    <xf numFmtId="0" fontId="28" fillId="0" borderId="5" xfId="0" applyFont="1" applyBorder="1" applyAlignment="1">
      <alignment horizontal="center" vertical="center"/>
    </xf>
    <xf numFmtId="0" fontId="28" fillId="0" borderId="1" xfId="0" applyFont="1" applyBorder="1" applyAlignment="1">
      <alignment horizontal="center" vertical="center"/>
    </xf>
    <xf numFmtId="0" fontId="5" fillId="0" borderId="0" xfId="0" applyFont="1" applyAlignment="1">
      <alignment horizontal="center" vertical="center"/>
    </xf>
    <xf numFmtId="0" fontId="27" fillId="0" borderId="0" xfId="0" applyFont="1" applyAlignment="1">
      <alignment vertical="center"/>
    </xf>
    <xf numFmtId="0" fontId="2" fillId="0" borderId="0" xfId="0" applyFont="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26" fillId="0" borderId="0" xfId="0" applyFont="1"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bar"/>
        <c:grouping val="stacked"/>
        <c:varyColors val="0"/>
        <c:ser>
          <c:idx val="0"/>
          <c:order val="0"/>
          <c:tx>
            <c:strRef>
              <c:f>PNJDATA!$C$243</c:f>
              <c:strCache>
                <c:ptCount val="1"/>
                <c:pt idx="0">
                  <c:v>%GTDN</c:v>
                </c:pt>
              </c:strCache>
            </c:strRef>
          </c:tx>
          <c:invertIfNegative val="0"/>
          <c:cat>
            <c:strRef>
              <c:f>PNJDATA!$B$244:$B$249</c:f>
              <c:strCache>
                <c:ptCount val="6"/>
                <c:pt idx="0">
                  <c:v>RR1_Thay đổi tỷ lệ DT</c:v>
                </c:pt>
                <c:pt idx="1">
                  <c:v>RR2_Thay đổi tỷ lệ chi phí</c:v>
                </c:pt>
                <c:pt idx="2">
                  <c:v>RR6_Thay đổi WACC</c:v>
                </c:pt>
                <c:pt idx="3">
                  <c:v>RR4_Thay đổi tỷ lệ tồn kho</c:v>
                </c:pt>
                <c:pt idx="4">
                  <c:v>RR3_Thay đổi tỷ lệ KPThu</c:v>
                </c:pt>
                <c:pt idx="5">
                  <c:v>RR5_Thay đổi %T</c:v>
                </c:pt>
              </c:strCache>
            </c:strRef>
          </c:cat>
          <c:val>
            <c:numRef>
              <c:f>PNJDATA!$C$244:$C$249</c:f>
              <c:numCache>
                <c:formatCode>0.00%</c:formatCode>
                <c:ptCount val="6"/>
                <c:pt idx="0">
                  <c:v>-0.92389966033478166</c:v>
                </c:pt>
                <c:pt idx="1">
                  <c:v>-0.454946319172158</c:v>
                </c:pt>
                <c:pt idx="2">
                  <c:v>-0.31404305395691939</c:v>
                </c:pt>
                <c:pt idx="3">
                  <c:v>-9.0657059679810567E-2</c:v>
                </c:pt>
                <c:pt idx="4">
                  <c:v>-3.7773774866544582E-2</c:v>
                </c:pt>
                <c:pt idx="5">
                  <c:v>-1.2186062120684692E-2</c:v>
                </c:pt>
              </c:numCache>
            </c:numRef>
          </c:val>
          <c:extLst>
            <c:ext xmlns:c16="http://schemas.microsoft.com/office/drawing/2014/chart" uri="{C3380CC4-5D6E-409C-BE32-E72D297353CC}">
              <c16:uniqueId val="{00000000-C361-47A9-B4D0-F55CD1798C0E}"/>
            </c:ext>
          </c:extLst>
        </c:ser>
        <c:dLbls>
          <c:showLegendKey val="0"/>
          <c:showVal val="0"/>
          <c:showCatName val="0"/>
          <c:showSerName val="0"/>
          <c:showPercent val="0"/>
          <c:showBubbleSize val="0"/>
        </c:dLbls>
        <c:gapWidth val="150"/>
        <c:overlap val="100"/>
        <c:axId val="417881088"/>
        <c:axId val="418044928"/>
      </c:barChart>
      <c:catAx>
        <c:axId val="417881088"/>
        <c:scaling>
          <c:orientation val="minMax"/>
        </c:scaling>
        <c:delete val="0"/>
        <c:axPos val="l"/>
        <c:numFmt formatCode="General" sourceLinked="0"/>
        <c:majorTickMark val="out"/>
        <c:minorTickMark val="none"/>
        <c:tickLblPos val="nextTo"/>
        <c:crossAx val="418044928"/>
        <c:crosses val="autoZero"/>
        <c:auto val="1"/>
        <c:lblAlgn val="ctr"/>
        <c:lblOffset val="100"/>
        <c:noMultiLvlLbl val="0"/>
      </c:catAx>
      <c:valAx>
        <c:axId val="418044928"/>
        <c:scaling>
          <c:orientation val="minMax"/>
        </c:scaling>
        <c:delete val="0"/>
        <c:axPos val="b"/>
        <c:majorGridlines/>
        <c:numFmt formatCode="0.00%" sourceLinked="1"/>
        <c:majorTickMark val="out"/>
        <c:minorTickMark val="none"/>
        <c:tickLblPos val="nextTo"/>
        <c:crossAx val="4178810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bar"/>
        <c:grouping val="stacked"/>
        <c:varyColors val="0"/>
        <c:ser>
          <c:idx val="0"/>
          <c:order val="0"/>
          <c:tx>
            <c:strRef>
              <c:f>'PNJ (Sau ĐC)'!$B$241</c:f>
              <c:strCache>
                <c:ptCount val="1"/>
                <c:pt idx="0">
                  <c:v>%GTDN</c:v>
                </c:pt>
              </c:strCache>
            </c:strRef>
          </c:tx>
          <c:invertIfNegative val="0"/>
          <c:cat>
            <c:strRef>
              <c:f>'PNJ (Sau ĐC)'!$A$242:$A$247</c:f>
              <c:strCache>
                <c:ptCount val="6"/>
                <c:pt idx="0">
                  <c:v>RR1_Thay đổi tỷ lệ DT</c:v>
                </c:pt>
                <c:pt idx="1">
                  <c:v>RR2_Thay đổi tỷ lệ chi phí</c:v>
                </c:pt>
                <c:pt idx="2">
                  <c:v>RR6_Thay đổi WACC</c:v>
                </c:pt>
                <c:pt idx="3">
                  <c:v>RR4_Thay đổi tỷ lệ tồn kho</c:v>
                </c:pt>
                <c:pt idx="4">
                  <c:v>RR3_Thay đổi tỷ lệ KPThu</c:v>
                </c:pt>
                <c:pt idx="5">
                  <c:v>RR5_Thay đổi %T</c:v>
                </c:pt>
              </c:strCache>
            </c:strRef>
          </c:cat>
          <c:val>
            <c:numRef>
              <c:f>'PNJ (Sau ĐC)'!$B$242:$B$247</c:f>
              <c:numCache>
                <c:formatCode>0.00%</c:formatCode>
                <c:ptCount val="6"/>
                <c:pt idx="0">
                  <c:v>-1.9623273360723632E-2</c:v>
                </c:pt>
                <c:pt idx="1">
                  <c:v>-0.1964905762821316</c:v>
                </c:pt>
                <c:pt idx="2">
                  <c:v>-0.1148</c:v>
                </c:pt>
                <c:pt idx="3">
                  <c:v>-0.10491721617208133</c:v>
                </c:pt>
                <c:pt idx="4">
                  <c:v>-4.3700000000000003E-2</c:v>
                </c:pt>
                <c:pt idx="5">
                  <c:v>0</c:v>
                </c:pt>
              </c:numCache>
            </c:numRef>
          </c:val>
          <c:extLst>
            <c:ext xmlns:c16="http://schemas.microsoft.com/office/drawing/2014/chart" uri="{C3380CC4-5D6E-409C-BE32-E72D297353CC}">
              <c16:uniqueId val="{00000000-DD3D-3041-AD52-64314AA05731}"/>
            </c:ext>
          </c:extLst>
        </c:ser>
        <c:dLbls>
          <c:showLegendKey val="0"/>
          <c:showVal val="0"/>
          <c:showCatName val="0"/>
          <c:showSerName val="0"/>
          <c:showPercent val="0"/>
          <c:showBubbleSize val="0"/>
        </c:dLbls>
        <c:gapWidth val="150"/>
        <c:overlap val="100"/>
        <c:axId val="443968896"/>
        <c:axId val="443987072"/>
      </c:barChart>
      <c:catAx>
        <c:axId val="443968896"/>
        <c:scaling>
          <c:orientation val="minMax"/>
        </c:scaling>
        <c:delete val="0"/>
        <c:axPos val="l"/>
        <c:numFmt formatCode="General" sourceLinked="0"/>
        <c:majorTickMark val="out"/>
        <c:minorTickMark val="none"/>
        <c:tickLblPos val="nextTo"/>
        <c:crossAx val="443987072"/>
        <c:crosses val="autoZero"/>
        <c:auto val="1"/>
        <c:lblAlgn val="ctr"/>
        <c:lblOffset val="100"/>
        <c:noMultiLvlLbl val="0"/>
      </c:catAx>
      <c:valAx>
        <c:axId val="443987072"/>
        <c:scaling>
          <c:orientation val="minMax"/>
        </c:scaling>
        <c:delete val="0"/>
        <c:axPos val="b"/>
        <c:majorGridlines/>
        <c:numFmt formatCode="0.00%" sourceLinked="1"/>
        <c:majorTickMark val="out"/>
        <c:minorTickMark val="none"/>
        <c:tickLblPos val="nextTo"/>
        <c:crossAx val="4439688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244078</xdr:colOff>
      <xdr:row>241</xdr:row>
      <xdr:rowOff>186134</xdr:rowOff>
    </xdr:from>
    <xdr:to>
      <xdr:col>9</xdr:col>
      <xdr:colOff>456406</xdr:colOff>
      <xdr:row>259</xdr:row>
      <xdr:rowOff>109141</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363482</xdr:colOff>
      <xdr:row>239</xdr:row>
      <xdr:rowOff>183055</xdr:rowOff>
    </xdr:from>
    <xdr:to>
      <xdr:col>9</xdr:col>
      <xdr:colOff>492673</xdr:colOff>
      <xdr:row>260</xdr:row>
      <xdr:rowOff>120432</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cafef.vn/hose/PNJ-cong-ty-co-phan-vang-bac-da-quy-phu-nhuan.chn" TargetMode="External"/><Relationship Id="rId1" Type="http://schemas.openxmlformats.org/officeDocument/2006/relationships/hyperlink" Target="https://s.cafef.vn/hose/PNJ-cong-ty-co-phan-vang-bac-da-quy-phu-nhuan.chn"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s.cafef.vn/hose/PNJ-cong-ty-co-phan-vang-bac-da-quy-phu-nhuan.chn" TargetMode="External"/><Relationship Id="rId1" Type="http://schemas.openxmlformats.org/officeDocument/2006/relationships/hyperlink" Target="https://s.cafef.vn/hose/PNJ-cong-ty-co-phan-vang-bac-da-quy-phu-nhuan.chn"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
  <sheetViews>
    <sheetView workbookViewId="0"/>
  </sheetViews>
  <sheetFormatPr baseColWidth="10" defaultColWidth="8.83203125" defaultRowHeight="15" x14ac:dyDescent="0.2"/>
  <cols>
    <col min="1" max="3" width="36.6640625" customWidth="1"/>
  </cols>
  <sheetData>
    <row r="1" spans="1:16" x14ac:dyDescent="0.2">
      <c r="A1" s="28" t="s">
        <v>204</v>
      </c>
    </row>
    <row r="2" spans="1:16" x14ac:dyDescent="0.2">
      <c r="P2" t="e">
        <f ca="1">_xll.CB.RecalcCounterFN()</f>
        <v>#NAME?</v>
      </c>
    </row>
    <row r="3" spans="1:16" x14ac:dyDescent="0.2">
      <c r="A3" t="s">
        <v>205</v>
      </c>
      <c r="B3" t="s">
        <v>206</v>
      </c>
      <c r="C3">
        <v>0</v>
      </c>
    </row>
    <row r="4" spans="1:16" x14ac:dyDescent="0.2">
      <c r="A4" t="s">
        <v>207</v>
      </c>
    </row>
    <row r="5" spans="1:16" x14ac:dyDescent="0.2">
      <c r="A5" t="s">
        <v>208</v>
      </c>
    </row>
    <row r="7" spans="1:16" x14ac:dyDescent="0.2">
      <c r="A7" s="28" t="s">
        <v>209</v>
      </c>
      <c r="B7" t="s">
        <v>210</v>
      </c>
    </row>
    <row r="8" spans="1:16" x14ac:dyDescent="0.2">
      <c r="B8">
        <v>3</v>
      </c>
    </row>
    <row r="10" spans="1:16" x14ac:dyDescent="0.2">
      <c r="A10" t="s">
        <v>211</v>
      </c>
    </row>
    <row r="11" spans="1:16" x14ac:dyDescent="0.2">
      <c r="A11" t="e">
        <f>CB_DATA_!#REF!</f>
        <v>#REF!</v>
      </c>
      <c r="B11" t="e">
        <f>PNJDATA!#REF!</f>
        <v>#REF!</v>
      </c>
      <c r="C11" t="e">
        <f>'PNJ (Sau ĐC)'!#REF!</f>
        <v>#REF!</v>
      </c>
    </row>
    <row r="13" spans="1:16" x14ac:dyDescent="0.2">
      <c r="A13" t="s">
        <v>212</v>
      </c>
    </row>
    <row r="14" spans="1:16" x14ac:dyDescent="0.2">
      <c r="A14" t="s">
        <v>216</v>
      </c>
      <c r="B14" t="s">
        <v>220</v>
      </c>
      <c r="C14" t="s">
        <v>235</v>
      </c>
    </row>
    <row r="16" spans="1:16" x14ac:dyDescent="0.2">
      <c r="A16" t="s">
        <v>213</v>
      </c>
    </row>
    <row r="19" spans="1:3" x14ac:dyDescent="0.2">
      <c r="A19" t="s">
        <v>214</v>
      </c>
    </row>
    <row r="20" spans="1:3" x14ac:dyDescent="0.2">
      <c r="A20">
        <v>28</v>
      </c>
      <c r="B20">
        <v>26</v>
      </c>
      <c r="C20">
        <v>31</v>
      </c>
    </row>
    <row r="25" spans="1:3" x14ac:dyDescent="0.2">
      <c r="A25" s="28" t="s">
        <v>215</v>
      </c>
    </row>
    <row r="26" spans="1:3" x14ac:dyDescent="0.2">
      <c r="A26" s="29" t="s">
        <v>217</v>
      </c>
      <c r="C26" s="29" t="s">
        <v>221</v>
      </c>
    </row>
    <row r="27" spans="1:3" x14ac:dyDescent="0.2">
      <c r="A27" t="s">
        <v>218</v>
      </c>
      <c r="C27" t="s">
        <v>281</v>
      </c>
    </row>
    <row r="28" spans="1:3" x14ac:dyDescent="0.2">
      <c r="A28" s="29" t="s">
        <v>219</v>
      </c>
      <c r="C28" s="29" t="s">
        <v>219</v>
      </c>
    </row>
    <row r="29" spans="1:3" x14ac:dyDescent="0.2">
      <c r="C29" s="29" t="s">
        <v>217</v>
      </c>
    </row>
    <row r="30" spans="1:3" x14ac:dyDescent="0.2">
      <c r="C30" t="s">
        <v>276</v>
      </c>
    </row>
    <row r="31" spans="1:3" x14ac:dyDescent="0.2">
      <c r="C31" s="29" t="s">
        <v>219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57"/>
  <sheetViews>
    <sheetView tabSelected="1" zoomScale="96" zoomScaleNormal="96" workbookViewId="0">
      <selection activeCell="L235" sqref="L235"/>
    </sheetView>
  </sheetViews>
  <sheetFormatPr baseColWidth="10" defaultColWidth="9" defaultRowHeight="16" x14ac:dyDescent="0.2"/>
  <cols>
    <col min="1" max="1" width="11.6640625" style="14" customWidth="1"/>
    <col min="2" max="2" width="52.1640625" style="14" customWidth="1"/>
    <col min="3" max="4" width="15.83203125" style="14" customWidth="1"/>
    <col min="5" max="5" width="15.5" style="14" customWidth="1"/>
    <col min="6" max="7" width="15.83203125" style="14" customWidth="1"/>
    <col min="8" max="8" width="13.1640625" style="14" customWidth="1"/>
    <col min="9" max="9" width="16.1640625" style="14" customWidth="1"/>
    <col min="10" max="10" width="14.5" style="14" bestFit="1" customWidth="1"/>
    <col min="11" max="11" width="13.83203125" style="14" customWidth="1"/>
    <col min="12" max="12" width="16.5" style="14" customWidth="1"/>
    <col min="13" max="13" width="19.33203125" style="14" customWidth="1"/>
    <col min="14" max="14" width="10" style="14" bestFit="1" customWidth="1"/>
    <col min="15" max="15" width="15.5" style="14" customWidth="1"/>
    <col min="16" max="16" width="9.1640625" style="14" bestFit="1" customWidth="1"/>
    <col min="17" max="16384" width="9" style="14"/>
  </cols>
  <sheetData>
    <row r="1" spans="1:7" x14ac:dyDescent="0.2">
      <c r="B1" s="1" t="s">
        <v>0</v>
      </c>
    </row>
    <row r="2" spans="1:7" x14ac:dyDescent="0.2">
      <c r="B2" s="1" t="s">
        <v>1</v>
      </c>
    </row>
    <row r="3" spans="1:7" x14ac:dyDescent="0.2">
      <c r="B3" s="1" t="s">
        <v>2</v>
      </c>
    </row>
    <row r="4" spans="1:7" x14ac:dyDescent="0.2">
      <c r="B4" s="1" t="s">
        <v>3</v>
      </c>
    </row>
    <row r="5" spans="1:7" x14ac:dyDescent="0.2">
      <c r="B5" s="1" t="s">
        <v>4</v>
      </c>
    </row>
    <row r="6" spans="1:7" x14ac:dyDescent="0.2">
      <c r="B6" s="1" t="s">
        <v>5</v>
      </c>
    </row>
    <row r="7" spans="1:7" x14ac:dyDescent="0.2">
      <c r="B7" s="1" t="s">
        <v>6</v>
      </c>
    </row>
    <row r="8" spans="1:7" x14ac:dyDescent="0.2">
      <c r="B8" s="1"/>
    </row>
    <row r="9" spans="1:7" ht="18" x14ac:dyDescent="0.2">
      <c r="A9" s="243" t="s">
        <v>7</v>
      </c>
      <c r="B9" s="243"/>
      <c r="C9" s="243"/>
      <c r="D9" s="243"/>
      <c r="E9" s="243"/>
      <c r="F9" s="243"/>
      <c r="G9" s="243"/>
    </row>
    <row r="10" spans="1:7" ht="18" x14ac:dyDescent="0.2">
      <c r="B10" s="15"/>
      <c r="F10" s="2" t="s">
        <v>8</v>
      </c>
      <c r="G10" s="2" t="s">
        <v>9</v>
      </c>
    </row>
    <row r="11" spans="1:7" x14ac:dyDescent="0.2">
      <c r="B11" s="41" t="s">
        <v>254</v>
      </c>
    </row>
    <row r="12" spans="1:7" x14ac:dyDescent="0.2">
      <c r="A12" s="33"/>
      <c r="G12" s="16" t="s">
        <v>10</v>
      </c>
    </row>
    <row r="13" spans="1:7" x14ac:dyDescent="0.2">
      <c r="A13" s="3" t="s">
        <v>11</v>
      </c>
      <c r="B13" s="3" t="s">
        <v>12</v>
      </c>
      <c r="C13" s="3">
        <v>2014</v>
      </c>
      <c r="D13" s="3">
        <v>2015</v>
      </c>
      <c r="E13" s="3">
        <v>2016</v>
      </c>
      <c r="F13" s="3">
        <v>2017</v>
      </c>
      <c r="G13" s="3">
        <v>2018</v>
      </c>
    </row>
    <row r="14" spans="1:7" x14ac:dyDescent="0.2">
      <c r="A14" s="4"/>
      <c r="B14" s="5" t="s">
        <v>13</v>
      </c>
      <c r="C14" s="6"/>
      <c r="D14" s="6"/>
      <c r="E14" s="6"/>
      <c r="F14" s="6"/>
      <c r="G14" s="6"/>
    </row>
    <row r="15" spans="1:7" x14ac:dyDescent="0.2">
      <c r="A15" s="4" t="s">
        <v>14</v>
      </c>
      <c r="B15" s="5" t="s">
        <v>15</v>
      </c>
      <c r="C15" s="5">
        <f>C16+C17+C18+C22+C23</f>
        <v>1838659</v>
      </c>
      <c r="D15" s="5">
        <f>D16+D17+D18+D22+D23</f>
        <v>2264659</v>
      </c>
      <c r="E15" s="5">
        <v>3102579</v>
      </c>
      <c r="F15" s="5">
        <f>SUM(F16,F17,F18,F22,F23)</f>
        <v>3896007</v>
      </c>
      <c r="G15" s="5">
        <f>G16+G17+G18+G22+G23</f>
        <v>5404865</v>
      </c>
    </row>
    <row r="16" spans="1:7" x14ac:dyDescent="0.2">
      <c r="A16" s="4" t="s">
        <v>16</v>
      </c>
      <c r="B16" s="7" t="s">
        <v>17</v>
      </c>
      <c r="C16" s="7">
        <v>272305</v>
      </c>
      <c r="D16" s="7">
        <v>37885</v>
      </c>
      <c r="E16" s="7">
        <v>155348</v>
      </c>
      <c r="F16" s="7">
        <v>175209</v>
      </c>
      <c r="G16" s="7">
        <v>206721</v>
      </c>
    </row>
    <row r="17" spans="1:7" x14ac:dyDescent="0.2">
      <c r="A17" s="4" t="s">
        <v>18</v>
      </c>
      <c r="B17" s="6" t="s">
        <v>19</v>
      </c>
      <c r="C17" s="6"/>
      <c r="D17" s="6">
        <v>65</v>
      </c>
      <c r="E17" s="6">
        <v>65</v>
      </c>
      <c r="F17" s="6">
        <v>160065</v>
      </c>
      <c r="G17" s="6"/>
    </row>
    <row r="18" spans="1:7" x14ac:dyDescent="0.2">
      <c r="A18" s="4" t="s">
        <v>20</v>
      </c>
      <c r="B18" s="7" t="s">
        <v>21</v>
      </c>
      <c r="C18" s="7">
        <f>SUM(C19:C21)</f>
        <v>79113</v>
      </c>
      <c r="D18" s="7">
        <f>SUM(D19:D21)</f>
        <v>46645</v>
      </c>
      <c r="E18" s="7">
        <v>62721</v>
      </c>
      <c r="F18" s="7">
        <f>SUM(F19:F21)</f>
        <v>84487</v>
      </c>
      <c r="G18" s="7">
        <f>SUM(G19:G21)</f>
        <v>154805</v>
      </c>
    </row>
    <row r="19" spans="1:7" x14ac:dyDescent="0.2">
      <c r="A19" s="4">
        <v>1</v>
      </c>
      <c r="B19" s="6" t="s">
        <v>22</v>
      </c>
      <c r="C19" s="6">
        <v>43283</v>
      </c>
      <c r="D19" s="6">
        <v>29214</v>
      </c>
      <c r="E19" s="6">
        <v>34105</v>
      </c>
      <c r="F19" s="6">
        <v>39946</v>
      </c>
      <c r="G19" s="6">
        <v>57664</v>
      </c>
    </row>
    <row r="20" spans="1:7" x14ac:dyDescent="0.2">
      <c r="A20" s="4">
        <v>2</v>
      </c>
      <c r="B20" s="6" t="s">
        <v>23</v>
      </c>
      <c r="C20" s="6">
        <v>16214</v>
      </c>
      <c r="D20" s="6">
        <v>9292</v>
      </c>
      <c r="E20" s="6">
        <v>18769</v>
      </c>
      <c r="F20" s="6">
        <v>33682</v>
      </c>
      <c r="G20" s="6">
        <v>57982</v>
      </c>
    </row>
    <row r="21" spans="1:7" x14ac:dyDescent="0.2">
      <c r="A21" s="4">
        <v>3</v>
      </c>
      <c r="B21" s="6" t="s">
        <v>24</v>
      </c>
      <c r="C21" s="6">
        <v>19616</v>
      </c>
      <c r="D21" s="6">
        <v>8139</v>
      </c>
      <c r="E21" s="6">
        <v>8813</v>
      </c>
      <c r="F21" s="6">
        <v>10859</v>
      </c>
      <c r="G21" s="6">
        <v>39159</v>
      </c>
    </row>
    <row r="22" spans="1:7" x14ac:dyDescent="0.2">
      <c r="A22" s="4" t="s">
        <v>25</v>
      </c>
      <c r="B22" s="7" t="s">
        <v>26</v>
      </c>
      <c r="C22" s="7">
        <v>1437416</v>
      </c>
      <c r="D22" s="7">
        <v>2135225</v>
      </c>
      <c r="E22" s="7">
        <v>2838689</v>
      </c>
      <c r="F22" s="7">
        <v>3401959</v>
      </c>
      <c r="G22" s="7">
        <v>4968146</v>
      </c>
    </row>
    <row r="23" spans="1:7" x14ac:dyDescent="0.2">
      <c r="A23" s="4" t="s">
        <v>27</v>
      </c>
      <c r="B23" s="7" t="s">
        <v>28</v>
      </c>
      <c r="C23" s="7">
        <v>49825</v>
      </c>
      <c r="D23" s="7">
        <v>44839</v>
      </c>
      <c r="E23" s="7">
        <v>45756</v>
      </c>
      <c r="F23" s="7">
        <v>74287</v>
      </c>
      <c r="G23" s="7">
        <v>75193</v>
      </c>
    </row>
    <row r="24" spans="1:7" x14ac:dyDescent="0.2">
      <c r="A24" s="4" t="s">
        <v>29</v>
      </c>
      <c r="B24" s="5" t="s">
        <v>30</v>
      </c>
      <c r="C24" s="8">
        <f>C25+C26+C37+C38+C39</f>
        <v>997802</v>
      </c>
      <c r="D24" s="8">
        <f>D25+D26+D37+D38+D39</f>
        <v>710104</v>
      </c>
      <c r="E24" s="8">
        <v>485407</v>
      </c>
      <c r="F24" s="8">
        <f>SUM(F25,F26,F34,F37,F38,F39)</f>
        <v>596105</v>
      </c>
      <c r="G24" s="8">
        <f>G25+G26+G37+G38+G39</f>
        <v>1032638</v>
      </c>
    </row>
    <row r="25" spans="1:7" x14ac:dyDescent="0.2">
      <c r="A25" s="4" t="s">
        <v>16</v>
      </c>
      <c r="B25" s="6" t="s">
        <v>31</v>
      </c>
      <c r="C25" s="6"/>
      <c r="D25" s="6">
        <v>21217</v>
      </c>
      <c r="E25" s="6">
        <v>26443</v>
      </c>
      <c r="F25" s="6">
        <v>42788</v>
      </c>
      <c r="G25" s="6">
        <v>57499</v>
      </c>
    </row>
    <row r="26" spans="1:7" x14ac:dyDescent="0.2">
      <c r="A26" s="4" t="s">
        <v>18</v>
      </c>
      <c r="B26" s="9" t="s">
        <v>32</v>
      </c>
      <c r="C26" s="10">
        <f>SUM(C27:C33)</f>
        <v>452469</v>
      </c>
      <c r="D26" s="10">
        <f>SUM(D27:D33)</f>
        <v>492382</v>
      </c>
      <c r="E26" s="10">
        <f>SUM(E27:E33)</f>
        <v>423334</v>
      </c>
      <c r="F26" s="10">
        <f>SUM(F27:F33)</f>
        <v>496910</v>
      </c>
      <c r="G26" s="10">
        <f>SUM(G27:G33)</f>
        <v>790109</v>
      </c>
    </row>
    <row r="27" spans="1:7" x14ac:dyDescent="0.2">
      <c r="A27" s="4">
        <v>1</v>
      </c>
      <c r="B27" s="7" t="s">
        <v>33</v>
      </c>
      <c r="C27" s="6">
        <v>265521</v>
      </c>
      <c r="D27" s="6">
        <v>326472</v>
      </c>
      <c r="E27" s="6">
        <v>370598</v>
      </c>
      <c r="F27" s="6">
        <v>396616</v>
      </c>
      <c r="G27" s="6">
        <v>454178</v>
      </c>
    </row>
    <row r="28" spans="1:7" x14ac:dyDescent="0.2">
      <c r="A28" s="4"/>
      <c r="B28" s="7" t="s">
        <v>34</v>
      </c>
      <c r="C28" s="6">
        <v>-105041</v>
      </c>
      <c r="D28" s="6">
        <v>-132739</v>
      </c>
      <c r="E28" s="6">
        <v>-163400</v>
      </c>
      <c r="F28" s="6">
        <v>-190867</v>
      </c>
      <c r="G28" s="6">
        <v>-228218</v>
      </c>
    </row>
    <row r="29" spans="1:7" x14ac:dyDescent="0.2">
      <c r="A29" s="4">
        <v>2</v>
      </c>
      <c r="B29" s="7" t="s">
        <v>35</v>
      </c>
      <c r="C29" s="6">
        <v>293122</v>
      </c>
      <c r="D29" s="6">
        <v>295745</v>
      </c>
      <c r="E29" s="6">
        <v>213344</v>
      </c>
      <c r="F29" s="6">
        <v>286741</v>
      </c>
      <c r="G29" s="6">
        <v>499937</v>
      </c>
    </row>
    <row r="30" spans="1:7" x14ac:dyDescent="0.2">
      <c r="A30" s="4"/>
      <c r="B30" s="7" t="s">
        <v>36</v>
      </c>
      <c r="C30" s="6">
        <v>-1872</v>
      </c>
      <c r="D30" s="6">
        <v>-3375</v>
      </c>
      <c r="E30" s="6">
        <v>-4740</v>
      </c>
      <c r="F30" s="6">
        <v>-5245</v>
      </c>
      <c r="G30" s="6">
        <v>-6611</v>
      </c>
    </row>
    <row r="31" spans="1:7" x14ac:dyDescent="0.2">
      <c r="A31" s="4">
        <v>3</v>
      </c>
      <c r="B31" s="7" t="s">
        <v>37</v>
      </c>
      <c r="C31" s="6"/>
      <c r="D31" s="6"/>
      <c r="E31" s="6"/>
      <c r="F31" s="6"/>
      <c r="G31" s="6"/>
    </row>
    <row r="32" spans="1:7" x14ac:dyDescent="0.2">
      <c r="A32" s="4"/>
      <c r="B32" s="7" t="s">
        <v>38</v>
      </c>
      <c r="C32" s="6"/>
      <c r="D32" s="6"/>
      <c r="E32" s="6"/>
      <c r="F32" s="6"/>
      <c r="G32" s="6"/>
    </row>
    <row r="33" spans="1:7" x14ac:dyDescent="0.2">
      <c r="A33" s="4">
        <v>4</v>
      </c>
      <c r="B33" s="7" t="s">
        <v>39</v>
      </c>
      <c r="C33" s="6">
        <v>739</v>
      </c>
      <c r="D33" s="6">
        <v>6279</v>
      </c>
      <c r="E33" s="6">
        <v>7532</v>
      </c>
      <c r="F33" s="6">
        <v>9665</v>
      </c>
      <c r="G33" s="6">
        <v>70823</v>
      </c>
    </row>
    <row r="34" spans="1:7" x14ac:dyDescent="0.2">
      <c r="A34" s="4" t="s">
        <v>20</v>
      </c>
      <c r="B34" s="6" t="s">
        <v>40</v>
      </c>
      <c r="C34" s="6"/>
      <c r="D34" s="6"/>
      <c r="E34" s="6"/>
      <c r="F34" s="6"/>
      <c r="G34" s="6"/>
    </row>
    <row r="35" spans="1:7" x14ac:dyDescent="0.2">
      <c r="A35" s="4">
        <v>1</v>
      </c>
      <c r="B35" s="6" t="s">
        <v>41</v>
      </c>
      <c r="C35" s="6"/>
      <c r="D35" s="6"/>
      <c r="E35" s="6"/>
      <c r="F35" s="6"/>
      <c r="G35" s="6"/>
    </row>
    <row r="36" spans="1:7" x14ac:dyDescent="0.2">
      <c r="A36" s="4">
        <v>2</v>
      </c>
      <c r="B36" s="6" t="s">
        <v>38</v>
      </c>
      <c r="C36" s="6"/>
      <c r="D36" s="6"/>
      <c r="E36" s="6"/>
      <c r="F36" s="6"/>
      <c r="G36" s="6"/>
    </row>
    <row r="37" spans="1:7" x14ac:dyDescent="0.2">
      <c r="A37" s="4" t="s">
        <v>25</v>
      </c>
      <c r="B37" s="7" t="s">
        <v>42</v>
      </c>
      <c r="C37" s="6">
        <v>531864</v>
      </c>
      <c r="D37" s="6">
        <v>166666</v>
      </c>
      <c r="E37" s="6"/>
      <c r="F37" s="6"/>
      <c r="G37" s="6"/>
    </row>
    <row r="38" spans="1:7" x14ac:dyDescent="0.2">
      <c r="A38" s="4" t="s">
        <v>27</v>
      </c>
      <c r="B38" s="4" t="s">
        <v>43</v>
      </c>
      <c r="C38" s="6"/>
      <c r="D38" s="6"/>
      <c r="E38" s="6"/>
      <c r="F38" s="6"/>
      <c r="G38" s="6"/>
    </row>
    <row r="39" spans="1:7" x14ac:dyDescent="0.2">
      <c r="A39" s="4" t="s">
        <v>44</v>
      </c>
      <c r="B39" s="7" t="s">
        <v>45</v>
      </c>
      <c r="C39" s="10">
        <v>13469</v>
      </c>
      <c r="D39" s="10">
        <v>29839</v>
      </c>
      <c r="E39" s="10">
        <v>35629</v>
      </c>
      <c r="F39" s="10">
        <v>56407</v>
      </c>
      <c r="G39" s="10">
        <v>185030</v>
      </c>
    </row>
    <row r="40" spans="1:7" x14ac:dyDescent="0.2">
      <c r="A40" s="4"/>
      <c r="B40" s="8" t="s">
        <v>46</v>
      </c>
      <c r="C40" s="8">
        <f>C24+C15</f>
        <v>2836461</v>
      </c>
      <c r="D40" s="8">
        <f>D15+D24</f>
        <v>2974763</v>
      </c>
      <c r="E40" s="8">
        <v>3587986</v>
      </c>
      <c r="F40" s="8">
        <f>F24+F15</f>
        <v>4492112</v>
      </c>
      <c r="G40" s="8">
        <f>G24+G15</f>
        <v>6437503</v>
      </c>
    </row>
    <row r="41" spans="1:7" x14ac:dyDescent="0.2">
      <c r="A41" s="4"/>
      <c r="B41" s="8"/>
      <c r="C41" s="8"/>
      <c r="D41" s="8"/>
      <c r="E41" s="8"/>
      <c r="F41" s="8"/>
      <c r="G41" s="8"/>
    </row>
    <row r="42" spans="1:7" x14ac:dyDescent="0.2">
      <c r="A42" s="4"/>
      <c r="B42" s="11" t="s">
        <v>47</v>
      </c>
      <c r="C42" s="6"/>
      <c r="D42" s="6"/>
      <c r="E42" s="6"/>
      <c r="F42" s="6"/>
      <c r="G42" s="6"/>
    </row>
    <row r="43" spans="1:7" x14ac:dyDescent="0.2">
      <c r="A43" s="8" t="s">
        <v>14</v>
      </c>
      <c r="B43" s="12" t="s">
        <v>48</v>
      </c>
      <c r="C43" s="8">
        <f>C44+C49+C50</f>
        <v>1447159</v>
      </c>
      <c r="D43" s="8">
        <f>D44+D49+D50</f>
        <v>1508910</v>
      </c>
      <c r="E43" s="8">
        <v>2087660</v>
      </c>
      <c r="F43" s="8">
        <f>SUM(F44,F49,F50)</f>
        <v>1268961</v>
      </c>
      <c r="G43" s="8">
        <f>G44+G49+G50</f>
        <v>2237092</v>
      </c>
    </row>
    <row r="44" spans="1:7" x14ac:dyDescent="0.2">
      <c r="A44" s="4" t="s">
        <v>16</v>
      </c>
      <c r="B44" s="7" t="s">
        <v>49</v>
      </c>
      <c r="C44" s="10">
        <f>SUM(C45:C48)</f>
        <v>1309575</v>
      </c>
      <c r="D44" s="10">
        <f>SUM(D45:D48)</f>
        <v>1429678</v>
      </c>
      <c r="E44" s="10">
        <v>2021660</v>
      </c>
      <c r="F44" s="10">
        <f>SUM(F45:F48)</f>
        <v>1215022</v>
      </c>
      <c r="G44" s="10">
        <f>SUM(G45:G48)</f>
        <v>2221588</v>
      </c>
    </row>
    <row r="45" spans="1:7" x14ac:dyDescent="0.2">
      <c r="A45" s="4">
        <v>1</v>
      </c>
      <c r="B45" s="6" t="s">
        <v>50</v>
      </c>
      <c r="C45" s="6">
        <v>1131686</v>
      </c>
      <c r="D45" s="6">
        <v>1189260</v>
      </c>
      <c r="E45" s="6">
        <v>1448954</v>
      </c>
      <c r="F45" s="6">
        <v>846279</v>
      </c>
      <c r="G45" s="6">
        <v>1558482</v>
      </c>
    </row>
    <row r="46" spans="1:7" x14ac:dyDescent="0.2">
      <c r="A46" s="4">
        <v>2</v>
      </c>
      <c r="B46" s="6" t="s">
        <v>51</v>
      </c>
      <c r="C46" s="6">
        <v>140059</v>
      </c>
      <c r="D46" s="6">
        <v>191248</v>
      </c>
      <c r="E46" s="6">
        <v>325730</v>
      </c>
      <c r="F46" s="6">
        <v>278898</v>
      </c>
      <c r="G46" s="6">
        <v>342677</v>
      </c>
    </row>
    <row r="47" spans="1:7" x14ac:dyDescent="0.2">
      <c r="A47" s="4">
        <v>3</v>
      </c>
      <c r="B47" s="6" t="s">
        <v>52</v>
      </c>
      <c r="C47" s="6">
        <v>10577</v>
      </c>
      <c r="D47" s="6">
        <v>20139</v>
      </c>
      <c r="E47" s="6">
        <v>56039</v>
      </c>
      <c r="F47" s="6">
        <v>37773</v>
      </c>
      <c r="G47" s="6">
        <v>82799</v>
      </c>
    </row>
    <row r="48" spans="1:7" x14ac:dyDescent="0.2">
      <c r="A48" s="4">
        <v>4</v>
      </c>
      <c r="B48" s="6" t="s">
        <v>53</v>
      </c>
      <c r="C48" s="6">
        <v>27253</v>
      </c>
      <c r="D48" s="6">
        <v>29031</v>
      </c>
      <c r="E48" s="6">
        <v>27608</v>
      </c>
      <c r="F48" s="6">
        <v>52072</v>
      </c>
      <c r="G48" s="6">
        <v>237630</v>
      </c>
    </row>
    <row r="49" spans="1:7" x14ac:dyDescent="0.2">
      <c r="A49" s="4" t="s">
        <v>18</v>
      </c>
      <c r="B49" s="7" t="s">
        <v>54</v>
      </c>
      <c r="C49" s="6">
        <v>137584</v>
      </c>
      <c r="D49" s="6">
        <v>79232</v>
      </c>
      <c r="E49" s="10">
        <v>65999</v>
      </c>
      <c r="F49" s="10">
        <v>53939</v>
      </c>
      <c r="G49" s="10">
        <v>15504</v>
      </c>
    </row>
    <row r="50" spans="1:7" x14ac:dyDescent="0.2">
      <c r="A50" s="4" t="s">
        <v>20</v>
      </c>
      <c r="B50" s="7" t="s">
        <v>55</v>
      </c>
      <c r="C50" s="10"/>
      <c r="D50" s="10"/>
      <c r="E50" s="10"/>
      <c r="F50" s="10"/>
      <c r="G50" s="10"/>
    </row>
    <row r="51" spans="1:7" x14ac:dyDescent="0.2">
      <c r="A51" s="8" t="s">
        <v>29</v>
      </c>
      <c r="B51" s="12" t="s">
        <v>56</v>
      </c>
      <c r="C51" s="8">
        <f>C52+C58</f>
        <v>1237055</v>
      </c>
      <c r="D51" s="8">
        <f>D52+D58</f>
        <v>1412732</v>
      </c>
      <c r="E51" s="8">
        <f>E52+E58</f>
        <v>1542000</v>
      </c>
      <c r="F51" s="8">
        <f>SUM(F52,F58)</f>
        <v>3001982</v>
      </c>
      <c r="G51" s="8">
        <f>G52+G58</f>
        <v>3808054</v>
      </c>
    </row>
    <row r="52" spans="1:7" x14ac:dyDescent="0.2">
      <c r="A52" s="4" t="s">
        <v>57</v>
      </c>
      <c r="B52" s="7" t="s">
        <v>58</v>
      </c>
      <c r="C52" s="4">
        <f>SUM(C53:C57)</f>
        <v>1229789</v>
      </c>
      <c r="D52" s="6">
        <f>SUM(D53:D57)</f>
        <v>1394350</v>
      </c>
      <c r="E52" s="6">
        <f>SUM(E53:E57)</f>
        <v>1500325</v>
      </c>
      <c r="F52" s="6">
        <f>SUM(F53:F57)</f>
        <v>2949549</v>
      </c>
      <c r="G52" s="6">
        <f>SUM(G53:G57)</f>
        <v>3745074</v>
      </c>
    </row>
    <row r="53" spans="1:7" x14ac:dyDescent="0.2">
      <c r="A53" s="4">
        <v>1</v>
      </c>
      <c r="B53" s="7" t="s">
        <v>59</v>
      </c>
      <c r="C53" s="6">
        <v>755970</v>
      </c>
      <c r="D53" s="6">
        <v>982746</v>
      </c>
      <c r="E53" s="6">
        <v>982745</v>
      </c>
      <c r="F53" s="6">
        <v>1081020</v>
      </c>
      <c r="G53" s="6">
        <v>1670030</v>
      </c>
    </row>
    <row r="54" spans="1:7" x14ac:dyDescent="0.2">
      <c r="A54" s="4">
        <v>2</v>
      </c>
      <c r="B54" s="7" t="s">
        <v>60</v>
      </c>
      <c r="C54" s="6">
        <v>105022</v>
      </c>
      <c r="D54" s="6"/>
      <c r="E54" s="6"/>
      <c r="F54" s="6">
        <v>876761</v>
      </c>
      <c r="G54" s="6">
        <v>925398</v>
      </c>
    </row>
    <row r="55" spans="1:7" x14ac:dyDescent="0.2">
      <c r="A55" s="4">
        <v>3</v>
      </c>
      <c r="B55" s="6" t="s">
        <v>61</v>
      </c>
      <c r="C55" s="6">
        <v>-7</v>
      </c>
      <c r="D55" s="6">
        <v>-7</v>
      </c>
      <c r="E55" s="6">
        <v>-7</v>
      </c>
      <c r="F55" s="6">
        <v>-7</v>
      </c>
      <c r="G55" s="6">
        <v>-7</v>
      </c>
    </row>
    <row r="56" spans="1:7" x14ac:dyDescent="0.2">
      <c r="A56" s="4">
        <v>4</v>
      </c>
      <c r="B56" s="7" t="s">
        <v>62</v>
      </c>
      <c r="C56" s="6">
        <v>166071</v>
      </c>
      <c r="D56" s="6">
        <v>219648</v>
      </c>
      <c r="E56" s="6">
        <v>144087</v>
      </c>
      <c r="F56" s="6">
        <v>220088</v>
      </c>
      <c r="G56" s="6">
        <v>265088</v>
      </c>
    </row>
    <row r="57" spans="1:7" x14ac:dyDescent="0.2">
      <c r="A57" s="4">
        <v>5</v>
      </c>
      <c r="B57" s="7" t="s">
        <v>63</v>
      </c>
      <c r="C57" s="6">
        <v>202733</v>
      </c>
      <c r="D57" s="6">
        <v>191963</v>
      </c>
      <c r="E57" s="6">
        <v>373500</v>
      </c>
      <c r="F57" s="6">
        <v>771687</v>
      </c>
      <c r="G57" s="6">
        <v>884565</v>
      </c>
    </row>
    <row r="58" spans="1:7" x14ac:dyDescent="0.2">
      <c r="A58" s="4" t="s">
        <v>18</v>
      </c>
      <c r="B58" s="6" t="s">
        <v>64</v>
      </c>
      <c r="C58" s="6">
        <f>SUM(C59:C61)</f>
        <v>7266</v>
      </c>
      <c r="D58" s="6">
        <f>SUM(D59:D61)</f>
        <v>18382</v>
      </c>
      <c r="E58" s="6">
        <v>41675</v>
      </c>
      <c r="F58" s="6">
        <v>52433</v>
      </c>
      <c r="G58" s="6">
        <f>SUM(G59:G61)</f>
        <v>62980</v>
      </c>
    </row>
    <row r="59" spans="1:7" x14ac:dyDescent="0.2">
      <c r="A59" s="4">
        <v>1</v>
      </c>
      <c r="B59" s="6" t="s">
        <v>65</v>
      </c>
      <c r="C59" s="6">
        <v>7266</v>
      </c>
      <c r="D59" s="6">
        <v>18382</v>
      </c>
      <c r="E59" s="6">
        <v>41675</v>
      </c>
      <c r="F59" s="6">
        <v>52433</v>
      </c>
      <c r="G59" s="6">
        <v>62980</v>
      </c>
    </row>
    <row r="60" spans="1:7" x14ac:dyDescent="0.2">
      <c r="A60" s="4">
        <v>2</v>
      </c>
      <c r="B60" s="6" t="s">
        <v>66</v>
      </c>
      <c r="C60" s="6"/>
      <c r="D60" s="6"/>
      <c r="E60" s="6"/>
      <c r="F60" s="6"/>
      <c r="G60" s="6"/>
    </row>
    <row r="61" spans="1:7" x14ac:dyDescent="0.2">
      <c r="A61" s="4">
        <v>3</v>
      </c>
      <c r="B61" s="6" t="s">
        <v>67</v>
      </c>
      <c r="C61" s="6"/>
      <c r="D61" s="6"/>
      <c r="E61" s="6"/>
      <c r="F61" s="6"/>
      <c r="G61" s="6"/>
    </row>
    <row r="62" spans="1:7" x14ac:dyDescent="0.2">
      <c r="A62" s="4" t="s">
        <v>68</v>
      </c>
      <c r="B62" s="6" t="s">
        <v>69</v>
      </c>
      <c r="C62" s="6"/>
      <c r="D62" s="6"/>
      <c r="E62" s="6"/>
      <c r="F62" s="6"/>
      <c r="G62" s="6"/>
    </row>
    <row r="63" spans="1:7" x14ac:dyDescent="0.2">
      <c r="A63" s="4"/>
      <c r="B63" s="12" t="s">
        <v>70</v>
      </c>
      <c r="C63" s="12">
        <f>C43+C51+C62</f>
        <v>2684214</v>
      </c>
      <c r="D63" s="12">
        <f>D43+D51+D62</f>
        <v>2921642</v>
      </c>
      <c r="E63" s="12">
        <f>E43+E51+E62</f>
        <v>3629660</v>
      </c>
      <c r="F63" s="12">
        <f>SUM(F43,F51,F62)</f>
        <v>4270943</v>
      </c>
      <c r="G63" s="12">
        <f>G43+G51+G62</f>
        <v>6045146</v>
      </c>
    </row>
    <row r="64" spans="1:7" x14ac:dyDescent="0.2">
      <c r="A64" s="4"/>
      <c r="B64" s="4"/>
      <c r="C64" s="6"/>
      <c r="D64" s="6"/>
      <c r="E64" s="6"/>
      <c r="F64" s="6"/>
      <c r="G64" s="6"/>
    </row>
    <row r="65" spans="1:7" x14ac:dyDescent="0.2">
      <c r="A65" s="4"/>
      <c r="B65" s="4" t="s">
        <v>71</v>
      </c>
      <c r="C65" s="13">
        <f>C43/C51</f>
        <v>1.1698420846284119</v>
      </c>
      <c r="D65" s="13">
        <f>D43/D51</f>
        <v>1.0680794375720235</v>
      </c>
      <c r="E65" s="13">
        <f>E43/E51</f>
        <v>1.3538651102464332</v>
      </c>
      <c r="F65" s="13">
        <f>F43/F51</f>
        <v>0.42270773109232501</v>
      </c>
      <c r="G65" s="13">
        <f>G43/G51</f>
        <v>0.58746330803082103</v>
      </c>
    </row>
    <row r="67" spans="1:7" x14ac:dyDescent="0.2">
      <c r="B67" s="103" t="s">
        <v>255</v>
      </c>
      <c r="C67" s="1"/>
      <c r="D67" s="1"/>
      <c r="E67" s="1"/>
      <c r="F67" s="1"/>
      <c r="G67" s="1"/>
    </row>
    <row r="68" spans="1:7" x14ac:dyDescent="0.2">
      <c r="B68" s="15"/>
      <c r="C68" s="1"/>
      <c r="D68" s="1"/>
      <c r="E68" s="1"/>
      <c r="F68" s="1"/>
      <c r="G68" s="16" t="s">
        <v>72</v>
      </c>
    </row>
    <row r="69" spans="1:7" x14ac:dyDescent="0.2">
      <c r="A69" s="17" t="s">
        <v>11</v>
      </c>
      <c r="B69" s="17" t="s">
        <v>12</v>
      </c>
      <c r="C69" s="17">
        <v>2014</v>
      </c>
      <c r="D69" s="17">
        <v>2015</v>
      </c>
      <c r="E69" s="17">
        <v>2016</v>
      </c>
      <c r="F69" s="17">
        <v>2017</v>
      </c>
      <c r="G69" s="17">
        <v>2018</v>
      </c>
    </row>
    <row r="70" spans="1:7" x14ac:dyDescent="0.2">
      <c r="A70" s="6">
        <v>1</v>
      </c>
      <c r="B70" s="6" t="s">
        <v>73</v>
      </c>
      <c r="C70" s="6">
        <v>9199218</v>
      </c>
      <c r="D70" s="6">
        <v>7708352</v>
      </c>
      <c r="E70" s="6">
        <v>8564590</v>
      </c>
      <c r="F70" s="6">
        <v>10976837</v>
      </c>
      <c r="G70" s="6">
        <v>14571136</v>
      </c>
    </row>
    <row r="71" spans="1:7" x14ac:dyDescent="0.2">
      <c r="A71" s="6">
        <v>2</v>
      </c>
      <c r="B71" s="6" t="s">
        <v>74</v>
      </c>
      <c r="C71" s="6">
        <v>8309983</v>
      </c>
      <c r="D71" s="6">
        <v>6537985</v>
      </c>
      <c r="E71" s="6">
        <v>7153297</v>
      </c>
      <c r="F71" s="6">
        <v>9064873</v>
      </c>
      <c r="G71" s="6">
        <v>11792052</v>
      </c>
    </row>
    <row r="72" spans="1:7" x14ac:dyDescent="0.2">
      <c r="A72" s="6">
        <v>3</v>
      </c>
      <c r="B72" s="6" t="s">
        <v>75</v>
      </c>
      <c r="C72" s="6">
        <f>C70-C71</f>
        <v>889235</v>
      </c>
      <c r="D72" s="6">
        <f>D70-D71</f>
        <v>1170367</v>
      </c>
      <c r="E72" s="6">
        <v>1411293</v>
      </c>
      <c r="F72" s="6">
        <f>F70-F71</f>
        <v>1911964</v>
      </c>
      <c r="G72" s="6">
        <f>G70-G71</f>
        <v>2779084</v>
      </c>
    </row>
    <row r="73" spans="1:7" x14ac:dyDescent="0.2">
      <c r="A73" s="6">
        <v>4</v>
      </c>
      <c r="B73" s="6" t="s">
        <v>76</v>
      </c>
      <c r="C73" s="6">
        <v>18739</v>
      </c>
      <c r="D73" s="6">
        <v>1328</v>
      </c>
      <c r="E73" s="6">
        <v>5265</v>
      </c>
      <c r="F73" s="6">
        <v>8795</v>
      </c>
      <c r="G73" s="6">
        <v>6846</v>
      </c>
    </row>
    <row r="74" spans="1:7" x14ac:dyDescent="0.2">
      <c r="A74" s="6">
        <v>5</v>
      </c>
      <c r="B74" s="6" t="s">
        <v>77</v>
      </c>
      <c r="C74" s="6">
        <v>90255</v>
      </c>
      <c r="D74" s="6">
        <v>430803</v>
      </c>
      <c r="E74" s="6">
        <v>181560</v>
      </c>
      <c r="F74" s="6">
        <v>56476</v>
      </c>
      <c r="G74" s="6">
        <v>66347</v>
      </c>
    </row>
    <row r="75" spans="1:7" x14ac:dyDescent="0.2">
      <c r="A75" s="6"/>
      <c r="B75" s="6" t="s">
        <v>78</v>
      </c>
      <c r="C75" s="6">
        <v>79682</v>
      </c>
      <c r="D75" s="6">
        <v>81049</v>
      </c>
      <c r="E75" s="6">
        <v>73196</v>
      </c>
      <c r="F75" s="6">
        <v>54981</v>
      </c>
      <c r="G75" s="6">
        <v>61109</v>
      </c>
    </row>
    <row r="76" spans="1:7" x14ac:dyDescent="0.2">
      <c r="A76" s="6">
        <v>6</v>
      </c>
      <c r="B76" s="6" t="s">
        <v>79</v>
      </c>
      <c r="C76" s="6">
        <v>354954</v>
      </c>
      <c r="D76" s="6">
        <v>423930</v>
      </c>
      <c r="E76" s="6">
        <v>553263</v>
      </c>
      <c r="F76" s="6">
        <v>774978</v>
      </c>
      <c r="G76" s="6">
        <v>1170069</v>
      </c>
    </row>
    <row r="77" spans="1:7" x14ac:dyDescent="0.2">
      <c r="A77" s="6">
        <v>7</v>
      </c>
      <c r="B77" s="6" t="s">
        <v>80</v>
      </c>
      <c r="C77" s="6">
        <v>129619</v>
      </c>
      <c r="D77" s="6">
        <v>117548</v>
      </c>
      <c r="E77" s="6">
        <v>133281</v>
      </c>
      <c r="F77" s="6">
        <v>187936</v>
      </c>
      <c r="G77" s="6">
        <v>345868</v>
      </c>
    </row>
    <row r="78" spans="1:7" x14ac:dyDescent="0.2">
      <c r="A78" s="6">
        <v>8</v>
      </c>
      <c r="B78" s="6" t="s">
        <v>81</v>
      </c>
      <c r="C78" s="6">
        <f>C72+C73-C74-C76-C77</f>
        <v>333146</v>
      </c>
      <c r="D78" s="6">
        <f>D72+D73-D74-D76-D77</f>
        <v>199414</v>
      </c>
      <c r="E78" s="6">
        <f>E72+E73-E74-E76-E77</f>
        <v>548454</v>
      </c>
      <c r="F78" s="6">
        <f>F72+F73-F74-F76-F77</f>
        <v>901369</v>
      </c>
      <c r="G78" s="6">
        <f>G72+G73-G74-G76-G77</f>
        <v>1203646</v>
      </c>
    </row>
    <row r="79" spans="1:7" x14ac:dyDescent="0.2">
      <c r="A79" s="6">
        <v>9</v>
      </c>
      <c r="B79" s="6" t="s">
        <v>82</v>
      </c>
      <c r="C79" s="6">
        <v>2669</v>
      </c>
      <c r="D79" s="6">
        <v>1627</v>
      </c>
      <c r="E79" s="6">
        <v>47317</v>
      </c>
      <c r="F79" s="6">
        <v>7395</v>
      </c>
      <c r="G79" s="6">
        <v>4538</v>
      </c>
    </row>
    <row r="80" spans="1:7" x14ac:dyDescent="0.2">
      <c r="A80" s="6">
        <v>10</v>
      </c>
      <c r="B80" s="6" t="s">
        <v>83</v>
      </c>
      <c r="C80" s="6">
        <v>1587</v>
      </c>
      <c r="D80" s="6">
        <v>4236</v>
      </c>
      <c r="E80" s="6">
        <v>3868</v>
      </c>
      <c r="F80" s="6">
        <v>1384</v>
      </c>
      <c r="G80" s="6">
        <v>2734</v>
      </c>
    </row>
    <row r="81" spans="1:7" x14ac:dyDescent="0.2">
      <c r="A81" s="6">
        <v>11</v>
      </c>
      <c r="B81" s="6" t="s">
        <v>84</v>
      </c>
      <c r="C81" s="6">
        <f>C79-C80</f>
        <v>1082</v>
      </c>
      <c r="D81" s="6">
        <f>D79-D80</f>
        <v>-2609</v>
      </c>
      <c r="E81" s="6">
        <f>E79-E80</f>
        <v>43449</v>
      </c>
      <c r="F81" s="6">
        <f>F79-F80</f>
        <v>6011</v>
      </c>
      <c r="G81" s="6">
        <f>G79-G80</f>
        <v>1804</v>
      </c>
    </row>
    <row r="82" spans="1:7" x14ac:dyDescent="0.2">
      <c r="A82" s="18">
        <v>12</v>
      </c>
      <c r="B82" s="18" t="s">
        <v>85</v>
      </c>
      <c r="C82" s="18">
        <f>C78+C81</f>
        <v>334228</v>
      </c>
      <c r="D82" s="18">
        <f>D78+D81</f>
        <v>196805</v>
      </c>
      <c r="E82" s="18">
        <f>E78+E81</f>
        <v>591903</v>
      </c>
      <c r="F82" s="18">
        <f>F78+F81</f>
        <v>907380</v>
      </c>
      <c r="G82" s="18">
        <f>G78+G81</f>
        <v>1205450</v>
      </c>
    </row>
    <row r="83" spans="1:7" x14ac:dyDescent="0.2">
      <c r="A83" s="6">
        <v>13</v>
      </c>
      <c r="B83" s="6" t="s">
        <v>86</v>
      </c>
      <c r="C83" s="6">
        <v>79455</v>
      </c>
      <c r="D83" s="6">
        <v>46596</v>
      </c>
      <c r="E83" s="6">
        <v>139964</v>
      </c>
      <c r="F83" s="6">
        <v>182039</v>
      </c>
      <c r="G83" s="6">
        <v>249485</v>
      </c>
    </row>
    <row r="84" spans="1:7" x14ac:dyDescent="0.2">
      <c r="A84" s="6"/>
      <c r="B84" s="6" t="s">
        <v>87</v>
      </c>
      <c r="C84" s="6">
        <v>293</v>
      </c>
      <c r="D84" s="6">
        <v>1575</v>
      </c>
      <c r="E84" s="6">
        <v>175</v>
      </c>
      <c r="F84" s="6">
        <v>484</v>
      </c>
      <c r="G84" s="6">
        <v>3858</v>
      </c>
    </row>
    <row r="85" spans="1:7" x14ac:dyDescent="0.2">
      <c r="A85" s="6"/>
      <c r="B85" s="6" t="s">
        <v>88</v>
      </c>
      <c r="C85" s="6">
        <f>C83-C84</f>
        <v>79162</v>
      </c>
      <c r="D85" s="6">
        <f>D83-D84</f>
        <v>45021</v>
      </c>
      <c r="E85" s="6">
        <f>E83-E84</f>
        <v>139789</v>
      </c>
      <c r="F85" s="6">
        <f>F83-F84</f>
        <v>181555</v>
      </c>
      <c r="G85" s="6">
        <f>G83-G84</f>
        <v>245627</v>
      </c>
    </row>
    <row r="86" spans="1:7" x14ac:dyDescent="0.2">
      <c r="A86" s="6">
        <v>14</v>
      </c>
      <c r="B86" s="19" t="s">
        <v>89</v>
      </c>
      <c r="C86" s="6">
        <f>C82-C85</f>
        <v>255066</v>
      </c>
      <c r="D86" s="6">
        <f>D82-D85</f>
        <v>151784</v>
      </c>
      <c r="E86" s="6">
        <f>E82-E85</f>
        <v>452114</v>
      </c>
      <c r="F86" s="6">
        <f>F82-F85</f>
        <v>725825</v>
      </c>
      <c r="G86" s="6">
        <f>G82-G85</f>
        <v>959823</v>
      </c>
    </row>
    <row r="87" spans="1:7" x14ac:dyDescent="0.2">
      <c r="A87" s="6">
        <v>15</v>
      </c>
      <c r="B87" s="6" t="s">
        <v>90</v>
      </c>
      <c r="C87" s="6">
        <v>13377</v>
      </c>
      <c r="D87" s="6"/>
      <c r="E87" s="6"/>
      <c r="F87" s="6"/>
      <c r="G87" s="6"/>
    </row>
    <row r="88" spans="1:7" x14ac:dyDescent="0.2">
      <c r="A88" s="6">
        <v>16</v>
      </c>
      <c r="B88" s="6" t="s">
        <v>91</v>
      </c>
      <c r="C88" s="6">
        <f>C86-C87</f>
        <v>241689</v>
      </c>
      <c r="D88" s="6">
        <f>D86-D87</f>
        <v>151784</v>
      </c>
      <c r="E88" s="6">
        <f>E86-E87</f>
        <v>452114</v>
      </c>
      <c r="F88" s="6">
        <f>F86-F87</f>
        <v>725825</v>
      </c>
      <c r="G88" s="6">
        <f>G86-G87</f>
        <v>959823</v>
      </c>
    </row>
    <row r="89" spans="1:7" x14ac:dyDescent="0.2">
      <c r="A89" s="6">
        <v>15</v>
      </c>
      <c r="B89" s="6" t="s">
        <v>92</v>
      </c>
      <c r="C89" s="25">
        <f>C88*10^6/C90</f>
        <v>75339463.840398997</v>
      </c>
      <c r="D89" s="25">
        <f>D88*10^6/D90</f>
        <v>112682999.2576095</v>
      </c>
      <c r="E89" s="25">
        <f>E88*10^6/E90</f>
        <v>103151722.56445357</v>
      </c>
      <c r="F89" s="25">
        <f>F88*10^6/F90</f>
        <v>112810848.61672366</v>
      </c>
      <c r="G89" s="25">
        <f>G88*10^6/G90</f>
        <v>148097978.70698968</v>
      </c>
    </row>
    <row r="90" spans="1:7" x14ac:dyDescent="0.2">
      <c r="A90" s="6">
        <v>16</v>
      </c>
      <c r="B90" s="6" t="s">
        <v>93</v>
      </c>
      <c r="C90" s="31">
        <v>3208</v>
      </c>
      <c r="D90" s="31">
        <v>1347</v>
      </c>
      <c r="E90" s="31">
        <v>4383</v>
      </c>
      <c r="F90" s="31">
        <v>6434</v>
      </c>
      <c r="G90" s="31">
        <v>6481</v>
      </c>
    </row>
    <row r="91" spans="1:7" ht="17" thickBot="1" x14ac:dyDescent="0.25">
      <c r="A91" s="20"/>
      <c r="B91" s="20"/>
      <c r="C91" s="21"/>
      <c r="D91" s="21"/>
      <c r="E91" s="21"/>
      <c r="F91" s="21"/>
      <c r="G91" s="21"/>
    </row>
    <row r="92" spans="1:7" x14ac:dyDescent="0.2">
      <c r="A92" s="22"/>
      <c r="B92" s="23" t="s">
        <v>94</v>
      </c>
      <c r="C92" s="23"/>
      <c r="D92" s="23"/>
      <c r="E92" s="23"/>
      <c r="F92" s="23"/>
      <c r="G92" s="23"/>
    </row>
    <row r="93" spans="1:7" x14ac:dyDescent="0.2">
      <c r="A93" s="4"/>
      <c r="B93" s="4" t="s">
        <v>95</v>
      </c>
      <c r="C93" s="6">
        <v>13377</v>
      </c>
      <c r="D93" s="6"/>
      <c r="E93" s="6"/>
      <c r="F93" s="6"/>
      <c r="G93" s="6"/>
    </row>
    <row r="94" spans="1:7" ht="17" thickBot="1" x14ac:dyDescent="0.25">
      <c r="A94" s="20"/>
      <c r="B94" s="20" t="s">
        <v>96</v>
      </c>
      <c r="C94" s="24">
        <f>C86-C93</f>
        <v>241689</v>
      </c>
      <c r="D94" s="21">
        <f>D86-D93</f>
        <v>151784</v>
      </c>
      <c r="E94" s="21"/>
      <c r="F94" s="21"/>
      <c r="G94" s="21">
        <f>G86-G93</f>
        <v>959823</v>
      </c>
    </row>
    <row r="97" spans="1:10" x14ac:dyDescent="0.2">
      <c r="A97" s="33"/>
      <c r="B97" s="105" t="s">
        <v>256</v>
      </c>
    </row>
    <row r="98" spans="1:10" x14ac:dyDescent="0.2">
      <c r="A98" s="1"/>
      <c r="B98" s="33"/>
      <c r="C98" s="1"/>
      <c r="D98" s="1"/>
      <c r="E98" s="1"/>
      <c r="F98" s="1"/>
      <c r="G98" s="1"/>
      <c r="H98" s="1"/>
      <c r="I98" s="1"/>
    </row>
    <row r="99" spans="1:10" x14ac:dyDescent="0.2">
      <c r="A99" s="34" t="s">
        <v>11</v>
      </c>
      <c r="B99" s="34" t="s">
        <v>12</v>
      </c>
      <c r="C99" s="34">
        <v>2014</v>
      </c>
      <c r="D99" s="34">
        <v>2015</v>
      </c>
      <c r="E99" s="34">
        <v>2016</v>
      </c>
      <c r="F99" s="34">
        <v>2017</v>
      </c>
      <c r="G99" s="34">
        <v>2018</v>
      </c>
      <c r="H99" s="95"/>
      <c r="I99" s="95"/>
      <c r="J99" s="95"/>
    </row>
    <row r="100" spans="1:10" x14ac:dyDescent="0.2">
      <c r="A100" s="35">
        <v>1</v>
      </c>
      <c r="B100" s="36" t="s">
        <v>97</v>
      </c>
      <c r="C100" s="35">
        <f>C44+C48</f>
        <v>1336828</v>
      </c>
      <c r="D100" s="35">
        <f>D44+D48</f>
        <v>1458709</v>
      </c>
      <c r="E100" s="35">
        <f>E44+E48</f>
        <v>2049268</v>
      </c>
      <c r="F100" s="35">
        <f>F44+F48</f>
        <v>1267094</v>
      </c>
      <c r="G100" s="35">
        <f>G44+G48</f>
        <v>2459218</v>
      </c>
      <c r="H100" s="98"/>
      <c r="I100" s="98"/>
      <c r="J100" s="98"/>
    </row>
    <row r="101" spans="1:10" x14ac:dyDescent="0.2">
      <c r="A101" s="6">
        <v>2</v>
      </c>
      <c r="B101" s="36" t="s">
        <v>98</v>
      </c>
      <c r="C101" s="6">
        <f>C49</f>
        <v>137584</v>
      </c>
      <c r="D101" s="6">
        <f>D49</f>
        <v>79232</v>
      </c>
      <c r="E101" s="6">
        <f>E49</f>
        <v>65999</v>
      </c>
      <c r="F101" s="6">
        <f>F49</f>
        <v>53939</v>
      </c>
      <c r="G101" s="6">
        <f>G49</f>
        <v>15504</v>
      </c>
      <c r="H101" s="1"/>
      <c r="I101" s="1"/>
      <c r="J101" s="1"/>
    </row>
    <row r="102" spans="1:10" x14ac:dyDescent="0.2">
      <c r="A102" s="6">
        <v>3</v>
      </c>
      <c r="B102" s="6" t="s">
        <v>99</v>
      </c>
      <c r="C102" s="10">
        <f>C100+C101</f>
        <v>1474412</v>
      </c>
      <c r="D102" s="10">
        <f>D100+D101</f>
        <v>1537941</v>
      </c>
      <c r="E102" s="10">
        <f>E100+E101</f>
        <v>2115267</v>
      </c>
      <c r="F102" s="10">
        <f>F100+F101</f>
        <v>1321033</v>
      </c>
      <c r="G102" s="10">
        <f>G100+G101</f>
        <v>2474722</v>
      </c>
      <c r="H102" s="219"/>
      <c r="I102" s="219"/>
      <c r="J102" s="219"/>
    </row>
    <row r="103" spans="1:10" x14ac:dyDescent="0.2">
      <c r="A103" s="6">
        <v>4</v>
      </c>
      <c r="B103" s="6" t="s">
        <v>100</v>
      </c>
      <c r="C103" s="10">
        <f>C52</f>
        <v>1229789</v>
      </c>
      <c r="D103" s="10">
        <f>D52</f>
        <v>1394350</v>
      </c>
      <c r="E103" s="10">
        <f>E52</f>
        <v>1500325</v>
      </c>
      <c r="F103" s="10">
        <f>F52</f>
        <v>2949549</v>
      </c>
      <c r="G103" s="10">
        <f>G52</f>
        <v>3745074</v>
      </c>
      <c r="H103" s="219"/>
      <c r="I103" s="219"/>
      <c r="J103" s="219"/>
    </row>
    <row r="104" spans="1:10" x14ac:dyDescent="0.2">
      <c r="A104" s="6">
        <v>5</v>
      </c>
      <c r="B104" s="6" t="s">
        <v>101</v>
      </c>
      <c r="C104" s="6">
        <f>C102+C103</f>
        <v>2704201</v>
      </c>
      <c r="D104" s="6">
        <f>D102+D103</f>
        <v>2932291</v>
      </c>
      <c r="E104" s="6">
        <f>E102+E103</f>
        <v>3615592</v>
      </c>
      <c r="F104" s="6">
        <f>F102+F103</f>
        <v>4270582</v>
      </c>
      <c r="G104" s="6">
        <f>G102+G103</f>
        <v>6219796</v>
      </c>
      <c r="H104" s="1"/>
      <c r="I104" s="1"/>
      <c r="J104" s="1"/>
    </row>
    <row r="105" spans="1:10" x14ac:dyDescent="0.2">
      <c r="A105" s="6"/>
      <c r="B105" s="6" t="s">
        <v>102</v>
      </c>
      <c r="C105" s="6"/>
      <c r="D105" s="6"/>
      <c r="E105" s="6"/>
      <c r="F105" s="6"/>
      <c r="G105" s="6"/>
      <c r="H105" s="1"/>
      <c r="I105" s="1"/>
      <c r="J105" s="1"/>
    </row>
    <row r="106" spans="1:10" x14ac:dyDescent="0.2">
      <c r="A106" s="6"/>
      <c r="B106" s="6" t="s">
        <v>103</v>
      </c>
      <c r="C106" s="37">
        <f>C100/C104</f>
        <v>0.4943523059121715</v>
      </c>
      <c r="D106" s="37">
        <f>D100/D104</f>
        <v>0.49746392837545794</v>
      </c>
      <c r="E106" s="37">
        <f>E100/E104</f>
        <v>0.56678629668391789</v>
      </c>
      <c r="F106" s="37">
        <f>F100/F104</f>
        <v>0.29670288499319297</v>
      </c>
      <c r="G106" s="37">
        <f>G100/G104</f>
        <v>0.39538563644209551</v>
      </c>
      <c r="H106" s="220"/>
      <c r="I106" s="220"/>
      <c r="J106" s="220"/>
    </row>
    <row r="107" spans="1:10" x14ac:dyDescent="0.2">
      <c r="A107" s="6"/>
      <c r="B107" s="6" t="s">
        <v>104</v>
      </c>
      <c r="C107" s="37">
        <f>C101/C104</f>
        <v>5.0877874832529091E-2</v>
      </c>
      <c r="D107" s="37">
        <f>D101/D104</f>
        <v>2.7020510583704006E-2</v>
      </c>
      <c r="E107" s="37">
        <f>E101/E104</f>
        <v>1.8253995472940533E-2</v>
      </c>
      <c r="F107" s="37">
        <f>F101/F104</f>
        <v>1.2630362793642646E-2</v>
      </c>
      <c r="G107" s="37">
        <f>G101/G104</f>
        <v>2.4926862553048363E-3</v>
      </c>
      <c r="H107" s="220"/>
      <c r="I107" s="220"/>
      <c r="J107" s="220"/>
    </row>
    <row r="108" spans="1:10" x14ac:dyDescent="0.2">
      <c r="A108" s="6"/>
      <c r="B108" s="6" t="s">
        <v>105</v>
      </c>
      <c r="C108" s="37">
        <f>C106+C107</f>
        <v>0.54523018074470064</v>
      </c>
      <c r="D108" s="37">
        <f>D102/D104</f>
        <v>0.52448443895916197</v>
      </c>
      <c r="E108" s="37">
        <f>E102/E104</f>
        <v>0.58504029215685838</v>
      </c>
      <c r="F108" s="37">
        <f>F102/F104</f>
        <v>0.30933324778683563</v>
      </c>
      <c r="G108" s="37">
        <f>G102/G104</f>
        <v>0.39787832269740037</v>
      </c>
      <c r="H108" s="220"/>
      <c r="I108" s="220"/>
      <c r="J108" s="220"/>
    </row>
    <row r="109" spans="1:10" x14ac:dyDescent="0.2">
      <c r="A109" s="6"/>
      <c r="B109" s="6" t="s">
        <v>106</v>
      </c>
      <c r="C109" s="37">
        <f>C103/C104</f>
        <v>0.45476981925529941</v>
      </c>
      <c r="D109" s="37">
        <f>D103/D104</f>
        <v>0.47551556104083803</v>
      </c>
      <c r="E109" s="37">
        <f>E103/E104</f>
        <v>0.41495970784314157</v>
      </c>
      <c r="F109" s="37">
        <f>F103/F104</f>
        <v>0.69066675221316443</v>
      </c>
      <c r="G109" s="37">
        <f>G103/G104</f>
        <v>0.60212167730259969</v>
      </c>
      <c r="H109" s="220"/>
      <c r="I109" s="220"/>
      <c r="J109" s="220"/>
    </row>
    <row r="110" spans="1:10" x14ac:dyDescent="0.2">
      <c r="A110" s="6"/>
      <c r="B110" s="6" t="s">
        <v>107</v>
      </c>
      <c r="C110" s="38">
        <f>C75/C102</f>
        <v>5.4043238931858938E-2</v>
      </c>
      <c r="D110" s="38">
        <f>D75/D102</f>
        <v>5.2699680937045051E-2</v>
      </c>
      <c r="E110" s="38">
        <f>E75/E102</f>
        <v>3.4603669418565124E-2</v>
      </c>
      <c r="F110" s="38">
        <f>F75/F102</f>
        <v>4.1619702157326882E-2</v>
      </c>
      <c r="G110" s="38">
        <f>G75/G102</f>
        <v>2.4693278679382976E-2</v>
      </c>
      <c r="H110" s="221"/>
      <c r="I110" s="221"/>
      <c r="J110" s="221"/>
    </row>
    <row r="111" spans="1:10" x14ac:dyDescent="0.2">
      <c r="A111" s="6"/>
      <c r="B111" s="6" t="s">
        <v>108</v>
      </c>
      <c r="C111" s="37">
        <f>C83/C82</f>
        <v>0.2377269408906495</v>
      </c>
      <c r="D111" s="37">
        <f>D83/D82</f>
        <v>0.23676227738116409</v>
      </c>
      <c r="E111" s="37">
        <f>E83/E82</f>
        <v>0.23646442069055235</v>
      </c>
      <c r="F111" s="37">
        <f>F83/F82</f>
        <v>0.2006204677202495</v>
      </c>
      <c r="G111" s="37">
        <f>G83/G82</f>
        <v>0.20696420423908085</v>
      </c>
      <c r="H111" s="220"/>
      <c r="I111" s="220"/>
      <c r="J111" s="220"/>
    </row>
    <row r="112" spans="1:10" x14ac:dyDescent="0.2">
      <c r="A112" s="6"/>
      <c r="B112" s="6" t="s">
        <v>109</v>
      </c>
      <c r="C112" s="37">
        <f>C86/C103</f>
        <v>0.20740631116394764</v>
      </c>
      <c r="D112" s="37">
        <f>D86/D103</f>
        <v>0.10885645641338258</v>
      </c>
      <c r="E112" s="37">
        <f>E86/E103</f>
        <v>0.3013440421242064</v>
      </c>
      <c r="F112" s="37">
        <f>F86/F103</f>
        <v>0.24607999392449489</v>
      </c>
      <c r="G112" s="37">
        <f>G86/G103</f>
        <v>0.25628946183706919</v>
      </c>
      <c r="H112" s="220"/>
      <c r="I112" s="220"/>
      <c r="J112" s="220"/>
    </row>
    <row r="113" spans="1:10" x14ac:dyDescent="0.2">
      <c r="A113" s="6"/>
      <c r="B113" s="6" t="s">
        <v>110</v>
      </c>
      <c r="C113" s="39">
        <f>C108*C110*(1-C111)+C109*C112</f>
        <v>0.11678327235880442</v>
      </c>
      <c r="D113" s="39">
        <f>D108*D110*(1-D111)+D109*D112</f>
        <v>7.2858953692022388E-2</v>
      </c>
      <c r="E113" s="39">
        <f>E108*E110*(1-E111)+E109*E112</f>
        <v>0.1405030629183642</v>
      </c>
      <c r="F113" s="39">
        <f>F108*F110*(1-F111)+F109*F112</f>
        <v>0.18025076817732877</v>
      </c>
      <c r="G113" s="40">
        <f>G108*G110*(1-G111)+G109*G112</f>
        <v>0.16210895412697687</v>
      </c>
      <c r="H113" s="94"/>
      <c r="I113" s="94"/>
      <c r="J113" s="96"/>
    </row>
    <row r="114" spans="1:10" x14ac:dyDescent="0.2">
      <c r="A114" s="1"/>
      <c r="B114" s="1"/>
      <c r="C114" s="94"/>
      <c r="D114" s="94"/>
      <c r="E114" s="94"/>
      <c r="F114" s="94"/>
      <c r="G114" s="96"/>
      <c r="H114" s="94"/>
      <c r="I114" s="94"/>
      <c r="J114" s="96"/>
    </row>
    <row r="115" spans="1:10" x14ac:dyDescent="0.2">
      <c r="A115" s="41"/>
      <c r="B115" s="105" t="s">
        <v>257</v>
      </c>
      <c r="C115" s="1"/>
      <c r="D115" s="1"/>
      <c r="E115" s="1"/>
      <c r="F115" s="1"/>
      <c r="G115" s="1"/>
      <c r="H115" s="1"/>
      <c r="I115" s="1"/>
      <c r="J115" s="1"/>
    </row>
    <row r="116" spans="1:10" x14ac:dyDescent="0.2">
      <c r="C116" s="1"/>
      <c r="D116" s="1"/>
      <c r="E116" s="1"/>
      <c r="F116" s="1"/>
      <c r="G116" s="1"/>
      <c r="H116" s="1" t="s">
        <v>111</v>
      </c>
      <c r="I116" s="1"/>
      <c r="J116" s="1"/>
    </row>
    <row r="117" spans="1:10" ht="17" x14ac:dyDescent="0.2">
      <c r="B117" s="42" t="s">
        <v>12</v>
      </c>
      <c r="C117" s="6">
        <v>2014</v>
      </c>
      <c r="D117" s="6">
        <v>2015</v>
      </c>
      <c r="E117" s="6">
        <v>2016</v>
      </c>
      <c r="F117" s="6">
        <v>2017</v>
      </c>
      <c r="G117" s="6">
        <v>2018</v>
      </c>
      <c r="H117" s="43" t="s">
        <v>112</v>
      </c>
    </row>
    <row r="118" spans="1:10" x14ac:dyDescent="0.2">
      <c r="B118" s="6" t="s">
        <v>113</v>
      </c>
      <c r="C118" s="6">
        <f>C70+C73+C79</f>
        <v>9220626</v>
      </c>
      <c r="D118" s="6">
        <f>D70+D73+D79</f>
        <v>7711307</v>
      </c>
      <c r="E118" s="6">
        <f>E70+E73+E79</f>
        <v>8617172</v>
      </c>
      <c r="F118" s="6">
        <f>F70+F73+F79</f>
        <v>10993027</v>
      </c>
      <c r="G118" s="6">
        <f>G70+G73+G79</f>
        <v>14582520</v>
      </c>
      <c r="H118" s="4"/>
    </row>
    <row r="119" spans="1:10" x14ac:dyDescent="0.2">
      <c r="B119" s="6" t="s">
        <v>114</v>
      </c>
      <c r="C119" s="6">
        <f>C71+C74+C76+C77+C80</f>
        <v>8886398</v>
      </c>
      <c r="D119" s="6">
        <f>D71+D74+D76+D77+D80</f>
        <v>7514502</v>
      </c>
      <c r="E119" s="6">
        <f>E71+E74+E76+E77+E80</f>
        <v>8025269</v>
      </c>
      <c r="F119" s="6">
        <f>F71+F74+F76+F77+F80</f>
        <v>10085647</v>
      </c>
      <c r="G119" s="6">
        <f>G71+G74+G76+G77+G80</f>
        <v>13377070</v>
      </c>
      <c r="H119" s="4"/>
    </row>
    <row r="120" spans="1:10" x14ac:dyDescent="0.2">
      <c r="B120" s="6" t="s">
        <v>115</v>
      </c>
      <c r="C120" s="6">
        <f>C46</f>
        <v>140059</v>
      </c>
      <c r="D120" s="6">
        <f>D46</f>
        <v>191248</v>
      </c>
      <c r="E120" s="6">
        <f>E46</f>
        <v>325730</v>
      </c>
      <c r="F120" s="6">
        <f>F46</f>
        <v>278898</v>
      </c>
      <c r="G120" s="6">
        <f>G46</f>
        <v>342677</v>
      </c>
      <c r="H120" s="4"/>
    </row>
    <row r="121" spans="1:10" x14ac:dyDescent="0.2">
      <c r="B121" s="6" t="s">
        <v>116</v>
      </c>
      <c r="C121" s="6">
        <f>C84+C47+C57+C59</f>
        <v>220869</v>
      </c>
      <c r="D121" s="6">
        <f>D84+D47+D57+D59</f>
        <v>232059</v>
      </c>
      <c r="E121" s="6">
        <f>E84+E47+E57+E59</f>
        <v>471389</v>
      </c>
      <c r="F121" s="6">
        <f>F84+F47+F57+F59</f>
        <v>862377</v>
      </c>
      <c r="G121" s="6">
        <f>G84+G47+G57+G59</f>
        <v>1034202</v>
      </c>
      <c r="H121" s="4"/>
    </row>
    <row r="122" spans="1:10" x14ac:dyDescent="0.2">
      <c r="B122" s="6"/>
      <c r="C122" s="6"/>
      <c r="D122" s="6"/>
      <c r="E122" s="6"/>
      <c r="F122" s="6"/>
      <c r="G122" s="6"/>
      <c r="H122" s="4"/>
    </row>
    <row r="123" spans="1:10" x14ac:dyDescent="0.2">
      <c r="B123" s="6" t="s">
        <v>117</v>
      </c>
      <c r="C123" s="45"/>
      <c r="D123" s="46">
        <f>D118/C118-1</f>
        <v>-0.16368942846179857</v>
      </c>
      <c r="E123" s="46">
        <f>E118/D118-1</f>
        <v>0.11747230398167252</v>
      </c>
      <c r="F123" s="46">
        <f>F118/E118-1</f>
        <v>0.27571168360107001</v>
      </c>
      <c r="G123" s="46">
        <f>G118/F118-1</f>
        <v>0.32652453232399048</v>
      </c>
      <c r="H123" s="47">
        <f>AVERAGE(D123:G123)</f>
        <v>0.13900477286123361</v>
      </c>
    </row>
    <row r="124" spans="1:10" x14ac:dyDescent="0.2">
      <c r="B124" s="6" t="s">
        <v>118</v>
      </c>
      <c r="C124" s="6"/>
      <c r="D124" s="37">
        <f>D119/D118</f>
        <v>0.97447838608941395</v>
      </c>
      <c r="E124" s="37">
        <f>E119/E118</f>
        <v>0.93131122368220109</v>
      </c>
      <c r="F124" s="37">
        <f>F119/F118</f>
        <v>0.91745858533777824</v>
      </c>
      <c r="G124" s="37">
        <f>G119/G118</f>
        <v>0.91733596113703253</v>
      </c>
      <c r="H124" s="47">
        <f t="shared" ref="H124:H129" si="0">AVERAGE(D124:G124)</f>
        <v>0.93514603906160643</v>
      </c>
    </row>
    <row r="125" spans="1:10" x14ac:dyDescent="0.2">
      <c r="B125" s="6" t="s">
        <v>119</v>
      </c>
      <c r="C125" s="6"/>
      <c r="D125" s="37">
        <f>D16/D118</f>
        <v>4.9129155407766798E-3</v>
      </c>
      <c r="E125" s="37">
        <f>E16/E118</f>
        <v>1.8027724176794893E-2</v>
      </c>
      <c r="F125" s="37">
        <f>F16/F118</f>
        <v>1.593819427533472E-2</v>
      </c>
      <c r="G125" s="37">
        <f>G16/G118</f>
        <v>1.417594489841262E-2</v>
      </c>
      <c r="H125" s="47">
        <f t="shared" si="0"/>
        <v>1.3263694722829728E-2</v>
      </c>
    </row>
    <row r="126" spans="1:10" x14ac:dyDescent="0.2">
      <c r="B126" s="6" t="s">
        <v>120</v>
      </c>
      <c r="C126" s="6"/>
      <c r="D126" s="37">
        <f>D18/D118</f>
        <v>6.0489097373506205E-3</v>
      </c>
      <c r="E126" s="37">
        <f>E18/E118</f>
        <v>7.2786060206295059E-3</v>
      </c>
      <c r="F126" s="37">
        <f>F18/F118</f>
        <v>7.6855082772015384E-3</v>
      </c>
      <c r="G126" s="37">
        <f>G18/G118</f>
        <v>1.0615792057888486E-2</v>
      </c>
      <c r="H126" s="47">
        <f t="shared" si="0"/>
        <v>7.9072040232675382E-3</v>
      </c>
    </row>
    <row r="127" spans="1:10" x14ac:dyDescent="0.2">
      <c r="B127" s="6" t="s">
        <v>121</v>
      </c>
      <c r="C127" s="6"/>
      <c r="D127" s="37">
        <f>D22/D118</f>
        <v>0.27689534342232774</v>
      </c>
      <c r="E127" s="37">
        <f>E22/E118</f>
        <v>0.32942234412867699</v>
      </c>
      <c r="F127" s="37">
        <f>F22/F118</f>
        <v>0.309465172786349</v>
      </c>
      <c r="G127" s="37">
        <f>G22/G118</f>
        <v>0.34069186944369012</v>
      </c>
      <c r="H127" s="47">
        <f t="shared" si="0"/>
        <v>0.31411868244526098</v>
      </c>
    </row>
    <row r="128" spans="1:10" x14ac:dyDescent="0.2">
      <c r="B128" s="6" t="s">
        <v>122</v>
      </c>
      <c r="C128" s="6"/>
      <c r="D128" s="37">
        <f>D26/D118</f>
        <v>6.3851951426651801E-2</v>
      </c>
      <c r="E128" s="37">
        <f>E26/E118</f>
        <v>4.9126790088442007E-2</v>
      </c>
      <c r="F128" s="37">
        <f>F26/F118</f>
        <v>4.5202290506518361E-2</v>
      </c>
      <c r="G128" s="37">
        <f>G26/G118</f>
        <v>5.4181924660483924E-2</v>
      </c>
      <c r="H128" s="47">
        <f t="shared" si="0"/>
        <v>5.3090739170524023E-2</v>
      </c>
    </row>
    <row r="129" spans="2:12" x14ac:dyDescent="0.2">
      <c r="B129" s="6" t="s">
        <v>123</v>
      </c>
      <c r="C129" s="4"/>
      <c r="D129" s="48">
        <f>D120/D118</f>
        <v>2.4800983802097363E-2</v>
      </c>
      <c r="E129" s="48">
        <f>E120/E118</f>
        <v>3.7800104256941837E-2</v>
      </c>
      <c r="F129" s="48">
        <f>F120/F118</f>
        <v>2.5370446192845703E-2</v>
      </c>
      <c r="G129" s="48">
        <f>G120/G118</f>
        <v>2.3499162010406981E-2</v>
      </c>
      <c r="H129" s="47">
        <f t="shared" si="0"/>
        <v>2.7867674065572973E-2</v>
      </c>
    </row>
    <row r="130" spans="2:12" x14ac:dyDescent="0.2">
      <c r="B130" s="6" t="s">
        <v>124</v>
      </c>
      <c r="C130" s="4"/>
      <c r="D130" s="48">
        <f>D121/D118</f>
        <v>3.0093342153282188E-2</v>
      </c>
      <c r="E130" s="48">
        <f>E121/E118</f>
        <v>5.4703445631583074E-2</v>
      </c>
      <c r="F130" s="48">
        <f>F121/F118</f>
        <v>7.8447637761646538E-2</v>
      </c>
      <c r="G130" s="48">
        <f>G121/G118</f>
        <v>7.0920663918170521E-2</v>
      </c>
      <c r="H130" s="47">
        <f>AVERAGE(D130:G130)</f>
        <v>5.8541272366170585E-2</v>
      </c>
    </row>
    <row r="131" spans="2:12" x14ac:dyDescent="0.2">
      <c r="B131" s="4" t="s">
        <v>125</v>
      </c>
      <c r="C131" s="87">
        <f>C111</f>
        <v>0.2377269408906495</v>
      </c>
      <c r="D131" s="87">
        <f>D111</f>
        <v>0.23676227738116409</v>
      </c>
      <c r="E131" s="87">
        <f>E111</f>
        <v>0.23646442069055235</v>
      </c>
      <c r="F131" s="87">
        <f>F111</f>
        <v>0.2006204677202495</v>
      </c>
      <c r="G131" s="87">
        <f>G111</f>
        <v>0.20696420423908085</v>
      </c>
      <c r="H131" s="87">
        <f>AVERAGE(C131:G131)</f>
        <v>0.22370766218433924</v>
      </c>
    </row>
    <row r="134" spans="2:12" x14ac:dyDescent="0.2">
      <c r="B134" s="105" t="s">
        <v>264</v>
      </c>
      <c r="C134" s="33"/>
      <c r="L134" s="1"/>
    </row>
    <row r="135" spans="2:12" x14ac:dyDescent="0.2">
      <c r="B135" s="1"/>
      <c r="C135" s="33"/>
      <c r="I135" s="50"/>
      <c r="J135" s="97" t="s">
        <v>126</v>
      </c>
      <c r="K135" s="51"/>
    </row>
    <row r="136" spans="2:12" x14ac:dyDescent="0.2">
      <c r="C136" s="52"/>
      <c r="D136" s="52"/>
      <c r="E136" s="52"/>
      <c r="F136" s="52"/>
      <c r="G136" s="52"/>
      <c r="H136" s="52"/>
      <c r="I136" s="53" t="s">
        <v>258</v>
      </c>
      <c r="J136" s="53" t="s">
        <v>127</v>
      </c>
      <c r="K136" s="53" t="s">
        <v>128</v>
      </c>
    </row>
    <row r="137" spans="2:12" x14ac:dyDescent="0.2">
      <c r="B137" s="54" t="s">
        <v>129</v>
      </c>
      <c r="C137" s="55">
        <v>2014</v>
      </c>
      <c r="D137" s="56">
        <v>2015</v>
      </c>
      <c r="E137" s="55">
        <v>2016</v>
      </c>
      <c r="F137" s="56">
        <v>2017</v>
      </c>
      <c r="G137" s="55">
        <v>2018</v>
      </c>
      <c r="H137" s="57" t="s">
        <v>112</v>
      </c>
      <c r="I137" s="206" t="s">
        <v>130</v>
      </c>
      <c r="J137" s="225"/>
      <c r="K137" s="225"/>
    </row>
    <row r="138" spans="2:12" x14ac:dyDescent="0.2">
      <c r="B138" s="23"/>
      <c r="C138" s="6"/>
      <c r="D138" s="6"/>
      <c r="E138" s="6"/>
      <c r="F138" s="6"/>
      <c r="G138" s="6"/>
      <c r="H138" s="58"/>
      <c r="I138" s="207"/>
      <c r="J138" s="22"/>
      <c r="K138" s="22"/>
    </row>
    <row r="139" spans="2:12" x14ac:dyDescent="0.2">
      <c r="B139" s="6" t="s">
        <v>131</v>
      </c>
      <c r="C139" s="37"/>
      <c r="D139" s="37">
        <f t="shared" ref="D139:G140" si="1">D123</f>
        <v>-0.16368942846179857</v>
      </c>
      <c r="E139" s="37">
        <f t="shared" si="1"/>
        <v>0.11747230398167252</v>
      </c>
      <c r="F139" s="37">
        <f t="shared" si="1"/>
        <v>0.27571168360107001</v>
      </c>
      <c r="G139" s="37">
        <f t="shared" si="1"/>
        <v>0.32652453232399048</v>
      </c>
      <c r="H139" s="59">
        <f>AVERAGE(D139:G139)</f>
        <v>0.13900477286123361</v>
      </c>
      <c r="I139" s="208">
        <v>0.13</v>
      </c>
      <c r="J139" s="60">
        <v>0.2</v>
      </c>
      <c r="K139" s="60">
        <v>0.1</v>
      </c>
    </row>
    <row r="140" spans="2:12" x14ac:dyDescent="0.2">
      <c r="B140" s="6" t="s">
        <v>118</v>
      </c>
      <c r="C140" s="37"/>
      <c r="D140" s="37">
        <f t="shared" si="1"/>
        <v>0.97447838608941395</v>
      </c>
      <c r="E140" s="37">
        <f t="shared" si="1"/>
        <v>0.93131122368220109</v>
      </c>
      <c r="F140" s="37">
        <f t="shared" si="1"/>
        <v>0.91745858533777824</v>
      </c>
      <c r="G140" s="37">
        <f t="shared" si="1"/>
        <v>0.91733596113703253</v>
      </c>
      <c r="H140" s="59">
        <f t="shared" ref="H140:H147" si="2">AVERAGE(D140:G140)</f>
        <v>0.93514603906160643</v>
      </c>
      <c r="I140" s="62">
        <v>0.91</v>
      </c>
      <c r="J140" s="61">
        <v>0.88</v>
      </c>
      <c r="K140" s="61">
        <v>0.95</v>
      </c>
    </row>
    <row r="141" spans="2:12" x14ac:dyDescent="0.2">
      <c r="B141" s="6"/>
      <c r="C141" s="39"/>
      <c r="D141" s="39"/>
      <c r="E141" s="39"/>
      <c r="F141" s="39"/>
      <c r="G141" s="39"/>
      <c r="H141" s="59"/>
      <c r="I141" s="62"/>
      <c r="J141" s="4"/>
      <c r="K141" s="4"/>
    </row>
    <row r="142" spans="2:12" x14ac:dyDescent="0.2">
      <c r="B142" s="6" t="s">
        <v>119</v>
      </c>
      <c r="C142" s="39"/>
      <c r="D142" s="39">
        <f t="shared" ref="D142:D147" si="3">D125</f>
        <v>4.9129155407766798E-3</v>
      </c>
      <c r="E142" s="39">
        <f t="shared" ref="E142:G148" si="4">E125</f>
        <v>1.8027724176794893E-2</v>
      </c>
      <c r="F142" s="39">
        <f t="shared" si="4"/>
        <v>1.593819427533472E-2</v>
      </c>
      <c r="G142" s="39">
        <f t="shared" si="4"/>
        <v>1.417594489841262E-2</v>
      </c>
      <c r="H142" s="59">
        <f t="shared" si="2"/>
        <v>1.3263694722829728E-2</v>
      </c>
      <c r="I142" s="62">
        <v>0.02</v>
      </c>
      <c r="J142" s="4"/>
      <c r="K142" s="4"/>
    </row>
    <row r="143" spans="2:12" x14ac:dyDescent="0.2">
      <c r="B143" s="6" t="s">
        <v>120</v>
      </c>
      <c r="C143" s="39"/>
      <c r="D143" s="39">
        <f t="shared" si="3"/>
        <v>6.0489097373506205E-3</v>
      </c>
      <c r="E143" s="39">
        <f t="shared" si="4"/>
        <v>7.2786060206295059E-3</v>
      </c>
      <c r="F143" s="39">
        <f t="shared" si="4"/>
        <v>7.6855082772015384E-3</v>
      </c>
      <c r="G143" s="39">
        <f t="shared" si="4"/>
        <v>1.0615792057888486E-2</v>
      </c>
      <c r="H143" s="59">
        <f t="shared" si="2"/>
        <v>7.9072040232675382E-3</v>
      </c>
      <c r="I143" s="62">
        <v>0.04</v>
      </c>
      <c r="J143" s="61">
        <v>0.02</v>
      </c>
      <c r="K143" s="61">
        <v>0.06</v>
      </c>
    </row>
    <row r="144" spans="2:12" x14ac:dyDescent="0.2">
      <c r="B144" s="6" t="s">
        <v>121</v>
      </c>
      <c r="C144" s="39"/>
      <c r="D144" s="39">
        <f t="shared" si="3"/>
        <v>0.27689534342232774</v>
      </c>
      <c r="E144" s="39">
        <f t="shared" si="4"/>
        <v>0.32942234412867699</v>
      </c>
      <c r="F144" s="39">
        <f t="shared" si="4"/>
        <v>0.309465172786349</v>
      </c>
      <c r="G144" s="39">
        <f t="shared" si="4"/>
        <v>0.34069186944369012</v>
      </c>
      <c r="H144" s="59">
        <f t="shared" si="2"/>
        <v>0.31411868244526098</v>
      </c>
      <c r="I144" s="62">
        <v>0.3</v>
      </c>
      <c r="J144" s="61">
        <v>0.27</v>
      </c>
      <c r="K144" s="61">
        <v>0.35</v>
      </c>
    </row>
    <row r="145" spans="2:11" x14ac:dyDescent="0.2">
      <c r="B145" s="6" t="s">
        <v>122</v>
      </c>
      <c r="C145" s="39"/>
      <c r="D145" s="39">
        <f t="shared" si="3"/>
        <v>6.3851951426651801E-2</v>
      </c>
      <c r="E145" s="39">
        <f t="shared" si="4"/>
        <v>4.9126790088442007E-2</v>
      </c>
      <c r="F145" s="39">
        <f t="shared" si="4"/>
        <v>4.5202290506518361E-2</v>
      </c>
      <c r="G145" s="39">
        <f t="shared" si="4"/>
        <v>5.4181924660483924E-2</v>
      </c>
      <c r="H145" s="59">
        <f t="shared" si="2"/>
        <v>5.3090739170524023E-2</v>
      </c>
      <c r="I145" s="62">
        <v>0.05</v>
      </c>
      <c r="J145" s="4"/>
      <c r="K145" s="4"/>
    </row>
    <row r="146" spans="2:11" x14ac:dyDescent="0.2">
      <c r="B146" s="6" t="s">
        <v>132</v>
      </c>
      <c r="C146" s="39"/>
      <c r="D146" s="39">
        <f t="shared" si="3"/>
        <v>2.4800983802097363E-2</v>
      </c>
      <c r="E146" s="39">
        <f t="shared" si="4"/>
        <v>3.7800104256941837E-2</v>
      </c>
      <c r="F146" s="39">
        <f t="shared" si="4"/>
        <v>2.5370446192845703E-2</v>
      </c>
      <c r="G146" s="39">
        <f t="shared" si="4"/>
        <v>2.3499162010406981E-2</v>
      </c>
      <c r="H146" s="59">
        <f t="shared" si="2"/>
        <v>2.7867674065572973E-2</v>
      </c>
      <c r="I146" s="62">
        <v>0.04</v>
      </c>
      <c r="J146" s="4"/>
      <c r="K146" s="4"/>
    </row>
    <row r="147" spans="2:11" x14ac:dyDescent="0.2">
      <c r="B147" s="6" t="s">
        <v>124</v>
      </c>
      <c r="C147" s="39"/>
      <c r="D147" s="39">
        <f t="shared" si="3"/>
        <v>3.0093342153282188E-2</v>
      </c>
      <c r="E147" s="39">
        <f t="shared" si="4"/>
        <v>5.4703445631583074E-2</v>
      </c>
      <c r="F147" s="39">
        <f t="shared" si="4"/>
        <v>7.8447637761646538E-2</v>
      </c>
      <c r="G147" s="39">
        <f t="shared" si="4"/>
        <v>7.0920663918170521E-2</v>
      </c>
      <c r="H147" s="59">
        <f t="shared" si="2"/>
        <v>5.8541272366170585E-2</v>
      </c>
      <c r="I147" s="62">
        <v>0.06</v>
      </c>
      <c r="J147" s="4"/>
      <c r="K147" s="4"/>
    </row>
    <row r="148" spans="2:11" x14ac:dyDescent="0.2">
      <c r="B148" s="6" t="s">
        <v>133</v>
      </c>
      <c r="C148" s="39">
        <f>C131</f>
        <v>0.2377269408906495</v>
      </c>
      <c r="D148" s="39">
        <f>D131</f>
        <v>0.23676227738116409</v>
      </c>
      <c r="E148" s="39">
        <f t="shared" si="4"/>
        <v>0.23646442069055235</v>
      </c>
      <c r="F148" s="39">
        <f t="shared" si="4"/>
        <v>0.2006204677202495</v>
      </c>
      <c r="G148" s="39">
        <f t="shared" si="4"/>
        <v>0.20696420423908085</v>
      </c>
      <c r="H148" s="59">
        <f>AVERAGE(C148:G148)</f>
        <v>0.22370766218433924</v>
      </c>
      <c r="I148" s="62">
        <v>0.2</v>
      </c>
      <c r="J148" s="61">
        <v>0.15</v>
      </c>
      <c r="K148" s="61">
        <v>0.25</v>
      </c>
    </row>
    <row r="149" spans="2:11" x14ac:dyDescent="0.2">
      <c r="G149" s="63"/>
      <c r="H149" s="63"/>
      <c r="I149" s="63"/>
      <c r="J149" s="1"/>
      <c r="K149" s="1"/>
    </row>
    <row r="150" spans="2:11" x14ac:dyDescent="0.2">
      <c r="B150" s="11" t="s">
        <v>134</v>
      </c>
      <c r="C150" s="64">
        <v>2018</v>
      </c>
      <c r="D150" s="11">
        <v>2019</v>
      </c>
      <c r="E150" s="11">
        <v>2020</v>
      </c>
      <c r="F150" s="11">
        <v>2021</v>
      </c>
      <c r="G150" s="11">
        <v>2022</v>
      </c>
      <c r="H150" s="11">
        <v>2023</v>
      </c>
      <c r="I150" s="11">
        <v>2024</v>
      </c>
      <c r="J150" s="1"/>
      <c r="K150" s="1"/>
    </row>
    <row r="151" spans="2:11" x14ac:dyDescent="0.2">
      <c r="B151" s="11" t="s">
        <v>135</v>
      </c>
      <c r="C151" s="6"/>
      <c r="D151" s="6"/>
      <c r="E151" s="6"/>
      <c r="F151" s="6"/>
      <c r="G151" s="6"/>
      <c r="H151" s="6"/>
      <c r="I151" s="1"/>
      <c r="J151" s="1"/>
      <c r="K151" s="1"/>
    </row>
    <row r="152" spans="2:11" x14ac:dyDescent="0.2">
      <c r="B152" s="6" t="s">
        <v>136</v>
      </c>
      <c r="C152" s="10">
        <f>G118</f>
        <v>14582520</v>
      </c>
      <c r="D152" s="6">
        <f t="shared" ref="D152:I152" si="5">C152*(1+$I$139)</f>
        <v>16478247.599999998</v>
      </c>
      <c r="E152" s="6">
        <f t="shared" si="5"/>
        <v>18620419.787999995</v>
      </c>
      <c r="F152" s="6">
        <f t="shared" si="5"/>
        <v>21041074.360439993</v>
      </c>
      <c r="G152" s="6">
        <f t="shared" si="5"/>
        <v>23776414.027297191</v>
      </c>
      <c r="H152" s="6">
        <f t="shared" si="5"/>
        <v>26867347.850845825</v>
      </c>
      <c r="I152" s="6">
        <f t="shared" si="5"/>
        <v>30360103.07145578</v>
      </c>
      <c r="J152" s="1"/>
      <c r="K152" s="1"/>
    </row>
    <row r="153" spans="2:11" x14ac:dyDescent="0.2">
      <c r="B153" s="6" t="s">
        <v>137</v>
      </c>
      <c r="C153" s="10">
        <f>G119</f>
        <v>13377070</v>
      </c>
      <c r="D153" s="6">
        <f t="shared" ref="D153:I153" si="6">D152*$I$140</f>
        <v>14995205.315999998</v>
      </c>
      <c r="E153" s="6">
        <f t="shared" si="6"/>
        <v>16944582.007079996</v>
      </c>
      <c r="F153" s="6">
        <f t="shared" si="6"/>
        <v>19147377.668000396</v>
      </c>
      <c r="G153" s="6">
        <f t="shared" si="6"/>
        <v>21636536.764840446</v>
      </c>
      <c r="H153" s="6">
        <f t="shared" si="6"/>
        <v>24449286.544269703</v>
      </c>
      <c r="I153" s="6">
        <f t="shared" si="6"/>
        <v>27627693.79502476</v>
      </c>
      <c r="J153" s="1"/>
      <c r="K153" s="1"/>
    </row>
    <row r="154" spans="2:11" x14ac:dyDescent="0.2">
      <c r="B154" s="65"/>
      <c r="C154" s="66"/>
      <c r="D154" s="67"/>
      <c r="E154" s="67"/>
      <c r="F154" s="67"/>
      <c r="G154" s="67"/>
      <c r="H154" s="67"/>
      <c r="I154" s="67"/>
      <c r="J154" s="1"/>
      <c r="K154" s="1"/>
    </row>
    <row r="155" spans="2:11" x14ac:dyDescent="0.2">
      <c r="B155" s="6" t="s">
        <v>138</v>
      </c>
      <c r="C155" s="68">
        <f t="shared" ref="C155:I155" si="7">C153+C154</f>
        <v>13377070</v>
      </c>
      <c r="D155" s="26">
        <f t="shared" si="7"/>
        <v>14995205.315999998</v>
      </c>
      <c r="E155" s="26">
        <f t="shared" si="7"/>
        <v>16944582.007079996</v>
      </c>
      <c r="F155" s="26">
        <f t="shared" si="7"/>
        <v>19147377.668000396</v>
      </c>
      <c r="G155" s="26">
        <f t="shared" si="7"/>
        <v>21636536.764840446</v>
      </c>
      <c r="H155" s="26">
        <f t="shared" si="7"/>
        <v>24449286.544269703</v>
      </c>
      <c r="I155" s="26">
        <f t="shared" si="7"/>
        <v>27627693.79502476</v>
      </c>
      <c r="J155" s="1"/>
      <c r="K155" s="1"/>
    </row>
    <row r="156" spans="2:11" x14ac:dyDescent="0.2">
      <c r="B156" s="6" t="s">
        <v>139</v>
      </c>
      <c r="C156" s="68">
        <f t="shared" ref="C156:I156" si="8">C152-C155</f>
        <v>1205450</v>
      </c>
      <c r="D156" s="26">
        <f t="shared" si="8"/>
        <v>1483042.284</v>
      </c>
      <c r="E156" s="26">
        <f t="shared" si="8"/>
        <v>1675837.7809199989</v>
      </c>
      <c r="F156" s="26">
        <f t="shared" si="8"/>
        <v>1893696.6924395971</v>
      </c>
      <c r="G156" s="26">
        <f t="shared" si="8"/>
        <v>2139877.2624567449</v>
      </c>
      <c r="H156" s="26">
        <f t="shared" si="8"/>
        <v>2418061.3065761216</v>
      </c>
      <c r="I156" s="26">
        <f t="shared" si="8"/>
        <v>2732409.2764310203</v>
      </c>
      <c r="J156" s="1"/>
      <c r="K156" s="1"/>
    </row>
    <row r="157" spans="2:11" x14ac:dyDescent="0.2">
      <c r="B157" s="11" t="s">
        <v>140</v>
      </c>
      <c r="C157" s="10"/>
      <c r="D157" s="6"/>
      <c r="E157" s="6"/>
      <c r="F157" s="6"/>
      <c r="G157" s="6"/>
      <c r="H157" s="6"/>
      <c r="I157" s="6"/>
      <c r="J157" s="1"/>
      <c r="K157" s="1"/>
    </row>
    <row r="158" spans="2:11" x14ac:dyDescent="0.2">
      <c r="B158" s="64" t="s">
        <v>141</v>
      </c>
      <c r="C158" s="10"/>
      <c r="D158" s="6"/>
      <c r="E158" s="6"/>
      <c r="F158" s="6"/>
      <c r="G158" s="6"/>
      <c r="H158" s="6"/>
      <c r="I158" s="6"/>
      <c r="J158" s="1"/>
      <c r="K158" s="1"/>
    </row>
    <row r="159" spans="2:11" x14ac:dyDescent="0.2">
      <c r="B159" s="6" t="s">
        <v>142</v>
      </c>
      <c r="C159" s="10">
        <f>G152*G142</f>
        <v>337053.13513280987</v>
      </c>
      <c r="D159" s="6">
        <f t="shared" ref="D159:I159" si="9">D152*$I$142</f>
        <v>329564.95199999999</v>
      </c>
      <c r="E159" s="6">
        <f t="shared" si="9"/>
        <v>372408.39575999993</v>
      </c>
      <c r="F159" s="6">
        <f t="shared" si="9"/>
        <v>420821.48720879987</v>
      </c>
      <c r="G159" s="6">
        <f t="shared" si="9"/>
        <v>475528.28054594382</v>
      </c>
      <c r="H159" s="6">
        <f t="shared" si="9"/>
        <v>537346.95701691648</v>
      </c>
      <c r="I159" s="6">
        <f t="shared" si="9"/>
        <v>607202.06142911559</v>
      </c>
      <c r="J159" s="1"/>
      <c r="K159" s="1"/>
    </row>
    <row r="160" spans="2:11" x14ac:dyDescent="0.2">
      <c r="B160" s="6" t="s">
        <v>143</v>
      </c>
      <c r="C160" s="68">
        <f>G143*C152</f>
        <v>154805</v>
      </c>
      <c r="D160" s="26">
        <f t="shared" ref="D160:I160" si="10">D152*$I$143</f>
        <v>659129.90399999998</v>
      </c>
      <c r="E160" s="26">
        <f t="shared" si="10"/>
        <v>744816.79151999985</v>
      </c>
      <c r="F160" s="26">
        <f t="shared" si="10"/>
        <v>841642.97441759973</v>
      </c>
      <c r="G160" s="26">
        <f t="shared" si="10"/>
        <v>951056.56109188765</v>
      </c>
      <c r="H160" s="26">
        <f t="shared" si="10"/>
        <v>1074693.914033833</v>
      </c>
      <c r="I160" s="26">
        <f t="shared" si="10"/>
        <v>1214404.1228582312</v>
      </c>
      <c r="J160" s="1"/>
      <c r="K160" s="1"/>
    </row>
    <row r="161" spans="2:11" x14ac:dyDescent="0.2">
      <c r="B161" s="6" t="s">
        <v>144</v>
      </c>
      <c r="C161" s="68">
        <f>G144*C152</f>
        <v>4968146</v>
      </c>
      <c r="D161" s="26">
        <f t="shared" ref="D161:I161" si="11">D152*$I$144</f>
        <v>4943474.2799999993</v>
      </c>
      <c r="E161" s="26">
        <f t="shared" si="11"/>
        <v>5586125.9363999981</v>
      </c>
      <c r="F161" s="26">
        <f t="shared" si="11"/>
        <v>6312322.3081319975</v>
      </c>
      <c r="G161" s="26">
        <f t="shared" si="11"/>
        <v>7132924.2081891568</v>
      </c>
      <c r="H161" s="26">
        <f t="shared" si="11"/>
        <v>8060204.3552537467</v>
      </c>
      <c r="I161" s="26">
        <f t="shared" si="11"/>
        <v>9108030.9214367345</v>
      </c>
      <c r="J161" s="1"/>
      <c r="K161" s="1"/>
    </row>
    <row r="162" spans="2:11" x14ac:dyDescent="0.2">
      <c r="B162" s="6" t="s">
        <v>145</v>
      </c>
      <c r="C162" s="10">
        <f t="shared" ref="C162:I162" si="12">SUM(C159:C161)</f>
        <v>5460004.1351328101</v>
      </c>
      <c r="D162" s="6">
        <f t="shared" si="12"/>
        <v>5932169.135999999</v>
      </c>
      <c r="E162" s="6">
        <f t="shared" si="12"/>
        <v>6703351.1236799974</v>
      </c>
      <c r="F162" s="6">
        <f t="shared" si="12"/>
        <v>7574786.7697583968</v>
      </c>
      <c r="G162" s="6">
        <f t="shared" si="12"/>
        <v>8559509.049826989</v>
      </c>
      <c r="H162" s="6">
        <f t="shared" si="12"/>
        <v>9672245.2263044957</v>
      </c>
      <c r="I162" s="6">
        <f t="shared" si="12"/>
        <v>10929637.105724081</v>
      </c>
      <c r="J162" s="1"/>
      <c r="K162" s="1"/>
    </row>
    <row r="163" spans="2:11" x14ac:dyDescent="0.2">
      <c r="B163" s="6" t="s">
        <v>146</v>
      </c>
      <c r="C163" s="10">
        <f>C152*G145</f>
        <v>790109</v>
      </c>
      <c r="D163" s="6">
        <f t="shared" ref="D163:I163" si="13">D152*$I$145</f>
        <v>823912.37999999989</v>
      </c>
      <c r="E163" s="6">
        <f t="shared" si="13"/>
        <v>931020.98939999985</v>
      </c>
      <c r="F163" s="6">
        <f t="shared" si="13"/>
        <v>1052053.7180219998</v>
      </c>
      <c r="G163" s="6">
        <f t="shared" si="13"/>
        <v>1188820.7013648597</v>
      </c>
      <c r="H163" s="6">
        <f t="shared" si="13"/>
        <v>1343367.3925422914</v>
      </c>
      <c r="I163" s="6">
        <f t="shared" si="13"/>
        <v>1518005.1535727892</v>
      </c>
      <c r="J163" s="1"/>
      <c r="K163" s="1"/>
    </row>
    <row r="164" spans="2:11" x14ac:dyDescent="0.2">
      <c r="B164" s="64" t="s">
        <v>147</v>
      </c>
      <c r="C164" s="10"/>
      <c r="D164" s="6"/>
      <c r="E164" s="6"/>
      <c r="F164" s="6"/>
      <c r="G164" s="6"/>
      <c r="H164" s="6"/>
      <c r="I164" s="6"/>
      <c r="J164" s="1"/>
      <c r="K164" s="1"/>
    </row>
    <row r="165" spans="2:11" x14ac:dyDescent="0.2">
      <c r="B165" s="6" t="s">
        <v>148</v>
      </c>
      <c r="C165" s="68">
        <f>G146*C152</f>
        <v>342677</v>
      </c>
      <c r="D165" s="26">
        <f t="shared" ref="D165:I165" si="14">D152*$I$146</f>
        <v>659129.90399999998</v>
      </c>
      <c r="E165" s="26">
        <f t="shared" si="14"/>
        <v>744816.79151999985</v>
      </c>
      <c r="F165" s="26">
        <f t="shared" si="14"/>
        <v>841642.97441759973</v>
      </c>
      <c r="G165" s="26">
        <f t="shared" si="14"/>
        <v>951056.56109188765</v>
      </c>
      <c r="H165" s="26">
        <f t="shared" si="14"/>
        <v>1074693.914033833</v>
      </c>
      <c r="I165" s="26">
        <f t="shared" si="14"/>
        <v>1214404.1228582312</v>
      </c>
      <c r="J165" s="1"/>
      <c r="K165" s="1"/>
    </row>
    <row r="166" spans="2:11" x14ac:dyDescent="0.2">
      <c r="B166" s="6" t="s">
        <v>149</v>
      </c>
      <c r="C166" s="68">
        <f>G147*C152</f>
        <v>1034202</v>
      </c>
      <c r="D166" s="26">
        <f t="shared" ref="D166:I166" si="15">D152*$I$147</f>
        <v>988694.8559999998</v>
      </c>
      <c r="E166" s="26">
        <f t="shared" si="15"/>
        <v>1117225.1872799997</v>
      </c>
      <c r="F166" s="26">
        <f t="shared" si="15"/>
        <v>1262464.4616263995</v>
      </c>
      <c r="G166" s="26">
        <f t="shared" si="15"/>
        <v>1426584.8416378314</v>
      </c>
      <c r="H166" s="26">
        <f t="shared" si="15"/>
        <v>1612040.8710507494</v>
      </c>
      <c r="I166" s="26">
        <f t="shared" si="15"/>
        <v>1821606.1842873467</v>
      </c>
      <c r="J166" s="1"/>
      <c r="K166" s="1"/>
    </row>
    <row r="167" spans="2:11" x14ac:dyDescent="0.2">
      <c r="B167" s="6" t="s">
        <v>150</v>
      </c>
      <c r="C167" s="68">
        <f>SUM(C165:C166)</f>
        <v>1376879</v>
      </c>
      <c r="D167" s="26">
        <f t="shared" ref="D167:I167" si="16">SUM(D165:D166)</f>
        <v>1647824.7599999998</v>
      </c>
      <c r="E167" s="26">
        <f t="shared" si="16"/>
        <v>1862041.9787999997</v>
      </c>
      <c r="F167" s="26">
        <f t="shared" si="16"/>
        <v>2104107.4360439992</v>
      </c>
      <c r="G167" s="26">
        <f t="shared" si="16"/>
        <v>2377641.4027297189</v>
      </c>
      <c r="H167" s="26">
        <f t="shared" si="16"/>
        <v>2686734.7850845824</v>
      </c>
      <c r="I167" s="26">
        <f t="shared" si="16"/>
        <v>3036010.3071455779</v>
      </c>
      <c r="J167" s="1"/>
      <c r="K167" s="1"/>
    </row>
    <row r="170" spans="2:11" x14ac:dyDescent="0.2">
      <c r="B170" s="105" t="s">
        <v>265</v>
      </c>
    </row>
    <row r="171" spans="2:11" x14ac:dyDescent="0.2">
      <c r="B171" s="33"/>
      <c r="D171" s="1"/>
      <c r="E171" s="1"/>
      <c r="F171" s="1"/>
      <c r="G171" s="1"/>
      <c r="H171" s="1"/>
      <c r="I171" s="98" t="s">
        <v>10</v>
      </c>
    </row>
    <row r="172" spans="2:11" x14ac:dyDescent="0.2">
      <c r="B172" s="54" t="s">
        <v>129</v>
      </c>
      <c r="C172" s="237" t="s">
        <v>151</v>
      </c>
      <c r="D172" s="244" t="s">
        <v>152</v>
      </c>
      <c r="E172" s="245"/>
      <c r="F172" s="245"/>
      <c r="G172" s="245"/>
      <c r="H172" s="245"/>
      <c r="I172" s="246"/>
    </row>
    <row r="173" spans="2:11" x14ac:dyDescent="0.2">
      <c r="B173" s="23"/>
      <c r="C173" s="238">
        <v>2018</v>
      </c>
      <c r="D173" s="236">
        <v>2019</v>
      </c>
      <c r="E173" s="236">
        <v>2020</v>
      </c>
      <c r="F173" s="236">
        <v>2021</v>
      </c>
      <c r="G173" s="236">
        <v>2022</v>
      </c>
      <c r="H173" s="236">
        <v>2023</v>
      </c>
      <c r="I173" s="152">
        <v>2024</v>
      </c>
    </row>
    <row r="174" spans="2:11" x14ac:dyDescent="0.2">
      <c r="B174" s="64" t="s">
        <v>153</v>
      </c>
      <c r="C174" s="10"/>
      <c r="D174" s="6"/>
      <c r="E174" s="6"/>
      <c r="F174" s="6"/>
      <c r="G174" s="6"/>
      <c r="H174" s="6"/>
      <c r="I174" s="6"/>
    </row>
    <row r="175" spans="2:11" x14ac:dyDescent="0.2">
      <c r="B175" s="6" t="s">
        <v>154</v>
      </c>
      <c r="C175" s="68">
        <f>C162-C167</f>
        <v>4083125.1351328101</v>
      </c>
      <c r="D175" s="68">
        <f t="shared" ref="D175:I175" si="17">D162-D167</f>
        <v>4284344.3759999992</v>
      </c>
      <c r="E175" s="68">
        <f t="shared" si="17"/>
        <v>4841309.1448799977</v>
      </c>
      <c r="F175" s="68">
        <f t="shared" si="17"/>
        <v>5470679.3337143976</v>
      </c>
      <c r="G175" s="68">
        <f t="shared" si="17"/>
        <v>6181867.64709727</v>
      </c>
      <c r="H175" s="68">
        <f t="shared" si="17"/>
        <v>6985510.4412199128</v>
      </c>
      <c r="I175" s="68">
        <f t="shared" si="17"/>
        <v>7893626.7985785035</v>
      </c>
    </row>
    <row r="176" spans="2:11" x14ac:dyDescent="0.2">
      <c r="B176" s="6" t="s">
        <v>146</v>
      </c>
      <c r="C176" s="10">
        <f>C163</f>
        <v>790109</v>
      </c>
      <c r="D176" s="10">
        <f t="shared" ref="D176:I176" si="18">D163</f>
        <v>823912.37999999989</v>
      </c>
      <c r="E176" s="10">
        <f t="shared" si="18"/>
        <v>931020.98939999985</v>
      </c>
      <c r="F176" s="10">
        <f t="shared" si="18"/>
        <v>1052053.7180219998</v>
      </c>
      <c r="G176" s="10">
        <f t="shared" si="18"/>
        <v>1188820.7013648597</v>
      </c>
      <c r="H176" s="10">
        <f t="shared" si="18"/>
        <v>1343367.3925422914</v>
      </c>
      <c r="I176" s="10">
        <f t="shared" si="18"/>
        <v>1518005.1535727892</v>
      </c>
    </row>
    <row r="177" spans="2:13" x14ac:dyDescent="0.2">
      <c r="B177" s="6" t="s">
        <v>155</v>
      </c>
      <c r="C177" s="68">
        <f>C175+C176</f>
        <v>4873234.1351328101</v>
      </c>
      <c r="D177" s="68">
        <f t="shared" ref="D177:I177" si="19">D175+D176</f>
        <v>5108256.7559999991</v>
      </c>
      <c r="E177" s="68">
        <f t="shared" si="19"/>
        <v>5772330.134279998</v>
      </c>
      <c r="F177" s="68">
        <f t="shared" si="19"/>
        <v>6522733.0517363977</v>
      </c>
      <c r="G177" s="68">
        <f t="shared" si="19"/>
        <v>7370688.3484621299</v>
      </c>
      <c r="H177" s="68">
        <f t="shared" si="19"/>
        <v>8328877.8337622043</v>
      </c>
      <c r="I177" s="68">
        <f t="shared" si="19"/>
        <v>9411631.9521512929</v>
      </c>
    </row>
    <row r="178" spans="2:13" x14ac:dyDescent="0.2">
      <c r="B178" s="6" t="s">
        <v>156</v>
      </c>
      <c r="C178" s="10"/>
      <c r="D178" s="6">
        <f t="shared" ref="D178:I178" si="20">D177-C177</f>
        <v>235022.62086718902</v>
      </c>
      <c r="E178" s="13">
        <f t="shared" si="20"/>
        <v>664073.3782799989</v>
      </c>
      <c r="F178" s="13">
        <f t="shared" si="20"/>
        <v>750402.91745639965</v>
      </c>
      <c r="G178" s="13">
        <f t="shared" si="20"/>
        <v>847955.29672573227</v>
      </c>
      <c r="H178" s="13">
        <f t="shared" si="20"/>
        <v>958189.48530007433</v>
      </c>
      <c r="I178" s="13">
        <f t="shared" si="20"/>
        <v>1082754.1183890887</v>
      </c>
    </row>
    <row r="179" spans="2:13" x14ac:dyDescent="0.2">
      <c r="B179" s="44" t="s">
        <v>157</v>
      </c>
      <c r="C179" s="69">
        <f>G148</f>
        <v>0.20696420423908085</v>
      </c>
      <c r="D179" s="69">
        <f t="shared" ref="D179:I179" si="21">$I$148</f>
        <v>0.2</v>
      </c>
      <c r="E179" s="69">
        <f t="shared" si="21"/>
        <v>0.2</v>
      </c>
      <c r="F179" s="69">
        <f t="shared" si="21"/>
        <v>0.2</v>
      </c>
      <c r="G179" s="69">
        <f t="shared" si="21"/>
        <v>0.2</v>
      </c>
      <c r="H179" s="69">
        <f t="shared" si="21"/>
        <v>0.2</v>
      </c>
      <c r="I179" s="69">
        <f t="shared" si="21"/>
        <v>0.2</v>
      </c>
    </row>
    <row r="180" spans="2:13" x14ac:dyDescent="0.2">
      <c r="B180" s="6" t="s">
        <v>158</v>
      </c>
      <c r="C180" s="10">
        <f>C156*(1-C179)</f>
        <v>955964.99999999988</v>
      </c>
      <c r="D180" s="10">
        <f t="shared" ref="D180:I180" si="22">D156*(1-D179)</f>
        <v>1186433.8271999999</v>
      </c>
      <c r="E180" s="10">
        <f t="shared" si="22"/>
        <v>1340670.2247359992</v>
      </c>
      <c r="F180" s="10">
        <f t="shared" si="22"/>
        <v>1514957.3539516777</v>
      </c>
      <c r="G180" s="10">
        <f t="shared" si="22"/>
        <v>1711901.8099653961</v>
      </c>
      <c r="H180" s="10">
        <f t="shared" si="22"/>
        <v>1934449.0452608974</v>
      </c>
      <c r="I180" s="10">
        <f t="shared" si="22"/>
        <v>2185927.4211448166</v>
      </c>
    </row>
    <row r="181" spans="2:13" x14ac:dyDescent="0.2">
      <c r="B181" s="6" t="s">
        <v>159</v>
      </c>
      <c r="C181" s="10">
        <f>C180-C178</f>
        <v>955964.99999999988</v>
      </c>
      <c r="D181" s="10">
        <f t="shared" ref="D181:I181" si="23">D180-D178</f>
        <v>951411.20633281092</v>
      </c>
      <c r="E181" s="10">
        <f t="shared" si="23"/>
        <v>676596.84645600035</v>
      </c>
      <c r="F181" s="10">
        <f t="shared" si="23"/>
        <v>764554.43649527803</v>
      </c>
      <c r="G181" s="10">
        <f t="shared" si="23"/>
        <v>863946.51323966379</v>
      </c>
      <c r="H181" s="10">
        <f t="shared" si="23"/>
        <v>976259.55996082304</v>
      </c>
      <c r="I181" s="10">
        <f t="shared" si="23"/>
        <v>1103173.3027557279</v>
      </c>
    </row>
    <row r="182" spans="2:13" x14ac:dyDescent="0.2">
      <c r="B182" s="6" t="s">
        <v>160</v>
      </c>
      <c r="C182" s="10"/>
      <c r="D182" s="37">
        <f t="shared" ref="D182:I182" si="24">D181/C181-1</f>
        <v>-4.7635568950630258E-3</v>
      </c>
      <c r="E182" s="37">
        <f t="shared" si="24"/>
        <v>-0.28884919375300944</v>
      </c>
      <c r="F182" s="37">
        <f t="shared" si="24"/>
        <v>0.12999999999999656</v>
      </c>
      <c r="G182" s="37">
        <f t="shared" si="24"/>
        <v>0.12999999999999945</v>
      </c>
      <c r="H182" s="37">
        <f t="shared" si="24"/>
        <v>0.13000000000000345</v>
      </c>
      <c r="I182" s="37">
        <f t="shared" si="24"/>
        <v>0.1299999999999979</v>
      </c>
    </row>
    <row r="183" spans="2:13" x14ac:dyDescent="0.2">
      <c r="B183" s="64" t="s">
        <v>161</v>
      </c>
      <c r="C183" s="10"/>
      <c r="D183" s="6"/>
      <c r="E183" s="6"/>
      <c r="F183" s="6"/>
      <c r="G183" s="6"/>
      <c r="H183" s="6"/>
      <c r="I183" s="4"/>
    </row>
    <row r="184" spans="2:13" x14ac:dyDescent="0.2">
      <c r="B184" s="6" t="s">
        <v>162</v>
      </c>
      <c r="C184" s="10"/>
      <c r="D184" s="6"/>
      <c r="E184" s="6"/>
      <c r="F184" s="6"/>
      <c r="G184" s="6"/>
      <c r="H184" s="13"/>
      <c r="I184" s="6">
        <f>(I181*(1+I182))/(D188-I182)</f>
        <v>38834449.598563515</v>
      </c>
    </row>
    <row r="185" spans="2:13" x14ac:dyDescent="0.2">
      <c r="B185" s="6"/>
      <c r="C185" s="10"/>
      <c r="D185" s="13">
        <f>D181</f>
        <v>951411.20633281092</v>
      </c>
      <c r="E185" s="13">
        <f>E181</f>
        <v>676596.84645600035</v>
      </c>
      <c r="F185" s="13">
        <f>F181</f>
        <v>764554.43649527803</v>
      </c>
      <c r="G185" s="13">
        <f>G181</f>
        <v>863946.51323966379</v>
      </c>
      <c r="H185" s="13">
        <f>H181+H184</f>
        <v>976259.55996082304</v>
      </c>
      <c r="I185" s="13">
        <f>I181+I184</f>
        <v>39937622.901319243</v>
      </c>
    </row>
    <row r="186" spans="2:13" x14ac:dyDescent="0.2">
      <c r="B186" s="6" t="s">
        <v>163</v>
      </c>
      <c r="C186" s="209">
        <f>NPV(D188,D185:I185)</f>
        <v>18956367.42537057</v>
      </c>
      <c r="D186" s="70"/>
      <c r="E186" s="6"/>
      <c r="F186" s="6"/>
      <c r="G186" s="6"/>
      <c r="H186" s="6"/>
      <c r="I186" s="4"/>
    </row>
    <row r="187" spans="2:13" x14ac:dyDescent="0.2">
      <c r="B187" s="6" t="s">
        <v>164</v>
      </c>
      <c r="C187" s="210">
        <f>C186-C177</f>
        <v>14083133.29023776</v>
      </c>
      <c r="D187" s="71"/>
      <c r="E187" s="6"/>
      <c r="F187" s="6"/>
      <c r="G187" s="6"/>
      <c r="H187" s="6"/>
      <c r="I187" s="6"/>
    </row>
    <row r="188" spans="2:13" x14ac:dyDescent="0.2">
      <c r="B188" s="1"/>
      <c r="C188" s="33" t="s">
        <v>274</v>
      </c>
      <c r="D188" s="211">
        <v>0.16209999999999999</v>
      </c>
      <c r="E188" s="1" t="s">
        <v>261</v>
      </c>
      <c r="F188" s="1" t="s">
        <v>262</v>
      </c>
      <c r="G188" s="72">
        <v>0.25</v>
      </c>
      <c r="H188" s="72" t="s">
        <v>263</v>
      </c>
      <c r="I188" s="72">
        <v>0.15</v>
      </c>
    </row>
    <row r="189" spans="2:13" x14ac:dyDescent="0.2">
      <c r="L189" s="14" t="s">
        <v>238</v>
      </c>
    </row>
    <row r="190" spans="2:13" ht="34" x14ac:dyDescent="0.2">
      <c r="D190" s="14" t="s">
        <v>165</v>
      </c>
      <c r="L190" s="73" t="s">
        <v>239</v>
      </c>
      <c r="M190" s="74">
        <v>5.34</v>
      </c>
    </row>
    <row r="191" spans="2:13" ht="51" x14ac:dyDescent="0.2">
      <c r="B191" s="105" t="s">
        <v>266</v>
      </c>
      <c r="C191" s="1"/>
      <c r="L191" s="73" t="s">
        <v>240</v>
      </c>
      <c r="M191" s="74">
        <v>5.34</v>
      </c>
    </row>
    <row r="192" spans="2:13" ht="17" x14ac:dyDescent="0.2">
      <c r="B192" s="1"/>
      <c r="C192" s="16" t="s">
        <v>166</v>
      </c>
      <c r="L192" s="75" t="s">
        <v>241</v>
      </c>
      <c r="M192" s="74">
        <v>11.94</v>
      </c>
    </row>
    <row r="193" spans="2:13" ht="51" x14ac:dyDescent="0.2">
      <c r="B193" s="6" t="s">
        <v>285</v>
      </c>
      <c r="C193" s="26">
        <f>C186</f>
        <v>18956367.42537057</v>
      </c>
      <c r="E193" s="14" t="s">
        <v>175</v>
      </c>
      <c r="I193" s="14">
        <v>167002273</v>
      </c>
      <c r="J193" s="14" t="s">
        <v>176</v>
      </c>
      <c r="L193" s="75" t="s">
        <v>252</v>
      </c>
      <c r="M193" s="74">
        <v>20.329999999999998</v>
      </c>
    </row>
    <row r="194" spans="2:13" ht="17" x14ac:dyDescent="0.2">
      <c r="B194" s="6" t="s">
        <v>167</v>
      </c>
      <c r="C194" s="26">
        <f>G17</f>
        <v>0</v>
      </c>
      <c r="L194" s="75" t="s">
        <v>242</v>
      </c>
      <c r="M194" s="74">
        <v>0.28999999999999998</v>
      </c>
    </row>
    <row r="195" spans="2:13" ht="34" x14ac:dyDescent="0.2">
      <c r="B195" s="6" t="s">
        <v>168</v>
      </c>
      <c r="C195" s="30">
        <f>C193+C194</f>
        <v>18956367.42537057</v>
      </c>
      <c r="L195" s="75" t="s">
        <v>243</v>
      </c>
      <c r="M195" s="76">
        <v>225293585</v>
      </c>
    </row>
    <row r="196" spans="2:13" ht="34" x14ac:dyDescent="0.2">
      <c r="B196" s="6" t="s">
        <v>169</v>
      </c>
      <c r="C196" s="26">
        <f>G45+G48+G49</f>
        <v>1811616</v>
      </c>
      <c r="F196" s="14" t="s">
        <v>244</v>
      </c>
      <c r="G196" s="14">
        <f>G198/G197</f>
        <v>14.380496836907886</v>
      </c>
      <c r="L196" s="75" t="s">
        <v>245</v>
      </c>
      <c r="M196" s="76">
        <v>225188176</v>
      </c>
    </row>
    <row r="197" spans="2:13" ht="34" x14ac:dyDescent="0.2">
      <c r="B197" s="6" t="s">
        <v>170</v>
      </c>
      <c r="C197" s="26">
        <v>0</v>
      </c>
      <c r="F197" s="14" t="s">
        <v>246</v>
      </c>
      <c r="G197" s="14">
        <v>6.4809999999999999</v>
      </c>
      <c r="H197" s="14" t="s">
        <v>247</v>
      </c>
      <c r="L197" s="75" t="s">
        <v>253</v>
      </c>
      <c r="M197" s="77">
        <v>14367.01</v>
      </c>
    </row>
    <row r="198" spans="2:13" ht="34" x14ac:dyDescent="0.2">
      <c r="B198" s="6" t="s">
        <v>171</v>
      </c>
      <c r="C198" s="30">
        <f>C195-C196-C197</f>
        <v>17144751.42537057</v>
      </c>
      <c r="F198" s="14" t="s">
        <v>248</v>
      </c>
      <c r="G198" s="14">
        <v>93.2</v>
      </c>
      <c r="H198" s="14" t="s">
        <v>249</v>
      </c>
      <c r="L198" s="75" t="s">
        <v>250</v>
      </c>
      <c r="M198" s="78">
        <v>595453</v>
      </c>
    </row>
    <row r="199" spans="2:13" x14ac:dyDescent="0.2">
      <c r="B199" s="6" t="s">
        <v>172</v>
      </c>
      <c r="C199" s="26">
        <v>167</v>
      </c>
      <c r="D199" s="14" t="s">
        <v>174</v>
      </c>
    </row>
    <row r="200" spans="2:13" x14ac:dyDescent="0.2">
      <c r="B200" s="6" t="s">
        <v>173</v>
      </c>
      <c r="C200" s="27">
        <f>C198/C199</f>
        <v>102663.18218784772</v>
      </c>
    </row>
    <row r="203" spans="2:13" x14ac:dyDescent="0.2">
      <c r="B203" s="198" t="s">
        <v>268</v>
      </c>
    </row>
    <row r="205" spans="2:13" x14ac:dyDescent="0.2">
      <c r="B205" s="14" t="s">
        <v>177</v>
      </c>
      <c r="C205" s="79"/>
      <c r="D205" s="79"/>
      <c r="E205" s="80">
        <v>0.1</v>
      </c>
      <c r="F205" s="80">
        <v>0.13</v>
      </c>
      <c r="G205" s="80">
        <v>0.2</v>
      </c>
    </row>
    <row r="206" spans="2:13" x14ac:dyDescent="0.2">
      <c r="C206" s="4" t="s">
        <v>178</v>
      </c>
      <c r="D206" s="82">
        <f>C193</f>
        <v>18956367.42537057</v>
      </c>
      <c r="E206" s="4">
        <f t="dataTable" ref="E206:G207" dt2D="0" dtr="1" r1="I139" ca="1"/>
        <v>11592343.971582707</v>
      </c>
      <c r="F206" s="81">
        <v>18956367.42537057</v>
      </c>
      <c r="G206" s="4">
        <v>-9005931.041466767</v>
      </c>
    </row>
    <row r="207" spans="2:13" x14ac:dyDescent="0.2">
      <c r="C207" s="4" t="s">
        <v>179</v>
      </c>
      <c r="D207" s="82">
        <f>C200</f>
        <v>102663.18218784772</v>
      </c>
      <c r="E207" s="4">
        <v>58567.233362770698</v>
      </c>
      <c r="F207" s="81">
        <v>102663.18218784772</v>
      </c>
      <c r="G207" s="4">
        <v>-64775.730787226152</v>
      </c>
    </row>
    <row r="209" spans="2:7" x14ac:dyDescent="0.2">
      <c r="B209" s="14" t="s">
        <v>180</v>
      </c>
      <c r="C209" s="79"/>
      <c r="D209" s="79"/>
      <c r="E209" s="80">
        <v>0.88</v>
      </c>
      <c r="F209" s="80">
        <v>0.91</v>
      </c>
      <c r="G209" s="80">
        <v>0.95</v>
      </c>
    </row>
    <row r="210" spans="2:7" x14ac:dyDescent="0.2">
      <c r="C210" s="4" t="s">
        <v>178</v>
      </c>
      <c r="D210" s="82">
        <f>C193</f>
        <v>18956367.42537057</v>
      </c>
      <c r="E210" s="4">
        <f t="dataTable" ref="E210:G211" dt2D="0" dtr="1" r1="I140" ca="1"/>
        <v>31276552.546865199</v>
      </c>
      <c r="F210" s="81">
        <v>18956367.42537057</v>
      </c>
      <c r="G210" s="4">
        <v>2529453.9300425677</v>
      </c>
    </row>
    <row r="211" spans="2:7" x14ac:dyDescent="0.2">
      <c r="C211" s="4" t="s">
        <v>179</v>
      </c>
      <c r="D211" s="82">
        <f>C200</f>
        <v>102663.18218784772</v>
      </c>
      <c r="E211" s="4">
        <v>176436.74578961197</v>
      </c>
      <c r="F211" s="81">
        <v>102663.18218784772</v>
      </c>
      <c r="G211" s="4">
        <v>4298.4307188177709</v>
      </c>
    </row>
    <row r="213" spans="2:7" x14ac:dyDescent="0.2">
      <c r="B213" s="14" t="s">
        <v>181</v>
      </c>
      <c r="C213" s="79"/>
      <c r="D213" s="79"/>
      <c r="E213" s="80">
        <v>0.27</v>
      </c>
      <c r="F213" s="80">
        <v>0.3</v>
      </c>
      <c r="G213" s="80">
        <v>0.35</v>
      </c>
    </row>
    <row r="214" spans="2:7" x14ac:dyDescent="0.2">
      <c r="C214" s="4" t="s">
        <v>178</v>
      </c>
      <c r="D214" s="82">
        <f>C193</f>
        <v>18956367.42537057</v>
      </c>
      <c r="E214" s="4">
        <f t="dataTable" ref="E214:G215" dt2D="0" dtr="1" r1="I144" ca="1"/>
        <v>21104528.091617554</v>
      </c>
      <c r="F214" s="81">
        <v>18956367.42537057</v>
      </c>
      <c r="G214" s="4">
        <v>15376099.648297846</v>
      </c>
    </row>
    <row r="215" spans="2:7" x14ac:dyDescent="0.2">
      <c r="C215" s="4" t="s">
        <v>179</v>
      </c>
      <c r="D215" s="82">
        <f>C200</f>
        <v>102663.18218784772</v>
      </c>
      <c r="E215" s="4">
        <v>115526.41971028475</v>
      </c>
      <c r="F215" s="81">
        <v>102663.18218784772</v>
      </c>
      <c r="G215" s="4">
        <v>81224.452983819443</v>
      </c>
    </row>
    <row r="217" spans="2:7" x14ac:dyDescent="0.2">
      <c r="B217" s="14" t="s">
        <v>182</v>
      </c>
      <c r="C217" s="79"/>
      <c r="D217" s="79"/>
      <c r="E217" s="80">
        <v>0.02</v>
      </c>
      <c r="F217" s="80">
        <v>0.04</v>
      </c>
      <c r="G217" s="80">
        <v>0.06</v>
      </c>
    </row>
    <row r="218" spans="2:7" x14ac:dyDescent="0.2">
      <c r="C218" s="4" t="s">
        <v>178</v>
      </c>
      <c r="D218" s="82">
        <f>C193</f>
        <v>18956367.42537057</v>
      </c>
      <c r="E218" s="4">
        <f t="dataTable" ref="E218:G219" dt2D="0" dtr="1" r1="I143" ca="1"/>
        <v>20388474.536199823</v>
      </c>
      <c r="F218" s="81">
        <v>18956367.42537057</v>
      </c>
      <c r="G218" s="4">
        <v>17524260.314543284</v>
      </c>
    </row>
    <row r="219" spans="2:7" x14ac:dyDescent="0.2">
      <c r="C219" s="4" t="s">
        <v>179</v>
      </c>
      <c r="D219" s="82">
        <f>C200</f>
        <v>102663.18218784772</v>
      </c>
      <c r="E219" s="4">
        <v>111238.67386946002</v>
      </c>
      <c r="F219" s="81">
        <v>102663.18218784772</v>
      </c>
      <c r="G219" s="4">
        <v>94087.690506247207</v>
      </c>
    </row>
    <row r="221" spans="2:7" x14ac:dyDescent="0.2">
      <c r="B221" s="14" t="s">
        <v>272</v>
      </c>
      <c r="C221" s="79"/>
      <c r="D221" s="79"/>
      <c r="E221" s="80">
        <v>0.15</v>
      </c>
      <c r="F221" s="80">
        <v>0.2</v>
      </c>
      <c r="G221" s="80">
        <v>0.25</v>
      </c>
    </row>
    <row r="222" spans="2:7" x14ac:dyDescent="0.2">
      <c r="C222" s="4" t="s">
        <v>178</v>
      </c>
      <c r="D222" s="82">
        <f>C193</f>
        <v>18956367.42537057</v>
      </c>
      <c r="E222" s="4">
        <f t="dataTable" ref="E222:G223" dt2D="0" dtr="1" r1="I148" ca="1"/>
        <v>21266402.135650937</v>
      </c>
      <c r="F222" s="81">
        <v>18956367.42537057</v>
      </c>
      <c r="G222" s="4">
        <v>16646332.715090027</v>
      </c>
    </row>
    <row r="223" spans="2:7" x14ac:dyDescent="0.2">
      <c r="C223" s="4" t="s">
        <v>179</v>
      </c>
      <c r="D223" s="82">
        <f>C200</f>
        <v>102663.18218784772</v>
      </c>
      <c r="E223" s="4">
        <v>116495.72536317926</v>
      </c>
      <c r="F223" s="81">
        <v>102663.18218784772</v>
      </c>
      <c r="G223" s="4">
        <v>88830.639012515137</v>
      </c>
    </row>
    <row r="225" spans="2:16" x14ac:dyDescent="0.2">
      <c r="B225" s="14" t="s">
        <v>183</v>
      </c>
      <c r="C225" s="79"/>
      <c r="D225" s="79"/>
      <c r="E225" s="83">
        <v>0.15</v>
      </c>
      <c r="F225" s="83">
        <v>0.16209999999999999</v>
      </c>
      <c r="G225" s="80">
        <v>0.25</v>
      </c>
      <c r="J225" s="49"/>
      <c r="K225" s="49"/>
      <c r="L225" s="212"/>
    </row>
    <row r="226" spans="2:16" x14ac:dyDescent="0.2">
      <c r="C226" s="4" t="s">
        <v>178</v>
      </c>
      <c r="D226" s="82">
        <f>C186</f>
        <v>18956367.42537057</v>
      </c>
      <c r="E226" s="4">
        <f t="dataTable" ref="E226:G227" dt2D="0" dtr="1" r1="D188"/>
        <v>30244568.286199521</v>
      </c>
      <c r="F226" s="81">
        <v>18956367.42537057</v>
      </c>
      <c r="G226" s="4">
        <v>5271774.6081061885</v>
      </c>
      <c r="I226" s="84"/>
    </row>
    <row r="227" spans="2:16" x14ac:dyDescent="0.2">
      <c r="C227" s="4" t="s">
        <v>179</v>
      </c>
      <c r="D227" s="82">
        <f>C200</f>
        <v>102663.18218784772</v>
      </c>
      <c r="E227" s="4">
        <v>170257.19931856001</v>
      </c>
      <c r="F227" s="81">
        <v>102663.18218784772</v>
      </c>
      <c r="G227" s="4">
        <v>20719.51262339035</v>
      </c>
      <c r="I227" s="84"/>
    </row>
    <row r="229" spans="2:16" x14ac:dyDescent="0.2">
      <c r="B229" s="199" t="s">
        <v>269</v>
      </c>
    </row>
    <row r="230" spans="2:16" x14ac:dyDescent="0.2">
      <c r="C230" s="1"/>
      <c r="D230" s="85"/>
    </row>
    <row r="232" spans="2:16" ht="51" x14ac:dyDescent="0.2">
      <c r="B232" s="86" t="s">
        <v>184</v>
      </c>
      <c r="C232" s="232" t="s">
        <v>185</v>
      </c>
      <c r="D232" s="232" t="s">
        <v>186</v>
      </c>
      <c r="E232" s="232" t="s">
        <v>187</v>
      </c>
      <c r="F232" s="232" t="s">
        <v>188</v>
      </c>
      <c r="G232" s="232" t="s">
        <v>189</v>
      </c>
      <c r="H232" s="232" t="s">
        <v>190</v>
      </c>
      <c r="I232" s="232" t="s">
        <v>185</v>
      </c>
      <c r="J232" s="232" t="s">
        <v>186</v>
      </c>
      <c r="K232" s="232" t="s">
        <v>187</v>
      </c>
      <c r="L232" s="232" t="s">
        <v>112</v>
      </c>
      <c r="M232" s="232" t="s">
        <v>191</v>
      </c>
      <c r="N232" s="232" t="s">
        <v>192</v>
      </c>
      <c r="O232" s="231" t="s">
        <v>273</v>
      </c>
      <c r="P232" s="232" t="s">
        <v>193</v>
      </c>
    </row>
    <row r="233" spans="2:16" x14ac:dyDescent="0.2">
      <c r="B233" s="1" t="s">
        <v>194</v>
      </c>
      <c r="C233" s="32">
        <v>0.6</v>
      </c>
      <c r="D233" s="32">
        <v>0.3</v>
      </c>
      <c r="E233" s="32">
        <v>0.1</v>
      </c>
      <c r="F233" s="61">
        <v>0.2</v>
      </c>
      <c r="G233" s="61">
        <v>0.13</v>
      </c>
      <c r="H233" s="61">
        <v>0.1</v>
      </c>
      <c r="I233" s="68">
        <f>G206</f>
        <v>-9005931.041466767</v>
      </c>
      <c r="J233" s="82">
        <f>F206</f>
        <v>18956367.42537057</v>
      </c>
      <c r="K233" s="68">
        <f>E206</f>
        <v>11592343.971582707</v>
      </c>
      <c r="L233" s="4">
        <f t="shared" ref="L233:L238" si="25">SUMPRODUCT(C233:E233,I233:K233)</f>
        <v>1442585.9998893822</v>
      </c>
      <c r="M233" s="82">
        <f t="shared" ref="M233:M238" si="26">L233-J233</f>
        <v>-17513781.425481189</v>
      </c>
      <c r="N233" s="48">
        <f t="shared" ref="N233:N238" si="27">M233/J233</f>
        <v>-0.92389966033478166</v>
      </c>
      <c r="O233" s="90" t="s">
        <v>195</v>
      </c>
      <c r="P233" s="213">
        <v>1</v>
      </c>
    </row>
    <row r="234" spans="2:16" x14ac:dyDescent="0.2">
      <c r="B234" s="1" t="s">
        <v>270</v>
      </c>
      <c r="C234" s="32">
        <v>0.6</v>
      </c>
      <c r="D234" s="32">
        <v>0.3</v>
      </c>
      <c r="E234" s="32">
        <v>0.1</v>
      </c>
      <c r="F234" s="61">
        <v>0.95</v>
      </c>
      <c r="G234" s="61">
        <v>0.91</v>
      </c>
      <c r="H234" s="61">
        <v>0.88</v>
      </c>
      <c r="I234" s="82">
        <f>G210</f>
        <v>2529453.9300425677</v>
      </c>
      <c r="J234" s="82">
        <f>F210</f>
        <v>18956367.42537057</v>
      </c>
      <c r="K234" s="4">
        <f>E210</f>
        <v>31276552.546865199</v>
      </c>
      <c r="L234" s="4">
        <f t="shared" si="25"/>
        <v>10332237.840323232</v>
      </c>
      <c r="M234" s="82">
        <f t="shared" si="26"/>
        <v>-8624129.5850473382</v>
      </c>
      <c r="N234" s="48">
        <f t="shared" si="27"/>
        <v>-0.454946319172158</v>
      </c>
      <c r="O234" s="90" t="s">
        <v>196</v>
      </c>
      <c r="P234" s="213">
        <v>2</v>
      </c>
    </row>
    <row r="235" spans="2:16" x14ac:dyDescent="0.2">
      <c r="B235" s="1" t="s">
        <v>197</v>
      </c>
      <c r="C235" s="32">
        <v>0.6</v>
      </c>
      <c r="D235" s="32">
        <v>0.3</v>
      </c>
      <c r="E235" s="32">
        <v>0.1</v>
      </c>
      <c r="F235" s="61">
        <v>0.06</v>
      </c>
      <c r="G235" s="61">
        <v>0.04</v>
      </c>
      <c r="H235" s="61">
        <v>0.02</v>
      </c>
      <c r="I235" s="4">
        <f>G218</f>
        <v>17524260.314543284</v>
      </c>
      <c r="J235" s="82">
        <f>F218</f>
        <v>18956367.42537057</v>
      </c>
      <c r="K235" s="4">
        <f>E218</f>
        <v>20388474.536199823</v>
      </c>
      <c r="L235" s="4">
        <f t="shared" si="25"/>
        <v>18240313.869957123</v>
      </c>
      <c r="M235" s="82">
        <f t="shared" si="26"/>
        <v>-716053.55541344732</v>
      </c>
      <c r="N235" s="48">
        <f t="shared" si="27"/>
        <v>-3.7773774866544582E-2</v>
      </c>
      <c r="O235" s="90" t="s">
        <v>203</v>
      </c>
      <c r="P235" s="213"/>
    </row>
    <row r="236" spans="2:16" x14ac:dyDescent="0.2">
      <c r="B236" s="1" t="s">
        <v>198</v>
      </c>
      <c r="C236" s="32">
        <v>0.6</v>
      </c>
      <c r="D236" s="32">
        <v>0.2</v>
      </c>
      <c r="E236" s="32">
        <v>0.2</v>
      </c>
      <c r="F236" s="61">
        <v>0.35</v>
      </c>
      <c r="G236" s="61">
        <v>0.3</v>
      </c>
      <c r="H236" s="61">
        <v>0.27</v>
      </c>
      <c r="I236" s="4">
        <f>G214</f>
        <v>15376099.648297846</v>
      </c>
      <c r="J236" s="82">
        <f>F214</f>
        <v>18956367.42537057</v>
      </c>
      <c r="K236" s="4">
        <f>E214</f>
        <v>21104528.091617554</v>
      </c>
      <c r="L236" s="4">
        <f t="shared" si="25"/>
        <v>17237838.892376333</v>
      </c>
      <c r="M236" s="82">
        <f t="shared" si="26"/>
        <v>-1718528.5329942368</v>
      </c>
      <c r="N236" s="48">
        <f t="shared" si="27"/>
        <v>-9.0657059679810567E-2</v>
      </c>
      <c r="O236" s="227" t="s">
        <v>203</v>
      </c>
      <c r="P236" s="213"/>
    </row>
    <row r="237" spans="2:16" x14ac:dyDescent="0.2">
      <c r="B237" s="1" t="s">
        <v>237</v>
      </c>
      <c r="C237" s="32">
        <v>0.3</v>
      </c>
      <c r="D237" s="32">
        <v>0.5</v>
      </c>
      <c r="E237" s="32">
        <v>0.2</v>
      </c>
      <c r="F237" s="61">
        <v>0.25</v>
      </c>
      <c r="G237" s="61">
        <v>0.2</v>
      </c>
      <c r="H237" s="61">
        <v>0.15</v>
      </c>
      <c r="I237" s="4">
        <f>G222</f>
        <v>16646332.715090027</v>
      </c>
      <c r="J237" s="82">
        <f>F222</f>
        <v>18956367.42537057</v>
      </c>
      <c r="K237" s="4">
        <f>E222</f>
        <v>21266402.135650937</v>
      </c>
      <c r="L237" s="4">
        <f t="shared" si="25"/>
        <v>18725363.954342481</v>
      </c>
      <c r="M237" s="82">
        <f>L237-J237</f>
        <v>-231003.47102808952</v>
      </c>
      <c r="N237" s="48">
        <f t="shared" si="27"/>
        <v>-1.2186062120684692E-2</v>
      </c>
      <c r="O237" s="227" t="s">
        <v>203</v>
      </c>
      <c r="P237" s="213"/>
    </row>
    <row r="238" spans="2:16" x14ac:dyDescent="0.2">
      <c r="B238" s="1" t="s">
        <v>236</v>
      </c>
      <c r="C238" s="32">
        <v>0.6</v>
      </c>
      <c r="D238" s="32">
        <v>0.2</v>
      </c>
      <c r="E238" s="32">
        <v>0.2</v>
      </c>
      <c r="F238" s="61">
        <v>0.25</v>
      </c>
      <c r="G238" s="61">
        <v>0.15</v>
      </c>
      <c r="H238" s="87">
        <v>0.16209999999999999</v>
      </c>
      <c r="I238" s="214">
        <f>G226</f>
        <v>5271774.6081061885</v>
      </c>
      <c r="J238" s="82">
        <f>F226</f>
        <v>18956367.42537057</v>
      </c>
      <c r="K238" s="82">
        <f>E226</f>
        <v>30244568.286199521</v>
      </c>
      <c r="L238" s="4">
        <f t="shared" si="25"/>
        <v>13003251.907177731</v>
      </c>
      <c r="M238" s="82">
        <f t="shared" si="26"/>
        <v>-5953115.5181928389</v>
      </c>
      <c r="N238" s="48">
        <f t="shared" si="27"/>
        <v>-0.31404305395691939</v>
      </c>
      <c r="O238" s="227" t="s">
        <v>199</v>
      </c>
      <c r="P238" s="213">
        <v>3</v>
      </c>
    </row>
    <row r="239" spans="2:16" x14ac:dyDescent="0.2">
      <c r="B239" s="1"/>
      <c r="C239" s="205"/>
      <c r="D239" s="205"/>
      <c r="E239" s="205"/>
      <c r="F239" s="212"/>
      <c r="G239" s="212"/>
      <c r="H239" s="212"/>
      <c r="J239" s="84"/>
      <c r="M239" s="84"/>
      <c r="N239" s="215"/>
      <c r="O239" s="216"/>
      <c r="P239" s="217"/>
    </row>
    <row r="240" spans="2:16" x14ac:dyDescent="0.2">
      <c r="L240" s="1" t="s">
        <v>200</v>
      </c>
      <c r="M240" s="84">
        <f>SUM(M233:M239)</f>
        <v>-34756612.08815714</v>
      </c>
      <c r="N240" s="88">
        <f>SUM(N233:N238)</f>
        <v>-1.8335059301308989</v>
      </c>
    </row>
    <row r="241" spans="2:15" x14ac:dyDescent="0.2">
      <c r="L241" s="85"/>
      <c r="M241" s="88">
        <f>M240/J233</f>
        <v>-1.8335059301308989</v>
      </c>
    </row>
    <row r="242" spans="2:15" x14ac:dyDescent="0.2">
      <c r="L242" s="1" t="s">
        <v>201</v>
      </c>
      <c r="M242" s="93">
        <f>((M233^2+M234^2+M235^2+M236^2+M237^2+M238^2)*(1/6))^0.5</f>
        <v>8367269.2768581873</v>
      </c>
      <c r="N242" s="94"/>
    </row>
    <row r="243" spans="2:15" x14ac:dyDescent="0.2">
      <c r="B243" s="99" t="s">
        <v>184</v>
      </c>
      <c r="C243" s="55" t="s">
        <v>202</v>
      </c>
      <c r="L243" s="14" t="s">
        <v>275</v>
      </c>
      <c r="M243" s="14">
        <f>35%*C198</f>
        <v>6000662.998879699</v>
      </c>
      <c r="O243" s="49"/>
    </row>
    <row r="244" spans="2:15" x14ac:dyDescent="0.2">
      <c r="B244" s="6" t="s">
        <v>194</v>
      </c>
      <c r="C244" s="48">
        <f>N233</f>
        <v>-0.92389966033478166</v>
      </c>
    </row>
    <row r="245" spans="2:15" x14ac:dyDescent="0.2">
      <c r="B245" s="6" t="s">
        <v>270</v>
      </c>
      <c r="C245" s="48">
        <f>N234</f>
        <v>-0.454946319172158</v>
      </c>
    </row>
    <row r="246" spans="2:15" x14ac:dyDescent="0.2">
      <c r="B246" s="6" t="s">
        <v>236</v>
      </c>
      <c r="C246" s="48">
        <f>N238</f>
        <v>-0.31404305395691939</v>
      </c>
    </row>
    <row r="247" spans="2:15" x14ac:dyDescent="0.2">
      <c r="B247" s="6" t="s">
        <v>198</v>
      </c>
      <c r="C247" s="48">
        <f>N236</f>
        <v>-9.0657059679810567E-2</v>
      </c>
    </row>
    <row r="248" spans="2:15" x14ac:dyDescent="0.2">
      <c r="B248" s="6" t="s">
        <v>197</v>
      </c>
      <c r="C248" s="48">
        <f>N235</f>
        <v>-3.7773774866544582E-2</v>
      </c>
    </row>
    <row r="249" spans="2:15" x14ac:dyDescent="0.2">
      <c r="B249" s="6" t="s">
        <v>237</v>
      </c>
      <c r="C249" s="48">
        <f>N237</f>
        <v>-1.2186062120684692E-2</v>
      </c>
    </row>
    <row r="251" spans="2:15" x14ac:dyDescent="0.2">
      <c r="B251" s="86"/>
      <c r="C251" s="218"/>
    </row>
    <row r="252" spans="2:15" x14ac:dyDescent="0.2">
      <c r="B252" s="1"/>
      <c r="C252" s="215"/>
    </row>
    <row r="253" spans="2:15" x14ac:dyDescent="0.2">
      <c r="B253" s="1"/>
      <c r="C253" s="215"/>
    </row>
    <row r="254" spans="2:15" x14ac:dyDescent="0.2">
      <c r="B254" s="1"/>
      <c r="C254" s="215"/>
    </row>
    <row r="255" spans="2:15" x14ac:dyDescent="0.2">
      <c r="B255" s="1"/>
      <c r="C255" s="215"/>
    </row>
    <row r="256" spans="2:15" x14ac:dyDescent="0.2">
      <c r="B256" s="1"/>
      <c r="C256" s="215"/>
    </row>
    <row r="257" spans="2:3" x14ac:dyDescent="0.2">
      <c r="B257" s="1"/>
      <c r="C257" s="215"/>
    </row>
  </sheetData>
  <mergeCells count="2">
    <mergeCell ref="A9:G9"/>
    <mergeCell ref="D172:I172"/>
  </mergeCells>
  <hyperlinks>
    <hyperlink ref="L190" r:id="rId1" xr:uid="{00000000-0004-0000-0100-000000000000}"/>
    <hyperlink ref="L191" r:id="rId2" xr:uid="{00000000-0004-0000-0100-000001000000}"/>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74"/>
  <sheetViews>
    <sheetView topLeftCell="A225" zoomScaleNormal="100" workbookViewId="0">
      <selection activeCell="F198" sqref="F198"/>
    </sheetView>
  </sheetViews>
  <sheetFormatPr baseColWidth="10" defaultColWidth="9.1640625" defaultRowHeight="16" x14ac:dyDescent="0.2"/>
  <cols>
    <col min="1" max="1" width="25.5" style="100" customWidth="1"/>
    <col min="2" max="2" width="52.6640625" style="100" customWidth="1"/>
    <col min="3" max="3" width="16.5" style="100" customWidth="1"/>
    <col min="4" max="5" width="17.1640625" style="100" customWidth="1"/>
    <col min="6" max="6" width="17.33203125" style="100" customWidth="1"/>
    <col min="7" max="7" width="17.83203125" style="100" customWidth="1"/>
    <col min="8" max="8" width="19.5" style="100" customWidth="1"/>
    <col min="9" max="9" width="27.5" style="100" customWidth="1"/>
    <col min="10" max="10" width="22.5" style="100" customWidth="1"/>
    <col min="11" max="11" width="23.5" style="100" customWidth="1"/>
    <col min="12" max="12" width="19.6640625" style="100" customWidth="1"/>
    <col min="13" max="13" width="22.6640625" style="100" customWidth="1"/>
    <col min="14" max="14" width="16.33203125" style="100" customWidth="1"/>
    <col min="15" max="15" width="16.5" style="100" customWidth="1"/>
    <col min="16" max="16384" width="9.1640625" style="100"/>
  </cols>
  <sheetData>
    <row r="1" spans="1:7" ht="18" x14ac:dyDescent="0.2">
      <c r="B1" s="101" t="s">
        <v>0</v>
      </c>
    </row>
    <row r="2" spans="1:7" ht="18" x14ac:dyDescent="0.2">
      <c r="B2" s="101" t="s">
        <v>1</v>
      </c>
    </row>
    <row r="3" spans="1:7" ht="18" x14ac:dyDescent="0.2">
      <c r="B3" s="101" t="s">
        <v>2</v>
      </c>
    </row>
    <row r="4" spans="1:7" ht="18" x14ac:dyDescent="0.2">
      <c r="B4" s="101" t="s">
        <v>3</v>
      </c>
    </row>
    <row r="5" spans="1:7" ht="18" x14ac:dyDescent="0.2">
      <c r="B5" s="101" t="s">
        <v>4</v>
      </c>
    </row>
    <row r="6" spans="1:7" ht="18" x14ac:dyDescent="0.2">
      <c r="B6" s="101" t="s">
        <v>5</v>
      </c>
    </row>
    <row r="7" spans="1:7" ht="18" x14ac:dyDescent="0.2">
      <c r="B7" s="101" t="s">
        <v>6</v>
      </c>
    </row>
    <row r="8" spans="1:7" x14ac:dyDescent="0.2">
      <c r="B8" s="102"/>
    </row>
    <row r="9" spans="1:7" ht="20" x14ac:dyDescent="0.2">
      <c r="A9" s="247" t="s">
        <v>7</v>
      </c>
      <c r="B9" s="247"/>
      <c r="C9" s="247"/>
      <c r="D9" s="247"/>
      <c r="E9" s="247"/>
      <c r="F9" s="247"/>
      <c r="G9" s="247"/>
    </row>
    <row r="10" spans="1:7" ht="18" x14ac:dyDescent="0.2">
      <c r="B10" s="103"/>
      <c r="F10" s="104" t="s">
        <v>8</v>
      </c>
      <c r="G10" s="104" t="s">
        <v>9</v>
      </c>
    </row>
    <row r="11" spans="1:7" x14ac:dyDescent="0.2">
      <c r="B11" s="105" t="s">
        <v>254</v>
      </c>
    </row>
    <row r="12" spans="1:7" x14ac:dyDescent="0.2">
      <c r="A12" s="106"/>
      <c r="G12" s="16" t="s">
        <v>10</v>
      </c>
    </row>
    <row r="13" spans="1:7" x14ac:dyDescent="0.2">
      <c r="A13" s="107" t="s">
        <v>11</v>
      </c>
      <c r="B13" s="107" t="s">
        <v>12</v>
      </c>
      <c r="C13" s="107">
        <v>2014</v>
      </c>
      <c r="D13" s="107">
        <v>2015</v>
      </c>
      <c r="E13" s="107">
        <v>2016</v>
      </c>
      <c r="F13" s="107">
        <v>2017</v>
      </c>
      <c r="G13" s="107">
        <v>2018</v>
      </c>
    </row>
    <row r="14" spans="1:7" x14ac:dyDescent="0.2">
      <c r="A14" s="108"/>
      <c r="B14" s="109" t="s">
        <v>13</v>
      </c>
      <c r="C14" s="91"/>
      <c r="D14" s="91"/>
      <c r="E14" s="91"/>
      <c r="F14" s="91"/>
      <c r="G14" s="91"/>
    </row>
    <row r="15" spans="1:7" x14ac:dyDescent="0.2">
      <c r="A15" s="108" t="s">
        <v>14</v>
      </c>
      <c r="B15" s="109" t="s">
        <v>15</v>
      </c>
      <c r="C15" s="109">
        <f>C16+C17+C18+C22+C23</f>
        <v>1838659</v>
      </c>
      <c r="D15" s="109">
        <f>D16+D17+D18+D22+D23</f>
        <v>2264659</v>
      </c>
      <c r="E15" s="109">
        <v>3102579</v>
      </c>
      <c r="F15" s="109">
        <f>SUM(F16,F17,F18,F22,F23)</f>
        <v>3896007</v>
      </c>
      <c r="G15" s="109">
        <f>G16+G17+G18+G22+G23</f>
        <v>5404865</v>
      </c>
    </row>
    <row r="16" spans="1:7" x14ac:dyDescent="0.2">
      <c r="A16" s="108" t="s">
        <v>16</v>
      </c>
      <c r="B16" s="110" t="s">
        <v>17</v>
      </c>
      <c r="C16" s="110">
        <v>272305</v>
      </c>
      <c r="D16" s="110">
        <v>37885</v>
      </c>
      <c r="E16" s="110">
        <v>155348</v>
      </c>
      <c r="F16" s="110">
        <v>175209</v>
      </c>
      <c r="G16" s="110">
        <v>206721</v>
      </c>
    </row>
    <row r="17" spans="1:7" x14ac:dyDescent="0.2">
      <c r="A17" s="108" t="s">
        <v>18</v>
      </c>
      <c r="B17" s="91" t="s">
        <v>19</v>
      </c>
      <c r="C17" s="91"/>
      <c r="D17" s="91">
        <v>65</v>
      </c>
      <c r="E17" s="91">
        <v>65</v>
      </c>
      <c r="F17" s="91">
        <v>160065</v>
      </c>
      <c r="G17" s="91"/>
    </row>
    <row r="18" spans="1:7" x14ac:dyDescent="0.2">
      <c r="A18" s="108" t="s">
        <v>20</v>
      </c>
      <c r="B18" s="110" t="s">
        <v>21</v>
      </c>
      <c r="C18" s="110">
        <f>SUM(C19:C21)</f>
        <v>79113</v>
      </c>
      <c r="D18" s="110">
        <f>SUM(D19:D21)</f>
        <v>46645</v>
      </c>
      <c r="E18" s="110">
        <v>62721</v>
      </c>
      <c r="F18" s="110">
        <f>SUM(F19:F21)</f>
        <v>84487</v>
      </c>
      <c r="G18" s="110">
        <f>SUM(G19:G21)</f>
        <v>154805</v>
      </c>
    </row>
    <row r="19" spans="1:7" x14ac:dyDescent="0.2">
      <c r="A19" s="108">
        <v>1</v>
      </c>
      <c r="B19" s="91" t="s">
        <v>22</v>
      </c>
      <c r="C19" s="91">
        <v>43283</v>
      </c>
      <c r="D19" s="91">
        <v>29214</v>
      </c>
      <c r="E19" s="91">
        <v>34105</v>
      </c>
      <c r="F19" s="91">
        <v>39946</v>
      </c>
      <c r="G19" s="91">
        <v>57664</v>
      </c>
    </row>
    <row r="20" spans="1:7" x14ac:dyDescent="0.2">
      <c r="A20" s="108">
        <v>2</v>
      </c>
      <c r="B20" s="91" t="s">
        <v>23</v>
      </c>
      <c r="C20" s="91">
        <v>16214</v>
      </c>
      <c r="D20" s="91">
        <v>9292</v>
      </c>
      <c r="E20" s="91">
        <v>18769</v>
      </c>
      <c r="F20" s="91">
        <v>33682</v>
      </c>
      <c r="G20" s="91">
        <v>57982</v>
      </c>
    </row>
    <row r="21" spans="1:7" x14ac:dyDescent="0.2">
      <c r="A21" s="108">
        <v>3</v>
      </c>
      <c r="B21" s="91" t="s">
        <v>24</v>
      </c>
      <c r="C21" s="91">
        <v>19616</v>
      </c>
      <c r="D21" s="91">
        <v>8139</v>
      </c>
      <c r="E21" s="91">
        <v>8813</v>
      </c>
      <c r="F21" s="91">
        <v>10859</v>
      </c>
      <c r="G21" s="91">
        <v>39159</v>
      </c>
    </row>
    <row r="22" spans="1:7" x14ac:dyDescent="0.2">
      <c r="A22" s="108" t="s">
        <v>25</v>
      </c>
      <c r="B22" s="110" t="s">
        <v>26</v>
      </c>
      <c r="C22" s="110">
        <v>1437416</v>
      </c>
      <c r="D22" s="110">
        <v>2135225</v>
      </c>
      <c r="E22" s="110">
        <v>2838689</v>
      </c>
      <c r="F22" s="110">
        <v>3401959</v>
      </c>
      <c r="G22" s="110">
        <v>4968146</v>
      </c>
    </row>
    <row r="23" spans="1:7" x14ac:dyDescent="0.2">
      <c r="A23" s="108" t="s">
        <v>27</v>
      </c>
      <c r="B23" s="110" t="s">
        <v>28</v>
      </c>
      <c r="C23" s="110">
        <v>49825</v>
      </c>
      <c r="D23" s="110">
        <v>44839</v>
      </c>
      <c r="E23" s="110">
        <v>45756</v>
      </c>
      <c r="F23" s="110">
        <v>74287</v>
      </c>
      <c r="G23" s="110">
        <v>75193</v>
      </c>
    </row>
    <row r="24" spans="1:7" x14ac:dyDescent="0.2">
      <c r="A24" s="108" t="s">
        <v>29</v>
      </c>
      <c r="B24" s="109" t="s">
        <v>30</v>
      </c>
      <c r="C24" s="111">
        <f>C25+C26+C37+C38+C39</f>
        <v>997802</v>
      </c>
      <c r="D24" s="111">
        <f>D25+D26+D37+D38+D39</f>
        <v>710104</v>
      </c>
      <c r="E24" s="111">
        <v>485407</v>
      </c>
      <c r="F24" s="111">
        <f>SUM(F25,F26,F34,F37,F38,F39)</f>
        <v>596105</v>
      </c>
      <c r="G24" s="111">
        <f>G25+G26+G37+G38+G39</f>
        <v>1032638</v>
      </c>
    </row>
    <row r="25" spans="1:7" x14ac:dyDescent="0.2">
      <c r="A25" s="108" t="s">
        <v>16</v>
      </c>
      <c r="B25" s="91" t="s">
        <v>31</v>
      </c>
      <c r="C25" s="91"/>
      <c r="D25" s="91">
        <v>21217</v>
      </c>
      <c r="E25" s="91">
        <v>26443</v>
      </c>
      <c r="F25" s="91">
        <v>42788</v>
      </c>
      <c r="G25" s="91">
        <v>57499</v>
      </c>
    </row>
    <row r="26" spans="1:7" x14ac:dyDescent="0.2">
      <c r="A26" s="108" t="s">
        <v>18</v>
      </c>
      <c r="B26" s="112" t="s">
        <v>32</v>
      </c>
      <c r="C26" s="113">
        <f>SUM(C27:C33)</f>
        <v>452469</v>
      </c>
      <c r="D26" s="113">
        <f>SUM(D27:D33)</f>
        <v>492382</v>
      </c>
      <c r="E26" s="113">
        <f>SUM(E27:E33)</f>
        <v>423334</v>
      </c>
      <c r="F26" s="113">
        <f>SUM(F27:F33)</f>
        <v>496910</v>
      </c>
      <c r="G26" s="113">
        <f>SUM(G27:G33)</f>
        <v>790109</v>
      </c>
    </row>
    <row r="27" spans="1:7" x14ac:dyDescent="0.2">
      <c r="A27" s="108">
        <v>1</v>
      </c>
      <c r="B27" s="110" t="s">
        <v>33</v>
      </c>
      <c r="C27" s="91">
        <v>265521</v>
      </c>
      <c r="D27" s="91">
        <v>326472</v>
      </c>
      <c r="E27" s="91">
        <v>370598</v>
      </c>
      <c r="F27" s="91">
        <v>396616</v>
      </c>
      <c r="G27" s="91">
        <v>454178</v>
      </c>
    </row>
    <row r="28" spans="1:7" x14ac:dyDescent="0.2">
      <c r="A28" s="108"/>
      <c r="B28" s="110" t="s">
        <v>34</v>
      </c>
      <c r="C28" s="91">
        <v>-105041</v>
      </c>
      <c r="D28" s="91">
        <v>-132739</v>
      </c>
      <c r="E28" s="91">
        <v>-163400</v>
      </c>
      <c r="F28" s="91">
        <v>-190867</v>
      </c>
      <c r="G28" s="91">
        <v>-228218</v>
      </c>
    </row>
    <row r="29" spans="1:7" x14ac:dyDescent="0.2">
      <c r="A29" s="108">
        <v>2</v>
      </c>
      <c r="B29" s="110" t="s">
        <v>35</v>
      </c>
      <c r="C29" s="91">
        <v>293122</v>
      </c>
      <c r="D29" s="91">
        <v>295745</v>
      </c>
      <c r="E29" s="91">
        <v>213344</v>
      </c>
      <c r="F29" s="91">
        <v>286741</v>
      </c>
      <c r="G29" s="91">
        <v>499937</v>
      </c>
    </row>
    <row r="30" spans="1:7" x14ac:dyDescent="0.2">
      <c r="A30" s="108"/>
      <c r="B30" s="110" t="s">
        <v>36</v>
      </c>
      <c r="C30" s="91">
        <v>-1872</v>
      </c>
      <c r="D30" s="91">
        <v>-3375</v>
      </c>
      <c r="E30" s="91">
        <v>-4740</v>
      </c>
      <c r="F30" s="91">
        <v>-5245</v>
      </c>
      <c r="G30" s="91">
        <v>-6611</v>
      </c>
    </row>
    <row r="31" spans="1:7" x14ac:dyDescent="0.2">
      <c r="A31" s="108">
        <v>3</v>
      </c>
      <c r="B31" s="110" t="s">
        <v>37</v>
      </c>
      <c r="C31" s="91"/>
      <c r="D31" s="91"/>
      <c r="E31" s="91"/>
      <c r="F31" s="91"/>
      <c r="G31" s="91"/>
    </row>
    <row r="32" spans="1:7" x14ac:dyDescent="0.2">
      <c r="A32" s="108"/>
      <c r="B32" s="110" t="s">
        <v>38</v>
      </c>
      <c r="C32" s="91"/>
      <c r="D32" s="91"/>
      <c r="E32" s="91"/>
      <c r="F32" s="91"/>
      <c r="G32" s="91"/>
    </row>
    <row r="33" spans="1:7" x14ac:dyDescent="0.2">
      <c r="A33" s="108">
        <v>4</v>
      </c>
      <c r="B33" s="110" t="s">
        <v>39</v>
      </c>
      <c r="C33" s="91">
        <v>739</v>
      </c>
      <c r="D33" s="91">
        <v>6279</v>
      </c>
      <c r="E33" s="91">
        <v>7532</v>
      </c>
      <c r="F33" s="91">
        <v>9665</v>
      </c>
      <c r="G33" s="91">
        <v>70823</v>
      </c>
    </row>
    <row r="34" spans="1:7" x14ac:dyDescent="0.2">
      <c r="A34" s="108" t="s">
        <v>20</v>
      </c>
      <c r="B34" s="91" t="s">
        <v>40</v>
      </c>
      <c r="C34" s="91"/>
      <c r="D34" s="91"/>
      <c r="E34" s="91"/>
      <c r="F34" s="91"/>
      <c r="G34" s="91"/>
    </row>
    <row r="35" spans="1:7" x14ac:dyDescent="0.2">
      <c r="A35" s="108">
        <v>1</v>
      </c>
      <c r="B35" s="91" t="s">
        <v>41</v>
      </c>
      <c r="C35" s="91"/>
      <c r="D35" s="91"/>
      <c r="E35" s="91"/>
      <c r="F35" s="91"/>
      <c r="G35" s="91"/>
    </row>
    <row r="36" spans="1:7" x14ac:dyDescent="0.2">
      <c r="A36" s="108">
        <v>2</v>
      </c>
      <c r="B36" s="91" t="s">
        <v>38</v>
      </c>
      <c r="C36" s="91"/>
      <c r="D36" s="91"/>
      <c r="E36" s="91"/>
      <c r="F36" s="91"/>
      <c r="G36" s="91"/>
    </row>
    <row r="37" spans="1:7" x14ac:dyDescent="0.2">
      <c r="A37" s="108" t="s">
        <v>25</v>
      </c>
      <c r="B37" s="110" t="s">
        <v>42</v>
      </c>
      <c r="C37" s="91">
        <v>531864</v>
      </c>
      <c r="D37" s="91">
        <v>166666</v>
      </c>
      <c r="E37" s="91"/>
      <c r="F37" s="91"/>
      <c r="G37" s="91"/>
    </row>
    <row r="38" spans="1:7" x14ac:dyDescent="0.2">
      <c r="A38" s="108" t="s">
        <v>27</v>
      </c>
      <c r="B38" s="108" t="s">
        <v>43</v>
      </c>
      <c r="C38" s="91"/>
      <c r="D38" s="91"/>
      <c r="E38" s="91"/>
      <c r="F38" s="91"/>
      <c r="G38" s="91"/>
    </row>
    <row r="39" spans="1:7" x14ac:dyDescent="0.2">
      <c r="A39" s="108" t="s">
        <v>44</v>
      </c>
      <c r="B39" s="110" t="s">
        <v>45</v>
      </c>
      <c r="C39" s="113">
        <v>13469</v>
      </c>
      <c r="D39" s="113">
        <v>29839</v>
      </c>
      <c r="E39" s="113">
        <v>35629</v>
      </c>
      <c r="F39" s="113">
        <v>56407</v>
      </c>
      <c r="G39" s="113">
        <v>185030</v>
      </c>
    </row>
    <row r="40" spans="1:7" x14ac:dyDescent="0.2">
      <c r="A40" s="108"/>
      <c r="B40" s="111" t="s">
        <v>46</v>
      </c>
      <c r="C40" s="111">
        <f>C24+C15</f>
        <v>2836461</v>
      </c>
      <c r="D40" s="111">
        <f>D15+D24</f>
        <v>2974763</v>
      </c>
      <c r="E40" s="111">
        <v>3587986</v>
      </c>
      <c r="F40" s="111">
        <f>F24+F15</f>
        <v>4492112</v>
      </c>
      <c r="G40" s="111">
        <f>G24+G15</f>
        <v>6437503</v>
      </c>
    </row>
    <row r="41" spans="1:7" x14ac:dyDescent="0.2">
      <c r="A41" s="108"/>
      <c r="B41" s="111"/>
      <c r="C41" s="111"/>
      <c r="D41" s="111"/>
      <c r="E41" s="111"/>
      <c r="F41" s="111"/>
      <c r="G41" s="111"/>
    </row>
    <row r="42" spans="1:7" x14ac:dyDescent="0.2">
      <c r="A42" s="108"/>
      <c r="B42" s="114" t="s">
        <v>47</v>
      </c>
      <c r="C42" s="91"/>
      <c r="D42" s="91"/>
      <c r="E42" s="91"/>
      <c r="F42" s="91"/>
      <c r="G42" s="91"/>
    </row>
    <row r="43" spans="1:7" x14ac:dyDescent="0.2">
      <c r="A43" s="111" t="s">
        <v>14</v>
      </c>
      <c r="B43" s="115" t="s">
        <v>48</v>
      </c>
      <c r="C43" s="111">
        <f>C44+C49+C50</f>
        <v>1447159</v>
      </c>
      <c r="D43" s="111">
        <f>D44+D49+D50</f>
        <v>1508910</v>
      </c>
      <c r="E43" s="111">
        <v>2087660</v>
      </c>
      <c r="F43" s="111">
        <f>SUM(F44,F49,F50)</f>
        <v>1268961</v>
      </c>
      <c r="G43" s="111">
        <f>G44+G49+G50</f>
        <v>2237092</v>
      </c>
    </row>
    <row r="44" spans="1:7" x14ac:dyDescent="0.2">
      <c r="A44" s="108" t="s">
        <v>16</v>
      </c>
      <c r="B44" s="110" t="s">
        <v>49</v>
      </c>
      <c r="C44" s="113">
        <f>SUM(C45:C48)</f>
        <v>1309575</v>
      </c>
      <c r="D44" s="113">
        <f>SUM(D45:D48)</f>
        <v>1429678</v>
      </c>
      <c r="E44" s="113">
        <v>2021660</v>
      </c>
      <c r="F44" s="113">
        <f>SUM(F45:F48)</f>
        <v>1215022</v>
      </c>
      <c r="G44" s="113">
        <f>SUM(G45:G48)</f>
        <v>2221588</v>
      </c>
    </row>
    <row r="45" spans="1:7" x14ac:dyDescent="0.2">
      <c r="A45" s="108">
        <v>1</v>
      </c>
      <c r="B45" s="91" t="s">
        <v>50</v>
      </c>
      <c r="C45" s="91">
        <v>1131686</v>
      </c>
      <c r="D45" s="91">
        <v>1189260</v>
      </c>
      <c r="E45" s="91">
        <v>1448954</v>
      </c>
      <c r="F45" s="91">
        <v>846279</v>
      </c>
      <c r="G45" s="91">
        <v>1558482</v>
      </c>
    </row>
    <row r="46" spans="1:7" x14ac:dyDescent="0.2">
      <c r="A46" s="108">
        <v>2</v>
      </c>
      <c r="B46" s="91" t="s">
        <v>51</v>
      </c>
      <c r="C46" s="91">
        <v>140059</v>
      </c>
      <c r="D46" s="91">
        <v>191248</v>
      </c>
      <c r="E46" s="91">
        <v>325730</v>
      </c>
      <c r="F46" s="91">
        <v>278898</v>
      </c>
      <c r="G46" s="91">
        <v>342677</v>
      </c>
    </row>
    <row r="47" spans="1:7" x14ac:dyDescent="0.2">
      <c r="A47" s="108">
        <v>3</v>
      </c>
      <c r="B47" s="91" t="s">
        <v>52</v>
      </c>
      <c r="C47" s="91">
        <v>10577</v>
      </c>
      <c r="D47" s="91">
        <v>20139</v>
      </c>
      <c r="E47" s="91">
        <v>56039</v>
      </c>
      <c r="F47" s="91">
        <v>37773</v>
      </c>
      <c r="G47" s="91">
        <v>82799</v>
      </c>
    </row>
    <row r="48" spans="1:7" x14ac:dyDescent="0.2">
      <c r="A48" s="108">
        <v>4</v>
      </c>
      <c r="B48" s="91" t="s">
        <v>53</v>
      </c>
      <c r="C48" s="91">
        <v>27253</v>
      </c>
      <c r="D48" s="91">
        <v>29031</v>
      </c>
      <c r="E48" s="91">
        <v>27608</v>
      </c>
      <c r="F48" s="91">
        <v>52072</v>
      </c>
      <c r="G48" s="91">
        <v>237630</v>
      </c>
    </row>
    <row r="49" spans="1:7" x14ac:dyDescent="0.2">
      <c r="A49" s="108" t="s">
        <v>18</v>
      </c>
      <c r="B49" s="110" t="s">
        <v>54</v>
      </c>
      <c r="C49" s="91">
        <v>137584</v>
      </c>
      <c r="D49" s="91">
        <v>79232</v>
      </c>
      <c r="E49" s="113">
        <v>65999</v>
      </c>
      <c r="F49" s="113">
        <v>53939</v>
      </c>
      <c r="G49" s="113">
        <v>15504</v>
      </c>
    </row>
    <row r="50" spans="1:7" x14ac:dyDescent="0.2">
      <c r="A50" s="108" t="s">
        <v>20</v>
      </c>
      <c r="B50" s="110" t="s">
        <v>55</v>
      </c>
      <c r="C50" s="113"/>
      <c r="D50" s="113"/>
      <c r="E50" s="113"/>
      <c r="F50" s="113"/>
      <c r="G50" s="113"/>
    </row>
    <row r="51" spans="1:7" x14ac:dyDescent="0.2">
      <c r="A51" s="111" t="s">
        <v>29</v>
      </c>
      <c r="B51" s="115" t="s">
        <v>56</v>
      </c>
      <c r="C51" s="111">
        <f>C52+C58</f>
        <v>1237055</v>
      </c>
      <c r="D51" s="111">
        <f>D52+D58</f>
        <v>1412732</v>
      </c>
      <c r="E51" s="111">
        <f>E52+E58</f>
        <v>1542000</v>
      </c>
      <c r="F51" s="111">
        <f>SUM(F52,F58)</f>
        <v>3001982</v>
      </c>
      <c r="G51" s="111">
        <f>G52+G58</f>
        <v>3808054</v>
      </c>
    </row>
    <row r="52" spans="1:7" x14ac:dyDescent="0.2">
      <c r="A52" s="108" t="s">
        <v>57</v>
      </c>
      <c r="B52" s="110" t="s">
        <v>58</v>
      </c>
      <c r="C52" s="108">
        <f>SUM(C53:C57)</f>
        <v>1229789</v>
      </c>
      <c r="D52" s="91">
        <f>SUM(D53:D57)</f>
        <v>1394350</v>
      </c>
      <c r="E52" s="91">
        <f>SUM(E53:E57)</f>
        <v>1500325</v>
      </c>
      <c r="F52" s="91">
        <f>SUM(F53:F57)</f>
        <v>2949549</v>
      </c>
      <c r="G52" s="91">
        <f>SUM(G53:G57)</f>
        <v>3745074</v>
      </c>
    </row>
    <row r="53" spans="1:7" x14ac:dyDescent="0.2">
      <c r="A53" s="108">
        <v>1</v>
      </c>
      <c r="B53" s="110" t="s">
        <v>59</v>
      </c>
      <c r="C53" s="91">
        <v>755970</v>
      </c>
      <c r="D53" s="91">
        <v>982746</v>
      </c>
      <c r="E53" s="91">
        <v>982745</v>
      </c>
      <c r="F53" s="91">
        <v>1081020</v>
      </c>
      <c r="G53" s="91">
        <v>1670030</v>
      </c>
    </row>
    <row r="54" spans="1:7" x14ac:dyDescent="0.2">
      <c r="A54" s="108">
        <v>2</v>
      </c>
      <c r="B54" s="110" t="s">
        <v>60</v>
      </c>
      <c r="C54" s="91">
        <v>105022</v>
      </c>
      <c r="D54" s="91"/>
      <c r="E54" s="91"/>
      <c r="F54" s="91">
        <v>876761</v>
      </c>
      <c r="G54" s="91">
        <v>925398</v>
      </c>
    </row>
    <row r="55" spans="1:7" x14ac:dyDescent="0.2">
      <c r="A55" s="108">
        <v>3</v>
      </c>
      <c r="B55" s="91" t="s">
        <v>61</v>
      </c>
      <c r="C55" s="91">
        <v>-7</v>
      </c>
      <c r="D55" s="91">
        <v>-7</v>
      </c>
      <c r="E55" s="91">
        <v>-7</v>
      </c>
      <c r="F55" s="91">
        <v>-7</v>
      </c>
      <c r="G55" s="91">
        <v>-7</v>
      </c>
    </row>
    <row r="56" spans="1:7" x14ac:dyDescent="0.2">
      <c r="A56" s="108">
        <v>4</v>
      </c>
      <c r="B56" s="110" t="s">
        <v>62</v>
      </c>
      <c r="C56" s="91">
        <v>166071</v>
      </c>
      <c r="D56" s="91">
        <v>219648</v>
      </c>
      <c r="E56" s="91">
        <v>144087</v>
      </c>
      <c r="F56" s="91">
        <v>220088</v>
      </c>
      <c r="G56" s="91">
        <v>265088</v>
      </c>
    </row>
    <row r="57" spans="1:7" x14ac:dyDescent="0.2">
      <c r="A57" s="108">
        <v>5</v>
      </c>
      <c r="B57" s="110" t="s">
        <v>63</v>
      </c>
      <c r="C57" s="91">
        <v>202733</v>
      </c>
      <c r="D57" s="91">
        <v>191963</v>
      </c>
      <c r="E57" s="91">
        <v>373500</v>
      </c>
      <c r="F57" s="91">
        <v>771687</v>
      </c>
      <c r="G57" s="91">
        <v>884565</v>
      </c>
    </row>
    <row r="58" spans="1:7" x14ac:dyDescent="0.2">
      <c r="A58" s="108" t="s">
        <v>18</v>
      </c>
      <c r="B58" s="91" t="s">
        <v>64</v>
      </c>
      <c r="C58" s="91">
        <f>SUM(C59:C61)</f>
        <v>7266</v>
      </c>
      <c r="D58" s="91">
        <f>SUM(D59:D61)</f>
        <v>18382</v>
      </c>
      <c r="E58" s="91">
        <v>41675</v>
      </c>
      <c r="F58" s="91">
        <v>52433</v>
      </c>
      <c r="G58" s="91">
        <f>SUM(G59:G61)</f>
        <v>62980</v>
      </c>
    </row>
    <row r="59" spans="1:7" x14ac:dyDescent="0.2">
      <c r="A59" s="108">
        <v>1</v>
      </c>
      <c r="B59" s="91" t="s">
        <v>65</v>
      </c>
      <c r="C59" s="91">
        <v>7266</v>
      </c>
      <c r="D59" s="91">
        <v>18382</v>
      </c>
      <c r="E59" s="91">
        <v>41675</v>
      </c>
      <c r="F59" s="91">
        <v>52433</v>
      </c>
      <c r="G59" s="91">
        <v>62980</v>
      </c>
    </row>
    <row r="60" spans="1:7" x14ac:dyDescent="0.2">
      <c r="A60" s="108">
        <v>2</v>
      </c>
      <c r="B60" s="91" t="s">
        <v>66</v>
      </c>
      <c r="C60" s="91"/>
      <c r="D60" s="91"/>
      <c r="E60" s="91"/>
      <c r="F60" s="91"/>
      <c r="G60" s="91"/>
    </row>
    <row r="61" spans="1:7" x14ac:dyDescent="0.2">
      <c r="A61" s="108">
        <v>3</v>
      </c>
      <c r="B61" s="91" t="s">
        <v>67</v>
      </c>
      <c r="C61" s="91"/>
      <c r="D61" s="91"/>
      <c r="E61" s="91"/>
      <c r="F61" s="91"/>
      <c r="G61" s="91"/>
    </row>
    <row r="62" spans="1:7" x14ac:dyDescent="0.2">
      <c r="A62" s="108" t="s">
        <v>68</v>
      </c>
      <c r="B62" s="91" t="s">
        <v>69</v>
      </c>
      <c r="C62" s="91"/>
      <c r="D62" s="91"/>
      <c r="E62" s="91"/>
      <c r="F62" s="91"/>
      <c r="G62" s="91"/>
    </row>
    <row r="63" spans="1:7" x14ac:dyDescent="0.2">
      <c r="A63" s="108"/>
      <c r="B63" s="115" t="s">
        <v>70</v>
      </c>
      <c r="C63" s="115">
        <f>C43+C51+C62</f>
        <v>2684214</v>
      </c>
      <c r="D63" s="115">
        <f>D43+D51+D62</f>
        <v>2921642</v>
      </c>
      <c r="E63" s="115">
        <f>E43+E51+E62</f>
        <v>3629660</v>
      </c>
      <c r="F63" s="115">
        <f>SUM(F43,F51,F62)</f>
        <v>4270943</v>
      </c>
      <c r="G63" s="115">
        <f>G43+G51+G62</f>
        <v>6045146</v>
      </c>
    </row>
    <row r="64" spans="1:7" x14ac:dyDescent="0.2">
      <c r="A64" s="108"/>
      <c r="B64" s="108"/>
      <c r="C64" s="91"/>
      <c r="D64" s="91"/>
      <c r="E64" s="91"/>
      <c r="F64" s="91"/>
      <c r="G64" s="91"/>
    </row>
    <row r="65" spans="1:7" x14ac:dyDescent="0.2">
      <c r="A65" s="108"/>
      <c r="B65" s="108" t="s">
        <v>71</v>
      </c>
      <c r="C65" s="116">
        <f>C43/C51</f>
        <v>1.1698420846284119</v>
      </c>
      <c r="D65" s="116">
        <f>D43/D51</f>
        <v>1.0680794375720235</v>
      </c>
      <c r="E65" s="116">
        <f>E43/E51</f>
        <v>1.3538651102464332</v>
      </c>
      <c r="F65" s="116">
        <f>F43/F51</f>
        <v>0.42270773109232501</v>
      </c>
      <c r="G65" s="116">
        <f>G43/G51</f>
        <v>0.58746330803082103</v>
      </c>
    </row>
    <row r="67" spans="1:7" x14ac:dyDescent="0.2">
      <c r="B67" s="103" t="s">
        <v>255</v>
      </c>
      <c r="C67" s="102"/>
      <c r="D67" s="102"/>
      <c r="E67" s="102"/>
      <c r="F67" s="102"/>
      <c r="G67" s="102"/>
    </row>
    <row r="68" spans="1:7" x14ac:dyDescent="0.2">
      <c r="B68" s="103"/>
      <c r="C68" s="102"/>
      <c r="D68" s="102"/>
      <c r="E68" s="102"/>
      <c r="F68" s="102"/>
      <c r="G68" s="16" t="s">
        <v>72</v>
      </c>
    </row>
    <row r="69" spans="1:7" x14ac:dyDescent="0.2">
      <c r="A69" s="117" t="s">
        <v>11</v>
      </c>
      <c r="B69" s="117" t="s">
        <v>12</v>
      </c>
      <c r="C69" s="117">
        <v>2014</v>
      </c>
      <c r="D69" s="117">
        <v>2015</v>
      </c>
      <c r="E69" s="117">
        <v>2016</v>
      </c>
      <c r="F69" s="117">
        <v>2017</v>
      </c>
      <c r="G69" s="117">
        <v>2018</v>
      </c>
    </row>
    <row r="70" spans="1:7" x14ac:dyDescent="0.2">
      <c r="A70" s="91">
        <v>1</v>
      </c>
      <c r="B70" s="91" t="s">
        <v>73</v>
      </c>
      <c r="C70" s="91">
        <v>9199218</v>
      </c>
      <c r="D70" s="91">
        <v>7708352</v>
      </c>
      <c r="E70" s="91">
        <v>8564590</v>
      </c>
      <c r="F70" s="91">
        <v>10976837</v>
      </c>
      <c r="G70" s="91">
        <v>14571136</v>
      </c>
    </row>
    <row r="71" spans="1:7" x14ac:dyDescent="0.2">
      <c r="A71" s="91">
        <v>2</v>
      </c>
      <c r="B71" s="91" t="s">
        <v>74</v>
      </c>
      <c r="C71" s="91">
        <v>8309983</v>
      </c>
      <c r="D71" s="91">
        <v>6537985</v>
      </c>
      <c r="E71" s="91">
        <v>7153297</v>
      </c>
      <c r="F71" s="91">
        <v>9064873</v>
      </c>
      <c r="G71" s="91">
        <v>11792052</v>
      </c>
    </row>
    <row r="72" spans="1:7" x14ac:dyDescent="0.2">
      <c r="A72" s="91">
        <v>3</v>
      </c>
      <c r="B72" s="91" t="s">
        <v>75</v>
      </c>
      <c r="C72" s="91">
        <f>C70-C71</f>
        <v>889235</v>
      </c>
      <c r="D72" s="91">
        <f>D70-D71</f>
        <v>1170367</v>
      </c>
      <c r="E72" s="91">
        <v>1411293</v>
      </c>
      <c r="F72" s="91">
        <f>F70-F71</f>
        <v>1911964</v>
      </c>
      <c r="G72" s="91">
        <f>G70-G71</f>
        <v>2779084</v>
      </c>
    </row>
    <row r="73" spans="1:7" x14ac:dyDescent="0.2">
      <c r="A73" s="91">
        <v>4</v>
      </c>
      <c r="B73" s="91" t="s">
        <v>76</v>
      </c>
      <c r="C73" s="91">
        <v>18739</v>
      </c>
      <c r="D73" s="91">
        <v>1328</v>
      </c>
      <c r="E73" s="91">
        <v>5265</v>
      </c>
      <c r="F73" s="91">
        <v>8795</v>
      </c>
      <c r="G73" s="91">
        <v>6846</v>
      </c>
    </row>
    <row r="74" spans="1:7" x14ac:dyDescent="0.2">
      <c r="A74" s="91">
        <v>5</v>
      </c>
      <c r="B74" s="91" t="s">
        <v>77</v>
      </c>
      <c r="C74" s="91">
        <v>90255</v>
      </c>
      <c r="D74" s="91">
        <v>430803</v>
      </c>
      <c r="E74" s="91">
        <v>181560</v>
      </c>
      <c r="F74" s="91">
        <v>56476</v>
      </c>
      <c r="G74" s="91">
        <v>66347</v>
      </c>
    </row>
    <row r="75" spans="1:7" x14ac:dyDescent="0.2">
      <c r="A75" s="91"/>
      <c r="B75" s="91" t="s">
        <v>78</v>
      </c>
      <c r="C75" s="91">
        <v>79682</v>
      </c>
      <c r="D75" s="91">
        <v>81049</v>
      </c>
      <c r="E75" s="91">
        <v>73196</v>
      </c>
      <c r="F75" s="91">
        <v>54981</v>
      </c>
      <c r="G75" s="91">
        <v>61109</v>
      </c>
    </row>
    <row r="76" spans="1:7" x14ac:dyDescent="0.2">
      <c r="A76" s="91">
        <v>6</v>
      </c>
      <c r="B76" s="91" t="s">
        <v>79</v>
      </c>
      <c r="C76" s="91">
        <v>354954</v>
      </c>
      <c r="D76" s="91">
        <v>423930</v>
      </c>
      <c r="E76" s="91">
        <v>553263</v>
      </c>
      <c r="F76" s="91">
        <v>774978</v>
      </c>
      <c r="G76" s="91">
        <v>1170069</v>
      </c>
    </row>
    <row r="77" spans="1:7" x14ac:dyDescent="0.2">
      <c r="A77" s="91">
        <v>7</v>
      </c>
      <c r="B77" s="91" t="s">
        <v>80</v>
      </c>
      <c r="C77" s="91">
        <v>129619</v>
      </c>
      <c r="D77" s="91">
        <v>117548</v>
      </c>
      <c r="E77" s="91">
        <v>133281</v>
      </c>
      <c r="F77" s="91">
        <v>187936</v>
      </c>
      <c r="G77" s="91">
        <v>345868</v>
      </c>
    </row>
    <row r="78" spans="1:7" x14ac:dyDescent="0.2">
      <c r="A78" s="91">
        <v>8</v>
      </c>
      <c r="B78" s="91" t="s">
        <v>81</v>
      </c>
      <c r="C78" s="91">
        <f>C72+C73-C74-C76-C77</f>
        <v>333146</v>
      </c>
      <c r="D78" s="91">
        <f>D72+D73-D74-D76-D77</f>
        <v>199414</v>
      </c>
      <c r="E78" s="91">
        <f>E72+E73-E74-E76-E77</f>
        <v>548454</v>
      </c>
      <c r="F78" s="91">
        <f>F72+F73-F74-F76-F77</f>
        <v>901369</v>
      </c>
      <c r="G78" s="91">
        <f>G72+G73-G74-G76-G77</f>
        <v>1203646</v>
      </c>
    </row>
    <row r="79" spans="1:7" x14ac:dyDescent="0.2">
      <c r="A79" s="91">
        <v>9</v>
      </c>
      <c r="B79" s="91" t="s">
        <v>82</v>
      </c>
      <c r="C79" s="91">
        <v>2669</v>
      </c>
      <c r="D79" s="91">
        <v>1627</v>
      </c>
      <c r="E79" s="91">
        <v>47317</v>
      </c>
      <c r="F79" s="91">
        <v>7395</v>
      </c>
      <c r="G79" s="91">
        <v>4538</v>
      </c>
    </row>
    <row r="80" spans="1:7" x14ac:dyDescent="0.2">
      <c r="A80" s="91">
        <v>10</v>
      </c>
      <c r="B80" s="91" t="s">
        <v>83</v>
      </c>
      <c r="C80" s="91">
        <v>1587</v>
      </c>
      <c r="D80" s="91">
        <v>4236</v>
      </c>
      <c r="E80" s="91">
        <v>3868</v>
      </c>
      <c r="F80" s="91">
        <v>1384</v>
      </c>
      <c r="G80" s="91">
        <v>2734</v>
      </c>
    </row>
    <row r="81" spans="1:7" x14ac:dyDescent="0.2">
      <c r="A81" s="91">
        <v>11</v>
      </c>
      <c r="B81" s="91" t="s">
        <v>84</v>
      </c>
      <c r="C81" s="91">
        <f>C79-C80</f>
        <v>1082</v>
      </c>
      <c r="D81" s="91">
        <f>D79-D80</f>
        <v>-2609</v>
      </c>
      <c r="E81" s="91">
        <f>E79-E80</f>
        <v>43449</v>
      </c>
      <c r="F81" s="91">
        <f>F79-F80</f>
        <v>6011</v>
      </c>
      <c r="G81" s="91">
        <f>G79-G80</f>
        <v>1804</v>
      </c>
    </row>
    <row r="82" spans="1:7" x14ac:dyDescent="0.2">
      <c r="A82" s="118">
        <v>12</v>
      </c>
      <c r="B82" s="118" t="s">
        <v>85</v>
      </c>
      <c r="C82" s="118">
        <f>C78+C81</f>
        <v>334228</v>
      </c>
      <c r="D82" s="118">
        <f>D78+D81</f>
        <v>196805</v>
      </c>
      <c r="E82" s="118">
        <f>E78+E81</f>
        <v>591903</v>
      </c>
      <c r="F82" s="118">
        <f>F78+F81</f>
        <v>907380</v>
      </c>
      <c r="G82" s="118">
        <f>G78+G81</f>
        <v>1205450</v>
      </c>
    </row>
    <row r="83" spans="1:7" x14ac:dyDescent="0.2">
      <c r="A83" s="91">
        <v>13</v>
      </c>
      <c r="B83" s="91" t="s">
        <v>86</v>
      </c>
      <c r="C83" s="91">
        <v>79455</v>
      </c>
      <c r="D83" s="91">
        <v>46596</v>
      </c>
      <c r="E83" s="91">
        <v>139964</v>
      </c>
      <c r="F83" s="91">
        <v>182039</v>
      </c>
      <c r="G83" s="91">
        <v>249485</v>
      </c>
    </row>
    <row r="84" spans="1:7" x14ac:dyDescent="0.2">
      <c r="A84" s="91"/>
      <c r="B84" s="91" t="s">
        <v>87</v>
      </c>
      <c r="C84" s="91">
        <v>293</v>
      </c>
      <c r="D84" s="91">
        <v>1575</v>
      </c>
      <c r="E84" s="91">
        <v>175</v>
      </c>
      <c r="F84" s="91">
        <v>484</v>
      </c>
      <c r="G84" s="91">
        <v>3858</v>
      </c>
    </row>
    <row r="85" spans="1:7" x14ac:dyDescent="0.2">
      <c r="A85" s="91"/>
      <c r="B85" s="91" t="s">
        <v>88</v>
      </c>
      <c r="C85" s="91">
        <f>C83-C84</f>
        <v>79162</v>
      </c>
      <c r="D85" s="91">
        <f>D83-D84</f>
        <v>45021</v>
      </c>
      <c r="E85" s="91">
        <f>E83-E84</f>
        <v>139789</v>
      </c>
      <c r="F85" s="91">
        <f>F83-F84</f>
        <v>181555</v>
      </c>
      <c r="G85" s="91">
        <f>G83-G84</f>
        <v>245627</v>
      </c>
    </row>
    <row r="86" spans="1:7" x14ac:dyDescent="0.2">
      <c r="A86" s="91">
        <v>14</v>
      </c>
      <c r="B86" s="119" t="s">
        <v>89</v>
      </c>
      <c r="C86" s="91">
        <f>C82-C85</f>
        <v>255066</v>
      </c>
      <c r="D86" s="91">
        <f>D82-D85</f>
        <v>151784</v>
      </c>
      <c r="E86" s="91">
        <f>E82-E85</f>
        <v>452114</v>
      </c>
      <c r="F86" s="91">
        <f>F82-F85</f>
        <v>725825</v>
      </c>
      <c r="G86" s="91">
        <f>G82-G85</f>
        <v>959823</v>
      </c>
    </row>
    <row r="87" spans="1:7" x14ac:dyDescent="0.2">
      <c r="A87" s="91">
        <v>15</v>
      </c>
      <c r="B87" s="91" t="s">
        <v>90</v>
      </c>
      <c r="C87" s="91">
        <v>13377</v>
      </c>
      <c r="D87" s="91"/>
      <c r="E87" s="91"/>
      <c r="F87" s="91"/>
      <c r="G87" s="91"/>
    </row>
    <row r="88" spans="1:7" x14ac:dyDescent="0.2">
      <c r="A88" s="91">
        <v>16</v>
      </c>
      <c r="B88" s="91" t="s">
        <v>91</v>
      </c>
      <c r="C88" s="91">
        <f>C86-C87</f>
        <v>241689</v>
      </c>
      <c r="D88" s="91">
        <f>D86-D87</f>
        <v>151784</v>
      </c>
      <c r="E88" s="91">
        <f>E86-E87</f>
        <v>452114</v>
      </c>
      <c r="F88" s="91">
        <f>F86-F87</f>
        <v>725825</v>
      </c>
      <c r="G88" s="91">
        <f>G86-G87</f>
        <v>959823</v>
      </c>
    </row>
    <row r="89" spans="1:7" x14ac:dyDescent="0.2">
      <c r="A89" s="91">
        <v>15</v>
      </c>
      <c r="B89" s="91" t="s">
        <v>92</v>
      </c>
      <c r="C89" s="120">
        <f>C88*10^6/C90</f>
        <v>75339463.840398997</v>
      </c>
      <c r="D89" s="120">
        <f>D88*10^6/D90</f>
        <v>112682999.2576095</v>
      </c>
      <c r="E89" s="120">
        <f>E88*10^6/E90</f>
        <v>103151722.56445357</v>
      </c>
      <c r="F89" s="120">
        <f>F88*10^6/F90</f>
        <v>112810848.61672366</v>
      </c>
      <c r="G89" s="120">
        <f>G88*10^6/G90</f>
        <v>148097978.70698968</v>
      </c>
    </row>
    <row r="90" spans="1:7" x14ac:dyDescent="0.2">
      <c r="A90" s="91">
        <v>16</v>
      </c>
      <c r="B90" s="91" t="s">
        <v>93</v>
      </c>
      <c r="C90" s="121">
        <v>3208</v>
      </c>
      <c r="D90" s="121">
        <v>1347</v>
      </c>
      <c r="E90" s="121">
        <v>4383</v>
      </c>
      <c r="F90" s="121">
        <v>6434</v>
      </c>
      <c r="G90" s="121">
        <v>6481</v>
      </c>
    </row>
    <row r="91" spans="1:7" ht="17" thickBot="1" x14ac:dyDescent="0.25">
      <c r="A91" s="122"/>
      <c r="B91" s="122"/>
      <c r="C91" s="123"/>
      <c r="D91" s="123"/>
      <c r="E91" s="123"/>
      <c r="F91" s="123"/>
      <c r="G91" s="123"/>
    </row>
    <row r="92" spans="1:7" x14ac:dyDescent="0.2">
      <c r="A92" s="124"/>
      <c r="B92" s="125" t="s">
        <v>94</v>
      </c>
      <c r="C92" s="125"/>
      <c r="D92" s="125"/>
      <c r="E92" s="125"/>
      <c r="F92" s="125"/>
      <c r="G92" s="125"/>
    </row>
    <row r="93" spans="1:7" x14ac:dyDescent="0.2">
      <c r="A93" s="108"/>
      <c r="B93" s="108" t="s">
        <v>95</v>
      </c>
      <c r="C93" s="91">
        <v>13377</v>
      </c>
      <c r="D93" s="91"/>
      <c r="E93" s="91"/>
      <c r="F93" s="91"/>
      <c r="G93" s="91"/>
    </row>
    <row r="94" spans="1:7" ht="17" thickBot="1" x14ac:dyDescent="0.25">
      <c r="A94" s="122"/>
      <c r="B94" s="122" t="s">
        <v>96</v>
      </c>
      <c r="C94" s="126">
        <f>C86-C93</f>
        <v>241689</v>
      </c>
      <c r="D94" s="123">
        <f>D86-D93</f>
        <v>151784</v>
      </c>
      <c r="E94" s="123"/>
      <c r="F94" s="123"/>
      <c r="G94" s="123">
        <f>G86-G93</f>
        <v>959823</v>
      </c>
    </row>
    <row r="97" spans="1:10" x14ac:dyDescent="0.2">
      <c r="B97" s="105" t="s">
        <v>256</v>
      </c>
    </row>
    <row r="98" spans="1:10" x14ac:dyDescent="0.2">
      <c r="A98" s="102"/>
      <c r="B98" s="106"/>
      <c r="C98" s="102"/>
      <c r="D98" s="102"/>
      <c r="E98" s="102"/>
      <c r="F98" s="102"/>
      <c r="G98" s="102"/>
      <c r="H98" s="102"/>
      <c r="I98" s="102"/>
    </row>
    <row r="99" spans="1:10" x14ac:dyDescent="0.2">
      <c r="A99" s="127" t="s">
        <v>11</v>
      </c>
      <c r="B99" s="127" t="s">
        <v>12</v>
      </c>
      <c r="C99" s="127">
        <v>2014</v>
      </c>
      <c r="D99" s="127">
        <v>2015</v>
      </c>
      <c r="E99" s="127">
        <v>2016</v>
      </c>
      <c r="F99" s="127">
        <v>2017</v>
      </c>
      <c r="G99" s="127">
        <v>2018</v>
      </c>
      <c r="H99" s="128"/>
      <c r="I99" s="128"/>
      <c r="J99" s="128"/>
    </row>
    <row r="100" spans="1:10" x14ac:dyDescent="0.2">
      <c r="A100" s="129">
        <v>1</v>
      </c>
      <c r="B100" s="130" t="s">
        <v>97</v>
      </c>
      <c r="C100" s="129">
        <f>C44+C48</f>
        <v>1336828</v>
      </c>
      <c r="D100" s="129">
        <f>D44+D48</f>
        <v>1458709</v>
      </c>
      <c r="E100" s="129">
        <f>E44+E48</f>
        <v>2049268</v>
      </c>
      <c r="F100" s="129">
        <f>F44+F48</f>
        <v>1267094</v>
      </c>
      <c r="G100" s="129">
        <f>G44+G48</f>
        <v>2459218</v>
      </c>
      <c r="H100" s="16"/>
      <c r="I100" s="16"/>
      <c r="J100" s="16"/>
    </row>
    <row r="101" spans="1:10" x14ac:dyDescent="0.2">
      <c r="A101" s="91">
        <v>2</v>
      </c>
      <c r="B101" s="130" t="s">
        <v>98</v>
      </c>
      <c r="C101" s="91">
        <f>C49</f>
        <v>137584</v>
      </c>
      <c r="D101" s="91">
        <f>D49</f>
        <v>79232</v>
      </c>
      <c r="E101" s="91">
        <f>E49</f>
        <v>65999</v>
      </c>
      <c r="F101" s="91">
        <f>F49</f>
        <v>53939</v>
      </c>
      <c r="G101" s="91">
        <f>G49</f>
        <v>15504</v>
      </c>
      <c r="H101" s="102"/>
      <c r="I101" s="102"/>
      <c r="J101" s="102"/>
    </row>
    <row r="102" spans="1:10" x14ac:dyDescent="0.2">
      <c r="A102" s="91">
        <v>3</v>
      </c>
      <c r="B102" s="91" t="s">
        <v>99</v>
      </c>
      <c r="C102" s="113">
        <f>C100+C101</f>
        <v>1474412</v>
      </c>
      <c r="D102" s="113">
        <f>D100+D101</f>
        <v>1537941</v>
      </c>
      <c r="E102" s="113">
        <f>E100+E101</f>
        <v>2115267</v>
      </c>
      <c r="F102" s="113">
        <f>F100+F101</f>
        <v>1321033</v>
      </c>
      <c r="G102" s="113">
        <f>G100+G101</f>
        <v>2474722</v>
      </c>
      <c r="H102" s="131"/>
      <c r="I102" s="131"/>
      <c r="J102" s="131"/>
    </row>
    <row r="103" spans="1:10" x14ac:dyDescent="0.2">
      <c r="A103" s="91">
        <v>4</v>
      </c>
      <c r="B103" s="91" t="s">
        <v>100</v>
      </c>
      <c r="C103" s="113">
        <f>C52</f>
        <v>1229789</v>
      </c>
      <c r="D103" s="113">
        <f>D52</f>
        <v>1394350</v>
      </c>
      <c r="E103" s="113">
        <f>E52</f>
        <v>1500325</v>
      </c>
      <c r="F103" s="113">
        <f>F52</f>
        <v>2949549</v>
      </c>
      <c r="G103" s="113">
        <f>G52</f>
        <v>3745074</v>
      </c>
      <c r="H103" s="131"/>
      <c r="I103" s="131"/>
      <c r="J103" s="131"/>
    </row>
    <row r="104" spans="1:10" x14ac:dyDescent="0.2">
      <c r="A104" s="91">
        <v>5</v>
      </c>
      <c r="B104" s="91" t="s">
        <v>101</v>
      </c>
      <c r="C104" s="91">
        <f>C102+C103</f>
        <v>2704201</v>
      </c>
      <c r="D104" s="91">
        <f>D102+D103</f>
        <v>2932291</v>
      </c>
      <c r="E104" s="91">
        <f>E102+E103</f>
        <v>3615592</v>
      </c>
      <c r="F104" s="91">
        <f>F102+F103</f>
        <v>4270582</v>
      </c>
      <c r="G104" s="91">
        <f>G102+G103</f>
        <v>6219796</v>
      </c>
      <c r="H104" s="102"/>
      <c r="I104" s="102"/>
      <c r="J104" s="102"/>
    </row>
    <row r="105" spans="1:10" x14ac:dyDescent="0.2">
      <c r="A105" s="91"/>
      <c r="B105" s="91" t="s">
        <v>102</v>
      </c>
      <c r="C105" s="91"/>
      <c r="D105" s="91"/>
      <c r="E105" s="91"/>
      <c r="F105" s="91"/>
      <c r="G105" s="91"/>
      <c r="H105" s="102"/>
      <c r="I105" s="102"/>
      <c r="J105" s="102"/>
    </row>
    <row r="106" spans="1:10" x14ac:dyDescent="0.2">
      <c r="A106" s="91"/>
      <c r="B106" s="91" t="s">
        <v>103</v>
      </c>
      <c r="C106" s="132">
        <f>C100/C104</f>
        <v>0.4943523059121715</v>
      </c>
      <c r="D106" s="132">
        <f>D100/D104</f>
        <v>0.49746392837545794</v>
      </c>
      <c r="E106" s="132">
        <f>E100/E104</f>
        <v>0.56678629668391789</v>
      </c>
      <c r="F106" s="132">
        <f>F100/F104</f>
        <v>0.29670288499319297</v>
      </c>
      <c r="G106" s="132">
        <f>G100/G104</f>
        <v>0.39538563644209551</v>
      </c>
      <c r="H106" s="133"/>
      <c r="I106" s="133"/>
      <c r="J106" s="133"/>
    </row>
    <row r="107" spans="1:10" x14ac:dyDescent="0.2">
      <c r="A107" s="91"/>
      <c r="B107" s="91" t="s">
        <v>104</v>
      </c>
      <c r="C107" s="132">
        <f>C101/C104</f>
        <v>5.0877874832529091E-2</v>
      </c>
      <c r="D107" s="132">
        <f>D101/D104</f>
        <v>2.7020510583704006E-2</v>
      </c>
      <c r="E107" s="132">
        <f>E101/E104</f>
        <v>1.8253995472940533E-2</v>
      </c>
      <c r="F107" s="132">
        <f>F101/F104</f>
        <v>1.2630362793642646E-2</v>
      </c>
      <c r="G107" s="132">
        <f>G101/G104</f>
        <v>2.4926862553048363E-3</v>
      </c>
      <c r="H107" s="133"/>
      <c r="I107" s="133"/>
      <c r="J107" s="133"/>
    </row>
    <row r="108" spans="1:10" x14ac:dyDescent="0.2">
      <c r="A108" s="91"/>
      <c r="B108" s="91" t="s">
        <v>105</v>
      </c>
      <c r="C108" s="132">
        <f>C106+C107</f>
        <v>0.54523018074470064</v>
      </c>
      <c r="D108" s="132">
        <f>D102/D104</f>
        <v>0.52448443895916197</v>
      </c>
      <c r="E108" s="132">
        <f>E102/E104</f>
        <v>0.58504029215685838</v>
      </c>
      <c r="F108" s="132">
        <f>F102/F104</f>
        <v>0.30933324778683563</v>
      </c>
      <c r="G108" s="132">
        <f>G102/G104</f>
        <v>0.39787832269740037</v>
      </c>
      <c r="H108" s="133"/>
      <c r="I108" s="133"/>
      <c r="J108" s="133"/>
    </row>
    <row r="109" spans="1:10" x14ac:dyDescent="0.2">
      <c r="A109" s="91"/>
      <c r="B109" s="91" t="s">
        <v>106</v>
      </c>
      <c r="C109" s="132">
        <f>C103/C104</f>
        <v>0.45476981925529941</v>
      </c>
      <c r="D109" s="132">
        <f>D103/D104</f>
        <v>0.47551556104083803</v>
      </c>
      <c r="E109" s="132">
        <f>E103/E104</f>
        <v>0.41495970784314157</v>
      </c>
      <c r="F109" s="132">
        <f>F103/F104</f>
        <v>0.69066675221316443</v>
      </c>
      <c r="G109" s="132">
        <f>G103/G104</f>
        <v>0.60212167730259969</v>
      </c>
      <c r="H109" s="133"/>
      <c r="I109" s="133"/>
      <c r="J109" s="133"/>
    </row>
    <row r="110" spans="1:10" x14ac:dyDescent="0.2">
      <c r="A110" s="91"/>
      <c r="B110" s="91" t="s">
        <v>107</v>
      </c>
      <c r="C110" s="134">
        <f>C75/C102</f>
        <v>5.4043238931858938E-2</v>
      </c>
      <c r="D110" s="134">
        <f>D75/D102</f>
        <v>5.2699680937045051E-2</v>
      </c>
      <c r="E110" s="134">
        <f>E75/E102</f>
        <v>3.4603669418565124E-2</v>
      </c>
      <c r="F110" s="134">
        <f>F75/F102</f>
        <v>4.1619702157326882E-2</v>
      </c>
      <c r="G110" s="134">
        <f>G75/G102</f>
        <v>2.4693278679382976E-2</v>
      </c>
      <c r="H110" s="135"/>
      <c r="I110" s="135"/>
      <c r="J110" s="135"/>
    </row>
    <row r="111" spans="1:10" x14ac:dyDescent="0.2">
      <c r="A111" s="91"/>
      <c r="B111" s="91" t="s">
        <v>108</v>
      </c>
      <c r="C111" s="132">
        <f>C83/C82</f>
        <v>0.2377269408906495</v>
      </c>
      <c r="D111" s="132">
        <f>D83/D82</f>
        <v>0.23676227738116409</v>
      </c>
      <c r="E111" s="132">
        <f>E83/E82</f>
        <v>0.23646442069055235</v>
      </c>
      <c r="F111" s="132">
        <f>F83/F82</f>
        <v>0.2006204677202495</v>
      </c>
      <c r="G111" s="132">
        <f>G83/G82</f>
        <v>0.20696420423908085</v>
      </c>
      <c r="H111" s="133"/>
      <c r="I111" s="133"/>
      <c r="J111" s="133"/>
    </row>
    <row r="112" spans="1:10" x14ac:dyDescent="0.2">
      <c r="A112" s="91"/>
      <c r="B112" s="91" t="s">
        <v>109</v>
      </c>
      <c r="C112" s="132">
        <f>C86/C103</f>
        <v>0.20740631116394764</v>
      </c>
      <c r="D112" s="132">
        <f>D86/D103</f>
        <v>0.10885645641338258</v>
      </c>
      <c r="E112" s="132">
        <f>E86/E103</f>
        <v>0.3013440421242064</v>
      </c>
      <c r="F112" s="132">
        <f>F86/F103</f>
        <v>0.24607999392449489</v>
      </c>
      <c r="G112" s="132">
        <f>G86/G103</f>
        <v>0.25628946183706919</v>
      </c>
      <c r="H112" s="133"/>
      <c r="I112" s="133"/>
      <c r="J112" s="133"/>
    </row>
    <row r="113" spans="1:10" x14ac:dyDescent="0.2">
      <c r="A113" s="91"/>
      <c r="B113" s="91" t="s">
        <v>110</v>
      </c>
      <c r="C113" s="136">
        <f>C108*C110*(1-C111)+C109*C112</f>
        <v>0.11678327235880442</v>
      </c>
      <c r="D113" s="136">
        <f>D108*D110*(1-D111)+D109*D112</f>
        <v>7.2858953692022388E-2</v>
      </c>
      <c r="E113" s="136">
        <f>E108*E110*(1-E111)+E109*E112</f>
        <v>0.1405030629183642</v>
      </c>
      <c r="F113" s="136">
        <f>F108*F110*(1-F111)+F109*F112</f>
        <v>0.18025076817732877</v>
      </c>
      <c r="G113" s="137">
        <f>G108*G110*(1-G111)+G109*G112</f>
        <v>0.16210895412697687</v>
      </c>
      <c r="H113" s="138"/>
      <c r="I113" s="138"/>
      <c r="J113" s="139"/>
    </row>
    <row r="114" spans="1:10" x14ac:dyDescent="0.2">
      <c r="A114" s="102"/>
      <c r="B114" s="102"/>
      <c r="C114" s="138"/>
      <c r="D114" s="138"/>
      <c r="E114" s="138"/>
      <c r="F114" s="138"/>
      <c r="G114" s="139"/>
      <c r="H114" s="138"/>
      <c r="I114" s="138"/>
      <c r="J114" s="139"/>
    </row>
    <row r="115" spans="1:10" x14ac:dyDescent="0.2">
      <c r="A115" s="105"/>
      <c r="B115" s="105" t="s">
        <v>257</v>
      </c>
      <c r="C115" s="102"/>
      <c r="D115" s="102"/>
      <c r="E115" s="102"/>
      <c r="F115" s="102"/>
      <c r="G115" s="102"/>
      <c r="H115" s="102"/>
      <c r="I115" s="102"/>
      <c r="J115" s="102"/>
    </row>
    <row r="116" spans="1:10" x14ac:dyDescent="0.2">
      <c r="C116" s="102"/>
      <c r="D116" s="102"/>
      <c r="E116" s="102"/>
      <c r="F116" s="102"/>
      <c r="G116" s="102"/>
      <c r="H116" s="102" t="s">
        <v>111</v>
      </c>
      <c r="I116" s="102"/>
      <c r="J116" s="102"/>
    </row>
    <row r="117" spans="1:10" ht="17" x14ac:dyDescent="0.2">
      <c r="B117" s="140" t="s">
        <v>12</v>
      </c>
      <c r="C117" s="91">
        <v>2014</v>
      </c>
      <c r="D117" s="91">
        <v>2015</v>
      </c>
      <c r="E117" s="91">
        <v>2016</v>
      </c>
      <c r="F117" s="91">
        <v>2017</v>
      </c>
      <c r="G117" s="91">
        <v>2018</v>
      </c>
      <c r="H117" s="141" t="s">
        <v>112</v>
      </c>
    </row>
    <row r="118" spans="1:10" x14ac:dyDescent="0.2">
      <c r="B118" s="91" t="s">
        <v>113</v>
      </c>
      <c r="C118" s="91">
        <f>C70+C73+C79</f>
        <v>9220626</v>
      </c>
      <c r="D118" s="91">
        <f>D70+D73+D79</f>
        <v>7711307</v>
      </c>
      <c r="E118" s="91">
        <f>E70+E73+E79</f>
        <v>8617172</v>
      </c>
      <c r="F118" s="91">
        <f>F70+F73+F79</f>
        <v>10993027</v>
      </c>
      <c r="G118" s="91">
        <f>G70+G73+G79</f>
        <v>14582520</v>
      </c>
      <c r="H118" s="108"/>
    </row>
    <row r="119" spans="1:10" x14ac:dyDescent="0.2">
      <c r="B119" s="91" t="s">
        <v>114</v>
      </c>
      <c r="C119" s="91">
        <f>C71+C74+C76+C77+C80</f>
        <v>8886398</v>
      </c>
      <c r="D119" s="91">
        <f>D71+D74+D76+D77+D80</f>
        <v>7514502</v>
      </c>
      <c r="E119" s="91">
        <f>E71+E74+E76+E77+E80</f>
        <v>8025269</v>
      </c>
      <c r="F119" s="91">
        <f>F71+F74+F76+F77+F80</f>
        <v>10085647</v>
      </c>
      <c r="G119" s="91">
        <f>G71+G74+G76+G77+G80</f>
        <v>13377070</v>
      </c>
      <c r="H119" s="108"/>
    </row>
    <row r="120" spans="1:10" x14ac:dyDescent="0.2">
      <c r="B120" s="91" t="s">
        <v>115</v>
      </c>
      <c r="C120" s="91">
        <f>C46</f>
        <v>140059</v>
      </c>
      <c r="D120" s="91">
        <f>D46</f>
        <v>191248</v>
      </c>
      <c r="E120" s="91">
        <f>E46</f>
        <v>325730</v>
      </c>
      <c r="F120" s="91">
        <f>F46</f>
        <v>278898</v>
      </c>
      <c r="G120" s="91">
        <f>G46</f>
        <v>342677</v>
      </c>
      <c r="H120" s="108"/>
    </row>
    <row r="121" spans="1:10" x14ac:dyDescent="0.2">
      <c r="B121" s="91" t="s">
        <v>116</v>
      </c>
      <c r="C121" s="91">
        <f>C84+C47+C57+C59</f>
        <v>220869</v>
      </c>
      <c r="D121" s="91">
        <f>D84+D47+D57+D59</f>
        <v>232059</v>
      </c>
      <c r="E121" s="91">
        <f>E84+E47+E57+E59</f>
        <v>471389</v>
      </c>
      <c r="F121" s="91">
        <f>F84+F47+F57+F59</f>
        <v>862377</v>
      </c>
      <c r="G121" s="91">
        <f>G84+G47+G57+G59</f>
        <v>1034202</v>
      </c>
      <c r="H121" s="108"/>
    </row>
    <row r="122" spans="1:10" x14ac:dyDescent="0.2">
      <c r="B122" s="91"/>
      <c r="C122" s="91"/>
      <c r="D122" s="91"/>
      <c r="E122" s="91"/>
      <c r="F122" s="91"/>
      <c r="G122" s="91"/>
      <c r="H122" s="108"/>
    </row>
    <row r="123" spans="1:10" x14ac:dyDescent="0.2">
      <c r="B123" s="91" t="s">
        <v>117</v>
      </c>
      <c r="C123" s="142"/>
      <c r="D123" s="143">
        <f>D118/C118-1</f>
        <v>-0.16368942846179857</v>
      </c>
      <c r="E123" s="143">
        <f>E118/D118-1</f>
        <v>0.11747230398167252</v>
      </c>
      <c r="F123" s="143">
        <f>F118/E118-1</f>
        <v>0.27571168360107001</v>
      </c>
      <c r="G123" s="143">
        <f>G118/F118-1</f>
        <v>0.32652453232399048</v>
      </c>
      <c r="H123" s="144">
        <f>AVERAGE(D123:G123)</f>
        <v>0.13900477286123361</v>
      </c>
    </row>
    <row r="124" spans="1:10" x14ac:dyDescent="0.2">
      <c r="B124" s="91" t="s">
        <v>118</v>
      </c>
      <c r="C124" s="91"/>
      <c r="D124" s="132">
        <f>D119/D118</f>
        <v>0.97447838608941395</v>
      </c>
      <c r="E124" s="132">
        <f>E119/E118</f>
        <v>0.93131122368220109</v>
      </c>
      <c r="F124" s="132">
        <f>F119/F118</f>
        <v>0.91745858533777824</v>
      </c>
      <c r="G124" s="132">
        <f>G119/G118</f>
        <v>0.91733596113703253</v>
      </c>
      <c r="H124" s="144">
        <f t="shared" ref="H124:H129" si="0">AVERAGE(D124:G124)</f>
        <v>0.93514603906160643</v>
      </c>
    </row>
    <row r="125" spans="1:10" x14ac:dyDescent="0.2">
      <c r="B125" s="91" t="s">
        <v>119</v>
      </c>
      <c r="C125" s="91"/>
      <c r="D125" s="132">
        <f>D16/D118</f>
        <v>4.9129155407766798E-3</v>
      </c>
      <c r="E125" s="132">
        <f>E16/E118</f>
        <v>1.8027724176794893E-2</v>
      </c>
      <c r="F125" s="132">
        <f>F16/F118</f>
        <v>1.593819427533472E-2</v>
      </c>
      <c r="G125" s="132">
        <f>G16/G118</f>
        <v>1.417594489841262E-2</v>
      </c>
      <c r="H125" s="144">
        <f t="shared" si="0"/>
        <v>1.3263694722829728E-2</v>
      </c>
    </row>
    <row r="126" spans="1:10" x14ac:dyDescent="0.2">
      <c r="B126" s="91" t="s">
        <v>120</v>
      </c>
      <c r="C126" s="91"/>
      <c r="D126" s="132">
        <f>D18/D118</f>
        <v>6.0489097373506205E-3</v>
      </c>
      <c r="E126" s="132">
        <f>E18/E118</f>
        <v>7.2786060206295059E-3</v>
      </c>
      <c r="F126" s="132">
        <f>F18/F118</f>
        <v>7.6855082772015384E-3</v>
      </c>
      <c r="G126" s="132">
        <f>G18/G118</f>
        <v>1.0615792057888486E-2</v>
      </c>
      <c r="H126" s="144">
        <f t="shared" si="0"/>
        <v>7.9072040232675382E-3</v>
      </c>
    </row>
    <row r="127" spans="1:10" x14ac:dyDescent="0.2">
      <c r="B127" s="91" t="s">
        <v>121</v>
      </c>
      <c r="C127" s="91"/>
      <c r="D127" s="132">
        <f>D22/D118</f>
        <v>0.27689534342232774</v>
      </c>
      <c r="E127" s="132">
        <f>E22/E118</f>
        <v>0.32942234412867699</v>
      </c>
      <c r="F127" s="132">
        <f>F22/F118</f>
        <v>0.309465172786349</v>
      </c>
      <c r="G127" s="132">
        <f>G22/G118</f>
        <v>0.34069186944369012</v>
      </c>
      <c r="H127" s="144">
        <f t="shared" si="0"/>
        <v>0.31411868244526098</v>
      </c>
    </row>
    <row r="128" spans="1:10" x14ac:dyDescent="0.2">
      <c r="B128" s="91" t="s">
        <v>122</v>
      </c>
      <c r="C128" s="91"/>
      <c r="D128" s="132">
        <f>D26/D118</f>
        <v>6.3851951426651801E-2</v>
      </c>
      <c r="E128" s="132">
        <f>E26/E118</f>
        <v>4.9126790088442007E-2</v>
      </c>
      <c r="F128" s="132">
        <f>F26/F118</f>
        <v>4.5202290506518361E-2</v>
      </c>
      <c r="G128" s="132">
        <f>G26/G118</f>
        <v>5.4181924660483924E-2</v>
      </c>
      <c r="H128" s="144">
        <f t="shared" si="0"/>
        <v>5.3090739170524023E-2</v>
      </c>
    </row>
    <row r="129" spans="2:11" x14ac:dyDescent="0.2">
      <c r="B129" s="91" t="s">
        <v>123</v>
      </c>
      <c r="C129" s="108"/>
      <c r="D129" s="92">
        <f>D120/D118</f>
        <v>2.4800983802097363E-2</v>
      </c>
      <c r="E129" s="92">
        <f>E120/E118</f>
        <v>3.7800104256941837E-2</v>
      </c>
      <c r="F129" s="92">
        <f>F120/F118</f>
        <v>2.5370446192845703E-2</v>
      </c>
      <c r="G129" s="92">
        <f>G120/G118</f>
        <v>2.3499162010406981E-2</v>
      </c>
      <c r="H129" s="144">
        <f t="shared" si="0"/>
        <v>2.7867674065572973E-2</v>
      </c>
    </row>
    <row r="130" spans="2:11" x14ac:dyDescent="0.2">
      <c r="B130" s="91" t="s">
        <v>124</v>
      </c>
      <c r="C130" s="108"/>
      <c r="D130" s="92">
        <f>D121/D118</f>
        <v>3.0093342153282188E-2</v>
      </c>
      <c r="E130" s="92">
        <f>E121/E118</f>
        <v>5.4703445631583074E-2</v>
      </c>
      <c r="F130" s="92">
        <f>F121/F118</f>
        <v>7.8447637761646538E-2</v>
      </c>
      <c r="G130" s="92">
        <f>G121/G118</f>
        <v>7.0920663918170521E-2</v>
      </c>
      <c r="H130" s="144">
        <f>AVERAGE(D130:G130)</f>
        <v>5.8541272366170585E-2</v>
      </c>
    </row>
    <row r="131" spans="2:11" x14ac:dyDescent="0.2">
      <c r="B131" s="108" t="s">
        <v>125</v>
      </c>
      <c r="C131" s="145">
        <f>C111</f>
        <v>0.2377269408906495</v>
      </c>
      <c r="D131" s="145">
        <f>D111</f>
        <v>0.23676227738116409</v>
      </c>
      <c r="E131" s="145">
        <f>E111</f>
        <v>0.23646442069055235</v>
      </c>
      <c r="F131" s="145">
        <f>F111</f>
        <v>0.2006204677202495</v>
      </c>
      <c r="G131" s="145">
        <f>G111</f>
        <v>0.20696420423908085</v>
      </c>
      <c r="H131" s="145">
        <f>AVERAGE(C131:G131)</f>
        <v>0.22370766218433924</v>
      </c>
    </row>
    <row r="134" spans="2:11" x14ac:dyDescent="0.2">
      <c r="B134" s="105" t="s">
        <v>264</v>
      </c>
    </row>
    <row r="135" spans="2:11" x14ac:dyDescent="0.2">
      <c r="B135" s="102"/>
      <c r="C135" s="106"/>
      <c r="I135" s="146"/>
      <c r="J135" s="147" t="s">
        <v>126</v>
      </c>
      <c r="K135" s="148"/>
    </row>
    <row r="136" spans="2:11" x14ac:dyDescent="0.2">
      <c r="C136" s="149"/>
      <c r="D136" s="149"/>
      <c r="E136" s="149"/>
      <c r="F136" s="149"/>
      <c r="G136" s="149"/>
      <c r="H136" s="149"/>
      <c r="I136" s="150" t="s">
        <v>258</v>
      </c>
      <c r="J136" s="222" t="s">
        <v>127</v>
      </c>
      <c r="K136" s="150" t="s">
        <v>128</v>
      </c>
    </row>
    <row r="137" spans="2:11" x14ac:dyDescent="0.2">
      <c r="B137" s="151" t="s">
        <v>129</v>
      </c>
      <c r="C137" s="152">
        <v>2014</v>
      </c>
      <c r="D137" s="153">
        <v>2015</v>
      </c>
      <c r="E137" s="152">
        <v>2016</v>
      </c>
      <c r="F137" s="153">
        <v>2017</v>
      </c>
      <c r="G137" s="152">
        <v>2018</v>
      </c>
      <c r="H137" s="154" t="s">
        <v>112</v>
      </c>
      <c r="I137" s="223" t="s">
        <v>130</v>
      </c>
      <c r="J137" s="200"/>
      <c r="K137" s="155"/>
    </row>
    <row r="138" spans="2:11" x14ac:dyDescent="0.2">
      <c r="B138" s="125"/>
      <c r="C138" s="91"/>
      <c r="D138" s="91"/>
      <c r="E138" s="91"/>
      <c r="F138" s="91"/>
      <c r="G138" s="91"/>
      <c r="H138" s="156"/>
      <c r="I138" s="224"/>
      <c r="J138" s="124"/>
      <c r="K138" s="157"/>
    </row>
    <row r="139" spans="2:11" x14ac:dyDescent="0.2">
      <c r="B139" s="91" t="s">
        <v>131</v>
      </c>
      <c r="C139" s="132"/>
      <c r="D139" s="132">
        <f>D123</f>
        <v>-0.16368942846179857</v>
      </c>
      <c r="E139" s="132">
        <f t="shared" ref="E139:G140" si="1">E123</f>
        <v>0.11747230398167252</v>
      </c>
      <c r="F139" s="132">
        <f t="shared" si="1"/>
        <v>0.27571168360107001</v>
      </c>
      <c r="G139" s="132">
        <f t="shared" si="1"/>
        <v>0.32652453232399048</v>
      </c>
      <c r="H139" s="158">
        <f>AVERAGE(D139:G139)</f>
        <v>0.13900477286123361</v>
      </c>
      <c r="I139" s="159">
        <v>0.11</v>
      </c>
      <c r="J139" s="160">
        <v>0.09</v>
      </c>
      <c r="K139" s="160">
        <v>0.14000000000000001</v>
      </c>
    </row>
    <row r="140" spans="2:11" x14ac:dyDescent="0.2">
      <c r="B140" s="91" t="s">
        <v>118</v>
      </c>
      <c r="C140" s="132"/>
      <c r="D140" s="132">
        <f>D124</f>
        <v>0.97447838608941395</v>
      </c>
      <c r="E140" s="132">
        <f t="shared" si="1"/>
        <v>0.93131122368220109</v>
      </c>
      <c r="F140" s="132">
        <f t="shared" si="1"/>
        <v>0.91745858533777824</v>
      </c>
      <c r="G140" s="132">
        <f t="shared" si="1"/>
        <v>0.91733596113703253</v>
      </c>
      <c r="H140" s="158">
        <f t="shared" ref="H140:H147" si="2">AVERAGE(D140:G140)</f>
        <v>0.93514603906160643</v>
      </c>
      <c r="I140" s="161">
        <v>0.89</v>
      </c>
      <c r="J140" s="162">
        <v>0.86</v>
      </c>
      <c r="K140" s="162">
        <v>0.92</v>
      </c>
    </row>
    <row r="141" spans="2:11" x14ac:dyDescent="0.2">
      <c r="B141" s="91"/>
      <c r="C141" s="136"/>
      <c r="D141" s="136"/>
      <c r="E141" s="136"/>
      <c r="F141" s="136"/>
      <c r="G141" s="136"/>
      <c r="H141" s="158"/>
      <c r="I141" s="163"/>
      <c r="J141" s="108"/>
      <c r="K141" s="108"/>
    </row>
    <row r="142" spans="2:11" x14ac:dyDescent="0.2">
      <c r="B142" s="91" t="s">
        <v>119</v>
      </c>
      <c r="C142" s="136"/>
      <c r="D142" s="136">
        <f t="shared" ref="D142:G148" si="3">D125</f>
        <v>4.9129155407766798E-3</v>
      </c>
      <c r="E142" s="136">
        <f t="shared" si="3"/>
        <v>1.8027724176794893E-2</v>
      </c>
      <c r="F142" s="136">
        <f t="shared" si="3"/>
        <v>1.593819427533472E-2</v>
      </c>
      <c r="G142" s="136">
        <f t="shared" si="3"/>
        <v>1.417594489841262E-2</v>
      </c>
      <c r="H142" s="158">
        <f t="shared" si="2"/>
        <v>1.3263694722829728E-2</v>
      </c>
      <c r="I142" s="163">
        <v>0.02</v>
      </c>
      <c r="J142" s="108"/>
      <c r="K142" s="108"/>
    </row>
    <row r="143" spans="2:11" x14ac:dyDescent="0.2">
      <c r="B143" s="91" t="s">
        <v>120</v>
      </c>
      <c r="C143" s="136"/>
      <c r="D143" s="136">
        <f t="shared" si="3"/>
        <v>6.0489097373506205E-3</v>
      </c>
      <c r="E143" s="136">
        <f t="shared" si="3"/>
        <v>7.2786060206295059E-3</v>
      </c>
      <c r="F143" s="136">
        <f t="shared" si="3"/>
        <v>7.6855082772015384E-3</v>
      </c>
      <c r="G143" s="136">
        <f t="shared" si="3"/>
        <v>1.0615792057888486E-2</v>
      </c>
      <c r="H143" s="158">
        <f t="shared" si="2"/>
        <v>7.9072040232675382E-3</v>
      </c>
      <c r="I143" s="161">
        <v>0.04</v>
      </c>
      <c r="J143" s="162">
        <v>0.02</v>
      </c>
      <c r="K143" s="162">
        <v>0.06</v>
      </c>
    </row>
    <row r="144" spans="2:11" x14ac:dyDescent="0.2">
      <c r="B144" s="91" t="s">
        <v>121</v>
      </c>
      <c r="C144" s="136"/>
      <c r="D144" s="136">
        <f t="shared" si="3"/>
        <v>0.27689534342232774</v>
      </c>
      <c r="E144" s="136">
        <f t="shared" si="3"/>
        <v>0.32942234412867699</v>
      </c>
      <c r="F144" s="136">
        <f t="shared" si="3"/>
        <v>0.309465172786349</v>
      </c>
      <c r="G144" s="136">
        <f t="shared" si="3"/>
        <v>0.34069186944369012</v>
      </c>
      <c r="H144" s="158">
        <f t="shared" si="2"/>
        <v>0.31411868244526098</v>
      </c>
      <c r="I144" s="161">
        <v>0.3</v>
      </c>
      <c r="J144" s="162">
        <v>0.27</v>
      </c>
      <c r="K144" s="162">
        <v>0.35</v>
      </c>
    </row>
    <row r="145" spans="2:11" x14ac:dyDescent="0.2">
      <c r="B145" s="91" t="s">
        <v>122</v>
      </c>
      <c r="C145" s="136"/>
      <c r="D145" s="136">
        <f t="shared" si="3"/>
        <v>6.3851951426651801E-2</v>
      </c>
      <c r="E145" s="136">
        <f t="shared" si="3"/>
        <v>4.9126790088442007E-2</v>
      </c>
      <c r="F145" s="136">
        <f t="shared" si="3"/>
        <v>4.5202290506518361E-2</v>
      </c>
      <c r="G145" s="136">
        <f t="shared" si="3"/>
        <v>5.4181924660483924E-2</v>
      </c>
      <c r="H145" s="158">
        <f t="shared" si="2"/>
        <v>5.3090739170524023E-2</v>
      </c>
      <c r="I145" s="163">
        <v>0.05</v>
      </c>
      <c r="J145" s="108"/>
      <c r="K145" s="108"/>
    </row>
    <row r="146" spans="2:11" x14ac:dyDescent="0.2">
      <c r="B146" s="91" t="s">
        <v>123</v>
      </c>
      <c r="C146" s="136"/>
      <c r="D146" s="136">
        <f t="shared" si="3"/>
        <v>2.4800983802097363E-2</v>
      </c>
      <c r="E146" s="136">
        <f t="shared" si="3"/>
        <v>3.7800104256941837E-2</v>
      </c>
      <c r="F146" s="136">
        <f t="shared" si="3"/>
        <v>2.5370446192845703E-2</v>
      </c>
      <c r="G146" s="136">
        <f t="shared" si="3"/>
        <v>2.3499162010406981E-2</v>
      </c>
      <c r="H146" s="158">
        <f t="shared" si="2"/>
        <v>2.7867674065572973E-2</v>
      </c>
      <c r="I146" s="163">
        <v>0.04</v>
      </c>
      <c r="J146" s="108"/>
      <c r="K146" s="108"/>
    </row>
    <row r="147" spans="2:11" x14ac:dyDescent="0.2">
      <c r="B147" s="91" t="s">
        <v>124</v>
      </c>
      <c r="C147" s="136"/>
      <c r="D147" s="136">
        <f t="shared" si="3"/>
        <v>3.0093342153282188E-2</v>
      </c>
      <c r="E147" s="136">
        <f t="shared" si="3"/>
        <v>5.4703445631583074E-2</v>
      </c>
      <c r="F147" s="136">
        <f t="shared" si="3"/>
        <v>7.8447637761646538E-2</v>
      </c>
      <c r="G147" s="136">
        <f t="shared" si="3"/>
        <v>7.0920663918170521E-2</v>
      </c>
      <c r="H147" s="158">
        <f t="shared" si="2"/>
        <v>5.8541272366170585E-2</v>
      </c>
      <c r="I147" s="163">
        <v>0.06</v>
      </c>
      <c r="J147" s="108"/>
      <c r="K147" s="108"/>
    </row>
    <row r="148" spans="2:11" x14ac:dyDescent="0.2">
      <c r="B148" s="91" t="s">
        <v>133</v>
      </c>
      <c r="C148" s="136">
        <f>C131</f>
        <v>0.2377269408906495</v>
      </c>
      <c r="D148" s="136">
        <f t="shared" si="3"/>
        <v>0.23676227738116409</v>
      </c>
      <c r="E148" s="136">
        <f t="shared" si="3"/>
        <v>0.23646442069055235</v>
      </c>
      <c r="F148" s="136">
        <f t="shared" si="3"/>
        <v>0.2006204677202495</v>
      </c>
      <c r="G148" s="136">
        <f t="shared" si="3"/>
        <v>0.20696420423908085</v>
      </c>
      <c r="H148" s="158">
        <f>AVERAGE(C148:G148)</f>
        <v>0.22370766218433924</v>
      </c>
      <c r="I148" s="161">
        <v>0.2</v>
      </c>
      <c r="J148" s="162">
        <v>0.15</v>
      </c>
      <c r="K148" s="162">
        <v>0.25</v>
      </c>
    </row>
    <row r="149" spans="2:11" x14ac:dyDescent="0.2">
      <c r="G149" s="164"/>
      <c r="H149" s="164"/>
      <c r="I149" s="164"/>
      <c r="J149" s="102"/>
      <c r="K149" s="102"/>
    </row>
    <row r="150" spans="2:11" x14ac:dyDescent="0.2">
      <c r="B150" s="114" t="s">
        <v>134</v>
      </c>
      <c r="C150" s="165">
        <v>2018</v>
      </c>
      <c r="D150" s="114">
        <v>2019</v>
      </c>
      <c r="E150" s="114">
        <v>2020</v>
      </c>
      <c r="F150" s="114">
        <v>2021</v>
      </c>
      <c r="G150" s="114">
        <v>2022</v>
      </c>
      <c r="H150" s="114">
        <v>2023</v>
      </c>
      <c r="I150" s="114">
        <v>2024</v>
      </c>
      <c r="J150" s="102"/>
      <c r="K150" s="102"/>
    </row>
    <row r="151" spans="2:11" x14ac:dyDescent="0.2">
      <c r="B151" s="114" t="s">
        <v>135</v>
      </c>
      <c r="C151" s="91"/>
      <c r="D151" s="91"/>
      <c r="E151" s="91"/>
      <c r="F151" s="91"/>
      <c r="G151" s="91"/>
      <c r="H151" s="91"/>
      <c r="I151" s="102"/>
      <c r="J151" s="102"/>
      <c r="K151" s="102"/>
    </row>
    <row r="152" spans="2:11" x14ac:dyDescent="0.2">
      <c r="B152" s="91" t="s">
        <v>260</v>
      </c>
      <c r="C152" s="113">
        <f>G118</f>
        <v>14582520</v>
      </c>
      <c r="D152" s="91">
        <f t="shared" ref="D152:I152" si="4">C152*(1+$I$139)</f>
        <v>16186597.200000001</v>
      </c>
      <c r="E152" s="91">
        <f t="shared" si="4"/>
        <v>17967122.892000005</v>
      </c>
      <c r="F152" s="91">
        <f t="shared" si="4"/>
        <v>19943506.410120007</v>
      </c>
      <c r="G152" s="91">
        <f t="shared" si="4"/>
        <v>22137292.115233209</v>
      </c>
      <c r="H152" s="91">
        <f t="shared" si="4"/>
        <v>24572394.247908864</v>
      </c>
      <c r="I152" s="91">
        <f t="shared" si="4"/>
        <v>27275357.615178842</v>
      </c>
      <c r="J152" s="102"/>
      <c r="K152" s="102"/>
    </row>
    <row r="153" spans="2:11" x14ac:dyDescent="0.2">
      <c r="B153" s="91" t="s">
        <v>137</v>
      </c>
      <c r="C153" s="113">
        <f>G119</f>
        <v>13377070</v>
      </c>
      <c r="D153" s="91">
        <f t="shared" ref="D153:I153" si="5">D152*$I$140</f>
        <v>14406071.508000001</v>
      </c>
      <c r="E153" s="91">
        <f t="shared" si="5"/>
        <v>15990739.373880005</v>
      </c>
      <c r="F153" s="91">
        <f t="shared" si="5"/>
        <v>17749720.705006808</v>
      </c>
      <c r="G153" s="91">
        <f t="shared" si="5"/>
        <v>19702189.982557558</v>
      </c>
      <c r="H153" s="91">
        <f t="shared" si="5"/>
        <v>21869430.88063889</v>
      </c>
      <c r="I153" s="91">
        <f t="shared" si="5"/>
        <v>24275068.277509172</v>
      </c>
      <c r="J153" s="102"/>
      <c r="K153" s="102"/>
    </row>
    <row r="154" spans="2:11" x14ac:dyDescent="0.2">
      <c r="B154" s="166"/>
      <c r="C154" s="167"/>
      <c r="D154" s="168"/>
      <c r="E154" s="168"/>
      <c r="F154" s="168"/>
      <c r="G154" s="168"/>
      <c r="H154" s="168"/>
      <c r="I154" s="168"/>
      <c r="J154" s="102"/>
      <c r="K154" s="102"/>
    </row>
    <row r="155" spans="2:11" x14ac:dyDescent="0.2">
      <c r="B155" s="91" t="s">
        <v>259</v>
      </c>
      <c r="C155" s="169">
        <f t="shared" ref="C155:I155" si="6">C153+C154</f>
        <v>13377070</v>
      </c>
      <c r="D155" s="170">
        <f t="shared" si="6"/>
        <v>14406071.508000001</v>
      </c>
      <c r="E155" s="170">
        <f t="shared" si="6"/>
        <v>15990739.373880005</v>
      </c>
      <c r="F155" s="170">
        <f t="shared" si="6"/>
        <v>17749720.705006808</v>
      </c>
      <c r="G155" s="170">
        <f t="shared" si="6"/>
        <v>19702189.982557558</v>
      </c>
      <c r="H155" s="170">
        <f t="shared" si="6"/>
        <v>21869430.88063889</v>
      </c>
      <c r="I155" s="170">
        <f t="shared" si="6"/>
        <v>24275068.277509172</v>
      </c>
      <c r="J155" s="102"/>
      <c r="K155" s="102"/>
    </row>
    <row r="156" spans="2:11" x14ac:dyDescent="0.2">
      <c r="B156" s="91" t="s">
        <v>139</v>
      </c>
      <c r="C156" s="169">
        <f t="shared" ref="C156:I156" si="7">C152-C155</f>
        <v>1205450</v>
      </c>
      <c r="D156" s="170">
        <f t="shared" si="7"/>
        <v>1780525.6919999998</v>
      </c>
      <c r="E156" s="170">
        <f t="shared" si="7"/>
        <v>1976383.5181200001</v>
      </c>
      <c r="F156" s="170">
        <f t="shared" si="7"/>
        <v>2193785.7051131986</v>
      </c>
      <c r="G156" s="170">
        <f t="shared" si="7"/>
        <v>2435102.1326756515</v>
      </c>
      <c r="H156" s="170">
        <f t="shared" si="7"/>
        <v>2702963.3672699742</v>
      </c>
      <c r="I156" s="170">
        <f t="shared" si="7"/>
        <v>3000289.3376696706</v>
      </c>
      <c r="J156" s="102"/>
      <c r="K156" s="102"/>
    </row>
    <row r="157" spans="2:11" x14ac:dyDescent="0.2">
      <c r="B157" s="114" t="s">
        <v>140</v>
      </c>
      <c r="C157" s="113"/>
      <c r="D157" s="91"/>
      <c r="E157" s="91"/>
      <c r="F157" s="91"/>
      <c r="G157" s="91"/>
      <c r="H157" s="91"/>
      <c r="I157" s="91"/>
      <c r="J157" s="102"/>
      <c r="K157" s="102"/>
    </row>
    <row r="158" spans="2:11" x14ac:dyDescent="0.2">
      <c r="B158" s="165" t="s">
        <v>141</v>
      </c>
      <c r="C158" s="113"/>
      <c r="D158" s="91"/>
      <c r="E158" s="91"/>
      <c r="F158" s="91"/>
      <c r="G158" s="91"/>
      <c r="H158" s="91"/>
      <c r="I158" s="91"/>
      <c r="J158" s="102"/>
      <c r="K158" s="102"/>
    </row>
    <row r="159" spans="2:11" x14ac:dyDescent="0.2">
      <c r="B159" s="91" t="s">
        <v>142</v>
      </c>
      <c r="C159" s="113">
        <f>G152*G142</f>
        <v>313817.0332256101</v>
      </c>
      <c r="D159" s="91">
        <f t="shared" ref="D159:I159" si="8">D152*$I$142</f>
        <v>323731.94400000002</v>
      </c>
      <c r="E159" s="91">
        <f t="shared" si="8"/>
        <v>359342.4578400001</v>
      </c>
      <c r="F159" s="91">
        <f t="shared" si="8"/>
        <v>398870.12820240017</v>
      </c>
      <c r="G159" s="91">
        <f t="shared" si="8"/>
        <v>442745.8423046642</v>
      </c>
      <c r="H159" s="91">
        <f t="shared" si="8"/>
        <v>491447.88495817728</v>
      </c>
      <c r="I159" s="91">
        <f t="shared" si="8"/>
        <v>545507.15230357682</v>
      </c>
      <c r="J159" s="102"/>
      <c r="K159" s="102"/>
    </row>
    <row r="160" spans="2:11" x14ac:dyDescent="0.2">
      <c r="B160" s="91" t="s">
        <v>143</v>
      </c>
      <c r="C160" s="169">
        <f>G143*C152</f>
        <v>154805</v>
      </c>
      <c r="D160" s="170">
        <f t="shared" ref="D160:I160" si="9">D152*$I$143</f>
        <v>647463.88800000004</v>
      </c>
      <c r="E160" s="170">
        <f t="shared" si="9"/>
        <v>718684.91568000021</v>
      </c>
      <c r="F160" s="170">
        <f t="shared" si="9"/>
        <v>797740.25640480034</v>
      </c>
      <c r="G160" s="170">
        <f t="shared" si="9"/>
        <v>885491.6846093284</v>
      </c>
      <c r="H160" s="170">
        <f t="shared" si="9"/>
        <v>982895.76991635456</v>
      </c>
      <c r="I160" s="170">
        <f t="shared" si="9"/>
        <v>1091014.3046071536</v>
      </c>
      <c r="J160" s="102"/>
      <c r="K160" s="102"/>
    </row>
    <row r="161" spans="2:11" x14ac:dyDescent="0.2">
      <c r="B161" s="91" t="s">
        <v>144</v>
      </c>
      <c r="C161" s="169">
        <f>G144*C152</f>
        <v>4968146</v>
      </c>
      <c r="D161" s="170">
        <f t="shared" ref="D161:I161" si="10">D152*$I$144</f>
        <v>4855979.16</v>
      </c>
      <c r="E161" s="170">
        <f t="shared" si="10"/>
        <v>5390136.8676000014</v>
      </c>
      <c r="F161" s="170">
        <f t="shared" si="10"/>
        <v>5983051.9230360016</v>
      </c>
      <c r="G161" s="170">
        <f t="shared" si="10"/>
        <v>6641187.6345699625</v>
      </c>
      <c r="H161" s="170">
        <f t="shared" si="10"/>
        <v>7371718.2743726587</v>
      </c>
      <c r="I161" s="170">
        <f t="shared" si="10"/>
        <v>8182607.2845536526</v>
      </c>
      <c r="J161" s="102"/>
      <c r="K161" s="102"/>
    </row>
    <row r="162" spans="2:11" x14ac:dyDescent="0.2">
      <c r="B162" s="91" t="s">
        <v>145</v>
      </c>
      <c r="C162" s="113">
        <f t="shared" ref="C162:I162" si="11">SUM(C159:C161)</f>
        <v>5436768.0332256099</v>
      </c>
      <c r="D162" s="91">
        <f t="shared" si="11"/>
        <v>5827174.9920000006</v>
      </c>
      <c r="E162" s="91">
        <f t="shared" si="11"/>
        <v>6468164.2411200013</v>
      </c>
      <c r="F162" s="91">
        <f t="shared" si="11"/>
        <v>7179662.3076432021</v>
      </c>
      <c r="G162" s="91">
        <f t="shared" si="11"/>
        <v>7969425.1614839546</v>
      </c>
      <c r="H162" s="91">
        <f t="shared" si="11"/>
        <v>8846061.9292471912</v>
      </c>
      <c r="I162" s="91">
        <f t="shared" si="11"/>
        <v>9819128.7414643839</v>
      </c>
      <c r="J162" s="102"/>
      <c r="K162" s="102"/>
    </row>
    <row r="163" spans="2:11" x14ac:dyDescent="0.2">
      <c r="B163" s="91" t="s">
        <v>146</v>
      </c>
      <c r="C163" s="113">
        <f>C152*G145</f>
        <v>790109</v>
      </c>
      <c r="D163" s="91">
        <f t="shared" ref="D163:I163" si="12">D152*$I$145</f>
        <v>809329.8600000001</v>
      </c>
      <c r="E163" s="91">
        <f t="shared" si="12"/>
        <v>898356.14460000023</v>
      </c>
      <c r="F163" s="91">
        <f t="shared" si="12"/>
        <v>997175.32050600043</v>
      </c>
      <c r="G163" s="91">
        <f t="shared" si="12"/>
        <v>1106864.6057616605</v>
      </c>
      <c r="H163" s="91">
        <f t="shared" si="12"/>
        <v>1228619.7123954433</v>
      </c>
      <c r="I163" s="91">
        <f t="shared" si="12"/>
        <v>1363767.8807589421</v>
      </c>
      <c r="J163" s="102"/>
      <c r="K163" s="102"/>
    </row>
    <row r="164" spans="2:11" x14ac:dyDescent="0.2">
      <c r="B164" s="165" t="s">
        <v>147</v>
      </c>
      <c r="C164" s="113"/>
      <c r="D164" s="91"/>
      <c r="E164" s="91"/>
      <c r="F164" s="91"/>
      <c r="G164" s="91"/>
      <c r="H164" s="91"/>
      <c r="I164" s="91"/>
      <c r="J164" s="102"/>
      <c r="K164" s="102"/>
    </row>
    <row r="165" spans="2:11" x14ac:dyDescent="0.2">
      <c r="B165" s="91" t="s">
        <v>148</v>
      </c>
      <c r="C165" s="169">
        <f>G146*C152</f>
        <v>342677</v>
      </c>
      <c r="D165" s="170">
        <f t="shared" ref="D165:I165" si="13">D152*$I$146</f>
        <v>647463.88800000004</v>
      </c>
      <c r="E165" s="170">
        <f t="shared" si="13"/>
        <v>718684.91568000021</v>
      </c>
      <c r="F165" s="170">
        <f t="shared" si="13"/>
        <v>797740.25640480034</v>
      </c>
      <c r="G165" s="170">
        <f t="shared" si="13"/>
        <v>885491.6846093284</v>
      </c>
      <c r="H165" s="170">
        <f t="shared" si="13"/>
        <v>982895.76991635456</v>
      </c>
      <c r="I165" s="170">
        <f t="shared" si="13"/>
        <v>1091014.3046071536</v>
      </c>
      <c r="J165" s="102"/>
      <c r="K165" s="102"/>
    </row>
    <row r="166" spans="2:11" x14ac:dyDescent="0.2">
      <c r="B166" s="91" t="s">
        <v>149</v>
      </c>
      <c r="C166" s="169">
        <f>G147*C152</f>
        <v>1034202</v>
      </c>
      <c r="D166" s="170">
        <f t="shared" ref="D166:I166" si="14">D152*$I$147</f>
        <v>971195.83200000005</v>
      </c>
      <c r="E166" s="170">
        <f t="shared" si="14"/>
        <v>1078027.3735200001</v>
      </c>
      <c r="F166" s="170">
        <f t="shared" si="14"/>
        <v>1196610.3846072003</v>
      </c>
      <c r="G166" s="170">
        <f t="shared" si="14"/>
        <v>1328237.5269139926</v>
      </c>
      <c r="H166" s="170">
        <f t="shared" si="14"/>
        <v>1474343.6548745318</v>
      </c>
      <c r="I166" s="170">
        <f t="shared" si="14"/>
        <v>1636521.4569107306</v>
      </c>
      <c r="J166" s="102"/>
      <c r="K166" s="102"/>
    </row>
    <row r="167" spans="2:11" x14ac:dyDescent="0.2">
      <c r="B167" s="91" t="s">
        <v>150</v>
      </c>
      <c r="C167" s="169">
        <f t="shared" ref="C167:I167" si="15">SUM(C165:C166)</f>
        <v>1376879</v>
      </c>
      <c r="D167" s="170">
        <f t="shared" si="15"/>
        <v>1618659.7200000002</v>
      </c>
      <c r="E167" s="170">
        <f t="shared" si="15"/>
        <v>1796712.2892000005</v>
      </c>
      <c r="F167" s="170">
        <f t="shared" si="15"/>
        <v>1994350.6410120006</v>
      </c>
      <c r="G167" s="170">
        <f t="shared" si="15"/>
        <v>2213729.211523321</v>
      </c>
      <c r="H167" s="170">
        <f t="shared" si="15"/>
        <v>2457239.4247908862</v>
      </c>
      <c r="I167" s="170">
        <f t="shared" si="15"/>
        <v>2727535.7615178842</v>
      </c>
      <c r="J167" s="102"/>
      <c r="K167" s="102"/>
    </row>
    <row r="170" spans="2:11" x14ac:dyDescent="0.2">
      <c r="B170" s="105" t="s">
        <v>265</v>
      </c>
    </row>
    <row r="171" spans="2:11" x14ac:dyDescent="0.2">
      <c r="D171" s="102"/>
      <c r="E171" s="102"/>
      <c r="F171" s="102"/>
      <c r="G171" s="102"/>
      <c r="H171" s="102"/>
      <c r="I171" s="16" t="s">
        <v>10</v>
      </c>
    </row>
    <row r="172" spans="2:11" x14ac:dyDescent="0.2">
      <c r="B172" s="150" t="s">
        <v>129</v>
      </c>
      <c r="C172" s="239" t="s">
        <v>151</v>
      </c>
      <c r="D172" s="244" t="s">
        <v>152</v>
      </c>
      <c r="E172" s="245"/>
      <c r="F172" s="245"/>
      <c r="G172" s="245"/>
      <c r="H172" s="245"/>
      <c r="I172" s="246"/>
    </row>
    <row r="173" spans="2:11" x14ac:dyDescent="0.2">
      <c r="B173" s="125"/>
      <c r="C173" s="240">
        <v>2018</v>
      </c>
      <c r="D173" s="236">
        <v>2019</v>
      </c>
      <c r="E173" s="236">
        <v>2020</v>
      </c>
      <c r="F173" s="236">
        <v>2021</v>
      </c>
      <c r="G173" s="236">
        <v>2022</v>
      </c>
      <c r="H173" s="236">
        <v>2023</v>
      </c>
      <c r="I173" s="152">
        <v>2024</v>
      </c>
    </row>
    <row r="174" spans="2:11" x14ac:dyDescent="0.2">
      <c r="B174" s="165" t="s">
        <v>153</v>
      </c>
      <c r="C174" s="91"/>
      <c r="D174" s="91"/>
      <c r="E174" s="91"/>
      <c r="F174" s="91"/>
      <c r="G174" s="91"/>
      <c r="H174" s="91"/>
      <c r="I174" s="91"/>
    </row>
    <row r="175" spans="2:11" x14ac:dyDescent="0.2">
      <c r="B175" s="91" t="s">
        <v>154</v>
      </c>
      <c r="C175" s="170">
        <f t="shared" ref="C175:I175" si="16">C162-C167</f>
        <v>4059889.0332256099</v>
      </c>
      <c r="D175" s="170">
        <f t="shared" si="16"/>
        <v>4208515.2719999999</v>
      </c>
      <c r="E175" s="170">
        <f t="shared" si="16"/>
        <v>4671451.9519200008</v>
      </c>
      <c r="F175" s="170">
        <f t="shared" si="16"/>
        <v>5185311.6666312013</v>
      </c>
      <c r="G175" s="170">
        <f t="shared" si="16"/>
        <v>5755695.9499606341</v>
      </c>
      <c r="H175" s="170">
        <f t="shared" si="16"/>
        <v>6388822.5044563049</v>
      </c>
      <c r="I175" s="170">
        <f t="shared" si="16"/>
        <v>7091592.9799464997</v>
      </c>
    </row>
    <row r="176" spans="2:11" x14ac:dyDescent="0.2">
      <c r="B176" s="91" t="s">
        <v>146</v>
      </c>
      <c r="C176" s="91">
        <f t="shared" ref="C176:I176" si="17">C163</f>
        <v>790109</v>
      </c>
      <c r="D176" s="91">
        <f t="shared" si="17"/>
        <v>809329.8600000001</v>
      </c>
      <c r="E176" s="91">
        <f t="shared" si="17"/>
        <v>898356.14460000023</v>
      </c>
      <c r="F176" s="91">
        <f t="shared" si="17"/>
        <v>997175.32050600043</v>
      </c>
      <c r="G176" s="91">
        <f t="shared" si="17"/>
        <v>1106864.6057616605</v>
      </c>
      <c r="H176" s="91">
        <f t="shared" si="17"/>
        <v>1228619.7123954433</v>
      </c>
      <c r="I176" s="91">
        <f t="shared" si="17"/>
        <v>1363767.8807589421</v>
      </c>
    </row>
    <row r="177" spans="2:13" x14ac:dyDescent="0.2">
      <c r="B177" s="91" t="s">
        <v>155</v>
      </c>
      <c r="C177" s="170">
        <f t="shared" ref="C177:I177" si="18">C175+C176</f>
        <v>4849998.0332256099</v>
      </c>
      <c r="D177" s="170">
        <f t="shared" si="18"/>
        <v>5017845.1320000002</v>
      </c>
      <c r="E177" s="170">
        <f t="shared" si="18"/>
        <v>5569808.0965200011</v>
      </c>
      <c r="F177" s="170">
        <f t="shared" si="18"/>
        <v>6182486.9871372022</v>
      </c>
      <c r="G177" s="170">
        <f t="shared" si="18"/>
        <v>6862560.5557222944</v>
      </c>
      <c r="H177" s="170">
        <f t="shared" si="18"/>
        <v>7617442.2168517485</v>
      </c>
      <c r="I177" s="170">
        <f t="shared" si="18"/>
        <v>8455360.8607054427</v>
      </c>
    </row>
    <row r="178" spans="2:13" x14ac:dyDescent="0.2">
      <c r="B178" s="91" t="s">
        <v>156</v>
      </c>
      <c r="C178" s="91"/>
      <c r="D178" s="170">
        <f t="shared" ref="D178:I178" si="19">D177-C177</f>
        <v>167847.0987743903</v>
      </c>
      <c r="E178" s="170">
        <f t="shared" si="19"/>
        <v>551962.96452000085</v>
      </c>
      <c r="F178" s="170">
        <f t="shared" si="19"/>
        <v>612678.8906172011</v>
      </c>
      <c r="G178" s="170">
        <f t="shared" si="19"/>
        <v>680073.5685850922</v>
      </c>
      <c r="H178" s="170">
        <f t="shared" si="19"/>
        <v>754881.66112945415</v>
      </c>
      <c r="I178" s="170">
        <f t="shared" si="19"/>
        <v>837918.6438536942</v>
      </c>
    </row>
    <row r="179" spans="2:13" x14ac:dyDescent="0.2">
      <c r="B179" s="171" t="s">
        <v>157</v>
      </c>
      <c r="C179" s="233">
        <f>G148</f>
        <v>0.20696420423908085</v>
      </c>
      <c r="D179" s="233">
        <v>0.2</v>
      </c>
      <c r="E179" s="233">
        <v>0.2</v>
      </c>
      <c r="F179" s="233">
        <v>0.2</v>
      </c>
      <c r="G179" s="233">
        <v>0.2</v>
      </c>
      <c r="H179" s="233">
        <v>0.2</v>
      </c>
      <c r="I179" s="233">
        <v>0.2</v>
      </c>
    </row>
    <row r="180" spans="2:13" x14ac:dyDescent="0.2">
      <c r="B180" s="91" t="s">
        <v>158</v>
      </c>
      <c r="C180" s="91">
        <f t="shared" ref="C180:I180" si="20">C156*(1-C179)</f>
        <v>955964.99999999988</v>
      </c>
      <c r="D180" s="91">
        <f t="shared" si="20"/>
        <v>1424420.5536</v>
      </c>
      <c r="E180" s="91">
        <f t="shared" si="20"/>
        <v>1581106.8144960003</v>
      </c>
      <c r="F180" s="91">
        <f t="shared" si="20"/>
        <v>1755028.564090559</v>
      </c>
      <c r="G180" s="91">
        <f t="shared" si="20"/>
        <v>1948081.7061405212</v>
      </c>
      <c r="H180" s="91">
        <f t="shared" si="20"/>
        <v>2162370.6938159796</v>
      </c>
      <c r="I180" s="91">
        <f t="shared" si="20"/>
        <v>2400231.4701357367</v>
      </c>
    </row>
    <row r="181" spans="2:13" x14ac:dyDescent="0.2">
      <c r="B181" s="91" t="s">
        <v>159</v>
      </c>
      <c r="C181" s="91">
        <f t="shared" ref="C181:I181" si="21">C180-C178</f>
        <v>955964.99999999988</v>
      </c>
      <c r="D181" s="170">
        <f t="shared" si="21"/>
        <v>1256573.4548256097</v>
      </c>
      <c r="E181" s="170">
        <f t="shared" si="21"/>
        <v>1029143.8499759994</v>
      </c>
      <c r="F181" s="170">
        <f t="shared" si="21"/>
        <v>1142349.6734733579</v>
      </c>
      <c r="G181" s="170">
        <f t="shared" si="21"/>
        <v>1268008.137555429</v>
      </c>
      <c r="H181" s="170">
        <f t="shared" si="21"/>
        <v>1407489.0326865255</v>
      </c>
      <c r="I181" s="170">
        <f t="shared" si="21"/>
        <v>1562312.8262820425</v>
      </c>
    </row>
    <row r="182" spans="2:13" x14ac:dyDescent="0.2">
      <c r="B182" s="91" t="s">
        <v>160</v>
      </c>
      <c r="C182" s="91"/>
      <c r="D182" s="132">
        <f t="shared" ref="D182:I182" si="22">D181/C181-1</f>
        <v>0.31445550289561841</v>
      </c>
      <c r="E182" s="132">
        <f t="shared" si="22"/>
        <v>-0.18099189026810492</v>
      </c>
      <c r="F182" s="132">
        <f t="shared" si="22"/>
        <v>0.10999999999999854</v>
      </c>
      <c r="G182" s="132">
        <f t="shared" si="22"/>
        <v>0.11000000000000143</v>
      </c>
      <c r="H182" s="132">
        <f t="shared" si="22"/>
        <v>0.10999999999999943</v>
      </c>
      <c r="I182" s="235">
        <f t="shared" si="22"/>
        <v>0.10999999999999943</v>
      </c>
    </row>
    <row r="183" spans="2:13" x14ac:dyDescent="0.2">
      <c r="B183" s="165" t="s">
        <v>161</v>
      </c>
      <c r="C183" s="91"/>
      <c r="D183" s="91"/>
      <c r="E183" s="91"/>
      <c r="F183" s="91"/>
      <c r="G183" s="91"/>
      <c r="H183" s="91"/>
      <c r="I183" s="91"/>
    </row>
    <row r="184" spans="2:13" x14ac:dyDescent="0.2">
      <c r="B184" s="91" t="s">
        <v>162</v>
      </c>
      <c r="C184" s="91"/>
      <c r="D184" s="91"/>
      <c r="E184" s="91"/>
      <c r="F184" s="91"/>
      <c r="G184" s="91"/>
      <c r="H184" s="116"/>
      <c r="I184" s="91">
        <f>(I181*(1+I182))/(D188-I182)</f>
        <v>33285359.63863815</v>
      </c>
    </row>
    <row r="185" spans="2:13" x14ac:dyDescent="0.2">
      <c r="B185" s="91"/>
      <c r="C185" s="91"/>
      <c r="D185" s="116">
        <f t="shared" ref="D185:I185" si="23">D181</f>
        <v>1256573.4548256097</v>
      </c>
      <c r="E185" s="116">
        <f t="shared" si="23"/>
        <v>1029143.8499759994</v>
      </c>
      <c r="F185" s="116">
        <f t="shared" si="23"/>
        <v>1142349.6734733579</v>
      </c>
      <c r="G185" s="116">
        <f t="shared" si="23"/>
        <v>1268008.137555429</v>
      </c>
      <c r="H185" s="116">
        <f t="shared" si="23"/>
        <v>1407489.0326865255</v>
      </c>
      <c r="I185" s="116">
        <f t="shared" si="23"/>
        <v>1562312.8262820425</v>
      </c>
    </row>
    <row r="186" spans="2:13" x14ac:dyDescent="0.2">
      <c r="B186" s="91" t="s">
        <v>163</v>
      </c>
      <c r="C186" s="102">
        <f>NPV(D188,D185:I185)</f>
        <v>4564920.0911849001</v>
      </c>
      <c r="D186" s="172"/>
      <c r="E186" s="91"/>
      <c r="F186" s="91"/>
      <c r="G186" s="91"/>
      <c r="H186" s="91"/>
      <c r="I186" s="91"/>
    </row>
    <row r="187" spans="2:13" x14ac:dyDescent="0.2">
      <c r="B187" s="91" t="s">
        <v>164</v>
      </c>
      <c r="C187" s="234">
        <f>C186-C177</f>
        <v>-285077.94204070978</v>
      </c>
      <c r="D187" s="173"/>
      <c r="E187" s="91"/>
      <c r="F187" s="91"/>
      <c r="G187" s="91"/>
      <c r="H187" s="91"/>
      <c r="I187" s="91"/>
    </row>
    <row r="188" spans="2:13" x14ac:dyDescent="0.2">
      <c r="B188" s="102"/>
      <c r="C188" s="106" t="s">
        <v>274</v>
      </c>
      <c r="D188" s="174">
        <v>0.16209999999999999</v>
      </c>
      <c r="E188" s="102" t="s">
        <v>261</v>
      </c>
      <c r="F188" s="102" t="s">
        <v>262</v>
      </c>
      <c r="G188" s="175">
        <v>0.25</v>
      </c>
      <c r="H188" s="175" t="s">
        <v>263</v>
      </c>
      <c r="I188" s="175">
        <v>0.15</v>
      </c>
    </row>
    <row r="189" spans="2:13" x14ac:dyDescent="0.2">
      <c r="L189" s="100" t="s">
        <v>267</v>
      </c>
    </row>
    <row r="190" spans="2:13" ht="34" x14ac:dyDescent="0.2">
      <c r="D190" s="100" t="s">
        <v>165</v>
      </c>
      <c r="L190" s="176" t="s">
        <v>239</v>
      </c>
      <c r="M190" s="74">
        <v>5.34</v>
      </c>
    </row>
    <row r="191" spans="2:13" ht="34" x14ac:dyDescent="0.2">
      <c r="B191" s="105" t="s">
        <v>266</v>
      </c>
      <c r="C191" s="102"/>
      <c r="L191" s="176" t="s">
        <v>240</v>
      </c>
      <c r="M191" s="74">
        <v>5.34</v>
      </c>
    </row>
    <row r="192" spans="2:13" ht="17" x14ac:dyDescent="0.2">
      <c r="B192" s="102"/>
      <c r="C192" s="16" t="s">
        <v>166</v>
      </c>
      <c r="L192" s="177" t="s">
        <v>241</v>
      </c>
      <c r="M192" s="74">
        <v>11.94</v>
      </c>
    </row>
    <row r="193" spans="2:13" ht="34" x14ac:dyDescent="0.2">
      <c r="B193" s="91" t="s">
        <v>285</v>
      </c>
      <c r="C193" s="170">
        <f>C186</f>
        <v>4564920.0911849001</v>
      </c>
      <c r="E193" s="100" t="s">
        <v>175</v>
      </c>
      <c r="I193" s="100">
        <v>167002273</v>
      </c>
      <c r="J193" s="100" t="s">
        <v>176</v>
      </c>
      <c r="L193" s="177" t="s">
        <v>252</v>
      </c>
      <c r="M193" s="74">
        <v>20.329999999999998</v>
      </c>
    </row>
    <row r="194" spans="2:13" ht="17" x14ac:dyDescent="0.2">
      <c r="B194" s="91" t="s">
        <v>167</v>
      </c>
      <c r="C194" s="170">
        <f>G17</f>
        <v>0</v>
      </c>
      <c r="L194" s="177" t="s">
        <v>242</v>
      </c>
      <c r="M194" s="74">
        <v>0.28999999999999998</v>
      </c>
    </row>
    <row r="195" spans="2:13" ht="34" x14ac:dyDescent="0.2">
      <c r="B195" s="91" t="s">
        <v>168</v>
      </c>
      <c r="C195" s="226">
        <f>C193+C194</f>
        <v>4564920.0911849001</v>
      </c>
      <c r="L195" s="177" t="s">
        <v>243</v>
      </c>
      <c r="M195" s="76">
        <v>225293585</v>
      </c>
    </row>
    <row r="196" spans="2:13" ht="34" x14ac:dyDescent="0.2">
      <c r="B196" s="91" t="s">
        <v>169</v>
      </c>
      <c r="C196" s="170">
        <f>G45+G48+G49</f>
        <v>1811616</v>
      </c>
      <c r="F196" s="100" t="s">
        <v>244</v>
      </c>
      <c r="G196" s="100">
        <f>G198/G197</f>
        <v>14.380496836907886</v>
      </c>
      <c r="L196" s="177" t="s">
        <v>245</v>
      </c>
      <c r="M196" s="76">
        <v>225188176</v>
      </c>
    </row>
    <row r="197" spans="2:13" ht="34" x14ac:dyDescent="0.2">
      <c r="B197" s="91" t="s">
        <v>170</v>
      </c>
      <c r="C197" s="170">
        <v>0</v>
      </c>
      <c r="F197" s="100" t="s">
        <v>246</v>
      </c>
      <c r="G197" s="100">
        <v>6.4809999999999999</v>
      </c>
      <c r="H197" s="100" t="s">
        <v>247</v>
      </c>
      <c r="L197" s="177" t="s">
        <v>253</v>
      </c>
      <c r="M197" s="77">
        <v>14367.01</v>
      </c>
    </row>
    <row r="198" spans="2:13" ht="34" x14ac:dyDescent="0.2">
      <c r="B198" s="91" t="s">
        <v>171</v>
      </c>
      <c r="C198" s="228">
        <f>C195-C196-C197</f>
        <v>2753304.0911849001</v>
      </c>
      <c r="F198" s="100" t="s">
        <v>248</v>
      </c>
      <c r="G198" s="100">
        <v>93.2</v>
      </c>
      <c r="H198" s="100" t="s">
        <v>249</v>
      </c>
      <c r="L198" s="177" t="s">
        <v>250</v>
      </c>
      <c r="M198" s="178">
        <v>595453</v>
      </c>
    </row>
    <row r="199" spans="2:13" x14ac:dyDescent="0.2">
      <c r="B199" s="91" t="s">
        <v>172</v>
      </c>
      <c r="C199" s="170">
        <v>167</v>
      </c>
      <c r="D199" s="100" t="s">
        <v>174</v>
      </c>
    </row>
    <row r="200" spans="2:13" x14ac:dyDescent="0.2">
      <c r="B200" s="91" t="s">
        <v>173</v>
      </c>
      <c r="C200" s="179">
        <f>C198/C199</f>
        <v>16486.850845418565</v>
      </c>
    </row>
    <row r="201" spans="2:13" x14ac:dyDescent="0.2">
      <c r="B201" s="91" t="s">
        <v>251</v>
      </c>
      <c r="C201" s="180">
        <f>C180/C199</f>
        <v>5724.3413173652689</v>
      </c>
    </row>
    <row r="203" spans="2:13" x14ac:dyDescent="0.2">
      <c r="B203" s="198" t="s">
        <v>268</v>
      </c>
    </row>
    <row r="205" spans="2:13" x14ac:dyDescent="0.2">
      <c r="B205" s="100" t="s">
        <v>177</v>
      </c>
      <c r="C205" s="181"/>
      <c r="D205" s="181"/>
      <c r="E205" s="182">
        <v>0.09</v>
      </c>
      <c r="F205" s="182">
        <v>0.11</v>
      </c>
      <c r="G205" s="182">
        <v>0.14000000000000001</v>
      </c>
    </row>
    <row r="206" spans="2:13" x14ac:dyDescent="0.2">
      <c r="C206" s="108" t="s">
        <v>178</v>
      </c>
      <c r="D206" s="108">
        <f>C193</f>
        <v>4564920.0911849001</v>
      </c>
      <c r="E206" s="108">
        <f t="dataTable" ref="E206:G207" dt2D="0" dtr="1" r1="I139" ca="1"/>
        <v>4654169.9711704692</v>
      </c>
      <c r="F206" s="183">
        <v>4564920.0911849001</v>
      </c>
      <c r="G206" s="108">
        <v>4400747.3198220041</v>
      </c>
    </row>
    <row r="207" spans="2:13" x14ac:dyDescent="0.2">
      <c r="C207" s="108" t="s">
        <v>179</v>
      </c>
      <c r="D207" s="184">
        <f>C200</f>
        <v>16486.850845418565</v>
      </c>
      <c r="E207" s="108">
        <v>17021.281264493828</v>
      </c>
      <c r="F207" s="183">
        <v>16486.850845418565</v>
      </c>
      <c r="G207" s="108">
        <v>15503.780358215594</v>
      </c>
    </row>
    <row r="209" spans="2:15" x14ac:dyDescent="0.2">
      <c r="B209" s="100" t="s">
        <v>180</v>
      </c>
      <c r="C209" s="181"/>
      <c r="D209" s="181"/>
      <c r="E209" s="182">
        <v>0.86</v>
      </c>
      <c r="F209" s="182">
        <v>0.89</v>
      </c>
      <c r="G209" s="182">
        <v>0.92</v>
      </c>
    </row>
    <row r="210" spans="2:15" x14ac:dyDescent="0.2">
      <c r="C210" s="108" t="s">
        <v>178</v>
      </c>
      <c r="D210" s="108">
        <f>C193</f>
        <v>4564920.0911849001</v>
      </c>
      <c r="E210" s="108">
        <f t="dataTable" ref="E210:G211" dt2D="0" dtr="1" r1="I140" ca="1"/>
        <v>6358847.6499825083</v>
      </c>
      <c r="F210" s="183">
        <v>4564920.0911849001</v>
      </c>
      <c r="G210" s="108">
        <v>2770992.5323872962</v>
      </c>
    </row>
    <row r="211" spans="2:15" x14ac:dyDescent="0.2">
      <c r="C211" s="108" t="s">
        <v>179</v>
      </c>
      <c r="D211" s="184">
        <f>C200</f>
        <v>16486.850845418565</v>
      </c>
      <c r="E211" s="108">
        <v>27228.932035823404</v>
      </c>
      <c r="F211" s="183">
        <v>16486.850845418565</v>
      </c>
      <c r="G211" s="108">
        <v>5744.7696550137498</v>
      </c>
    </row>
    <row r="213" spans="2:15" x14ac:dyDescent="0.2">
      <c r="B213" s="100" t="s">
        <v>181</v>
      </c>
      <c r="C213" s="181"/>
      <c r="D213" s="181"/>
      <c r="E213" s="182">
        <v>0.27</v>
      </c>
      <c r="F213" s="182">
        <v>0.3</v>
      </c>
      <c r="G213" s="182">
        <v>0.35</v>
      </c>
    </row>
    <row r="214" spans="2:15" x14ac:dyDescent="0.2">
      <c r="C214" s="108" t="s">
        <v>178</v>
      </c>
      <c r="D214" s="108">
        <f>C193</f>
        <v>4564920.0911849001</v>
      </c>
      <c r="E214" s="108">
        <f t="dataTable" ref="E214:G215" dt2D="0" dtr="1" r1="I144" ca="1"/>
        <v>5163593.4762038048</v>
      </c>
      <c r="F214" s="183">
        <v>4564920.0911849001</v>
      </c>
      <c r="G214" s="108">
        <v>3567131.1161533934</v>
      </c>
    </row>
    <row r="215" spans="2:15" x14ac:dyDescent="0.2">
      <c r="C215" s="108" t="s">
        <v>179</v>
      </c>
      <c r="D215" s="184">
        <f>C200</f>
        <v>16486.850845418565</v>
      </c>
      <c r="E215" s="108">
        <v>20071.72141439404</v>
      </c>
      <c r="F215" s="183">
        <v>16486.850845418565</v>
      </c>
      <c r="G215" s="108">
        <v>10512.066563792774</v>
      </c>
    </row>
    <row r="217" spans="2:15" x14ac:dyDescent="0.2">
      <c r="B217" s="100" t="s">
        <v>182</v>
      </c>
      <c r="C217" s="181"/>
      <c r="D217" s="181"/>
      <c r="E217" s="182">
        <v>0.02</v>
      </c>
      <c r="F217" s="182">
        <v>0.04</v>
      </c>
      <c r="G217" s="182">
        <v>0.06</v>
      </c>
    </row>
    <row r="218" spans="2:15" x14ac:dyDescent="0.2">
      <c r="C218" s="108" t="s">
        <v>178</v>
      </c>
      <c r="D218" s="108">
        <f>C193</f>
        <v>4564920.0911849001</v>
      </c>
      <c r="E218" s="108">
        <f t="dataTable" ref="E218:G219" dt2D="0" dtr="1" r1="I143" ca="1"/>
        <v>4964035.6811975054</v>
      </c>
      <c r="F218" s="183">
        <v>4564920.0911849001</v>
      </c>
      <c r="G218" s="108">
        <v>4165804.5011722976</v>
      </c>
    </row>
    <row r="219" spans="2:15" x14ac:dyDescent="0.2">
      <c r="C219" s="108" t="s">
        <v>179</v>
      </c>
      <c r="D219" s="184">
        <f>C200</f>
        <v>16486.850845418565</v>
      </c>
      <c r="E219" s="108">
        <v>18876.764558068895</v>
      </c>
      <c r="F219" s="183">
        <v>16486.850845418565</v>
      </c>
      <c r="G219" s="108">
        <v>14096.937132768249</v>
      </c>
    </row>
    <row r="220" spans="2:15" x14ac:dyDescent="0.2">
      <c r="I220" s="128"/>
      <c r="J220" s="241"/>
      <c r="K220" s="241"/>
      <c r="L220" s="241"/>
      <c r="M220" s="241"/>
      <c r="N220" s="241"/>
      <c r="O220" s="241"/>
    </row>
    <row r="221" spans="2:15" x14ac:dyDescent="0.2">
      <c r="B221" s="100" t="s">
        <v>272</v>
      </c>
      <c r="C221" s="181"/>
      <c r="D221" s="181"/>
      <c r="E221" s="182">
        <v>0.15</v>
      </c>
      <c r="F221" s="182">
        <v>0.2</v>
      </c>
      <c r="G221" s="182">
        <v>0.25</v>
      </c>
      <c r="I221" s="102"/>
      <c r="J221" s="187"/>
      <c r="L221" s="187"/>
      <c r="N221" s="187"/>
      <c r="O221" s="186"/>
    </row>
    <row r="222" spans="2:15" x14ac:dyDescent="0.2">
      <c r="C222" s="108" t="s">
        <v>178</v>
      </c>
      <c r="D222" s="108">
        <f>C193</f>
        <v>4564920.0911849001</v>
      </c>
      <c r="E222" s="108">
        <f t="dataTable" ref="E222:G223" dt2D="0" dtr="1" r1="I148"/>
        <v>4564920.0911849001</v>
      </c>
      <c r="F222" s="183">
        <v>4564920.0911849001</v>
      </c>
      <c r="G222" s="108">
        <v>4564920.0911849001</v>
      </c>
      <c r="I222" s="102"/>
      <c r="J222" s="187"/>
      <c r="L222" s="187"/>
      <c r="N222" s="187"/>
      <c r="O222" s="186"/>
    </row>
    <row r="223" spans="2:15" x14ac:dyDescent="0.2">
      <c r="C223" s="108" t="s">
        <v>179</v>
      </c>
      <c r="D223" s="184">
        <f>C200</f>
        <v>16486.850845418565</v>
      </c>
      <c r="E223" s="108">
        <v>16486.850845418565</v>
      </c>
      <c r="F223" s="183">
        <v>16486.850845418565</v>
      </c>
      <c r="G223" s="108">
        <v>16486.850845418565</v>
      </c>
      <c r="I223" s="102"/>
      <c r="J223" s="187"/>
      <c r="L223" s="187"/>
      <c r="N223" s="187"/>
      <c r="O223" s="186"/>
    </row>
    <row r="224" spans="2:15" x14ac:dyDescent="0.2">
      <c r="I224" s="102"/>
      <c r="J224" s="187"/>
      <c r="L224" s="187"/>
      <c r="N224" s="187"/>
      <c r="O224" s="186"/>
    </row>
    <row r="225" spans="1:15" x14ac:dyDescent="0.2">
      <c r="B225" s="100" t="s">
        <v>183</v>
      </c>
      <c r="C225" s="181"/>
      <c r="D225" s="181"/>
      <c r="E225" s="185">
        <v>0.15</v>
      </c>
      <c r="F225" s="185">
        <v>0.16209999999999999</v>
      </c>
      <c r="G225" s="182">
        <v>0.25</v>
      </c>
      <c r="I225" s="102"/>
      <c r="J225" s="187"/>
      <c r="L225" s="187"/>
      <c r="N225" s="187"/>
      <c r="O225" s="186"/>
    </row>
    <row r="226" spans="1:15" x14ac:dyDescent="0.2">
      <c r="C226" s="108" t="s">
        <v>178</v>
      </c>
      <c r="D226" s="108">
        <f>C186</f>
        <v>4564920.0911849001</v>
      </c>
      <c r="E226" s="108">
        <f t="dataTable" ref="E226:G227" dt2D="0" dtr="1" r1="D188"/>
        <v>4722156.1463057082</v>
      </c>
      <c r="F226" s="183">
        <v>4564920.0911849001</v>
      </c>
      <c r="G226" s="108">
        <v>3638926.9335697903</v>
      </c>
      <c r="I226" s="102"/>
      <c r="J226" s="187"/>
      <c r="L226" s="187"/>
      <c r="N226" s="187"/>
      <c r="O226" s="186"/>
    </row>
    <row r="227" spans="1:15" x14ac:dyDescent="0.2">
      <c r="C227" s="108" t="s">
        <v>179</v>
      </c>
      <c r="D227" s="184">
        <f>C200</f>
        <v>16486.850845418565</v>
      </c>
      <c r="E227" s="108">
        <v>17428.384109615021</v>
      </c>
      <c r="F227" s="183">
        <v>16486.850845418565</v>
      </c>
      <c r="G227" s="108">
        <v>10941.981638142457</v>
      </c>
      <c r="I227" s="187"/>
      <c r="M227" s="242"/>
      <c r="N227" s="187"/>
      <c r="O227" s="186"/>
    </row>
    <row r="228" spans="1:15" x14ac:dyDescent="0.2">
      <c r="B228" s="102"/>
    </row>
    <row r="229" spans="1:15" x14ac:dyDescent="0.2">
      <c r="B229" s="199" t="s">
        <v>269</v>
      </c>
    </row>
    <row r="232" spans="1:15" ht="34" x14ac:dyDescent="0.2">
      <c r="A232" s="188" t="s">
        <v>184</v>
      </c>
      <c r="C232" s="232" t="s">
        <v>185</v>
      </c>
      <c r="D232" s="232" t="s">
        <v>186</v>
      </c>
      <c r="E232" s="232" t="s">
        <v>187</v>
      </c>
      <c r="F232" s="232" t="s">
        <v>188</v>
      </c>
      <c r="G232" s="232" t="s">
        <v>189</v>
      </c>
      <c r="H232" s="232" t="s">
        <v>190</v>
      </c>
      <c r="I232" s="232" t="s">
        <v>185</v>
      </c>
      <c r="J232" s="232" t="s">
        <v>186</v>
      </c>
      <c r="K232" s="232" t="s">
        <v>187</v>
      </c>
      <c r="L232" s="232" t="s">
        <v>112</v>
      </c>
      <c r="M232" s="232" t="s">
        <v>191</v>
      </c>
      <c r="N232" s="232" t="s">
        <v>192</v>
      </c>
      <c r="O232" s="231" t="s">
        <v>273</v>
      </c>
    </row>
    <row r="233" spans="1:15" x14ac:dyDescent="0.2">
      <c r="A233" s="102" t="s">
        <v>194</v>
      </c>
      <c r="C233" s="189">
        <v>0.6</v>
      </c>
      <c r="D233" s="189">
        <v>0.3</v>
      </c>
      <c r="E233" s="189">
        <v>0.1</v>
      </c>
      <c r="F233" s="162">
        <v>0.14000000000000001</v>
      </c>
      <c r="G233" s="162">
        <v>0.11</v>
      </c>
      <c r="H233" s="162">
        <v>0.09</v>
      </c>
      <c r="I233" s="169">
        <f>G206</f>
        <v>4400747.3198220041</v>
      </c>
      <c r="J233" s="108">
        <f>F206</f>
        <v>4564920.0911849001</v>
      </c>
      <c r="K233" s="169">
        <f>E206</f>
        <v>4654169.9711704692</v>
      </c>
      <c r="L233" s="108">
        <f t="shared" ref="L233:L238" si="24">SUMPRODUCT(C233:E233,I233:K233)</f>
        <v>4475341.4163657194</v>
      </c>
      <c r="M233" s="184">
        <f t="shared" ref="M233:M238" si="25">L233-J233</f>
        <v>-89578.674819180742</v>
      </c>
      <c r="N233" s="92">
        <f t="shared" ref="N233:N238" si="26">M233/J233</f>
        <v>-1.9623273360723632E-2</v>
      </c>
      <c r="O233" s="90" t="s">
        <v>271</v>
      </c>
    </row>
    <row r="234" spans="1:15" x14ac:dyDescent="0.2">
      <c r="A234" s="102" t="s">
        <v>270</v>
      </c>
      <c r="C234" s="189">
        <v>0.6</v>
      </c>
      <c r="D234" s="189">
        <v>0.3</v>
      </c>
      <c r="E234" s="189">
        <v>0.1</v>
      </c>
      <c r="F234" s="162">
        <v>0.92</v>
      </c>
      <c r="G234" s="162">
        <v>0.89</v>
      </c>
      <c r="H234" s="162">
        <v>0.86</v>
      </c>
      <c r="I234" s="108">
        <f>G210</f>
        <v>2770992.5323872962</v>
      </c>
      <c r="J234" s="108">
        <f>F210</f>
        <v>4564920.0911849001</v>
      </c>
      <c r="K234" s="108">
        <f>E210</f>
        <v>6358847.6499825083</v>
      </c>
      <c r="L234" s="108">
        <f t="shared" si="24"/>
        <v>3667956.3117860984</v>
      </c>
      <c r="M234" s="184">
        <f t="shared" si="25"/>
        <v>-896963.77939880174</v>
      </c>
      <c r="N234" s="92">
        <f t="shared" si="26"/>
        <v>-0.1964905762821316</v>
      </c>
      <c r="O234" s="90" t="s">
        <v>271</v>
      </c>
    </row>
    <row r="235" spans="1:15" x14ac:dyDescent="0.2">
      <c r="A235" s="102" t="s">
        <v>197</v>
      </c>
      <c r="C235" s="189">
        <v>0.6</v>
      </c>
      <c r="D235" s="189">
        <v>0.3</v>
      </c>
      <c r="E235" s="189">
        <v>0.1</v>
      </c>
      <c r="F235" s="162">
        <v>0.06</v>
      </c>
      <c r="G235" s="162">
        <v>0.04</v>
      </c>
      <c r="H235" s="162">
        <v>0.02</v>
      </c>
      <c r="I235" s="108">
        <f>G218</f>
        <v>4165804.5011722976</v>
      </c>
      <c r="J235" s="108">
        <f>F218</f>
        <v>4564920.0911849001</v>
      </c>
      <c r="K235" s="108">
        <f>E218</f>
        <v>4964035.6811975054</v>
      </c>
      <c r="L235" s="108">
        <f t="shared" si="24"/>
        <v>4365362.2961785989</v>
      </c>
      <c r="M235" s="184">
        <f t="shared" si="25"/>
        <v>-199557.79500630125</v>
      </c>
      <c r="N235" s="92">
        <f t="shared" si="26"/>
        <v>-4.3715506738367188E-2</v>
      </c>
      <c r="O235" s="90" t="s">
        <v>203</v>
      </c>
    </row>
    <row r="236" spans="1:15" x14ac:dyDescent="0.2">
      <c r="A236" s="102" t="s">
        <v>198</v>
      </c>
      <c r="C236" s="189">
        <v>0.6</v>
      </c>
      <c r="D236" s="189">
        <v>0.2</v>
      </c>
      <c r="E236" s="189">
        <v>0.2</v>
      </c>
      <c r="F236" s="162">
        <v>0.35</v>
      </c>
      <c r="G236" s="162">
        <v>0.3</v>
      </c>
      <c r="H236" s="162">
        <v>0.27</v>
      </c>
      <c r="I236" s="108">
        <f>G214</f>
        <v>3567131.1161533934</v>
      </c>
      <c r="J236" s="108">
        <f>F214</f>
        <v>4564920.0911849001</v>
      </c>
      <c r="K236" s="108">
        <f>E214</f>
        <v>5163593.4762038048</v>
      </c>
      <c r="L236" s="108">
        <f t="shared" si="24"/>
        <v>4085981.3831697768</v>
      </c>
      <c r="M236" s="184">
        <f t="shared" si="25"/>
        <v>-478938.70801512338</v>
      </c>
      <c r="N236" s="92">
        <f t="shared" si="26"/>
        <v>-0.10491721617208133</v>
      </c>
      <c r="O236" s="227" t="s">
        <v>199</v>
      </c>
    </row>
    <row r="237" spans="1:15" x14ac:dyDescent="0.2">
      <c r="A237" s="102" t="s">
        <v>237</v>
      </c>
      <c r="C237" s="189">
        <v>0.3</v>
      </c>
      <c r="D237" s="189">
        <v>0.5</v>
      </c>
      <c r="E237" s="189">
        <v>0.2</v>
      </c>
      <c r="F237" s="162">
        <v>0.25</v>
      </c>
      <c r="G237" s="162">
        <v>0.2</v>
      </c>
      <c r="H237" s="162">
        <v>0.15</v>
      </c>
      <c r="I237" s="108">
        <f>G222</f>
        <v>4564920.0911849001</v>
      </c>
      <c r="J237" s="108">
        <f>F222</f>
        <v>4564920.0911849001</v>
      </c>
      <c r="K237" s="108">
        <f>E222</f>
        <v>4564920.0911849001</v>
      </c>
      <c r="L237" s="108">
        <f t="shared" si="24"/>
        <v>4564920.0911849001</v>
      </c>
      <c r="M237" s="184">
        <f t="shared" si="25"/>
        <v>0</v>
      </c>
      <c r="N237" s="92">
        <f t="shared" si="26"/>
        <v>0</v>
      </c>
      <c r="O237" s="227"/>
    </row>
    <row r="238" spans="1:15" x14ac:dyDescent="0.2">
      <c r="A238" s="102" t="s">
        <v>236</v>
      </c>
      <c r="C238" s="189">
        <v>0.6</v>
      </c>
      <c r="D238" s="189">
        <v>0.2</v>
      </c>
      <c r="E238" s="189">
        <v>0.2</v>
      </c>
      <c r="F238" s="162">
        <v>0.25</v>
      </c>
      <c r="G238" s="145">
        <v>0.15</v>
      </c>
      <c r="H238" s="145">
        <v>0.16209999999999999</v>
      </c>
      <c r="I238" s="108">
        <f>G226</f>
        <v>3638926.9335697903</v>
      </c>
      <c r="J238" s="108">
        <f>F226</f>
        <v>4564920.0911849001</v>
      </c>
      <c r="K238" s="108">
        <f>E226</f>
        <v>4722156.1463057082</v>
      </c>
      <c r="L238" s="108">
        <f t="shared" si="24"/>
        <v>4040771.4076399957</v>
      </c>
      <c r="M238" s="184">
        <f t="shared" si="25"/>
        <v>-524148.68354490446</v>
      </c>
      <c r="N238" s="92">
        <f t="shared" si="26"/>
        <v>-0.11482099863195043</v>
      </c>
      <c r="O238" s="227" t="s">
        <v>199</v>
      </c>
    </row>
    <row r="239" spans="1:15" x14ac:dyDescent="0.2">
      <c r="A239" s="102"/>
      <c r="C239" s="201"/>
      <c r="D239" s="201"/>
      <c r="E239" s="201"/>
      <c r="F239" s="202"/>
      <c r="G239" s="202"/>
      <c r="H239" s="202"/>
      <c r="J239" s="187"/>
      <c r="M239" s="187"/>
      <c r="N239" s="203"/>
      <c r="O239" s="204"/>
    </row>
    <row r="240" spans="1:15" x14ac:dyDescent="0.2">
      <c r="L240" s="102" t="s">
        <v>200</v>
      </c>
      <c r="M240" s="187">
        <f>SUM(M233:M238)</f>
        <v>-2189187.6407843116</v>
      </c>
      <c r="N240" s="190">
        <f>SUM(N233:N238)</f>
        <v>-0.47956757118525417</v>
      </c>
    </row>
    <row r="241" spans="1:13" x14ac:dyDescent="0.2">
      <c r="A241" s="89" t="s">
        <v>184</v>
      </c>
      <c r="B241" s="152" t="s">
        <v>202</v>
      </c>
      <c r="J241" s="191"/>
      <c r="M241" s="190">
        <f>M240/J233</f>
        <v>-0.47956757118525417</v>
      </c>
    </row>
    <row r="242" spans="1:13" x14ac:dyDescent="0.2">
      <c r="A242" s="91" t="s">
        <v>194</v>
      </c>
      <c r="B242" s="92">
        <f>N233</f>
        <v>-1.9623273360723632E-2</v>
      </c>
      <c r="L242" s="102" t="s">
        <v>201</v>
      </c>
      <c r="M242" s="192">
        <f>((M233^2+ M234^2+M235^2+M236^2+M238^2)*(1/5))^0.5</f>
        <v>520865.77975147724</v>
      </c>
    </row>
    <row r="243" spans="1:13" x14ac:dyDescent="0.2">
      <c r="A243" s="91" t="s">
        <v>270</v>
      </c>
      <c r="B243" s="92">
        <f>N234</f>
        <v>-0.1964905762821316</v>
      </c>
    </row>
    <row r="244" spans="1:13" x14ac:dyDescent="0.2">
      <c r="A244" s="91" t="s">
        <v>236</v>
      </c>
      <c r="B244" s="92">
        <v>-0.1148</v>
      </c>
    </row>
    <row r="245" spans="1:13" x14ac:dyDescent="0.2">
      <c r="A245" s="91" t="s">
        <v>198</v>
      </c>
      <c r="B245" s="92">
        <f>N236</f>
        <v>-0.10491721617208133</v>
      </c>
    </row>
    <row r="246" spans="1:13" x14ac:dyDescent="0.2">
      <c r="A246" s="91" t="s">
        <v>197</v>
      </c>
      <c r="B246" s="92">
        <v>-4.3700000000000003E-2</v>
      </c>
    </row>
    <row r="247" spans="1:13" x14ac:dyDescent="0.2">
      <c r="A247" s="91" t="s">
        <v>237</v>
      </c>
      <c r="B247" s="92">
        <v>0</v>
      </c>
    </row>
    <row r="264" spans="2:15" x14ac:dyDescent="0.2">
      <c r="B264" s="109" t="s">
        <v>222</v>
      </c>
      <c r="C264" s="90" t="s">
        <v>223</v>
      </c>
      <c r="D264" s="162">
        <v>0.35</v>
      </c>
      <c r="G264" s="102" t="s">
        <v>224</v>
      </c>
      <c r="H264" s="186">
        <v>0.53810000000000002</v>
      </c>
      <c r="I264" s="152" t="s">
        <v>225</v>
      </c>
      <c r="J264" s="152" t="s">
        <v>226</v>
      </c>
      <c r="K264" s="152" t="s">
        <v>282</v>
      </c>
      <c r="L264" s="152" t="s">
        <v>283</v>
      </c>
    </row>
    <row r="265" spans="2:15" x14ac:dyDescent="0.2">
      <c r="D265" s="102"/>
      <c r="H265" s="186"/>
      <c r="I265" s="91" t="s">
        <v>227</v>
      </c>
      <c r="J265" s="145">
        <v>0.1153</v>
      </c>
      <c r="K265" s="162">
        <v>0.14000000000000001</v>
      </c>
      <c r="L265" s="162">
        <v>0.35</v>
      </c>
      <c r="M265" s="186"/>
      <c r="N265" s="102"/>
    </row>
    <row r="266" spans="2:15" x14ac:dyDescent="0.2">
      <c r="D266" s="102"/>
      <c r="E266" s="186"/>
      <c r="F266" s="186"/>
      <c r="G266" s="186"/>
      <c r="H266" s="186"/>
      <c r="I266" s="102"/>
      <c r="J266" s="186"/>
      <c r="K266" s="186"/>
      <c r="L266" s="186"/>
    </row>
    <row r="267" spans="2:15" x14ac:dyDescent="0.2">
      <c r="D267" s="102"/>
      <c r="E267" s="186"/>
      <c r="F267" s="186"/>
      <c r="G267" s="186"/>
      <c r="H267" s="186"/>
      <c r="I267" s="102"/>
      <c r="J267" s="186"/>
      <c r="K267" s="186"/>
      <c r="L267" s="186"/>
    </row>
    <row r="268" spans="2:15" x14ac:dyDescent="0.2">
      <c r="B268" s="109" t="s">
        <v>228</v>
      </c>
      <c r="C268" s="108"/>
      <c r="D268" s="91"/>
      <c r="E268" s="186"/>
      <c r="F268" s="186"/>
      <c r="G268" s="230" t="s">
        <v>277</v>
      </c>
      <c r="I268" s="229" t="s">
        <v>278</v>
      </c>
      <c r="J268" s="229" t="s">
        <v>229</v>
      </c>
      <c r="K268" s="229" t="s">
        <v>230</v>
      </c>
      <c r="L268" s="229" t="s">
        <v>231</v>
      </c>
      <c r="M268" s="193"/>
    </row>
    <row r="269" spans="2:15" x14ac:dyDescent="0.2">
      <c r="B269" s="91" t="s">
        <v>232</v>
      </c>
      <c r="C269" s="108"/>
      <c r="D269" s="194">
        <v>0.11</v>
      </c>
      <c r="E269" s="186"/>
      <c r="F269" s="186"/>
      <c r="I269" s="108" t="s">
        <v>279</v>
      </c>
      <c r="J269" s="92">
        <v>-1.8334999999999999</v>
      </c>
      <c r="K269" s="145">
        <f>N240</f>
        <v>-0.47956757118525417</v>
      </c>
      <c r="L269" s="145">
        <f>K269/J269-1</f>
        <v>-0.73844146649290743</v>
      </c>
    </row>
    <row r="270" spans="2:15" x14ac:dyDescent="0.2">
      <c r="B270" s="108" t="s">
        <v>284</v>
      </c>
      <c r="C270" s="108"/>
      <c r="D270" s="194">
        <v>0.89</v>
      </c>
      <c r="E270" s="186"/>
      <c r="F270" s="186"/>
      <c r="I270" s="108" t="s">
        <v>233</v>
      </c>
      <c r="J270" s="195">
        <v>8367269.2800000003</v>
      </c>
      <c r="K270" s="184">
        <f>M242</f>
        <v>520865.77975147724</v>
      </c>
      <c r="L270" s="145">
        <f>K270/J270-1</f>
        <v>-0.93774960954149222</v>
      </c>
    </row>
    <row r="271" spans="2:15" x14ac:dyDescent="0.2">
      <c r="D271" s="102"/>
      <c r="E271" s="186"/>
      <c r="F271" s="186"/>
      <c r="I271" s="108" t="s">
        <v>280</v>
      </c>
      <c r="J271" s="196">
        <v>0.53810000000000002</v>
      </c>
      <c r="K271" s="196">
        <v>0.50129999999999997</v>
      </c>
      <c r="L271" s="145">
        <f>K271/J271-1</f>
        <v>-6.8388775320572526E-2</v>
      </c>
    </row>
    <row r="272" spans="2:15" x14ac:dyDescent="0.2">
      <c r="E272" s="186"/>
      <c r="G272" s="186"/>
      <c r="H272" s="186"/>
      <c r="I272" s="136" t="s">
        <v>234</v>
      </c>
      <c r="J272" s="108">
        <f>18956367.43</f>
        <v>18956367.43</v>
      </c>
      <c r="K272" s="108">
        <f>C195</f>
        <v>4564920.0911849001</v>
      </c>
      <c r="L272" s="145">
        <f>K272/J272-1</f>
        <v>-0.75918803494172926</v>
      </c>
      <c r="O272" s="187"/>
    </row>
    <row r="274" spans="7:15" x14ac:dyDescent="0.2">
      <c r="G274" s="186"/>
      <c r="O274" s="197"/>
    </row>
  </sheetData>
  <mergeCells count="2">
    <mergeCell ref="A9:G9"/>
    <mergeCell ref="D172:I172"/>
  </mergeCells>
  <hyperlinks>
    <hyperlink ref="L190" r:id="rId1" xr:uid="{00000000-0004-0000-0200-000000000000}"/>
    <hyperlink ref="L191" r:id="rId2" xr:uid="{00000000-0004-0000-02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PNJDATA</vt:lpstr>
      <vt:lpstr>PNJ (Sau ĐC)</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Microsoft Office User</cp:lastModifiedBy>
  <dcterms:created xsi:type="dcterms:W3CDTF">2020-02-23T04:51:00Z</dcterms:created>
  <dcterms:modified xsi:type="dcterms:W3CDTF">2023-06-17T19:50:53Z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1033-11.2.0.9085</vt:lpwstr>
  </property>
</Properties>
</file>