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1" xr2:uid="{00000000-000D-0000-FFFF-FFFF00000000}"/>
  </bookViews>
  <sheets>
    <sheet name="Standard Call" sheetId="1" r:id="rId1"/>
    <sheet name="Standard Put" sheetId="2" r:id="rId2"/>
    <sheet name="Call on Call" sheetId="5" r:id="rId3"/>
    <sheet name="Call on Put" sheetId="6" r:id="rId4"/>
    <sheet name="Put on Call" sheetId="13" r:id="rId5"/>
    <sheet name="Put on Put" sheetId="14" r:id="rId6"/>
    <sheet name="Asian Call" sheetId="7" r:id="rId7"/>
    <sheet name="Asian Put" sheetId="8" r:id="rId8"/>
    <sheet name="Lookback Call" sheetId="9" r:id="rId9"/>
    <sheet name="Lookback Put" sheetId="10" r:id="rId10"/>
    <sheet name="Knock-out Put" sheetId="11" r:id="rId11"/>
    <sheet name="Chooser" sheetId="12" r:id="rId12"/>
    <sheet name="implementing delta" sheetId="15" r:id="rId13"/>
    <sheet name="Delta Errors" sheetId="16" r:id="rId14"/>
    <sheet name="GREEKS " sheetId="17" r:id="rId15"/>
    <sheet name="Call and Put " sheetId="18" r:id="rId16"/>
    <sheet name="Look back" sheetId="19" r:id="rId17"/>
    <sheet name="CHOOSER " sheetId="20" r:id="rId18"/>
    <sheet name="Asian " sheetId="21" r:id="rId19"/>
  </sheets>
  <definedNames>
    <definedName name="Dividend">'GREEKS '!$B$12</definedName>
    <definedName name="RiskFreeRate">'GREEKS '!$B$11</definedName>
    <definedName name="solver_adj" localSheetId="13" hidden="1">'Delta Errors'!$B$7</definedName>
    <definedName name="solver_cvg" localSheetId="13" hidden="1">0.0001</definedName>
    <definedName name="solver_drv" localSheetId="13" hidden="1">2</definedName>
    <definedName name="solver_eng" localSheetId="13" hidden="1">1</definedName>
    <definedName name="solver_est" localSheetId="13" hidden="1">1</definedName>
    <definedName name="solver_itr" localSheetId="13" hidden="1">2147483647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0</definedName>
    <definedName name="solver_nwt" localSheetId="13" hidden="1">1</definedName>
    <definedName name="solver_opt" localSheetId="13" hidden="1">'Delta Errors'!$B$19</definedName>
    <definedName name="solver_pre" localSheetId="13" hidden="1">0.000001</definedName>
    <definedName name="solver_rbv" localSheetId="13" hidden="1">2</definedName>
    <definedName name="solver_rlx" localSheetId="13" hidden="1">2</definedName>
    <definedName name="solver_rsd" localSheetId="13" hidden="1">0</definedName>
    <definedName name="solver_scl" localSheetId="13" hidden="1">2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3</definedName>
    <definedName name="solver_val" localSheetId="13" hidden="1">2.0773</definedName>
    <definedName name="solver_ver" localSheetId="13" hidden="1">3</definedName>
    <definedName name="StockPrice">'GREEKS '!$B$7</definedName>
    <definedName name="StrikePrice">'GREEKS '!$B$8</definedName>
    <definedName name="TimeToExpiry">'GREEKS '!$B$9</definedName>
    <definedName name="Volatility">'GREEKS '!$B$10</definedName>
  </definedNames>
  <calcPr calcId="171027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9" l="1"/>
  <c r="E27" i="9"/>
  <c r="G14" i="11" l="1"/>
  <c r="G13" i="11"/>
  <c r="G13" i="12"/>
  <c r="G5" i="12"/>
  <c r="G14" i="12"/>
  <c r="G6" i="12"/>
  <c r="G6" i="11"/>
  <c r="E27" i="14"/>
  <c r="E26" i="14"/>
  <c r="F26" i="14"/>
  <c r="F28" i="11"/>
  <c r="E28" i="11"/>
  <c r="G13" i="9"/>
  <c r="G5" i="9"/>
  <c r="G5" i="10"/>
  <c r="G13" i="10"/>
  <c r="F26" i="9"/>
  <c r="E26" i="9"/>
  <c r="E25" i="7"/>
  <c r="F28" i="14"/>
  <c r="E28" i="14"/>
  <c r="F27" i="14"/>
  <c r="G27" i="13"/>
  <c r="F27" i="13"/>
  <c r="G26" i="13"/>
  <c r="F26" i="13"/>
  <c r="F28" i="6"/>
  <c r="E28" i="6"/>
  <c r="F27" i="6"/>
  <c r="E27" i="6"/>
  <c r="F26" i="6"/>
  <c r="E26" i="6"/>
  <c r="G28" i="5"/>
  <c r="F28" i="5"/>
  <c r="G27" i="5"/>
  <c r="F27" i="5"/>
  <c r="J12" i="10" l="1"/>
  <c r="J4" i="10"/>
  <c r="J17" i="10"/>
  <c r="J8" i="10"/>
  <c r="J17" i="9"/>
  <c r="J12" i="9"/>
  <c r="J4" i="9"/>
  <c r="J8" i="9"/>
  <c r="I7" i="7"/>
  <c r="I3" i="7"/>
  <c r="I7" i="8"/>
  <c r="I3" i="8"/>
  <c r="I16" i="7"/>
  <c r="I11" i="7"/>
  <c r="E11" i="21" l="1"/>
  <c r="G9" i="21"/>
  <c r="B9" i="21"/>
  <c r="G13" i="21" s="1"/>
  <c r="I12" i="21" s="1"/>
  <c r="B8" i="21"/>
  <c r="N9" i="21" s="1"/>
  <c r="B16" i="20"/>
  <c r="G13" i="20"/>
  <c r="E11" i="20"/>
  <c r="B10" i="20"/>
  <c r="G9" i="20"/>
  <c r="I10" i="20" s="1"/>
  <c r="I11" i="20" s="1"/>
  <c r="B9" i="20"/>
  <c r="L11" i="19"/>
  <c r="E11" i="19"/>
  <c r="G13" i="19" s="1"/>
  <c r="B10" i="19"/>
  <c r="B16" i="19" s="1"/>
  <c r="B9" i="19"/>
  <c r="N9" i="19" s="1"/>
  <c r="S50" i="18"/>
  <c r="AB49" i="18"/>
  <c r="AB47" i="18"/>
  <c r="S46" i="18"/>
  <c r="G43" i="18"/>
  <c r="I44" i="18" s="1"/>
  <c r="I45" i="18" s="1"/>
  <c r="Z15" i="18"/>
  <c r="Z16" i="18" s="1"/>
  <c r="Z13" i="18"/>
  <c r="Z12" i="18"/>
  <c r="E12" i="18"/>
  <c r="M10" i="18"/>
  <c r="O11" i="18" s="1"/>
  <c r="O12" i="18" s="1"/>
  <c r="U12" i="18" s="1"/>
  <c r="U13" i="18" s="1"/>
  <c r="U9" i="18"/>
  <c r="U10" i="18" s="1"/>
  <c r="O9" i="18"/>
  <c r="O8" i="18"/>
  <c r="B8" i="18"/>
  <c r="M48" i="18" s="1"/>
  <c r="O50" i="18" s="1"/>
  <c r="O51" i="18" s="1"/>
  <c r="B7" i="18"/>
  <c r="M44" i="18" s="1"/>
  <c r="H78" i="17"/>
  <c r="H77" i="17"/>
  <c r="H76" i="17"/>
  <c r="H75" i="17"/>
  <c r="H74" i="17"/>
  <c r="H55" i="17"/>
  <c r="G55" i="17"/>
  <c r="F55" i="17"/>
  <c r="E55" i="17"/>
  <c r="D55" i="17"/>
  <c r="C55" i="17"/>
  <c r="B55" i="17"/>
  <c r="G54" i="17"/>
  <c r="F54" i="17"/>
  <c r="E54" i="17"/>
  <c r="D54" i="17"/>
  <c r="C54" i="17"/>
  <c r="B54" i="17"/>
  <c r="H54" i="17" s="1"/>
  <c r="G53" i="17"/>
  <c r="F53" i="17"/>
  <c r="E53" i="17"/>
  <c r="D53" i="17"/>
  <c r="C53" i="17"/>
  <c r="B53" i="17"/>
  <c r="H53" i="17" s="1"/>
  <c r="G52" i="17"/>
  <c r="F52" i="17"/>
  <c r="E52" i="17"/>
  <c r="D52" i="17"/>
  <c r="C52" i="17"/>
  <c r="B52" i="17"/>
  <c r="H52" i="17" s="1"/>
  <c r="H51" i="17"/>
  <c r="G51" i="17"/>
  <c r="F51" i="17"/>
  <c r="E51" i="17"/>
  <c r="D51" i="17"/>
  <c r="C51" i="17"/>
  <c r="B51" i="17"/>
  <c r="H50" i="17"/>
  <c r="M16" i="17"/>
  <c r="M19" i="17" s="1"/>
  <c r="M20" i="17" s="1"/>
  <c r="N13" i="17"/>
  <c r="N14" i="17" s="1"/>
  <c r="M17" i="17" s="1"/>
  <c r="F40" i="16"/>
  <c r="F41" i="16" s="1"/>
  <c r="F42" i="16" s="1"/>
  <c r="F43" i="16" s="1"/>
  <c r="B40" i="16"/>
  <c r="C46" i="16" s="1"/>
  <c r="F39" i="16"/>
  <c r="I38" i="16"/>
  <c r="G38" i="16"/>
  <c r="G39" i="16" s="1"/>
  <c r="I39" i="16" s="1"/>
  <c r="I12" i="16"/>
  <c r="I13" i="16" s="1"/>
  <c r="H16" i="16" s="1"/>
  <c r="C12" i="16"/>
  <c r="B15" i="16" s="1"/>
  <c r="Q4" i="16"/>
  <c r="P4" i="16"/>
  <c r="M4" i="16"/>
  <c r="N4" i="16" s="1"/>
  <c r="P3" i="16"/>
  <c r="N3" i="16"/>
  <c r="J25" i="15"/>
  <c r="L24" i="15"/>
  <c r="J24" i="15"/>
  <c r="K24" i="15" s="1"/>
  <c r="J23" i="15"/>
  <c r="K22" i="15"/>
  <c r="L22" i="15" s="1"/>
  <c r="J22" i="15"/>
  <c r="K23" i="15" s="1"/>
  <c r="L23" i="15" s="1"/>
  <c r="M24" i="15" s="1"/>
  <c r="J21" i="15"/>
  <c r="K21" i="15" s="1"/>
  <c r="L21" i="15" s="1"/>
  <c r="M21" i="15" s="1"/>
  <c r="N21" i="15" s="1"/>
  <c r="F21" i="15"/>
  <c r="F22" i="15" s="1"/>
  <c r="N20" i="15"/>
  <c r="O21" i="15" s="1"/>
  <c r="J20" i="15"/>
  <c r="B14" i="15"/>
  <c r="B5" i="15"/>
  <c r="C11" i="15" s="1"/>
  <c r="C12" i="15" s="1"/>
  <c r="B15" i="15" s="1"/>
  <c r="E11" i="17"/>
  <c r="F12" i="17"/>
  <c r="E12" i="17"/>
  <c r="F11" i="17"/>
  <c r="E10" i="17"/>
  <c r="E8" i="17"/>
  <c r="F7" i="17"/>
  <c r="F8" i="17"/>
  <c r="F10" i="17"/>
  <c r="F9" i="17"/>
  <c r="E7" i="17"/>
  <c r="E9" i="17"/>
  <c r="O22" i="15" l="1"/>
  <c r="P21" i="15"/>
  <c r="I15" i="19"/>
  <c r="I12" i="19"/>
  <c r="I16" i="19"/>
  <c r="M22" i="15"/>
  <c r="N22" i="15" s="1"/>
  <c r="M23" i="15"/>
  <c r="M23" i="18"/>
  <c r="Q28" i="18" s="1"/>
  <c r="C47" i="16"/>
  <c r="B50" i="16" s="1"/>
  <c r="B49" i="16"/>
  <c r="B52" i="16" s="1"/>
  <c r="B53" i="16" s="1"/>
  <c r="S12" i="18"/>
  <c r="B17" i="19"/>
  <c r="B17" i="20"/>
  <c r="N23" i="15"/>
  <c r="K25" i="15"/>
  <c r="L25" i="15" s="1"/>
  <c r="M25" i="15" s="1"/>
  <c r="N25" i="15" s="1"/>
  <c r="C13" i="16"/>
  <c r="B16" i="16" s="1"/>
  <c r="B18" i="16" s="1"/>
  <c r="B19" i="16" s="1"/>
  <c r="B10" i="18"/>
  <c r="B11" i="18" s="1"/>
  <c r="M14" i="18"/>
  <c r="O47" i="18"/>
  <c r="O48" i="18" s="1"/>
  <c r="M52" i="18" s="1"/>
  <c r="G9" i="19"/>
  <c r="P10" i="19"/>
  <c r="P11" i="19"/>
  <c r="I13" i="21"/>
  <c r="I10" i="21"/>
  <c r="I11" i="21" s="1"/>
  <c r="I7" i="21"/>
  <c r="I8" i="21"/>
  <c r="N24" i="15"/>
  <c r="M5" i="16"/>
  <c r="I41" i="18"/>
  <c r="I42" i="18" s="1"/>
  <c r="G45" i="18" s="1"/>
  <c r="P7" i="19"/>
  <c r="P8" i="19" s="1"/>
  <c r="I13" i="19"/>
  <c r="G14" i="19" s="1"/>
  <c r="I7" i="20"/>
  <c r="I8" i="20" s="1"/>
  <c r="G22" i="20" s="1"/>
  <c r="P7" i="21"/>
  <c r="P8" i="21" s="1"/>
  <c r="P10" i="21"/>
  <c r="I14" i="21"/>
  <c r="I15" i="21" s="1"/>
  <c r="G14" i="18"/>
  <c r="B17" i="15"/>
  <c r="B18" i="15" s="1"/>
  <c r="H15" i="16"/>
  <c r="H18" i="16" s="1"/>
  <c r="H19" i="16" s="1"/>
  <c r="G40" i="16"/>
  <c r="O45" i="18"/>
  <c r="O46" i="18" s="1"/>
  <c r="O42" i="18"/>
  <c r="O43" i="18" s="1"/>
  <c r="X13" i="18"/>
  <c r="B14" i="18"/>
  <c r="G47" i="18"/>
  <c r="I15" i="20"/>
  <c r="I16" i="20" s="1"/>
  <c r="I12" i="20"/>
  <c r="I13" i="20" s="1"/>
  <c r="G23" i="20" s="1"/>
  <c r="P11" i="21"/>
  <c r="B12" i="21"/>
  <c r="N13" i="21"/>
  <c r="G10" i="18"/>
  <c r="N13" i="19"/>
  <c r="N19" i="19" l="1"/>
  <c r="N10" i="19"/>
  <c r="P22" i="15"/>
  <c r="O23" i="15"/>
  <c r="I11" i="18"/>
  <c r="I12" i="18" s="1"/>
  <c r="I8" i="18"/>
  <c r="I9" i="18" s="1"/>
  <c r="N5" i="16"/>
  <c r="P5" i="16" s="1"/>
  <c r="M6" i="16"/>
  <c r="G10" i="20"/>
  <c r="P14" i="21"/>
  <c r="P12" i="21"/>
  <c r="P13" i="21" s="1"/>
  <c r="N14" i="21" s="1"/>
  <c r="P15" i="21"/>
  <c r="O25" i="15"/>
  <c r="P25" i="15" s="1"/>
  <c r="I7" i="19"/>
  <c r="I8" i="19" s="1"/>
  <c r="I10" i="19"/>
  <c r="I11" i="19" s="1"/>
  <c r="R31" i="18"/>
  <c r="G14" i="21"/>
  <c r="B13" i="21"/>
  <c r="G10" i="21"/>
  <c r="E12" i="21" s="1"/>
  <c r="N10" i="21"/>
  <c r="I49" i="18"/>
  <c r="I50" i="18" s="1"/>
  <c r="I46" i="18"/>
  <c r="I47" i="18" s="1"/>
  <c r="I16" i="18"/>
  <c r="I17" i="18" s="1"/>
  <c r="I13" i="18"/>
  <c r="I14" i="18" s="1"/>
  <c r="G14" i="20"/>
  <c r="P13" i="19"/>
  <c r="P15" i="19"/>
  <c r="P16" i="19" s="1"/>
  <c r="P12" i="19"/>
  <c r="Q48" i="18"/>
  <c r="M45" i="18"/>
  <c r="Z50" i="18"/>
  <c r="Z51" i="18" s="1"/>
  <c r="M49" i="18"/>
  <c r="B15" i="18"/>
  <c r="Z46" i="18" s="1"/>
  <c r="Z47" i="18" s="1"/>
  <c r="X48" i="18" s="1"/>
  <c r="G41" i="16"/>
  <c r="I40" i="16"/>
  <c r="O16" i="18"/>
  <c r="O17" i="18" s="1"/>
  <c r="U17" i="18" s="1"/>
  <c r="U18" i="18" s="1"/>
  <c r="O13" i="18"/>
  <c r="O14" i="18" s="1"/>
  <c r="U14" i="18" s="1"/>
  <c r="O24" i="15"/>
  <c r="P24" i="15" s="1"/>
  <c r="P23" i="15"/>
  <c r="L12" i="21" l="1"/>
  <c r="K52" i="18"/>
  <c r="N20" i="19"/>
  <c r="N14" i="19"/>
  <c r="G49" i="18"/>
  <c r="G52" i="18"/>
  <c r="F26" i="16" s="1"/>
  <c r="G19" i="19"/>
  <c r="G10" i="19"/>
  <c r="G12" i="18"/>
  <c r="G23" i="18"/>
  <c r="F25" i="16" s="1"/>
  <c r="L19" i="19"/>
  <c r="L12" i="19"/>
  <c r="K47" i="18"/>
  <c r="E22" i="20"/>
  <c r="E12" i="20"/>
  <c r="U15" i="18"/>
  <c r="S16" i="18"/>
  <c r="Q13" i="18" s="1"/>
  <c r="I41" i="16"/>
  <c r="G42" i="16"/>
  <c r="M11" i="18"/>
  <c r="G16" i="18"/>
  <c r="M7" i="16"/>
  <c r="N6" i="16"/>
  <c r="P6" i="16" s="1"/>
  <c r="M15" i="18"/>
  <c r="S15" i="18" s="1"/>
  <c r="S17" i="18" s="1"/>
  <c r="M8" i="16" l="1"/>
  <c r="N7" i="16"/>
  <c r="P7" i="16" s="1"/>
  <c r="S11" i="18"/>
  <c r="S13" i="18" s="1"/>
  <c r="Q14" i="18" s="1"/>
  <c r="K23" i="18"/>
  <c r="K28" i="18" s="1"/>
  <c r="K13" i="18"/>
  <c r="Q12" i="18" s="1"/>
  <c r="X12" i="18" s="1"/>
  <c r="R29" i="18"/>
  <c r="E19" i="19"/>
  <c r="E12" i="19"/>
  <c r="G43" i="16"/>
  <c r="I43" i="16" s="1"/>
  <c r="I42" i="16"/>
  <c r="E23" i="18"/>
  <c r="E25" i="16" s="1"/>
  <c r="E13" i="18"/>
  <c r="E46" i="18"/>
  <c r="E52" i="18"/>
  <c r="E26" i="16" s="1"/>
  <c r="L31" i="18" l="1"/>
  <c r="L29" i="18"/>
  <c r="R34" i="18"/>
  <c r="R33" i="18"/>
  <c r="M9" i="16"/>
  <c r="N8" i="16"/>
  <c r="P8" i="16" s="1"/>
  <c r="N9" i="16" l="1"/>
  <c r="P9" i="16" s="1"/>
  <c r="M10" i="16"/>
  <c r="N10" i="16" s="1"/>
  <c r="P10" i="16" s="1"/>
  <c r="L34" i="18"/>
  <c r="L33" i="18"/>
  <c r="G7" i="1"/>
  <c r="L11" i="1" l="1"/>
  <c r="L12" i="1" l="1"/>
  <c r="L8" i="1"/>
  <c r="L5" i="1"/>
  <c r="D27" i="14" l="1"/>
  <c r="E27" i="13"/>
  <c r="D28" i="14"/>
  <c r="D26" i="14"/>
  <c r="C26" i="14"/>
  <c r="C27" i="14"/>
  <c r="C28" i="14"/>
  <c r="D27" i="6"/>
  <c r="C27" i="6"/>
  <c r="D27" i="13"/>
  <c r="E26" i="13"/>
  <c r="F27" i="12"/>
  <c r="E27" i="12"/>
  <c r="D27" i="12"/>
  <c r="G15" i="12"/>
  <c r="G27" i="14" l="1"/>
  <c r="G26" i="14"/>
  <c r="G28" i="14"/>
  <c r="H26" i="13"/>
  <c r="I11" i="12"/>
  <c r="C26" i="12"/>
  <c r="D26" i="12" s="1"/>
  <c r="C28" i="11"/>
  <c r="E26" i="12" l="1"/>
  <c r="G26" i="12" s="1"/>
  <c r="F26" i="12"/>
  <c r="C27" i="12"/>
  <c r="D28" i="11"/>
  <c r="G28" i="11"/>
  <c r="G27" i="8"/>
  <c r="F27" i="8"/>
  <c r="E27" i="8"/>
  <c r="D27" i="8"/>
  <c r="C27" i="8"/>
  <c r="D26" i="13"/>
  <c r="C26" i="6"/>
  <c r="C28" i="6"/>
  <c r="D28" i="6" s="1"/>
  <c r="D28" i="5"/>
  <c r="D27" i="5"/>
  <c r="E27" i="5" l="1"/>
  <c r="E28" i="5"/>
  <c r="G27" i="6"/>
  <c r="D26" i="6"/>
  <c r="G26" i="6" s="1"/>
  <c r="G28" i="6"/>
  <c r="H27" i="13"/>
  <c r="H27" i="5"/>
  <c r="D25" i="2"/>
  <c r="D24" i="2"/>
  <c r="D23" i="2"/>
  <c r="E23" i="2" s="1"/>
  <c r="G27" i="12" l="1"/>
  <c r="H28" i="5"/>
  <c r="F23" i="2"/>
  <c r="G23" i="2"/>
  <c r="G24" i="2"/>
  <c r="E24" i="2"/>
  <c r="F24" i="2"/>
  <c r="G25" i="2"/>
  <c r="F25" i="2"/>
  <c r="E25" i="2"/>
  <c r="D23" i="1"/>
  <c r="G23" i="1" s="1"/>
  <c r="D24" i="1"/>
  <c r="H24" i="2" l="1"/>
  <c r="H25" i="2"/>
  <c r="H23" i="2"/>
  <c r="F23" i="1"/>
  <c r="G11" i="1"/>
  <c r="I12" i="10" l="1"/>
  <c r="I4" i="10"/>
  <c r="I16" i="9"/>
  <c r="I11" i="9"/>
  <c r="I7" i="9"/>
  <c r="G6" i="9" s="1"/>
  <c r="I3" i="9"/>
  <c r="G14" i="9" l="1"/>
  <c r="C27" i="9"/>
  <c r="I17" i="9"/>
  <c r="I12" i="9"/>
  <c r="I8" i="9"/>
  <c r="I7" i="10"/>
  <c r="I11" i="10"/>
  <c r="D27" i="9" l="1"/>
  <c r="G27" i="9" s="1"/>
  <c r="C28" i="10"/>
  <c r="G14" i="10"/>
  <c r="F28" i="10" l="1"/>
  <c r="E28" i="10"/>
  <c r="D28" i="10"/>
  <c r="G13" i="1"/>
  <c r="G28" i="10" l="1"/>
  <c r="I16" i="10"/>
  <c r="I3" i="10"/>
  <c r="I17" i="10"/>
  <c r="I8" i="10"/>
  <c r="E11" i="10"/>
  <c r="G7" i="10" s="1"/>
  <c r="I4" i="9"/>
  <c r="M3" i="9"/>
  <c r="G15" i="9"/>
  <c r="G6" i="10" l="1"/>
  <c r="C27" i="10"/>
  <c r="G15" i="10"/>
  <c r="G6" i="14"/>
  <c r="G13" i="14"/>
  <c r="E10" i="14"/>
  <c r="G16" i="14"/>
  <c r="G9" i="14"/>
  <c r="H14" i="14"/>
  <c r="H7" i="14"/>
  <c r="I17" i="14"/>
  <c r="I11" i="14"/>
  <c r="I4" i="14"/>
  <c r="F14" i="14"/>
  <c r="E12" i="14"/>
  <c r="G10" i="14" s="1"/>
  <c r="M9" i="14"/>
  <c r="M12" i="14" s="1"/>
  <c r="M7" i="14"/>
  <c r="F7" i="14"/>
  <c r="M6" i="14"/>
  <c r="M3" i="14"/>
  <c r="N3" i="14" s="1"/>
  <c r="M2" i="14"/>
  <c r="N2" i="14" s="1"/>
  <c r="H14" i="13"/>
  <c r="H7" i="13"/>
  <c r="E11" i="13"/>
  <c r="E11" i="6"/>
  <c r="E11" i="5"/>
  <c r="G16" i="13"/>
  <c r="G9" i="13"/>
  <c r="I17" i="13"/>
  <c r="I11" i="13"/>
  <c r="I4" i="13"/>
  <c r="F14" i="13"/>
  <c r="E12" i="13"/>
  <c r="G17" i="13" s="1"/>
  <c r="I18" i="13" s="1"/>
  <c r="G10" i="13"/>
  <c r="I12" i="13" s="1"/>
  <c r="M7" i="13"/>
  <c r="F7" i="13"/>
  <c r="M6" i="13"/>
  <c r="M9" i="13" s="1"/>
  <c r="M12" i="13" s="1"/>
  <c r="N3" i="13"/>
  <c r="M3" i="13"/>
  <c r="N2" i="13"/>
  <c r="M2" i="13"/>
  <c r="E10" i="12"/>
  <c r="E9" i="12"/>
  <c r="E10" i="11"/>
  <c r="G15" i="11"/>
  <c r="I16" i="11" s="1"/>
  <c r="I8" i="11"/>
  <c r="I3" i="11"/>
  <c r="G7" i="11"/>
  <c r="I9" i="11" s="1"/>
  <c r="G7" i="9"/>
  <c r="E11" i="12"/>
  <c r="M8" i="12"/>
  <c r="M11" i="12" s="1"/>
  <c r="M6" i="12"/>
  <c r="M5" i="12"/>
  <c r="M3" i="12"/>
  <c r="N3" i="12" s="1"/>
  <c r="N2" i="12"/>
  <c r="M2" i="12"/>
  <c r="E11" i="11"/>
  <c r="I17" i="11" s="1"/>
  <c r="I12" i="11"/>
  <c r="M6" i="11"/>
  <c r="M5" i="11"/>
  <c r="M8" i="11" s="1"/>
  <c r="M3" i="11"/>
  <c r="N3" i="11" s="1"/>
  <c r="M2" i="11"/>
  <c r="N2" i="11" s="1"/>
  <c r="E10" i="10" l="1"/>
  <c r="E9" i="10"/>
  <c r="C26" i="10" s="1"/>
  <c r="D27" i="10"/>
  <c r="F27" i="10"/>
  <c r="E27" i="10"/>
  <c r="C25" i="12"/>
  <c r="M13" i="14"/>
  <c r="I5" i="14"/>
  <c r="I12" i="14"/>
  <c r="G17" i="14"/>
  <c r="I18" i="14" s="1"/>
  <c r="E10" i="13"/>
  <c r="G13" i="13"/>
  <c r="M13" i="13"/>
  <c r="I5" i="13"/>
  <c r="G6" i="13" s="1"/>
  <c r="G13" i="7"/>
  <c r="G14" i="7"/>
  <c r="G6" i="7"/>
  <c r="G5" i="7"/>
  <c r="C26" i="7" s="1"/>
  <c r="I11" i="11"/>
  <c r="I4" i="11"/>
  <c r="M11" i="11"/>
  <c r="M12" i="12"/>
  <c r="I12" i="12"/>
  <c r="I16" i="12"/>
  <c r="I15" i="12" s="1"/>
  <c r="G7" i="12"/>
  <c r="M6" i="10"/>
  <c r="M5" i="10"/>
  <c r="M8" i="10" s="1"/>
  <c r="M11" i="10" s="1"/>
  <c r="N3" i="10"/>
  <c r="M3" i="10"/>
  <c r="M2" i="10"/>
  <c r="N2" i="10" s="1"/>
  <c r="E11" i="9"/>
  <c r="M6" i="9"/>
  <c r="M5" i="9"/>
  <c r="M8" i="9" s="1"/>
  <c r="M11" i="9" s="1"/>
  <c r="N3" i="9"/>
  <c r="M2" i="9"/>
  <c r="N2" i="9" s="1"/>
  <c r="F26" i="7" l="1"/>
  <c r="D26" i="7"/>
  <c r="E26" i="7"/>
  <c r="G27" i="10"/>
  <c r="F26" i="10"/>
  <c r="E26" i="10"/>
  <c r="D26" i="10"/>
  <c r="E25" i="12"/>
  <c r="D25" i="12"/>
  <c r="F25" i="12"/>
  <c r="E10" i="7"/>
  <c r="M12" i="11"/>
  <c r="I8" i="12"/>
  <c r="I7" i="12" s="1"/>
  <c r="I4" i="12"/>
  <c r="I3" i="12" s="1"/>
  <c r="M12" i="10"/>
  <c r="M12" i="9"/>
  <c r="G13" i="8"/>
  <c r="G5" i="8"/>
  <c r="E10" i="5"/>
  <c r="G13" i="5"/>
  <c r="G6" i="5"/>
  <c r="E10" i="6"/>
  <c r="G13" i="6"/>
  <c r="G6" i="6"/>
  <c r="E9" i="7"/>
  <c r="C25" i="7" s="1"/>
  <c r="I16" i="8"/>
  <c r="I11" i="8"/>
  <c r="E11" i="8"/>
  <c r="G7" i="8"/>
  <c r="I4" i="8" s="1"/>
  <c r="M6" i="8"/>
  <c r="M5" i="8"/>
  <c r="M8" i="8" s="1"/>
  <c r="M11" i="8" s="1"/>
  <c r="N3" i="8"/>
  <c r="M3" i="8"/>
  <c r="M2" i="8"/>
  <c r="N2" i="8" s="1"/>
  <c r="G9" i="6"/>
  <c r="E11" i="7"/>
  <c r="M6" i="7"/>
  <c r="M5" i="7"/>
  <c r="M8" i="7" s="1"/>
  <c r="M3" i="7"/>
  <c r="N3" i="7" s="1"/>
  <c r="N2" i="7"/>
  <c r="M2" i="7"/>
  <c r="G16" i="6"/>
  <c r="I17" i="6"/>
  <c r="I11" i="6"/>
  <c r="I4" i="6"/>
  <c r="F14" i="6"/>
  <c r="E12" i="6"/>
  <c r="G17" i="6" s="1"/>
  <c r="I18" i="6" s="1"/>
  <c r="G10" i="6"/>
  <c r="I12" i="6" s="1"/>
  <c r="M9" i="6"/>
  <c r="M12" i="6" s="1"/>
  <c r="M7" i="6"/>
  <c r="F7" i="6"/>
  <c r="M6" i="6"/>
  <c r="M3" i="6"/>
  <c r="N3" i="6" s="1"/>
  <c r="M2" i="6"/>
  <c r="N2" i="6" s="1"/>
  <c r="G11" i="2"/>
  <c r="G7" i="2"/>
  <c r="E9" i="2"/>
  <c r="F14" i="5"/>
  <c r="F7" i="5"/>
  <c r="E12" i="5"/>
  <c r="G10" i="5" s="1"/>
  <c r="I12" i="5" s="1"/>
  <c r="I11" i="5" s="1"/>
  <c r="M7" i="5"/>
  <c r="M6" i="5"/>
  <c r="M9" i="5" s="1"/>
  <c r="M12" i="5" s="1"/>
  <c r="M3" i="5"/>
  <c r="N3" i="5" s="1"/>
  <c r="M2" i="5"/>
  <c r="N2" i="5" s="1"/>
  <c r="E10" i="2"/>
  <c r="G12" i="2"/>
  <c r="G8" i="2"/>
  <c r="L8" i="2"/>
  <c r="G26" i="7" l="1"/>
  <c r="F25" i="7"/>
  <c r="G25" i="7"/>
  <c r="D25" i="7"/>
  <c r="G26" i="10"/>
  <c r="G25" i="12"/>
  <c r="E11" i="14"/>
  <c r="M11" i="7"/>
  <c r="M12" i="7" s="1"/>
  <c r="G7" i="7"/>
  <c r="G15" i="7"/>
  <c r="M12" i="8"/>
  <c r="G15" i="8"/>
  <c r="I8" i="8"/>
  <c r="G6" i="8" s="1"/>
  <c r="E9" i="8" s="1"/>
  <c r="C25" i="8" s="1"/>
  <c r="G17" i="5"/>
  <c r="I18" i="5" s="1"/>
  <c r="I17" i="5" s="1"/>
  <c r="H14" i="6"/>
  <c r="M13" i="6"/>
  <c r="I5" i="6"/>
  <c r="M13" i="5"/>
  <c r="I5" i="5"/>
  <c r="L6" i="2"/>
  <c r="L6" i="1"/>
  <c r="E11" i="2"/>
  <c r="G13" i="2" s="1"/>
  <c r="I15" i="2" s="1"/>
  <c r="I14" i="2" s="1"/>
  <c r="L5" i="2"/>
  <c r="L3" i="2"/>
  <c r="M3" i="2" s="1"/>
  <c r="L2" i="2"/>
  <c r="M2" i="2" s="1"/>
  <c r="E25" i="8" l="1"/>
  <c r="F25" i="8"/>
  <c r="E9" i="9"/>
  <c r="C26" i="9" s="1"/>
  <c r="E10" i="9"/>
  <c r="I17" i="7"/>
  <c r="I12" i="7"/>
  <c r="I4" i="7"/>
  <c r="I8" i="7"/>
  <c r="I17" i="8"/>
  <c r="I12" i="8"/>
  <c r="H14" i="5"/>
  <c r="G16" i="5" s="1"/>
  <c r="H7" i="6"/>
  <c r="I4" i="5"/>
  <c r="H7" i="5" s="1"/>
  <c r="G9" i="5" s="1"/>
  <c r="L11" i="2"/>
  <c r="L12" i="2" s="1"/>
  <c r="G9" i="2"/>
  <c r="L3" i="1"/>
  <c r="L2" i="1"/>
  <c r="M2" i="1" s="1"/>
  <c r="D26" i="9" l="1"/>
  <c r="G14" i="8"/>
  <c r="M3" i="1"/>
  <c r="I7" i="2"/>
  <c r="I6" i="2" s="1"/>
  <c r="I11" i="2"/>
  <c r="I10" i="2" s="1"/>
  <c r="G26" i="9" l="1"/>
  <c r="E10" i="8"/>
  <c r="D25" i="8" s="1"/>
  <c r="G25" i="8" s="1"/>
  <c r="E11" i="1"/>
  <c r="G9" i="1" s="1"/>
  <c r="I15" i="1" l="1"/>
  <c r="I11" i="1"/>
  <c r="I7" i="1"/>
  <c r="I6" i="1" l="1"/>
  <c r="I10" i="1"/>
  <c r="I14" i="1"/>
  <c r="E9" i="11"/>
  <c r="C26" i="11" s="1"/>
  <c r="G5" i="11"/>
  <c r="F26" i="11" l="1"/>
  <c r="E26" i="11"/>
  <c r="D26" i="11"/>
  <c r="G26" i="11" s="1"/>
  <c r="G8" i="1"/>
  <c r="G12" i="1"/>
  <c r="E23" i="1" l="1"/>
  <c r="H23" i="1" s="1"/>
  <c r="E9" i="1"/>
  <c r="D22" i="1" s="1"/>
  <c r="G22" i="1" s="1"/>
  <c r="E10" i="1"/>
  <c r="E22" i="1" l="1"/>
  <c r="F22" i="1"/>
  <c r="H22" i="1" l="1"/>
</calcChain>
</file>

<file path=xl/sharedStrings.xml><?xml version="1.0" encoding="utf-8"?>
<sst xmlns="http://schemas.openxmlformats.org/spreadsheetml/2006/main" count="679" uniqueCount="149">
  <si>
    <t>Strike price=</t>
  </si>
  <si>
    <t>Stock price=</t>
  </si>
  <si>
    <t>Volatility =</t>
  </si>
  <si>
    <t>RFR=</t>
  </si>
  <si>
    <t>T=0</t>
  </si>
  <si>
    <t>T=1</t>
  </si>
  <si>
    <t>T=2</t>
  </si>
  <si>
    <t>Time (years)=</t>
  </si>
  <si>
    <t>u=</t>
  </si>
  <si>
    <t>d=</t>
  </si>
  <si>
    <t>p=</t>
  </si>
  <si>
    <t>a=</t>
  </si>
  <si>
    <t>Delta-T=</t>
  </si>
  <si>
    <t>(1-p)=</t>
  </si>
  <si>
    <t>r=RFR=</t>
  </si>
  <si>
    <t>Delta</t>
  </si>
  <si>
    <t>Option-price</t>
  </si>
  <si>
    <t>Volatility:</t>
  </si>
  <si>
    <t>Risk-neutral probabilities:-</t>
  </si>
  <si>
    <t>(2-step tree)</t>
  </si>
  <si>
    <t>or</t>
  </si>
  <si>
    <t>1st Strike price=</t>
  </si>
  <si>
    <t>2nd Strike price=</t>
  </si>
  <si>
    <t>Exercise 1st Call</t>
  </si>
  <si>
    <t>Don't exercise 1st Call</t>
  </si>
  <si>
    <t>Net payoff=</t>
  </si>
  <si>
    <t>Barrier=</t>
  </si>
  <si>
    <t>Choose Call</t>
  </si>
  <si>
    <t>Choose Put</t>
  </si>
  <si>
    <t>Barrier</t>
  </si>
  <si>
    <t>Up &amp; Out</t>
  </si>
  <si>
    <t>Exercise 1st Put</t>
  </si>
  <si>
    <t>Don't exercise 1st Put</t>
  </si>
  <si>
    <t>assets (shares)</t>
  </si>
  <si>
    <t>Initial payoff</t>
  </si>
  <si>
    <t>Payoff (Up)</t>
  </si>
  <si>
    <t>Payoff (Down)</t>
  </si>
  <si>
    <t>T=1 (Up)</t>
  </si>
  <si>
    <t>T=1 (Down)</t>
  </si>
  <si>
    <t>i.e. no need to hedge</t>
  </si>
  <si>
    <t>No. of options required for hedging</t>
  </si>
  <si>
    <t>Return (= RFR)</t>
  </si>
  <si>
    <t>If you plan to buy the asset, you hedge against price-increase. i.e. you buy Call options</t>
  </si>
  <si>
    <t>If you already have the asset, you hedge against price-decline. i.e. you buy Put options</t>
  </si>
  <si>
    <t>The firm has a Long position in</t>
  </si>
  <si>
    <t xml:space="preserve">Hedging strategy: </t>
  </si>
  <si>
    <t>Short position in Call options</t>
  </si>
  <si>
    <t>Buying Put options</t>
  </si>
  <si>
    <t>s</t>
  </si>
  <si>
    <t>x</t>
  </si>
  <si>
    <t>r</t>
  </si>
  <si>
    <t>T</t>
  </si>
  <si>
    <t xml:space="preserve">Sigma </t>
  </si>
  <si>
    <t>d1</t>
  </si>
  <si>
    <t xml:space="preserve">d2 </t>
  </si>
  <si>
    <t>Nd1</t>
  </si>
  <si>
    <t xml:space="preserve">Nd2 </t>
  </si>
  <si>
    <t>Call Delta Hedging Effectiveness</t>
  </si>
  <si>
    <t>c</t>
  </si>
  <si>
    <t>p</t>
  </si>
  <si>
    <t xml:space="preserve">Day </t>
  </si>
  <si>
    <t xml:space="preserve">Stock Price </t>
  </si>
  <si>
    <t xml:space="preserve">Call price </t>
  </si>
  <si>
    <t xml:space="preserve">Short options </t>
  </si>
  <si>
    <t xml:space="preserve">Shares required </t>
  </si>
  <si>
    <t>Shares to be Purchased</t>
  </si>
  <si>
    <t>Value of Bond Issued</t>
  </si>
  <si>
    <t xml:space="preserve">Bond Balance </t>
  </si>
  <si>
    <t xml:space="preserve">Value of Hedge Portfolio </t>
  </si>
  <si>
    <t>Hedge should grows at Risk Free</t>
  </si>
  <si>
    <t xml:space="preserve">Delta Error </t>
  </si>
  <si>
    <t>PUT</t>
  </si>
  <si>
    <t>CALL</t>
  </si>
  <si>
    <t xml:space="preserve">New Price of underlying </t>
  </si>
  <si>
    <t xml:space="preserve">Delta Estimated Call Price </t>
  </si>
  <si>
    <t xml:space="preserve">Actual Call Price </t>
  </si>
  <si>
    <t xml:space="preserve">Difference </t>
  </si>
  <si>
    <t xml:space="preserve">New Delta </t>
  </si>
  <si>
    <t>di</t>
  </si>
  <si>
    <t>dii</t>
  </si>
  <si>
    <t>Ndi</t>
  </si>
  <si>
    <t>Using the Tree</t>
  </si>
  <si>
    <t xml:space="preserve">Delta </t>
  </si>
  <si>
    <t xml:space="preserve">The VBA Code available to see generation of prices </t>
  </si>
  <si>
    <t>BSM</t>
  </si>
  <si>
    <t xml:space="preserve">CALCULATION OF OPTION GREEKS </t>
  </si>
  <si>
    <t xml:space="preserve">BASE INPUTS </t>
  </si>
  <si>
    <t xml:space="preserve">OUTPUTS </t>
  </si>
  <si>
    <t>Stock Price</t>
  </si>
  <si>
    <t>Option Price</t>
  </si>
  <si>
    <t>Strike Price</t>
  </si>
  <si>
    <t>Time To Expiry</t>
  </si>
  <si>
    <t>Gamma</t>
  </si>
  <si>
    <t>Call X  100</t>
  </si>
  <si>
    <t>Volatility</t>
  </si>
  <si>
    <t>Theta</t>
  </si>
  <si>
    <t>Put X   50</t>
  </si>
  <si>
    <t>Risk Free Rate</t>
  </si>
  <si>
    <t>Vega</t>
  </si>
  <si>
    <t>Dividend Yield</t>
  </si>
  <si>
    <t>Rho</t>
  </si>
  <si>
    <t xml:space="preserve"> S = 105</t>
  </si>
  <si>
    <t xml:space="preserve">Price </t>
  </si>
  <si>
    <t xml:space="preserve">Gamma </t>
  </si>
  <si>
    <t xml:space="preserve">Theta </t>
  </si>
  <si>
    <t xml:space="preserve">Vega </t>
  </si>
  <si>
    <t xml:space="preserve">Rho </t>
  </si>
  <si>
    <t xml:space="preserve">Call </t>
  </si>
  <si>
    <t>Nd2</t>
  </si>
  <si>
    <t xml:space="preserve">Put </t>
  </si>
  <si>
    <t xml:space="preserve"> S = 110</t>
  </si>
  <si>
    <t xml:space="preserve"> S = 103</t>
  </si>
  <si>
    <t xml:space="preserve"> S = 130</t>
  </si>
  <si>
    <t xml:space="preserve"> S = 135</t>
  </si>
  <si>
    <t xml:space="preserve">Speculative Premium </t>
  </si>
  <si>
    <t xml:space="preserve">PUT 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</si>
  <si>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</si>
  <si>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R</t>
  </si>
  <si>
    <t>X</t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</si>
  <si>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</si>
  <si>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t xml:space="preserve">CALL </t>
  </si>
  <si>
    <t>Hull</t>
  </si>
  <si>
    <t>CALL on CALL</t>
  </si>
  <si>
    <t xml:space="preserve">Call on Put </t>
  </si>
  <si>
    <t>U</t>
  </si>
  <si>
    <t>d</t>
  </si>
  <si>
    <t>Prob U</t>
  </si>
  <si>
    <t xml:space="preserve">Prob D </t>
  </si>
  <si>
    <t>HULL</t>
  </si>
  <si>
    <t>Today</t>
  </si>
  <si>
    <t xml:space="preserve">1 period </t>
  </si>
  <si>
    <t xml:space="preserve">2 period </t>
  </si>
  <si>
    <t>Hedge Portfolio</t>
  </si>
  <si>
    <t xml:space="preserve">Long Shares </t>
  </si>
  <si>
    <t xml:space="preserve">Delta Shares </t>
  </si>
  <si>
    <t xml:space="preserve">Cost of Portfolio </t>
  </si>
  <si>
    <t xml:space="preserve">Return Of Portfolio </t>
  </si>
  <si>
    <t xml:space="preserve">Net Result </t>
  </si>
  <si>
    <t>RF</t>
  </si>
  <si>
    <t>PUT on PUT</t>
  </si>
  <si>
    <t>PUT on Call</t>
  </si>
  <si>
    <t>.</t>
  </si>
  <si>
    <t>LOOK BACK CALL</t>
  </si>
  <si>
    <t>LOOK BACK PUT</t>
  </si>
  <si>
    <t xml:space="preserve">DELTA </t>
  </si>
  <si>
    <t xml:space="preserve">CHOOSER 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</si>
  <si>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</si>
  <si>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ASIAN CALL </t>
  </si>
  <si>
    <t>ASIAN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</si>
</sst>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0.0"/>
    <numFmt numFmtId="167" formatCode="0.00000000"/>
    <numFmt numFmtId="168" formatCode="#,##0.0000"/>
    <numFmt numFmtId="169" formatCode="0.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0" fillId="0" borderId="0"/>
  </cellStyleXfs>
  <cellXfs count="2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3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/>
    <xf numFmtId="9" fontId="0" fillId="0" borderId="2" xfId="0" applyNumberFormat="1" applyBorder="1"/>
    <xf numFmtId="2" fontId="0" fillId="5" borderId="0" xfId="0" applyNumberFormat="1" applyFill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64" fontId="1" fillId="4" borderId="5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9" xfId="0" applyBorder="1"/>
    <xf numFmtId="2" fontId="0" fillId="0" borderId="0" xfId="0" applyNumberFormat="1" applyBorder="1"/>
    <xf numFmtId="0" fontId="0" fillId="0" borderId="0" xfId="0" applyFill="1" applyBorder="1"/>
    <xf numFmtId="165" fontId="0" fillId="0" borderId="0" xfId="1" applyNumberFormat="1" applyFont="1"/>
    <xf numFmtId="10" fontId="0" fillId="0" borderId="0" xfId="1" applyNumberFormat="1" applyFont="1"/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center"/>
    </xf>
    <xf numFmtId="10" fontId="0" fillId="0" borderId="0" xfId="1" applyNumberFormat="1" applyFont="1" applyBorder="1"/>
    <xf numFmtId="165" fontId="0" fillId="0" borderId="0" xfId="1" applyNumberFormat="1" applyFont="1" applyBorder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7" fillId="0" borderId="0" xfId="0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14" xfId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0" fontId="0" fillId="0" borderId="9" xfId="1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0" fontId="0" fillId="0" borderId="13" xfId="1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6" fillId="7" borderId="9" xfId="2" applyFont="1" applyFill="1" applyBorder="1"/>
    <xf numFmtId="0" fontId="4" fillId="7" borderId="9" xfId="2" applyFill="1" applyBorder="1"/>
    <xf numFmtId="0" fontId="4" fillId="0" borderId="0" xfId="2"/>
    <xf numFmtId="10" fontId="4" fillId="7" borderId="9" xfId="2" applyNumberFormat="1" applyFill="1" applyBorder="1"/>
    <xf numFmtId="0" fontId="8" fillId="7" borderId="9" xfId="2" applyFont="1" applyFill="1" applyBorder="1"/>
    <xf numFmtId="9" fontId="8" fillId="7" borderId="9" xfId="2" applyNumberFormat="1" applyFont="1" applyFill="1" applyBorder="1"/>
    <xf numFmtId="0" fontId="9" fillId="0" borderId="0" xfId="2" applyFont="1"/>
    <xf numFmtId="2" fontId="8" fillId="7" borderId="9" xfId="2" applyNumberFormat="1" applyFont="1" applyFill="1" applyBorder="1"/>
    <xf numFmtId="0" fontId="8" fillId="4" borderId="9" xfId="2" applyFont="1" applyFill="1" applyBorder="1" applyAlignment="1">
      <alignment vertical="top"/>
    </xf>
    <xf numFmtId="0" fontId="8" fillId="4" borderId="9" xfId="2" applyFont="1" applyFill="1" applyBorder="1" applyAlignment="1">
      <alignment horizontal="center" vertical="top" wrapText="1"/>
    </xf>
    <xf numFmtId="0" fontId="4" fillId="8" borderId="9" xfId="2" applyFill="1" applyBorder="1"/>
    <xf numFmtId="10" fontId="0" fillId="0" borderId="0" xfId="3" applyNumberFormat="1" applyFont="1"/>
    <xf numFmtId="2" fontId="0" fillId="8" borderId="9" xfId="3" applyNumberFormat="1" applyFont="1" applyFill="1" applyBorder="1"/>
    <xf numFmtId="2" fontId="4" fillId="0" borderId="0" xfId="2" applyNumberFormat="1"/>
    <xf numFmtId="0" fontId="4" fillId="9" borderId="0" xfId="2" applyFill="1" applyBorder="1"/>
    <xf numFmtId="10" fontId="4" fillId="0" borderId="0" xfId="2" applyNumberFormat="1"/>
    <xf numFmtId="0" fontId="8" fillId="0" borderId="0" xfId="2" applyFont="1"/>
    <xf numFmtId="9" fontId="8" fillId="0" borderId="0" xfId="2" applyNumberFormat="1" applyFont="1"/>
    <xf numFmtId="2" fontId="0" fillId="0" borderId="0" xfId="3" applyNumberFormat="1" applyFont="1"/>
    <xf numFmtId="2" fontId="8" fillId="0" borderId="0" xfId="2" applyNumberFormat="1" applyFont="1"/>
    <xf numFmtId="0" fontId="8" fillId="4" borderId="9" xfId="2" applyFont="1" applyFill="1" applyBorder="1" applyAlignment="1">
      <alignment horizontal="center" wrapText="1"/>
    </xf>
    <xf numFmtId="0" fontId="8" fillId="4" borderId="9" xfId="2" applyFont="1" applyFill="1" applyBorder="1" applyAlignment="1">
      <alignment vertical="top" wrapText="1"/>
    </xf>
    <xf numFmtId="0" fontId="8" fillId="4" borderId="9" xfId="2" applyFont="1" applyFill="1" applyBorder="1" applyAlignment="1">
      <alignment horizontal="center" vertical="top"/>
    </xf>
    <xf numFmtId="0" fontId="4" fillId="2" borderId="9" xfId="2" applyFill="1" applyBorder="1"/>
    <xf numFmtId="166" fontId="4" fillId="2" borderId="9" xfId="2" applyNumberFormat="1" applyFill="1" applyBorder="1"/>
    <xf numFmtId="2" fontId="4" fillId="2" borderId="9" xfId="2" applyNumberFormat="1" applyFill="1" applyBorder="1"/>
    <xf numFmtId="167" fontId="4" fillId="2" borderId="9" xfId="2" applyNumberFormat="1" applyFill="1" applyBorder="1"/>
    <xf numFmtId="1" fontId="4" fillId="2" borderId="9" xfId="2" applyNumberFormat="1" applyFill="1" applyBorder="1"/>
    <xf numFmtId="1" fontId="4" fillId="0" borderId="0" xfId="2" applyNumberFormat="1"/>
    <xf numFmtId="166" fontId="4" fillId="0" borderId="0" xfId="2" applyNumberFormat="1"/>
    <xf numFmtId="167" fontId="4" fillId="0" borderId="0" xfId="2" applyNumberFormat="1"/>
    <xf numFmtId="0" fontId="4" fillId="10" borderId="9" xfId="2" applyFill="1" applyBorder="1"/>
    <xf numFmtId="0" fontId="4" fillId="0" borderId="9" xfId="2" applyBorder="1"/>
    <xf numFmtId="0" fontId="7" fillId="0" borderId="0" xfId="4" applyFont="1" applyFill="1" applyBorder="1"/>
    <xf numFmtId="0" fontId="11" fillId="0" borderId="0" xfId="4" applyFont="1" applyFill="1" applyBorder="1" applyAlignment="1">
      <alignment horizontal="center"/>
    </xf>
    <xf numFmtId="0" fontId="12" fillId="11" borderId="9" xfId="4" applyFont="1" applyFill="1" applyBorder="1"/>
    <xf numFmtId="0" fontId="10" fillId="11" borderId="9" xfId="4" applyFill="1" applyBorder="1"/>
    <xf numFmtId="0" fontId="13" fillId="12" borderId="16" xfId="4" applyFont="1" applyFill="1" applyBorder="1"/>
    <xf numFmtId="0" fontId="7" fillId="12" borderId="17" xfId="4" applyFont="1" applyFill="1" applyBorder="1"/>
    <xf numFmtId="0" fontId="13" fillId="13" borderId="16" xfId="4" applyFont="1" applyFill="1" applyBorder="1" applyAlignment="1"/>
    <xf numFmtId="0" fontId="13" fillId="13" borderId="18" xfId="4" applyFont="1" applyFill="1" applyBorder="1" applyAlignment="1">
      <alignment horizontal="center"/>
    </xf>
    <xf numFmtId="0" fontId="13" fillId="13" borderId="17" xfId="4" applyFont="1" applyFill="1" applyBorder="1" applyAlignment="1">
      <alignment horizontal="center"/>
    </xf>
    <xf numFmtId="10" fontId="10" fillId="11" borderId="9" xfId="4" applyNumberFormat="1" applyFill="1" applyBorder="1"/>
    <xf numFmtId="0" fontId="7" fillId="7" borderId="9" xfId="4" applyFont="1" applyFill="1" applyBorder="1" applyAlignment="1"/>
    <xf numFmtId="0" fontId="7" fillId="7" borderId="9" xfId="4" applyFont="1" applyFill="1" applyBorder="1"/>
    <xf numFmtId="0" fontId="7" fillId="14" borderId="9" xfId="4" applyFont="1" applyFill="1" applyBorder="1" applyAlignment="1"/>
    <xf numFmtId="168" fontId="13" fillId="14" borderId="9" xfId="4" applyNumberFormat="1" applyFont="1" applyFill="1" applyBorder="1"/>
    <xf numFmtId="0" fontId="8" fillId="11" borderId="9" xfId="4" applyFont="1" applyFill="1" applyBorder="1"/>
    <xf numFmtId="9" fontId="8" fillId="11" borderId="9" xfId="4" applyNumberFormat="1" applyFont="1" applyFill="1" applyBorder="1"/>
    <xf numFmtId="0" fontId="7" fillId="7" borderId="9" xfId="4" applyNumberFormat="1" applyFont="1" applyFill="1" applyBorder="1"/>
    <xf numFmtId="0" fontId="13" fillId="15" borderId="9" xfId="4" applyFont="1" applyFill="1" applyBorder="1"/>
    <xf numFmtId="9" fontId="7" fillId="7" borderId="9" xfId="4" applyNumberFormat="1" applyFont="1" applyFill="1" applyBorder="1"/>
    <xf numFmtId="10" fontId="7" fillId="7" borderId="9" xfId="4" applyNumberFormat="1" applyFont="1" applyFill="1" applyBorder="1"/>
    <xf numFmtId="4" fontId="7" fillId="0" borderId="0" xfId="4" applyNumberFormat="1" applyFont="1" applyFill="1" applyBorder="1"/>
    <xf numFmtId="0" fontId="7" fillId="0" borderId="0" xfId="4" applyFont="1" applyFill="1" applyBorder="1" applyAlignment="1"/>
    <xf numFmtId="0" fontId="8" fillId="16" borderId="9" xfId="4" applyFont="1" applyFill="1" applyBorder="1"/>
    <xf numFmtId="0" fontId="7" fillId="12" borderId="9" xfId="4" applyFont="1" applyFill="1" applyBorder="1"/>
    <xf numFmtId="0" fontId="10" fillId="11" borderId="9" xfId="4" applyFont="1" applyFill="1" applyBorder="1"/>
    <xf numFmtId="2" fontId="8" fillId="11" borderId="9" xfId="4" applyNumberFormat="1" applyFont="1" applyFill="1" applyBorder="1"/>
    <xf numFmtId="0" fontId="7" fillId="0" borderId="0" xfId="4" applyFont="1" applyFill="1" applyBorder="1" applyAlignment="1">
      <alignment horizontal="right"/>
    </xf>
    <xf numFmtId="0" fontId="11" fillId="0" borderId="0" xfId="4" applyFont="1" applyFill="1" applyBorder="1"/>
    <xf numFmtId="0" fontId="8" fillId="17" borderId="9" xfId="4" applyFont="1" applyFill="1" applyBorder="1"/>
    <xf numFmtId="0" fontId="7" fillId="18" borderId="9" xfId="4" applyFont="1" applyFill="1" applyBorder="1" applyAlignment="1">
      <alignment horizontal="right"/>
    </xf>
    <xf numFmtId="0" fontId="7" fillId="18" borderId="9" xfId="4" applyFont="1" applyFill="1" applyBorder="1"/>
    <xf numFmtId="0" fontId="14" fillId="0" borderId="0" xfId="4" applyFont="1" applyFill="1" applyBorder="1"/>
    <xf numFmtId="10" fontId="4" fillId="0" borderId="9" xfId="2" applyNumberFormat="1" applyBorder="1"/>
    <xf numFmtId="9" fontId="4" fillId="0" borderId="9" xfId="2" applyNumberFormat="1" applyBorder="1"/>
    <xf numFmtId="2" fontId="4" fillId="0" borderId="9" xfId="2" applyNumberFormat="1" applyBorder="1"/>
    <xf numFmtId="0" fontId="1" fillId="0" borderId="0" xfId="2" applyFont="1"/>
    <xf numFmtId="0" fontId="4" fillId="12" borderId="9" xfId="2" applyFill="1" applyBorder="1"/>
    <xf numFmtId="10" fontId="0" fillId="12" borderId="9" xfId="3" applyNumberFormat="1" applyFont="1" applyFill="1" applyBorder="1"/>
    <xf numFmtId="169" fontId="0" fillId="0" borderId="0" xfId="3" applyNumberFormat="1" applyFont="1"/>
    <xf numFmtId="0" fontId="4" fillId="12" borderId="0" xfId="2" applyFill="1" applyBorder="1"/>
    <xf numFmtId="10" fontId="0" fillId="12" borderId="0" xfId="3" applyNumberFormat="1" applyFont="1" applyFill="1" applyBorder="1"/>
    <xf numFmtId="164" fontId="1" fillId="6" borderId="3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10" borderId="10" xfId="2" applyFont="1" applyFill="1" applyBorder="1" applyAlignment="1">
      <alignment horizontal="center"/>
    </xf>
    <xf numFmtId="0" fontId="8" fillId="10" borderId="12" xfId="2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0" fontId="8" fillId="12" borderId="0" xfId="2" applyFont="1" applyFill="1" applyAlignment="1">
      <alignment horizontal="center" vertical="center"/>
    </xf>
    <xf numFmtId="0" fontId="8" fillId="12" borderId="7" xfId="2" applyFont="1" applyFill="1" applyBorder="1" applyAlignment="1">
      <alignment horizontal="center" vertical="center"/>
    </xf>
    <xf numFmtId="0" fontId="8" fillId="12" borderId="0" xfId="2" applyFont="1" applyFill="1" applyBorder="1" applyAlignment="1">
      <alignment horizontal="center" vertical="center"/>
    </xf>
  </cellXfs>
  <cellStyles count="5">
    <cellStyle name="Normal" xfId="0" builtinId="0"/>
    <cellStyle name="Normal 2" xfId="2" xr:uid="{D76B9304-6A55-48F4-A4FB-8E0741A1C039}"/>
    <cellStyle name="Normal 3" xfId="4" xr:uid="{100A31AA-8A64-4CCA-AF94-88AB751C8289}"/>
    <cellStyle name="Percent" xfId="1" builtinId="5"/>
    <cellStyle name="Percent 2" xfId="3" xr:uid="{A4F6FE41-2126-4973-A9F0-B7079B39E7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Delta</a:t>
            </a:r>
            <a:r>
              <a:rPr lang="en-GB" b="1" baseline="0"/>
              <a:t> Estimated Call VS Actual Call at 7% Vol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2815589523591"/>
          <c:y val="9.5247235369816996E-2"/>
          <c:w val="0.84141628973469706"/>
          <c:h val="0.69144996764601097"/>
        </c:manualLayout>
      </c:layout>
      <c:lineChart>
        <c:grouping val="standard"/>
        <c:varyColors val="0"/>
        <c:ser>
          <c:idx val="0"/>
          <c:order val="0"/>
          <c:tx>
            <c:strRef>
              <c:f>'Delta Errors'!$N$2</c:f>
              <c:strCache>
                <c:ptCount val="1"/>
                <c:pt idx="0">
                  <c:v>Delta Estimated Call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Errors'!$M$3:$M$10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</c:numCache>
            </c:numRef>
          </c:cat>
          <c:val>
            <c:numRef>
              <c:f>'Delta Errors'!$N$3:$N$10</c:f>
              <c:numCache>
                <c:formatCode>0.0</c:formatCode>
                <c:ptCount val="8"/>
                <c:pt idx="0">
                  <c:v>3.0698497561941545</c:v>
                </c:pt>
                <c:pt idx="1">
                  <c:v>5.875</c:v>
                </c:pt>
                <c:pt idx="2">
                  <c:v>9.3752499999999994</c:v>
                </c:pt>
                <c:pt idx="3">
                  <c:v>13.852512500000001</c:v>
                </c:pt>
                <c:pt idx="4">
                  <c:v>19.787138125000006</c:v>
                </c:pt>
                <c:pt idx="5">
                  <c:v>25.909495031250003</c:v>
                </c:pt>
                <c:pt idx="6">
                  <c:v>32.079969782812512</c:v>
                </c:pt>
                <c:pt idx="7">
                  <c:v>38.258968271953137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5-4F94-8CEE-983977A3376C}"/>
            </c:ext>
          </c:extLst>
        </c:ser>
        <c:ser>
          <c:idx val="1"/>
          <c:order val="1"/>
          <c:tx>
            <c:strRef>
              <c:f>'Delta Errors'!$O$2</c:f>
              <c:strCache>
                <c:ptCount val="1"/>
                <c:pt idx="0">
                  <c:v>Actual Call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Errors'!$M$3:$M$10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</c:numCache>
            </c:numRef>
          </c:cat>
          <c:val>
            <c:numRef>
              <c:f>'Delta Errors'!$O$3:$O$10</c:f>
              <c:numCache>
                <c:formatCode>General</c:formatCode>
                <c:ptCount val="8"/>
                <c:pt idx="0" formatCode="0.00">
                  <c:v>3.07</c:v>
                </c:pt>
                <c:pt idx="1">
                  <c:v>6.43</c:v>
                </c:pt>
                <c:pt idx="2">
                  <c:v>10.76</c:v>
                </c:pt>
                <c:pt idx="3">
                  <c:v>16.54</c:v>
                </c:pt>
                <c:pt idx="4">
                  <c:v>22.5</c:v>
                </c:pt>
                <c:pt idx="5">
                  <c:v>28.5</c:v>
                </c:pt>
                <c:pt idx="6">
                  <c:v>34.5</c:v>
                </c:pt>
                <c:pt idx="7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F94-8CEE-983977A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78800"/>
        <c:axId val="514580768"/>
      </c:lineChart>
      <c:catAx>
        <c:axId val="51457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Underlying</a:t>
                </a:r>
                <a:r>
                  <a:rPr lang="en-GB" baseline="0"/>
                  <a:t> Price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0768"/>
        <c:crosses val="autoZero"/>
        <c:auto val="1"/>
        <c:lblAlgn val="ctr"/>
        <c:lblOffset val="100"/>
        <c:noMultiLvlLbl val="0"/>
      </c:catAx>
      <c:valAx>
        <c:axId val="51458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 price</a:t>
                </a:r>
              </a:p>
            </c:rich>
          </c:tx>
          <c:layout>
            <c:manualLayout>
              <c:xMode val="edge"/>
              <c:yMode val="edge"/>
              <c:x val="2.0225546758520209E-2"/>
              <c:y val="0.35549261883295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Delta Estimated Call</a:t>
            </a:r>
            <a:r>
              <a:rPr lang="en-GB" b="1" baseline="0"/>
              <a:t> Vs Actual Call at 30% Vol.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17259480495974E-2"/>
          <c:y val="0.12962962962962962"/>
          <c:w val="0.87343824780523127"/>
          <c:h val="0.69276050171147963"/>
        </c:manualLayout>
      </c:layout>
      <c:lineChart>
        <c:grouping val="standard"/>
        <c:varyColors val="0"/>
        <c:ser>
          <c:idx val="0"/>
          <c:order val="0"/>
          <c:tx>
            <c:strRef>
              <c:f>'Delta Errors'!$G$36</c:f>
              <c:strCache>
                <c:ptCount val="1"/>
                <c:pt idx="0">
                  <c:v>Delta Estimated Call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Errors'!$F$38:$F$43</c:f>
              <c:numCache>
                <c:formatCode>General</c:formatCode>
                <c:ptCount val="6"/>
                <c:pt idx="0">
                  <c:v>1000</c:v>
                </c:pt>
                <c:pt idx="1">
                  <c:v>1020</c:v>
                </c:pt>
                <c:pt idx="2">
                  <c:v>1120</c:v>
                </c:pt>
                <c:pt idx="3">
                  <c:v>1220</c:v>
                </c:pt>
                <c:pt idx="4">
                  <c:v>1320</c:v>
                </c:pt>
                <c:pt idx="5">
                  <c:v>1420</c:v>
                </c:pt>
              </c:numCache>
            </c:numRef>
          </c:cat>
          <c:val>
            <c:numRef>
              <c:f>'Delta Errors'!$G$38:$G$43</c:f>
              <c:numCache>
                <c:formatCode>General</c:formatCode>
                <c:ptCount val="6"/>
                <c:pt idx="0">
                  <c:v>6.07</c:v>
                </c:pt>
                <c:pt idx="1">
                  <c:v>8.1053200000000007</c:v>
                </c:pt>
                <c:pt idx="2">
                  <c:v>16.38232</c:v>
                </c:pt>
                <c:pt idx="3">
                  <c:v>24.659320000000001</c:v>
                </c:pt>
                <c:pt idx="4">
                  <c:v>32.936320000000002</c:v>
                </c:pt>
                <c:pt idx="5">
                  <c:v>41.213320000000003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5-4E18-8176-EB73FFF5E67B}"/>
            </c:ext>
          </c:extLst>
        </c:ser>
        <c:ser>
          <c:idx val="1"/>
          <c:order val="1"/>
          <c:tx>
            <c:strRef>
              <c:f>'Delta Errors'!$H$36</c:f>
              <c:strCache>
                <c:ptCount val="1"/>
                <c:pt idx="0">
                  <c:v>Actual Call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Errors'!$F$38:$F$43</c:f>
              <c:numCache>
                <c:formatCode>General</c:formatCode>
                <c:ptCount val="6"/>
                <c:pt idx="0">
                  <c:v>1000</c:v>
                </c:pt>
                <c:pt idx="1">
                  <c:v>1020</c:v>
                </c:pt>
                <c:pt idx="2">
                  <c:v>1120</c:v>
                </c:pt>
                <c:pt idx="3">
                  <c:v>1220</c:v>
                </c:pt>
                <c:pt idx="4">
                  <c:v>1320</c:v>
                </c:pt>
                <c:pt idx="5">
                  <c:v>1420</c:v>
                </c:pt>
              </c:numCache>
            </c:numRef>
          </c:cat>
          <c:val>
            <c:numRef>
              <c:f>'Delta Errors'!$H$38:$H$43</c:f>
              <c:numCache>
                <c:formatCode>General</c:formatCode>
                <c:ptCount val="6"/>
                <c:pt idx="0">
                  <c:v>6.07</c:v>
                </c:pt>
                <c:pt idx="1">
                  <c:v>7.91</c:v>
                </c:pt>
                <c:pt idx="2">
                  <c:v>24.18</c:v>
                </c:pt>
                <c:pt idx="3">
                  <c:v>56.07</c:v>
                </c:pt>
                <c:pt idx="4">
                  <c:v>106.12</c:v>
                </c:pt>
                <c:pt idx="5">
                  <c:v>173.09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5-4E18-8176-EB73FFF5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46624"/>
        <c:axId val="522239400"/>
      </c:lineChart>
      <c:catAx>
        <c:axId val="5222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Underlying</a:t>
                </a:r>
                <a:r>
                  <a:rPr lang="en-GB" baseline="0"/>
                  <a:t> Price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39400"/>
        <c:crosses val="autoZero"/>
        <c:auto val="1"/>
        <c:lblAlgn val="ctr"/>
        <c:lblOffset val="100"/>
        <c:noMultiLvlLbl val="0"/>
      </c:catAx>
      <c:valAx>
        <c:axId val="522239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CALL GREEKS COMPOSITION PER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'GREEKS '!$C$49</c:f>
              <c:strCache>
                <c:ptCount val="1"/>
                <c:pt idx="0">
                  <c:v>Delta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'GREEKS '!$A$51:$A$55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110</c:v>
                </c:pt>
                <c:pt idx="3">
                  <c:v>130</c:v>
                </c:pt>
                <c:pt idx="4">
                  <c:v>135</c:v>
                </c:pt>
              </c:numCache>
            </c:numRef>
          </c:cat>
          <c:val>
            <c:numRef>
              <c:f>'GREEKS '!$C$51:$C$55</c:f>
              <c:numCache>
                <c:formatCode>General</c:formatCode>
                <c:ptCount val="5"/>
                <c:pt idx="0">
                  <c:v>0.70150000000000001</c:v>
                </c:pt>
                <c:pt idx="1">
                  <c:v>0.78910000000000002</c:v>
                </c:pt>
                <c:pt idx="2">
                  <c:v>0.92889999999999995</c:v>
                </c:pt>
                <c:pt idx="3">
                  <c:v>0.99999000000000005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9-4493-9933-C44EF668DA53}"/>
            </c:ext>
          </c:extLst>
        </c:ser>
        <c:ser>
          <c:idx val="1"/>
          <c:order val="1"/>
          <c:tx>
            <c:strRef>
              <c:f>'GREEKS '!$D$49</c:f>
              <c:strCache>
                <c:ptCount val="1"/>
                <c:pt idx="0">
                  <c:v>Gamma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'GREEKS '!$A$51:$A$55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110</c:v>
                </c:pt>
                <c:pt idx="3">
                  <c:v>130</c:v>
                </c:pt>
                <c:pt idx="4">
                  <c:v>135</c:v>
                </c:pt>
              </c:numCache>
            </c:numRef>
          </c:cat>
          <c:val>
            <c:numRef>
              <c:f>'GREEKS '!$D$51:$D$55</c:f>
              <c:numCache>
                <c:formatCode>General</c:formatCode>
                <c:ptCount val="5"/>
                <c:pt idx="0">
                  <c:v>4.8099999999999997E-2</c:v>
                </c:pt>
                <c:pt idx="1">
                  <c:v>3.9300000000000002E-2</c:v>
                </c:pt>
                <c:pt idx="2">
                  <c:v>1.7600000000000001E-2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9-4493-9933-C44EF668DA53}"/>
            </c:ext>
          </c:extLst>
        </c:ser>
        <c:ser>
          <c:idx val="2"/>
          <c:order val="2"/>
          <c:tx>
            <c:strRef>
              <c:f>'GREEKS '!$E$49</c:f>
              <c:strCache>
                <c:ptCount val="1"/>
                <c:pt idx="0">
                  <c:v>Theta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'GREEKS '!$A$51:$A$55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110</c:v>
                </c:pt>
                <c:pt idx="3">
                  <c:v>130</c:v>
                </c:pt>
                <c:pt idx="4">
                  <c:v>135</c:v>
                </c:pt>
              </c:numCache>
            </c:numRef>
          </c:cat>
          <c:val>
            <c:numRef>
              <c:f>'GREEKS '!$E$51:$E$55</c:f>
              <c:numCache>
                <c:formatCode>General</c:formatCode>
                <c:ptCount val="5"/>
                <c:pt idx="0">
                  <c:v>-2.5000000000000001E-3</c:v>
                </c:pt>
                <c:pt idx="1">
                  <c:v>-1.9E-3</c:v>
                </c:pt>
                <c:pt idx="2">
                  <c:v>-2.0000000000000001E-4</c:v>
                </c:pt>
                <c:pt idx="3">
                  <c:v>1.4E-3</c:v>
                </c:pt>
                <c:pt idx="4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9-4493-9933-C44EF668DA53}"/>
            </c:ext>
          </c:extLst>
        </c:ser>
        <c:ser>
          <c:idx val="3"/>
          <c:order val="3"/>
          <c:tx>
            <c:strRef>
              <c:f>'GREEKS '!$F$49</c:f>
              <c:strCache>
                <c:ptCount val="1"/>
                <c:pt idx="0">
                  <c:v>Vega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'GREEKS '!$A$51:$A$55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110</c:v>
                </c:pt>
                <c:pt idx="3">
                  <c:v>130</c:v>
                </c:pt>
                <c:pt idx="4">
                  <c:v>135</c:v>
                </c:pt>
              </c:numCache>
            </c:numRef>
          </c:cat>
          <c:val>
            <c:numRef>
              <c:f>'GREEKS '!$F$51:$F$55</c:f>
              <c:numCache>
                <c:formatCode>General</c:formatCode>
                <c:ptCount val="5"/>
                <c:pt idx="0">
                  <c:v>0.35730000000000001</c:v>
                </c:pt>
                <c:pt idx="1">
                  <c:v>0.30330000000000001</c:v>
                </c:pt>
                <c:pt idx="2">
                  <c:v>0.14940000000000001</c:v>
                </c:pt>
                <c:pt idx="3">
                  <c:v>2.9999999999999997E-4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9-4493-9933-C44EF668DA53}"/>
            </c:ext>
          </c:extLst>
        </c:ser>
        <c:ser>
          <c:idx val="4"/>
          <c:order val="4"/>
          <c:tx>
            <c:strRef>
              <c:f>'GREEKS '!$G$49</c:f>
              <c:strCache>
                <c:ptCount val="1"/>
                <c:pt idx="0">
                  <c:v>Rho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'GREEKS '!$A$51:$A$55</c:f>
              <c:numCache>
                <c:formatCode>General</c:formatCode>
                <c:ptCount val="5"/>
                <c:pt idx="0">
                  <c:v>103</c:v>
                </c:pt>
                <c:pt idx="1">
                  <c:v>105</c:v>
                </c:pt>
                <c:pt idx="2">
                  <c:v>110</c:v>
                </c:pt>
                <c:pt idx="3">
                  <c:v>130</c:v>
                </c:pt>
                <c:pt idx="4">
                  <c:v>135</c:v>
                </c:pt>
              </c:numCache>
            </c:numRef>
          </c:cat>
          <c:val>
            <c:numRef>
              <c:f>'GREEKS '!$G$51:$G$55</c:f>
              <c:numCache>
                <c:formatCode>General</c:formatCode>
                <c:ptCount val="5"/>
                <c:pt idx="0">
                  <c:v>0.6734</c:v>
                </c:pt>
                <c:pt idx="1">
                  <c:v>0.76449999999999996</c:v>
                </c:pt>
                <c:pt idx="2">
                  <c:v>0.91439999999999999</c:v>
                </c:pt>
                <c:pt idx="3">
                  <c:v>0.99490000000000001</c:v>
                </c:pt>
                <c:pt idx="4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9-4493-9933-C44EF668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652426264"/>
        <c:axId val="652426592"/>
      </c:barChart>
      <c:lineChart>
        <c:grouping val="standard"/>
        <c:varyColors val="0"/>
        <c:ser>
          <c:idx val="5"/>
          <c:order val="5"/>
          <c:tx>
            <c:strRef>
              <c:f>'GREEKS '!$B$49</c:f>
              <c:strCache>
                <c:ptCount val="1"/>
                <c:pt idx="0">
                  <c:v>Price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483305036785515E-2"/>
                  <c:y val="2.5518347717125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9-4493-9933-C44EF668DA53}"/>
                </c:ext>
              </c:extLst>
            </c:dLbl>
            <c:dLbl>
              <c:idx val="1"/>
              <c:layout>
                <c:manualLayout>
                  <c:x val="-4.074702886247878E-2"/>
                  <c:y val="2.8708141181765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9-4493-9933-C44EF668DA53}"/>
                </c:ext>
              </c:extLst>
            </c:dLbl>
            <c:dLbl>
              <c:idx val="2"/>
              <c:layout>
                <c:manualLayout>
                  <c:x val="-4.0747028862478864E-2"/>
                  <c:y val="3.827752157568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9-4493-9933-C44EF668DA53}"/>
                </c:ext>
              </c:extLst>
            </c:dLbl>
            <c:dLbl>
              <c:idx val="3"/>
              <c:layout>
                <c:manualLayout>
                  <c:x val="-4.0747028862478864E-2"/>
                  <c:y val="4.4657108504968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9-4493-9933-C44EF668DA53}"/>
                </c:ext>
              </c:extLst>
            </c:dLbl>
            <c:dLbl>
              <c:idx val="4"/>
              <c:layout>
                <c:manualLayout>
                  <c:x val="-4.5274476513865305E-2"/>
                  <c:y val="3.50877281110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9-4493-9933-C44EF668D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'GREEKS '!$B$51:$B$55</c:f>
              <c:numCache>
                <c:formatCode>General</c:formatCode>
                <c:ptCount val="5"/>
                <c:pt idx="0">
                  <c:v>4.9138000000000002</c:v>
                </c:pt>
                <c:pt idx="1">
                  <c:v>6.4074</c:v>
                </c:pt>
                <c:pt idx="2">
                  <c:v>10.748200000000001</c:v>
                </c:pt>
                <c:pt idx="3">
                  <c:v>30.498899999999999</c:v>
                </c:pt>
                <c:pt idx="4">
                  <c:v>35.498800000000003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79-4493-9933-C44EF668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42248"/>
        <c:axId val="546641920"/>
      </c:lineChart>
      <c:catAx>
        <c:axId val="6524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6592"/>
        <c:crosses val="autoZero"/>
        <c:auto val="1"/>
        <c:lblAlgn val="ctr"/>
        <c:lblOffset val="100"/>
        <c:noMultiLvlLbl val="0"/>
      </c:catAx>
      <c:valAx>
        <c:axId val="652426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6264"/>
        <c:crosses val="autoZero"/>
        <c:crossBetween val="between"/>
      </c:valAx>
      <c:valAx>
        <c:axId val="546641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2248"/>
        <c:crosses val="max"/>
        <c:crossBetween val="between"/>
      </c:valAx>
      <c:catAx>
        <c:axId val="546642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4664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PUT GREEKS WITH PRICE</a:t>
            </a:r>
            <a:r>
              <a:rPr lang="en-GB" b="1" baseline="0"/>
              <a:t> CHANGES</a:t>
            </a:r>
            <a:r>
              <a:rPr lang="en-GB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'GREEKS '!$C$73</c:f>
              <c:strCache>
                <c:ptCount val="1"/>
                <c:pt idx="0">
                  <c:v>Delta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'GREEKS '!$A$74:$A$78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'GREEKS '!$C$74:$C$78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-0.99990000000000001</c:v>
                </c:pt>
                <c:pt idx="3">
                  <c:v>-0.45760000000000001</c:v>
                </c:pt>
                <c:pt idx="4">
                  <c:v>-3.3999999999999998E-3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C-40FE-AEB2-FCDDCDC6A7A8}"/>
            </c:ext>
          </c:extLst>
        </c:ser>
        <c:ser>
          <c:idx val="1"/>
          <c:order val="1"/>
          <c:tx>
            <c:strRef>
              <c:f>'GREEKS '!$D$73</c:f>
              <c:strCache>
                <c:ptCount val="1"/>
                <c:pt idx="0">
                  <c:v>Gamma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'GREEKS '!$A$74:$A$78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'GREEKS '!$D$74:$D$78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1.1999999999999999E-3</c:v>
                </c:pt>
                <c:pt idx="3">
                  <c:v>0.1133</c:v>
                </c:pt>
                <c:pt idx="4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C-40FE-AEB2-FCDDCDC6A7A8}"/>
            </c:ext>
          </c:extLst>
        </c:ser>
        <c:ser>
          <c:idx val="2"/>
          <c:order val="2"/>
          <c:tx>
            <c:strRef>
              <c:f>'GREEKS '!$E$73</c:f>
              <c:strCache>
                <c:ptCount val="1"/>
                <c:pt idx="0">
                  <c:v>Theta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'GREEKS '!$A$74:$A$78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'GREEKS '!$E$74:$E$78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-6.9999999999999999E-4</c:v>
                </c:pt>
                <c:pt idx="2">
                  <c:v>-6.9999999999999999E-4</c:v>
                </c:pt>
                <c:pt idx="3">
                  <c:v>-2.2000000000000001E-3</c:v>
                </c:pt>
                <c:pt idx="4">
                  <c:v>-1E-4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C-40FE-AEB2-FCDDCDC6A7A8}"/>
            </c:ext>
          </c:extLst>
        </c:ser>
        <c:ser>
          <c:idx val="3"/>
          <c:order val="3"/>
          <c:tx>
            <c:strRef>
              <c:f>'GREEKS '!$F$73</c:f>
              <c:strCache>
                <c:ptCount val="1"/>
                <c:pt idx="0">
                  <c:v>Vega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'GREEKS '!$A$74:$A$78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'GREEKS '!$F$74:$F$78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1.4E-3</c:v>
                </c:pt>
                <c:pt idx="3">
                  <c:v>0.1983</c:v>
                </c:pt>
                <c:pt idx="4">
                  <c:v>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C-40FE-AEB2-FCDDCDC6A7A8}"/>
            </c:ext>
          </c:extLst>
        </c:ser>
        <c:ser>
          <c:idx val="4"/>
          <c:order val="4"/>
          <c:tx>
            <c:strRef>
              <c:f>'GREEKS '!$G$73</c:f>
              <c:strCache>
                <c:ptCount val="1"/>
                <c:pt idx="0">
                  <c:v>Rho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'GREEKS '!$A$74:$A$78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'GREEKS '!$G$74:$G$78</c:f>
              <c:numCache>
                <c:formatCode>General</c:formatCode>
                <c:ptCount val="5"/>
                <c:pt idx="0">
                  <c:v>-0.4975</c:v>
                </c:pt>
                <c:pt idx="1">
                  <c:v>-0.4975</c:v>
                </c:pt>
                <c:pt idx="2">
                  <c:v>-0.49709999999999999</c:v>
                </c:pt>
                <c:pt idx="3">
                  <c:v>-0.24149999999999999</c:v>
                </c:pt>
                <c:pt idx="4">
                  <c:v>-2.0999999999999999E-3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C-40FE-AEB2-FCDDCDC6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165648"/>
        <c:axId val="542163680"/>
      </c:barChart>
      <c:lineChart>
        <c:grouping val="standard"/>
        <c:varyColors val="0"/>
        <c:ser>
          <c:idx val="5"/>
          <c:order val="5"/>
          <c:tx>
            <c:strRef>
              <c:f>'GREEKS '!$B$73</c:f>
              <c:strCache>
                <c:ptCount val="1"/>
                <c:pt idx="0">
                  <c:v>Price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6004728132387727E-2"/>
                  <c:y val="-2.025316455696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EC-40FE-AEB2-FCDDCDC6A7A8}"/>
                </c:ext>
              </c:extLst>
            </c:dLbl>
            <c:dLbl>
              <c:idx val="1"/>
              <c:layout>
                <c:manualLayout>
                  <c:x val="3.0732860520094562E-2"/>
                  <c:y val="-3.37552742616033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EC-40FE-AEB2-FCDDCDC6A7A8}"/>
                </c:ext>
              </c:extLst>
            </c:dLbl>
            <c:dLbl>
              <c:idx val="2"/>
              <c:layout>
                <c:manualLayout>
                  <c:x val="3.7825059101654845E-2"/>
                  <c:y val="-3.7130801687763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EC-40FE-AEB2-FCDDCDC6A7A8}"/>
                </c:ext>
              </c:extLst>
            </c:dLbl>
            <c:dLbl>
              <c:idx val="3"/>
              <c:layout>
                <c:manualLayout>
                  <c:x val="-2.1276595744680851E-2"/>
                  <c:y val="-4.7257383966244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EC-40FE-AEB2-FCDDCDC6A7A8}"/>
                </c:ext>
              </c:extLst>
            </c:dLbl>
            <c:dLbl>
              <c:idx val="4"/>
              <c:layout>
                <c:manualLayout>
                  <c:x val="-3.309692671394799E-2"/>
                  <c:y val="-5.0632911392405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EC-40FE-AEB2-FCDDCDC6A7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'GREEKS '!$B$74:$B$78</c:f>
              <c:numCache>
                <c:formatCode>General</c:formatCode>
                <c:ptCount val="5"/>
                <c:pt idx="0">
                  <c:v>29.75</c:v>
                </c:pt>
                <c:pt idx="1">
                  <c:v>19.750599999999999</c:v>
                </c:pt>
                <c:pt idx="2">
                  <c:v>9.7514000000000003</c:v>
                </c:pt>
                <c:pt idx="3">
                  <c:v>1.2714000000000001</c:v>
                </c:pt>
                <c:pt idx="4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EC-40FE-AEB2-FCDDCDC6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72192"/>
        <c:axId val="543470224"/>
      </c:lineChart>
      <c:catAx>
        <c:axId val="5421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3680"/>
        <c:crosses val="autoZero"/>
        <c:auto val="1"/>
        <c:lblAlgn val="ctr"/>
        <c:lblOffset val="100"/>
        <c:noMultiLvlLbl val="0"/>
      </c:catAx>
      <c:valAx>
        <c:axId val="54216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5648"/>
        <c:crosses val="autoZero"/>
        <c:crossBetween val="between"/>
      </c:valAx>
      <c:valAx>
        <c:axId val="54347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2192"/>
        <c:crosses val="max"/>
        <c:crossBetween val="between"/>
      </c:valAx>
      <c:catAx>
        <c:axId val="54347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54347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47624</xdr:rowOff>
    </xdr:from>
    <xdr:to>
      <xdr:col>12</xdr:col>
      <xdr:colOff>247650</xdr:colOff>
      <xdr:row>14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131A23-0703-48D6-8208-184673420763}"/>
            </a:ext>
          </a:extLst>
        </xdr:cNvPr>
        <xdr:cNvSpPr txBox="1"/>
      </xdr:nvSpPr>
      <xdr:spPr>
        <a:xfrm>
          <a:off x="5295900" y="1009649"/>
          <a:ext cx="43053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Procedure</a:t>
          </a:r>
          <a:r>
            <a:rPr lang="en-GB" sz="1100" b="1" u="sng" baseline="0"/>
            <a:t> </a:t>
          </a:r>
          <a:endParaRPr lang="en-GB" sz="1100" b="1" u="sng"/>
        </a:p>
        <a:p>
          <a:endParaRPr lang="en-GB" sz="1100" b="1"/>
        </a:p>
        <a:p>
          <a:r>
            <a:rPr lang="en-GB" sz="1100" b="1"/>
            <a:t>-  With Delta</a:t>
          </a:r>
          <a:r>
            <a:rPr lang="en-GB" sz="1100" b="1" baseline="0"/>
            <a:t> changing we buy and sell the Underlying  by issuing or purchasing bonds to minimise changes in the Hedge Porftolio. </a:t>
          </a:r>
        </a:p>
        <a:p>
          <a:endParaRPr lang="en-GB" sz="1100" b="1" baseline="0"/>
        </a:p>
        <a:p>
          <a:r>
            <a:rPr lang="en-GB" sz="1100" b="1" u="sng"/>
            <a:t>Assumption</a:t>
          </a:r>
        </a:p>
        <a:p>
          <a:endParaRPr lang="en-GB" sz="1100" b="1"/>
        </a:p>
        <a:p>
          <a:r>
            <a:rPr lang="en-GB" sz="1100" b="1"/>
            <a:t>We</a:t>
          </a:r>
          <a:r>
            <a:rPr lang="en-GB" sz="1100" b="1" baseline="0"/>
            <a:t> assume the Company can issue Bonds at the risk free rate. </a:t>
          </a:r>
        </a:p>
        <a:p>
          <a:endParaRPr lang="en-GB" sz="1100" b="1" baseline="0"/>
        </a:p>
        <a:p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18</xdr:row>
      <xdr:rowOff>66674</xdr:rowOff>
    </xdr:from>
    <xdr:to>
      <xdr:col>16</xdr:col>
      <xdr:colOff>352426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6C978-C5FC-4303-8ADE-04A1B557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35</xdr:row>
      <xdr:rowOff>171450</xdr:rowOff>
    </xdr:from>
    <xdr:to>
      <xdr:col>19</xdr:col>
      <xdr:colOff>190500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06C66-FB54-43BC-BFCF-418FD5F3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46</xdr:row>
      <xdr:rowOff>85725</xdr:rowOff>
    </xdr:from>
    <xdr:to>
      <xdr:col>19</xdr:col>
      <xdr:colOff>400050</xdr:colOff>
      <xdr:row>67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AB96E-06BA-4BF1-B6D9-3077AE7F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72</xdr:row>
      <xdr:rowOff>9525</xdr:rowOff>
    </xdr:from>
    <xdr:to>
      <xdr:col>17</xdr:col>
      <xdr:colOff>476250</xdr:colOff>
      <xdr:row>90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97635-D9B0-455D-A25C-2B12D2A4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81</xdr:row>
      <xdr:rowOff>9526</xdr:rowOff>
    </xdr:from>
    <xdr:to>
      <xdr:col>6</xdr:col>
      <xdr:colOff>352425</xdr:colOff>
      <xdr:row>91</xdr:row>
      <xdr:rowOff>66676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6BF7BA-6CDA-46B4-8F30-4741CA4D1E41}"/>
            </a:ext>
          </a:extLst>
        </xdr:cNvPr>
        <xdr:cNvSpPr txBox="1"/>
      </xdr:nvSpPr>
      <xdr:spPr>
        <a:xfrm>
          <a:off x="390525" y="16535401"/>
          <a:ext cx="445770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 u="sng"/>
            <a:t>Observations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GAMMA highest for ATM puts and calls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VEGA highest for ATM puts and calls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Delta Puts and Calls Increase with Increases in Underlying price</a:t>
          </a:r>
          <a:endParaRPr lang="en-GB" sz="1100"/>
        </a:p>
        <a:p>
          <a:r>
            <a:rPr lang="en-GB" sz="1200"/>
            <a:t>-  RHO is Positive</a:t>
          </a:r>
          <a:r>
            <a:rPr lang="en-GB" sz="1200" baseline="0"/>
            <a:t> for calls and negative for Puts </a:t>
          </a:r>
        </a:p>
        <a:p>
          <a:r>
            <a:rPr lang="en-GB" sz="1200" baseline="0"/>
            <a:t>-  RHO is larger for Options that are in the Money and near to expiration.</a:t>
          </a:r>
        </a:p>
        <a:p>
          <a:r>
            <a:rPr lang="en-GB" sz="1200" baseline="0"/>
            <a:t>-  Speculative premium highest for ATM puts and calls </a:t>
          </a:r>
        </a:p>
        <a:p>
          <a:endParaRPr lang="en-GB" sz="1200" baseline="0"/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4"/>
  <sheetViews>
    <sheetView zoomScale="70" zoomScaleNormal="70" workbookViewId="0">
      <selection activeCell="G23" sqref="G23"/>
    </sheetView>
  </sheetViews>
  <sheetFormatPr defaultRowHeight="15" x14ac:dyDescent="0.25"/>
  <cols>
    <col min="2" max="2" width="13.42578125" customWidth="1"/>
    <col min="3" max="3" width="17.28515625" customWidth="1"/>
    <col min="4" max="4" width="14.28515625" customWidth="1"/>
    <col min="5" max="5" width="15.42578125" bestFit="1" customWidth="1"/>
    <col min="6" max="6" width="15.85546875" customWidth="1"/>
    <col min="7" max="7" width="15" customWidth="1"/>
    <col min="8" max="8" width="14.28515625" bestFit="1" customWidth="1"/>
    <col min="9" max="9" width="13" customWidth="1"/>
    <col min="10" max="11" width="12.28515625" customWidth="1"/>
    <col min="12" max="12" width="13.28515625" customWidth="1"/>
    <col min="13" max="13" width="12.85546875" customWidth="1"/>
    <col min="14" max="14" width="9.85546875" customWidth="1"/>
  </cols>
  <sheetData>
    <row r="2" spans="2:13" x14ac:dyDescent="0.25">
      <c r="B2" t="s">
        <v>1</v>
      </c>
      <c r="C2" s="30">
        <v>100</v>
      </c>
      <c r="G2" s="6" t="s">
        <v>15</v>
      </c>
      <c r="H2" s="3"/>
      <c r="J2" t="s">
        <v>17</v>
      </c>
      <c r="K2" s="16" t="s">
        <v>8</v>
      </c>
      <c r="L2" s="43">
        <f>1+C3</f>
        <v>1.05</v>
      </c>
      <c r="M2" s="55">
        <f>L2</f>
        <v>1.05</v>
      </c>
    </row>
    <row r="3" spans="2:13" x14ac:dyDescent="0.25">
      <c r="B3" t="s">
        <v>2</v>
      </c>
      <c r="C3" s="31">
        <v>0.05</v>
      </c>
      <c r="G3" s="7" t="s">
        <v>16</v>
      </c>
      <c r="H3" s="3"/>
      <c r="K3" s="13" t="s">
        <v>9</v>
      </c>
      <c r="L3" s="44">
        <f>1-C3</f>
        <v>0.95</v>
      </c>
      <c r="M3" s="55">
        <f>L3</f>
        <v>0.95</v>
      </c>
    </row>
    <row r="4" spans="2:13" x14ac:dyDescent="0.25">
      <c r="B4" t="s">
        <v>0</v>
      </c>
      <c r="C4" s="30">
        <v>100</v>
      </c>
    </row>
    <row r="5" spans="2:13" x14ac:dyDescent="0.25">
      <c r="B5" t="s">
        <v>3</v>
      </c>
      <c r="C5" s="31">
        <v>5.0000000000000001E-3</v>
      </c>
      <c r="K5" s="1" t="s">
        <v>14</v>
      </c>
      <c r="L5" s="5">
        <f>C5</f>
        <v>5.0000000000000001E-3</v>
      </c>
    </row>
    <row r="6" spans="2:13" x14ac:dyDescent="0.25">
      <c r="B6" t="s">
        <v>7</v>
      </c>
      <c r="C6" s="30">
        <v>2</v>
      </c>
      <c r="E6" s="8"/>
      <c r="F6" s="9"/>
      <c r="G6" s="9"/>
      <c r="H6" s="9"/>
      <c r="I6" s="35">
        <f>MAX(0,I7-C4)</f>
        <v>10.25</v>
      </c>
      <c r="K6" s="1" t="s">
        <v>12</v>
      </c>
      <c r="L6" s="1">
        <f>C6/2</f>
        <v>1</v>
      </c>
      <c r="M6" t="s">
        <v>19</v>
      </c>
    </row>
    <row r="7" spans="2:13" x14ac:dyDescent="0.25">
      <c r="E7" s="10"/>
      <c r="F7" s="11"/>
      <c r="G7" s="34">
        <f>(I6-I10)/(I7-I11)</f>
        <v>0.97619047619047616</v>
      </c>
      <c r="H7" s="11"/>
      <c r="I7" s="12">
        <f>G9*(1+C3)</f>
        <v>110.25</v>
      </c>
      <c r="K7" s="1"/>
      <c r="L7" s="1"/>
    </row>
    <row r="8" spans="2:13" x14ac:dyDescent="0.25">
      <c r="E8" s="10"/>
      <c r="F8" s="11"/>
      <c r="G8" s="19">
        <f>((L11*I6)+(L12*I10))/((1+L5)^L6)</f>
        <v>5.6094527363183975</v>
      </c>
      <c r="H8" s="11"/>
      <c r="I8" s="12"/>
      <c r="K8" s="1" t="s">
        <v>11</v>
      </c>
      <c r="L8" s="4">
        <f>1+L5</f>
        <v>1.0049999999999999</v>
      </c>
    </row>
    <row r="9" spans="2:13" x14ac:dyDescent="0.25">
      <c r="E9" s="33">
        <f>(G8-G12)/(G9-G13)</f>
        <v>0.56094527363183977</v>
      </c>
      <c r="F9" s="11"/>
      <c r="G9" s="22">
        <f>E11*(1+C3)</f>
        <v>105</v>
      </c>
      <c r="H9" s="11"/>
      <c r="I9" s="12"/>
    </row>
    <row r="10" spans="2:13" x14ac:dyDescent="0.25">
      <c r="E10" s="26">
        <f>((L11*G8)+(L12*G12))/((1+L5)^L6)</f>
        <v>3.069849756194142</v>
      </c>
      <c r="F10" s="11"/>
      <c r="G10" s="11"/>
      <c r="H10" s="11"/>
      <c r="I10" s="20">
        <f>MAX(0,I11-C4)</f>
        <v>0</v>
      </c>
      <c r="K10" s="28" t="s">
        <v>18</v>
      </c>
      <c r="L10" s="1"/>
    </row>
    <row r="11" spans="2:13" x14ac:dyDescent="0.25">
      <c r="E11" s="21">
        <f>C2</f>
        <v>100</v>
      </c>
      <c r="F11" s="11"/>
      <c r="G11" s="34">
        <f>(I10-I14)/(I11-I15)</f>
        <v>0</v>
      </c>
      <c r="H11" s="11"/>
      <c r="I11" s="12">
        <f>G9*(1-C3)</f>
        <v>99.75</v>
      </c>
      <c r="K11" s="16" t="s">
        <v>10</v>
      </c>
      <c r="L11" s="29">
        <f>(L8-L3)/(L2-L3)</f>
        <v>0.54999999999999893</v>
      </c>
    </row>
    <row r="12" spans="2:13" x14ac:dyDescent="0.25">
      <c r="E12" s="10"/>
      <c r="F12" s="11"/>
      <c r="G12" s="19">
        <f>((L11*I10)+(L12*I14))/((1+L5)^L6)</f>
        <v>0</v>
      </c>
      <c r="H12" s="11"/>
      <c r="I12" s="12"/>
      <c r="K12" s="13" t="s">
        <v>13</v>
      </c>
      <c r="L12" s="27">
        <f>1-L11</f>
        <v>0.45000000000000107</v>
      </c>
    </row>
    <row r="13" spans="2:13" x14ac:dyDescent="0.25">
      <c r="E13" s="10"/>
      <c r="F13" s="11"/>
      <c r="G13" s="22">
        <f>C2*(1-C3)</f>
        <v>95</v>
      </c>
      <c r="H13" s="11"/>
      <c r="I13" s="12"/>
    </row>
    <row r="14" spans="2:13" x14ac:dyDescent="0.25">
      <c r="E14" s="10"/>
      <c r="F14" s="11"/>
      <c r="G14" s="11"/>
      <c r="H14" s="11"/>
      <c r="I14" s="20">
        <f>MAX(0,I15-C4)</f>
        <v>0</v>
      </c>
    </row>
    <row r="15" spans="2:13" x14ac:dyDescent="0.25">
      <c r="E15" s="13"/>
      <c r="F15" s="14"/>
      <c r="G15" s="14"/>
      <c r="H15" s="14"/>
      <c r="I15" s="15">
        <f>G13*(1-C3)</f>
        <v>90.25</v>
      </c>
    </row>
    <row r="16" spans="2:13" x14ac:dyDescent="0.25">
      <c r="K16" s="77"/>
    </row>
    <row r="17" spans="2:15" ht="18.75" x14ac:dyDescent="0.3">
      <c r="E17" s="2" t="s">
        <v>4</v>
      </c>
      <c r="F17" s="2"/>
      <c r="G17" s="2" t="s">
        <v>5</v>
      </c>
      <c r="H17" s="2"/>
      <c r="I17" s="2" t="s">
        <v>6</v>
      </c>
    </row>
    <row r="18" spans="2:15" ht="14.25" customHeight="1" x14ac:dyDescent="0.3">
      <c r="E18" s="2"/>
      <c r="F18" s="2"/>
      <c r="G18" s="2"/>
      <c r="H18" s="2"/>
      <c r="I18" s="2"/>
    </row>
    <row r="19" spans="2:15" ht="17.25" customHeight="1" x14ac:dyDescent="0.25">
      <c r="C19" t="s">
        <v>44</v>
      </c>
      <c r="E19" s="30">
        <v>100</v>
      </c>
      <c r="F19" s="90" t="s">
        <v>33</v>
      </c>
    </row>
    <row r="20" spans="2:15" ht="17.25" customHeight="1" x14ac:dyDescent="0.25">
      <c r="C20" s="82" t="s">
        <v>45</v>
      </c>
      <c r="D20" t="s">
        <v>46</v>
      </c>
      <c r="E20" s="94"/>
      <c r="F20" s="90"/>
    </row>
    <row r="21" spans="2:15" ht="50.25" customHeight="1" x14ac:dyDescent="0.3">
      <c r="B21" s="2"/>
      <c r="D21" s="91" t="s">
        <v>40</v>
      </c>
      <c r="E21" s="92" t="s">
        <v>34</v>
      </c>
      <c r="F21" s="92" t="s">
        <v>35</v>
      </c>
      <c r="G21" s="93" t="s">
        <v>36</v>
      </c>
      <c r="H21" s="92" t="s">
        <v>41</v>
      </c>
      <c r="O21" s="87"/>
    </row>
    <row r="22" spans="2:15" ht="18.75" x14ac:dyDescent="0.3">
      <c r="C22" s="2" t="s">
        <v>4</v>
      </c>
      <c r="D22" s="103">
        <f>E19*(1/E9)</f>
        <v>178.27050997782737</v>
      </c>
      <c r="E22" s="95">
        <f>-(E19*E11-D22*E10)</f>
        <v>-9452.7363184079604</v>
      </c>
      <c r="F22" s="96">
        <f>E19*G9-D22*G8</f>
        <v>9500</v>
      </c>
      <c r="G22" s="106">
        <f>E19*G13-D22*G12</f>
        <v>9500</v>
      </c>
      <c r="H22" s="100">
        <f>-(F22/E22)-1</f>
        <v>4.9999999999998934E-3</v>
      </c>
      <c r="J22" t="s">
        <v>42</v>
      </c>
    </row>
    <row r="23" spans="2:15" ht="18.75" x14ac:dyDescent="0.3">
      <c r="C23" s="2" t="s">
        <v>37</v>
      </c>
      <c r="D23" s="104">
        <f>E19*(1/G7)</f>
        <v>102.4390243902439</v>
      </c>
      <c r="E23" s="21">
        <f>-(E19*G9-D23*G8)</f>
        <v>-9925.3731343283598</v>
      </c>
      <c r="F23" s="22">
        <f>E19*I7-D23*I6</f>
        <v>9975</v>
      </c>
      <c r="G23" s="38">
        <f>E19*I11-D23*I10</f>
        <v>9975</v>
      </c>
      <c r="H23" s="101">
        <f>-(F23/E23)-1</f>
        <v>4.9999999999998934E-3</v>
      </c>
      <c r="J23" t="s">
        <v>43</v>
      </c>
    </row>
    <row r="24" spans="2:15" ht="18.75" x14ac:dyDescent="0.3">
      <c r="C24" s="2" t="s">
        <v>38</v>
      </c>
      <c r="D24" s="66">
        <f>D32</f>
        <v>0</v>
      </c>
      <c r="E24" s="201" t="s">
        <v>39</v>
      </c>
      <c r="F24" s="202"/>
      <c r="G24" s="107"/>
      <c r="H24" s="102"/>
    </row>
    <row r="25" spans="2:15" x14ac:dyDescent="0.25">
      <c r="B25" s="76"/>
      <c r="C25" s="79"/>
    </row>
    <row r="26" spans="2:15" ht="18.75" x14ac:dyDescent="0.3">
      <c r="B26" s="2"/>
      <c r="D26" s="79"/>
      <c r="E26" s="90"/>
      <c r="G26" s="77"/>
      <c r="H26" s="79"/>
      <c r="I26" s="79"/>
      <c r="J26" s="92"/>
      <c r="K26" s="92"/>
      <c r="L26" s="93"/>
      <c r="M26" s="92"/>
    </row>
    <row r="27" spans="2:15" ht="18.75" x14ac:dyDescent="0.3">
      <c r="B27" s="79"/>
      <c r="D27" s="77"/>
      <c r="E27" s="28"/>
      <c r="G27" s="53"/>
      <c r="H27" s="2"/>
      <c r="I27" s="53"/>
      <c r="J27" s="53"/>
    </row>
    <row r="28" spans="2:15" ht="18.75" x14ac:dyDescent="0.3">
      <c r="B28" s="79"/>
      <c r="C28" s="79"/>
      <c r="D28" s="79"/>
      <c r="E28" s="4"/>
      <c r="F28" s="79"/>
      <c r="H28" s="2"/>
      <c r="I28" s="53"/>
    </row>
    <row r="29" spans="2:15" ht="18.75" x14ac:dyDescent="0.3">
      <c r="H29" s="2"/>
      <c r="J29" s="53"/>
    </row>
    <row r="30" spans="2:15" x14ac:dyDescent="0.25">
      <c r="I30" s="40"/>
      <c r="J30" s="40"/>
    </row>
    <row r="31" spans="2:15" ht="18.75" x14ac:dyDescent="0.3">
      <c r="B31" s="2"/>
      <c r="D31" s="79"/>
      <c r="E31" s="90"/>
      <c r="I31" s="40"/>
      <c r="J31" s="85"/>
    </row>
    <row r="32" spans="2:15" x14ac:dyDescent="0.25">
      <c r="B32" s="76"/>
      <c r="D32" s="77"/>
      <c r="E32" s="28"/>
      <c r="I32" s="40"/>
      <c r="J32" s="84"/>
    </row>
    <row r="33" spans="2:15" x14ac:dyDescent="0.25">
      <c r="B33" s="76"/>
      <c r="C33" s="79"/>
      <c r="D33" s="79"/>
      <c r="E33" s="4"/>
      <c r="F33" s="79"/>
      <c r="I33" s="40"/>
      <c r="J33" s="40"/>
    </row>
    <row r="34" spans="2:15" x14ac:dyDescent="0.25">
      <c r="B34" s="76"/>
      <c r="H34" s="40"/>
      <c r="I34" s="40"/>
      <c r="J34" s="40"/>
    </row>
    <row r="35" spans="2:15" x14ac:dyDescent="0.25">
      <c r="B35" s="76"/>
      <c r="I35" s="40"/>
      <c r="J35" s="40"/>
      <c r="O35" s="53"/>
    </row>
    <row r="36" spans="2:15" x14ac:dyDescent="0.25">
      <c r="I36" s="40"/>
      <c r="J36" s="40"/>
    </row>
    <row r="37" spans="2:15" x14ac:dyDescent="0.25">
      <c r="C37" s="78"/>
      <c r="D37" s="78"/>
      <c r="H37" s="53"/>
      <c r="I37" s="40"/>
      <c r="J37" s="40"/>
    </row>
    <row r="38" spans="2:15" x14ac:dyDescent="0.25">
      <c r="D38" s="53"/>
      <c r="H38" s="53"/>
      <c r="I38" s="40"/>
      <c r="J38" s="40"/>
    </row>
    <row r="39" spans="2:15" x14ac:dyDescent="0.25">
      <c r="I39" s="40"/>
      <c r="J39" s="40"/>
    </row>
    <row r="40" spans="2:15" x14ac:dyDescent="0.25">
      <c r="I40" s="40"/>
      <c r="J40" s="85"/>
    </row>
    <row r="41" spans="2:15" x14ac:dyDescent="0.25">
      <c r="I41" s="40"/>
      <c r="J41" s="40"/>
    </row>
    <row r="45" spans="2:15" x14ac:dyDescent="0.25">
      <c r="H45" s="53"/>
    </row>
    <row r="47" spans="2:15" x14ac:dyDescent="0.25">
      <c r="J47" s="83"/>
    </row>
    <row r="48" spans="2:15" x14ac:dyDescent="0.25">
      <c r="D48" s="78"/>
      <c r="H48" s="78"/>
      <c r="I48" s="78"/>
      <c r="J48" s="78"/>
      <c r="K48" s="78"/>
    </row>
    <row r="49" spans="3:11" x14ac:dyDescent="0.25">
      <c r="C49" s="1"/>
      <c r="D49" s="4"/>
      <c r="E49" s="76"/>
      <c r="F49" s="81"/>
      <c r="H49" s="81"/>
      <c r="I49" s="78"/>
      <c r="K49" s="80"/>
    </row>
    <row r="50" spans="3:11" x14ac:dyDescent="0.25">
      <c r="C50" s="78"/>
      <c r="D50" s="4"/>
      <c r="E50" s="76"/>
      <c r="F50" s="81"/>
      <c r="H50" s="81"/>
    </row>
    <row r="51" spans="3:11" x14ac:dyDescent="0.25">
      <c r="C51" s="78"/>
      <c r="D51" s="4"/>
      <c r="E51" s="76"/>
      <c r="F51" s="81"/>
    </row>
    <row r="52" spans="3:11" x14ac:dyDescent="0.25">
      <c r="C52" s="78"/>
      <c r="D52" s="4"/>
      <c r="E52" s="76"/>
      <c r="F52" s="81"/>
      <c r="H52" s="81"/>
      <c r="K52" s="80"/>
    </row>
    <row r="53" spans="3:11" x14ac:dyDescent="0.25">
      <c r="C53" s="78"/>
      <c r="D53" s="4"/>
      <c r="E53" s="76"/>
      <c r="F53" s="81"/>
    </row>
    <row r="54" spans="3:11" x14ac:dyDescent="0.25">
      <c r="C54" s="78"/>
      <c r="D54" s="4"/>
      <c r="E54" s="76"/>
    </row>
  </sheetData>
  <mergeCells count="1">
    <mergeCell ref="E24:F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2699-52C7-4A83-B81F-646478B83BEE}">
  <dimension ref="B1:S28"/>
  <sheetViews>
    <sheetView zoomScale="60" zoomScaleNormal="60" workbookViewId="0">
      <selection activeCell="L21" sqref="L21"/>
    </sheetView>
  </sheetViews>
  <sheetFormatPr defaultRowHeight="15" x14ac:dyDescent="0.25"/>
  <cols>
    <col min="2" max="2" width="14.28515625" customWidth="1"/>
    <col min="3" max="3" width="16.85546875" customWidth="1"/>
    <col min="4" max="4" width="12.42578125" bestFit="1" customWidth="1"/>
    <col min="5" max="5" width="18.7109375" customWidth="1"/>
    <col min="6" max="6" width="14.42578125" bestFit="1" customWidth="1"/>
    <col min="7" max="7" width="15" bestFit="1" customWidth="1"/>
    <col min="11" max="11" width="11.42578125" customWidth="1"/>
    <col min="12" max="12" width="12.85546875" customWidth="1"/>
    <col min="13" max="13" width="12.28515625" customWidth="1"/>
    <col min="14" max="14" width="12.7109375" customWidth="1"/>
    <col min="15" max="15" width="9.5703125" bestFit="1" customWidth="1"/>
    <col min="18" max="18" width="11" customWidth="1"/>
  </cols>
  <sheetData>
    <row r="1" spans="2:19" x14ac:dyDescent="0.25">
      <c r="G1" s="6" t="s">
        <v>15</v>
      </c>
    </row>
    <row r="2" spans="2:19" x14ac:dyDescent="0.25">
      <c r="B2" t="s">
        <v>1</v>
      </c>
      <c r="C2" s="30">
        <v>100</v>
      </c>
      <c r="G2" s="7" t="s">
        <v>16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9" x14ac:dyDescent="0.25">
      <c r="B3" t="s">
        <v>2</v>
      </c>
      <c r="C3" s="31">
        <v>0.05</v>
      </c>
      <c r="E3" s="8"/>
      <c r="F3" s="9"/>
      <c r="G3" s="9"/>
      <c r="H3" s="54"/>
      <c r="I3" s="35">
        <f>MAX(0,C4-J4)</f>
        <v>0</v>
      </c>
      <c r="J3" s="19"/>
      <c r="L3" s="13" t="s">
        <v>9</v>
      </c>
      <c r="M3" s="44">
        <f>1-C3</f>
        <v>0.95</v>
      </c>
      <c r="N3" s="55">
        <f>M3</f>
        <v>0.95</v>
      </c>
    </row>
    <row r="4" spans="2:19" x14ac:dyDescent="0.25">
      <c r="B4" t="s">
        <v>0</v>
      </c>
      <c r="C4" s="30">
        <v>100</v>
      </c>
      <c r="E4" s="39"/>
      <c r="F4" s="40"/>
      <c r="G4" s="40"/>
      <c r="H4" s="40"/>
      <c r="I4" s="11">
        <f>G7*M2</f>
        <v>110.25</v>
      </c>
      <c r="J4" s="122">
        <f>MIN(E11,G7,I4)</f>
        <v>100</v>
      </c>
    </row>
    <row r="5" spans="2:19" x14ac:dyDescent="0.25">
      <c r="B5" t="s">
        <v>3</v>
      </c>
      <c r="C5" s="31">
        <v>5.0000000000000001E-3</v>
      </c>
      <c r="E5" s="39"/>
      <c r="F5" s="40"/>
      <c r="G5" s="34">
        <f>(I3-I7)/(I4-I8)</f>
        <v>-2.3809523809523808E-2</v>
      </c>
      <c r="H5" s="40"/>
      <c r="I5" s="41"/>
      <c r="L5" s="1" t="s">
        <v>14</v>
      </c>
      <c r="M5" s="5">
        <f>C5</f>
        <v>5.0000000000000001E-3</v>
      </c>
    </row>
    <row r="6" spans="2:19" x14ac:dyDescent="0.25">
      <c r="B6" t="s">
        <v>7</v>
      </c>
      <c r="C6" s="30">
        <v>2</v>
      </c>
      <c r="E6" s="39"/>
      <c r="F6" s="40"/>
      <c r="G6" s="19">
        <f>((M11*I3)+(M12*I7))/((1+M5)^M6)</f>
        <v>0.11194029850746297</v>
      </c>
      <c r="H6" s="40"/>
      <c r="I6" s="41"/>
      <c r="J6" s="40"/>
      <c r="L6" s="1" t="s">
        <v>12</v>
      </c>
      <c r="M6" s="1">
        <f>C6/2</f>
        <v>1</v>
      </c>
      <c r="N6" t="s">
        <v>19</v>
      </c>
    </row>
    <row r="7" spans="2:19" x14ac:dyDescent="0.25">
      <c r="E7" s="10"/>
      <c r="F7" s="11"/>
      <c r="G7" s="22">
        <f>IF(E11*M2&gt;=E11,E11*M2,E11)</f>
        <v>105</v>
      </c>
      <c r="H7" s="11"/>
      <c r="I7" s="20">
        <f>MAX(0,C4-I8)</f>
        <v>0.25</v>
      </c>
      <c r="J7" s="40"/>
      <c r="L7" s="1"/>
      <c r="M7" s="1"/>
    </row>
    <row r="8" spans="2:19" x14ac:dyDescent="0.25">
      <c r="E8" s="10"/>
      <c r="F8" s="11"/>
      <c r="G8" s="40"/>
      <c r="H8" s="11"/>
      <c r="I8" s="38">
        <f>IF(G7*M3&lt;=MIN(E11,G7,G7*M3),G7*M3,MIN(E11,G7,G7*M3))</f>
        <v>99.75</v>
      </c>
      <c r="J8" s="46">
        <f>MIN(I8,G7,E11)</f>
        <v>99.75</v>
      </c>
      <c r="L8" s="1" t="s">
        <v>11</v>
      </c>
      <c r="M8" s="4">
        <f>1+M5</f>
        <v>1.0049999999999999</v>
      </c>
    </row>
    <row r="9" spans="2:19" x14ac:dyDescent="0.25">
      <c r="E9" s="33">
        <f>(G6-G14)/(G7-G15)</f>
        <v>-0.69900497512437865</v>
      </c>
      <c r="F9" s="11"/>
      <c r="G9" s="40"/>
      <c r="H9" s="11"/>
      <c r="I9" s="41"/>
      <c r="J9" s="11"/>
      <c r="O9" s="40"/>
      <c r="P9" s="40"/>
      <c r="Q9" s="40"/>
      <c r="R9" s="40"/>
      <c r="S9" s="40"/>
    </row>
    <row r="10" spans="2:19" x14ac:dyDescent="0.25">
      <c r="E10" s="26">
        <f>((M11*G6)+(M12*G14))/((1+M5)^M6)</f>
        <v>3.2412564045444525</v>
      </c>
      <c r="F10" s="11"/>
      <c r="G10" s="11"/>
      <c r="H10" s="11"/>
      <c r="I10" s="41"/>
      <c r="L10" s="28" t="s">
        <v>18</v>
      </c>
      <c r="M10" s="1"/>
      <c r="O10" s="40"/>
      <c r="P10" s="40"/>
      <c r="Q10" s="40"/>
      <c r="R10" s="40"/>
      <c r="S10" s="40"/>
    </row>
    <row r="11" spans="2:19" x14ac:dyDescent="0.25">
      <c r="E11" s="21">
        <f>C2</f>
        <v>100</v>
      </c>
      <c r="F11" s="11"/>
      <c r="G11" s="40"/>
      <c r="H11" s="11"/>
      <c r="I11" s="20">
        <f>MAX(0,C4-J12)</f>
        <v>5</v>
      </c>
      <c r="J11" s="19"/>
      <c r="L11" s="16" t="s">
        <v>10</v>
      </c>
      <c r="M11" s="29">
        <f>(M8-M3)/(M2-M3)</f>
        <v>0.54999999999999893</v>
      </c>
      <c r="O11" s="40"/>
      <c r="P11" s="40"/>
      <c r="Q11" s="40"/>
      <c r="R11" s="40"/>
      <c r="S11" s="40"/>
    </row>
    <row r="12" spans="2:19" x14ac:dyDescent="0.25">
      <c r="E12" s="10"/>
      <c r="F12" s="11"/>
      <c r="G12" s="40"/>
      <c r="H12" s="11"/>
      <c r="I12" s="11">
        <f>G15*M2</f>
        <v>99.75</v>
      </c>
      <c r="J12" s="122">
        <f>MIN(E11,G15,I12)</f>
        <v>95</v>
      </c>
      <c r="L12" s="13" t="s">
        <v>13</v>
      </c>
      <c r="M12" s="27">
        <f>1-M11</f>
        <v>0.45000000000000107</v>
      </c>
      <c r="O12" s="40"/>
      <c r="P12" s="40"/>
      <c r="Q12" s="40"/>
      <c r="R12" s="40"/>
      <c r="S12" s="40"/>
    </row>
    <row r="13" spans="2:19" x14ac:dyDescent="0.25">
      <c r="E13" s="10"/>
      <c r="F13" s="11"/>
      <c r="G13" s="199">
        <f>(I11-I16)/(I12-I17)</f>
        <v>-0.5</v>
      </c>
      <c r="H13" s="11"/>
      <c r="I13" s="41"/>
      <c r="O13" s="40"/>
      <c r="P13" s="40"/>
      <c r="Q13" s="40"/>
      <c r="R13" s="40"/>
      <c r="S13" s="40"/>
    </row>
    <row r="14" spans="2:19" x14ac:dyDescent="0.25">
      <c r="E14" s="10"/>
      <c r="F14" s="11"/>
      <c r="G14" s="19">
        <f>((M11*I11)+(M12*I16))/((1+M5)^M6)</f>
        <v>7.1019900497512491</v>
      </c>
      <c r="H14" s="11"/>
      <c r="I14" s="41"/>
      <c r="J14" s="40"/>
      <c r="O14" s="40"/>
      <c r="P14" s="40"/>
      <c r="Q14" s="40"/>
      <c r="R14" s="40"/>
      <c r="S14" s="109"/>
    </row>
    <row r="15" spans="2:19" x14ac:dyDescent="0.25">
      <c r="E15" s="10"/>
      <c r="F15" s="11"/>
      <c r="G15" s="22">
        <f>E11*(1-C3)</f>
        <v>95</v>
      </c>
      <c r="H15" s="11"/>
      <c r="I15" s="41"/>
      <c r="J15" s="40"/>
      <c r="O15" s="40"/>
      <c r="P15" s="40"/>
      <c r="Q15" s="40"/>
      <c r="R15" s="89"/>
      <c r="S15" s="40"/>
    </row>
    <row r="16" spans="2:19" x14ac:dyDescent="0.25">
      <c r="E16" s="39"/>
      <c r="F16" s="40"/>
      <c r="G16" s="40"/>
      <c r="H16" s="40"/>
      <c r="I16" s="20">
        <f>MAX(0,C4-I17)</f>
        <v>9.75</v>
      </c>
      <c r="J16" s="19"/>
      <c r="O16" s="40"/>
      <c r="P16" s="40"/>
      <c r="Q16" s="40"/>
      <c r="R16" s="40"/>
      <c r="S16" s="40"/>
    </row>
    <row r="17" spans="2:19" x14ac:dyDescent="0.25">
      <c r="E17" s="39"/>
      <c r="F17" s="40"/>
      <c r="G17" s="40"/>
      <c r="H17" s="40"/>
      <c r="I17" s="38">
        <f>IF(G15*M3&lt;=MIN(E11,G15,G15*M3),G15*M3,MIN(E11,G15,G15*M3))</f>
        <v>90.25</v>
      </c>
      <c r="J17" s="22">
        <f>MIN(I17,G15,E11)</f>
        <v>90.25</v>
      </c>
      <c r="O17" s="40"/>
      <c r="P17" s="40"/>
      <c r="Q17" s="40"/>
      <c r="R17" s="40"/>
      <c r="S17" s="40"/>
    </row>
    <row r="18" spans="2:19" x14ac:dyDescent="0.25">
      <c r="E18" s="39"/>
      <c r="F18" s="40"/>
      <c r="G18" s="40"/>
      <c r="H18" s="40"/>
      <c r="I18" s="41"/>
      <c r="O18" s="40"/>
      <c r="P18" s="40"/>
      <c r="Q18" s="40"/>
      <c r="R18" s="40"/>
      <c r="S18" s="40"/>
    </row>
    <row r="19" spans="2:19" x14ac:dyDescent="0.25">
      <c r="E19" s="39"/>
      <c r="F19" s="40"/>
      <c r="G19" s="40"/>
      <c r="H19" s="40"/>
      <c r="I19" s="41"/>
      <c r="O19" s="40"/>
      <c r="P19" s="40"/>
      <c r="Q19" s="40"/>
      <c r="R19" s="109"/>
      <c r="S19" s="40"/>
    </row>
    <row r="20" spans="2:19" x14ac:dyDescent="0.25">
      <c r="E20" s="39"/>
      <c r="F20" s="40"/>
      <c r="G20" s="40"/>
      <c r="H20" s="40"/>
      <c r="I20" s="41"/>
      <c r="O20" s="40"/>
      <c r="P20" s="40"/>
      <c r="Q20" s="40"/>
      <c r="R20" s="40"/>
      <c r="S20" s="40"/>
    </row>
    <row r="21" spans="2:19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  <c r="O21" s="40"/>
      <c r="P21" s="40"/>
      <c r="Q21" s="40"/>
      <c r="R21" s="40"/>
      <c r="S21" s="40"/>
    </row>
    <row r="23" spans="2:19" ht="15.75" x14ac:dyDescent="0.25">
      <c r="B23" t="s">
        <v>44</v>
      </c>
      <c r="D23" s="30">
        <v>100</v>
      </c>
      <c r="E23" s="90" t="s">
        <v>33</v>
      </c>
    </row>
    <row r="24" spans="2:19" ht="15.75" x14ac:dyDescent="0.25">
      <c r="B24" s="82"/>
      <c r="D24" s="94"/>
      <c r="E24" s="90"/>
    </row>
    <row r="25" spans="2:19" ht="53.25" customHeight="1" x14ac:dyDescent="0.25">
      <c r="C25" s="91" t="s">
        <v>40</v>
      </c>
      <c r="D25" s="92" t="s">
        <v>34</v>
      </c>
      <c r="E25" s="92" t="s">
        <v>35</v>
      </c>
      <c r="F25" s="93" t="s">
        <v>36</v>
      </c>
      <c r="G25" s="92" t="s">
        <v>41</v>
      </c>
    </row>
    <row r="26" spans="2:19" ht="18.75" x14ac:dyDescent="0.3">
      <c r="B26" s="2" t="s">
        <v>4</v>
      </c>
      <c r="C26" s="103">
        <f>-D23*(1/E9)</f>
        <v>143.06049822064045</v>
      </c>
      <c r="D26" s="96">
        <f>-(D23*E11+C26*E10)</f>
        <v>-10463.69575609497</v>
      </c>
      <c r="E26" s="96">
        <f>D23*G7+C26*G6</f>
        <v>10516.014234875445</v>
      </c>
      <c r="F26" s="96">
        <f>D23*G15+C26*G14</f>
        <v>10516.014234875445</v>
      </c>
      <c r="G26" s="100">
        <f>-(E26/D26)-1</f>
        <v>4.9999999999998934E-3</v>
      </c>
    </row>
    <row r="27" spans="2:19" ht="18.75" x14ac:dyDescent="0.3">
      <c r="B27" s="2" t="s">
        <v>37</v>
      </c>
      <c r="C27" s="104">
        <f>-D23*(1/G5)</f>
        <v>4200</v>
      </c>
      <c r="D27" s="77">
        <f>-(D23*G7+C27*G6)</f>
        <v>-10970.149253731344</v>
      </c>
      <c r="E27" s="77">
        <f>D23*I4+C27*I3</f>
        <v>11025</v>
      </c>
      <c r="F27" s="22">
        <f>D23*I8+C27*I7</f>
        <v>11025</v>
      </c>
      <c r="G27" s="100">
        <f>-(E27/D27)-1</f>
        <v>4.9999999999998934E-3</v>
      </c>
    </row>
    <row r="28" spans="2:19" ht="18.75" x14ac:dyDescent="0.3">
      <c r="B28" s="2" t="s">
        <v>38</v>
      </c>
      <c r="C28" s="66">
        <f>-D23*(1/G13)</f>
        <v>200</v>
      </c>
      <c r="D28" s="108">
        <f>-(D23*G15+C28*G14)</f>
        <v>-10920.39800995025</v>
      </c>
      <c r="E28" s="99">
        <f>D23*I12+C28*I11</f>
        <v>10975</v>
      </c>
      <c r="F28" s="99">
        <f>D23*I17+C28*I16</f>
        <v>10975</v>
      </c>
      <c r="G28" s="105">
        <f>-(E28/D28)-1</f>
        <v>4.9999999999998934E-3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E42A-E508-49AF-BC7E-25384241E8EF}">
  <dimension ref="B1:N28"/>
  <sheetViews>
    <sheetView zoomScale="60" zoomScaleNormal="60" workbookViewId="0">
      <selection activeCell="T12" sqref="T12"/>
    </sheetView>
  </sheetViews>
  <sheetFormatPr defaultRowHeight="15" x14ac:dyDescent="0.25"/>
  <cols>
    <col min="2" max="2" width="15" customWidth="1"/>
    <col min="3" max="3" width="18.7109375" customWidth="1"/>
    <col min="4" max="4" width="12.42578125" bestFit="1" customWidth="1"/>
    <col min="5" max="5" width="15.85546875" bestFit="1" customWidth="1"/>
    <col min="6" max="6" width="14.42578125" bestFit="1" customWidth="1"/>
    <col min="7" max="7" width="15" bestFit="1" customWidth="1"/>
    <col min="11" max="11" width="10" customWidth="1"/>
    <col min="12" max="12" width="11.42578125" customWidth="1"/>
    <col min="13" max="13" width="13.28515625" customWidth="1"/>
    <col min="14" max="14" width="13.140625" customWidth="1"/>
  </cols>
  <sheetData>
    <row r="1" spans="2:14" x14ac:dyDescent="0.25">
      <c r="G1" s="18" t="s">
        <v>15</v>
      </c>
    </row>
    <row r="2" spans="2:14" x14ac:dyDescent="0.25">
      <c r="B2" t="s">
        <v>1</v>
      </c>
      <c r="C2" s="30">
        <v>100</v>
      </c>
      <c r="G2" s="7" t="s">
        <v>16</v>
      </c>
      <c r="K2" t="s">
        <v>17</v>
      </c>
      <c r="L2" s="16" t="s">
        <v>8</v>
      </c>
      <c r="M2" s="24">
        <f>1+C3</f>
        <v>1.05</v>
      </c>
      <c r="N2" s="55">
        <f>M2</f>
        <v>1.05</v>
      </c>
    </row>
    <row r="3" spans="2:14" x14ac:dyDescent="0.25">
      <c r="B3" t="s">
        <v>2</v>
      </c>
      <c r="C3" s="32">
        <v>0.05</v>
      </c>
      <c r="E3" s="8"/>
      <c r="F3" s="9"/>
      <c r="G3" s="8"/>
      <c r="H3" s="9"/>
      <c r="I3" s="71">
        <f>IF(G7&gt;=C7,0,MAX(0,C4-I4))</f>
        <v>0</v>
      </c>
      <c r="J3" s="19"/>
      <c r="L3" s="13" t="s">
        <v>9</v>
      </c>
      <c r="M3" s="25">
        <f>1-C3</f>
        <v>0.95</v>
      </c>
      <c r="N3" s="55">
        <f>M3</f>
        <v>0.95</v>
      </c>
    </row>
    <row r="4" spans="2:14" x14ac:dyDescent="0.25">
      <c r="B4" t="s">
        <v>0</v>
      </c>
      <c r="C4" s="30">
        <v>100</v>
      </c>
      <c r="E4" s="39"/>
      <c r="F4" s="40"/>
      <c r="G4" s="39"/>
      <c r="H4" s="40"/>
      <c r="I4" s="72">
        <f>G7*(1+C3)</f>
        <v>110.25</v>
      </c>
      <c r="J4" s="11"/>
      <c r="L4" s="1"/>
    </row>
    <row r="5" spans="2:14" x14ac:dyDescent="0.25">
      <c r="B5" t="s">
        <v>3</v>
      </c>
      <c r="C5" s="32">
        <v>5.0000000000000001E-3</v>
      </c>
      <c r="E5" s="39"/>
      <c r="F5" s="40"/>
      <c r="G5" s="36">
        <f>(I3-I8)/(I4-I9)</f>
        <v>0</v>
      </c>
      <c r="H5" s="40"/>
      <c r="I5" s="73"/>
      <c r="J5" s="40"/>
      <c r="L5" s="1" t="s">
        <v>14</v>
      </c>
      <c r="M5" s="17">
        <f>C5</f>
        <v>5.0000000000000001E-3</v>
      </c>
    </row>
    <row r="6" spans="2:14" x14ac:dyDescent="0.25">
      <c r="B6" t="s">
        <v>7</v>
      </c>
      <c r="C6" s="30">
        <v>2</v>
      </c>
      <c r="E6" s="10"/>
      <c r="F6" s="11"/>
      <c r="G6" s="26">
        <f>IF(G7&gt;=C7,0,(M11*I3)+(M12*I8))/((1+M5)^M6)</f>
        <v>0</v>
      </c>
      <c r="H6" s="11"/>
      <c r="I6" s="73"/>
      <c r="J6" s="40"/>
      <c r="L6" s="1" t="s">
        <v>12</v>
      </c>
      <c r="M6" s="1">
        <f>C6/2</f>
        <v>1</v>
      </c>
      <c r="N6" t="s">
        <v>19</v>
      </c>
    </row>
    <row r="7" spans="2:14" x14ac:dyDescent="0.25">
      <c r="B7" t="s">
        <v>26</v>
      </c>
      <c r="C7" s="30">
        <v>103</v>
      </c>
      <c r="E7" s="10"/>
      <c r="F7" s="11"/>
      <c r="G7" s="21">
        <f>E11*(1+C3)</f>
        <v>105</v>
      </c>
      <c r="H7" s="11"/>
      <c r="I7" s="73"/>
      <c r="J7" s="40"/>
      <c r="L7" s="1"/>
      <c r="M7" s="1"/>
    </row>
    <row r="8" spans="2:14" x14ac:dyDescent="0.25">
      <c r="B8" s="70" t="s">
        <v>30</v>
      </c>
      <c r="E8" s="10"/>
      <c r="F8" s="11"/>
      <c r="G8" s="64" t="s">
        <v>29</v>
      </c>
      <c r="H8" s="11"/>
      <c r="I8" s="74">
        <f>IF(G7&gt;=C7,0,MAX(0,C4-I9))</f>
        <v>0</v>
      </c>
      <c r="J8" s="19"/>
      <c r="L8" s="1" t="s">
        <v>11</v>
      </c>
      <c r="M8" s="4">
        <f>1+M5</f>
        <v>1.0049999999999999</v>
      </c>
    </row>
    <row r="9" spans="2:14" x14ac:dyDescent="0.25">
      <c r="E9" s="36">
        <f>(G6-G14)/(G7-G15)</f>
        <v>-0.45024875621890648</v>
      </c>
      <c r="F9" s="11"/>
      <c r="G9" s="59"/>
      <c r="H9" s="14"/>
      <c r="I9" s="75">
        <f>G7*(1-C3)</f>
        <v>99.75</v>
      </c>
      <c r="J9" s="11"/>
      <c r="M9" s="4"/>
    </row>
    <row r="10" spans="2:14" x14ac:dyDescent="0.25">
      <c r="E10" s="26">
        <f>((M11*G6)+(M12*G14))/((1+M5)^M6)</f>
        <v>2.0160392069503326</v>
      </c>
      <c r="F10" s="11"/>
      <c r="G10" s="40"/>
      <c r="H10" s="40"/>
      <c r="I10" s="41"/>
      <c r="L10" s="28" t="s">
        <v>18</v>
      </c>
    </row>
    <row r="11" spans="2:14" x14ac:dyDescent="0.25">
      <c r="E11" s="21">
        <f>C2</f>
        <v>100</v>
      </c>
      <c r="F11" s="11"/>
      <c r="G11" s="8"/>
      <c r="H11" s="23"/>
      <c r="I11" s="35">
        <f>IF(G15&gt;=C7,0,MAX(0,C4-I12))</f>
        <v>0.25</v>
      </c>
      <c r="J11" s="19"/>
      <c r="L11" s="16" t="s">
        <v>10</v>
      </c>
      <c r="M11" s="29">
        <f>(M8-M3)/(M2-M3)</f>
        <v>0.54999999999999893</v>
      </c>
    </row>
    <row r="12" spans="2:14" x14ac:dyDescent="0.25">
      <c r="E12" s="10"/>
      <c r="F12" s="11"/>
      <c r="G12" s="39"/>
      <c r="H12" s="11"/>
      <c r="I12" s="12">
        <f>G7*(1-C3)</f>
        <v>99.75</v>
      </c>
      <c r="J12" s="11"/>
      <c r="L12" s="13" t="s">
        <v>13</v>
      </c>
      <c r="M12" s="27">
        <f>1-M11</f>
        <v>0.45000000000000107</v>
      </c>
    </row>
    <row r="13" spans="2:14" x14ac:dyDescent="0.25">
      <c r="E13" s="10"/>
      <c r="F13" s="11"/>
      <c r="G13" s="36">
        <f>(I11-I16)/(I12-I17)</f>
        <v>-1</v>
      </c>
      <c r="H13" s="11"/>
      <c r="I13" s="41"/>
      <c r="J13" s="40"/>
    </row>
    <row r="14" spans="2:14" x14ac:dyDescent="0.25">
      <c r="E14" s="10"/>
      <c r="F14" s="11"/>
      <c r="G14" s="26">
        <f>IF(G15&gt;=C7,0,((M11*I11)+(M12*I16))/((1+M5)^M6))</f>
        <v>4.5024875621890645</v>
      </c>
      <c r="H14" s="11"/>
      <c r="I14" s="41"/>
      <c r="J14" s="40"/>
    </row>
    <row r="15" spans="2:14" x14ac:dyDescent="0.25">
      <c r="E15" s="10"/>
      <c r="F15" s="11"/>
      <c r="G15" s="21">
        <f>E11*(1-C3)</f>
        <v>95</v>
      </c>
      <c r="H15" s="40"/>
      <c r="I15" s="41"/>
      <c r="J15" s="40"/>
    </row>
    <row r="16" spans="2:14" x14ac:dyDescent="0.25">
      <c r="E16" s="39"/>
      <c r="F16" s="40"/>
      <c r="G16" s="39"/>
      <c r="H16" s="40"/>
      <c r="I16" s="20">
        <f>IF(G15&gt;=C7,0,MAX(0,C4-I17))</f>
        <v>9.75</v>
      </c>
      <c r="J16" s="19"/>
      <c r="N16" s="28"/>
    </row>
    <row r="17" spans="2:10" x14ac:dyDescent="0.25">
      <c r="E17" s="39"/>
      <c r="F17" s="40"/>
      <c r="G17" s="59"/>
      <c r="H17" s="60"/>
      <c r="I17" s="15">
        <f>G15*(1-C3)</f>
        <v>90.25</v>
      </c>
      <c r="J17" s="11"/>
    </row>
    <row r="18" spans="2:10" x14ac:dyDescent="0.25">
      <c r="E18" s="39"/>
      <c r="F18" s="40"/>
      <c r="G18" s="40"/>
      <c r="H18" s="40"/>
      <c r="I18" s="41"/>
    </row>
    <row r="19" spans="2:10" x14ac:dyDescent="0.25">
      <c r="E19" s="8"/>
      <c r="F19" s="9"/>
      <c r="G19" s="9"/>
      <c r="H19" s="9"/>
      <c r="I19" s="56"/>
    </row>
    <row r="20" spans="2:10" ht="18.75" x14ac:dyDescent="0.3">
      <c r="E20" s="57" t="s">
        <v>4</v>
      </c>
      <c r="F20" s="42"/>
      <c r="G20" s="42" t="s">
        <v>5</v>
      </c>
      <c r="H20" s="42"/>
      <c r="I20" s="58" t="s">
        <v>6</v>
      </c>
      <c r="J20" s="42"/>
    </row>
    <row r="21" spans="2:10" x14ac:dyDescent="0.25">
      <c r="E21" s="59"/>
      <c r="F21" s="60"/>
      <c r="G21" s="60"/>
      <c r="H21" s="60"/>
      <c r="I21" s="61"/>
    </row>
    <row r="23" spans="2:10" ht="15.75" x14ac:dyDescent="0.25">
      <c r="B23" t="s">
        <v>44</v>
      </c>
      <c r="D23" s="30">
        <v>100</v>
      </c>
      <c r="E23" s="90" t="s">
        <v>33</v>
      </c>
    </row>
    <row r="24" spans="2:10" ht="15.75" x14ac:dyDescent="0.25">
      <c r="B24" s="82"/>
      <c r="D24" s="94"/>
      <c r="E24" s="90"/>
    </row>
    <row r="25" spans="2:10" ht="55.5" customHeight="1" x14ac:dyDescent="0.25">
      <c r="C25" s="91" t="s">
        <v>40</v>
      </c>
      <c r="D25" s="92" t="s">
        <v>34</v>
      </c>
      <c r="E25" s="92" t="s">
        <v>35</v>
      </c>
      <c r="F25" s="93" t="s">
        <v>36</v>
      </c>
      <c r="G25" s="92" t="s">
        <v>41</v>
      </c>
    </row>
    <row r="26" spans="2:10" ht="18.75" x14ac:dyDescent="0.3">
      <c r="B26" s="2" t="s">
        <v>4</v>
      </c>
      <c r="C26" s="103">
        <f>-D23*(1/E9)</f>
        <v>222.09944751381164</v>
      </c>
      <c r="D26" s="96">
        <f>-(D23*E11+C26*E10)</f>
        <v>-10447.761194029852</v>
      </c>
      <c r="E26" s="96">
        <f>D23*G7+C26*G6</f>
        <v>10500</v>
      </c>
      <c r="F26" s="96">
        <f>D23*G15+C26*G14</f>
        <v>10500</v>
      </c>
      <c r="G26" s="100">
        <f>-(E26/D26)-1</f>
        <v>4.9999999999998934E-3</v>
      </c>
    </row>
    <row r="27" spans="2:10" ht="18.75" x14ac:dyDescent="0.3">
      <c r="B27" s="2" t="s">
        <v>37</v>
      </c>
      <c r="C27" s="104">
        <v>0</v>
      </c>
      <c r="D27" s="214" t="s">
        <v>39</v>
      </c>
      <c r="E27" s="214"/>
      <c r="F27" s="22"/>
      <c r="G27" s="100"/>
    </row>
    <row r="28" spans="2:10" ht="18.75" x14ac:dyDescent="0.3">
      <c r="B28" s="2" t="s">
        <v>38</v>
      </c>
      <c r="C28" s="66">
        <f>-D23*(1/G13)</f>
        <v>100</v>
      </c>
      <c r="D28" s="108">
        <f>-(D23*G15+C28*G14)</f>
        <v>-9950.2487562189071</v>
      </c>
      <c r="E28" s="99">
        <f>D23*I12+C28*I11</f>
        <v>10000</v>
      </c>
      <c r="F28" s="99">
        <f>D23*I17+C28*I16</f>
        <v>10000</v>
      </c>
      <c r="G28" s="105">
        <f>-(E28/D28)-1</f>
        <v>4.9999999999998934E-3</v>
      </c>
    </row>
  </sheetData>
  <mergeCells count="1"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1DE0-1529-43DB-AF64-46AB2E72BF28}">
  <dimension ref="B1:N27"/>
  <sheetViews>
    <sheetView tabSelected="1" zoomScale="70" zoomScaleNormal="70" workbookViewId="0">
      <selection activeCell="N21" sqref="N21"/>
    </sheetView>
  </sheetViews>
  <sheetFormatPr defaultRowHeight="15" x14ac:dyDescent="0.25"/>
  <cols>
    <col min="2" max="2" width="13.140625" bestFit="1" customWidth="1"/>
    <col min="3" max="3" width="17.85546875" customWidth="1"/>
    <col min="4" max="4" width="12.42578125" bestFit="1" customWidth="1"/>
    <col min="5" max="5" width="15.85546875" bestFit="1" customWidth="1"/>
    <col min="6" max="6" width="14.42578125" bestFit="1" customWidth="1"/>
    <col min="7" max="7" width="15" bestFit="1" customWidth="1"/>
    <col min="11" max="11" width="10.140625" customWidth="1"/>
    <col min="14" max="14" width="12.140625" bestFit="1" customWidth="1"/>
  </cols>
  <sheetData>
    <row r="1" spans="2:14" x14ac:dyDescent="0.25">
      <c r="G1" s="6" t="s">
        <v>15</v>
      </c>
    </row>
    <row r="2" spans="2:14" x14ac:dyDescent="0.25">
      <c r="B2" t="s">
        <v>1</v>
      </c>
      <c r="C2" s="30">
        <v>100</v>
      </c>
      <c r="G2" s="7" t="s">
        <v>16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E3" s="8"/>
      <c r="F3" s="9"/>
      <c r="G3" s="9"/>
      <c r="H3" s="54"/>
      <c r="I3" s="68">
        <f>MAX(0,I4-C4)</f>
        <v>10.25</v>
      </c>
      <c r="J3" s="19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0</v>
      </c>
      <c r="C4" s="30">
        <v>100</v>
      </c>
      <c r="E4" s="39"/>
      <c r="F4" s="40"/>
      <c r="G4" s="63" t="s">
        <v>27</v>
      </c>
      <c r="H4" s="40"/>
      <c r="I4" s="69">
        <f>G7*(1+C3)</f>
        <v>110.25</v>
      </c>
      <c r="J4" s="11"/>
    </row>
    <row r="5" spans="2:14" x14ac:dyDescent="0.25">
      <c r="B5" t="s">
        <v>3</v>
      </c>
      <c r="C5" s="31">
        <v>5.0000000000000001E-3</v>
      </c>
      <c r="E5" s="39"/>
      <c r="F5" s="40"/>
      <c r="G5" s="67">
        <f>(I3-I7)/(I4-I8)</f>
        <v>0.97619047619047616</v>
      </c>
      <c r="H5" s="40"/>
      <c r="I5" s="41"/>
      <c r="L5" s="1" t="s">
        <v>14</v>
      </c>
      <c r="M5" s="5">
        <f>C5</f>
        <v>5.0000000000000001E-3</v>
      </c>
    </row>
    <row r="6" spans="2:14" x14ac:dyDescent="0.25">
      <c r="B6" t="s">
        <v>7</v>
      </c>
      <c r="C6" s="30">
        <v>2</v>
      </c>
      <c r="E6" s="39"/>
      <c r="F6" s="40"/>
      <c r="G6" s="65">
        <f>((M11*I3)+(M12*I7))/(1+M5)^M6</f>
        <v>5.6094527363183975</v>
      </c>
      <c r="H6" s="40"/>
      <c r="I6" s="41"/>
      <c r="L6" s="1" t="s">
        <v>12</v>
      </c>
      <c r="M6" s="1">
        <f>C6/2</f>
        <v>1</v>
      </c>
      <c r="N6" t="s">
        <v>19</v>
      </c>
    </row>
    <row r="7" spans="2:14" x14ac:dyDescent="0.25">
      <c r="E7" s="10"/>
      <c r="F7" s="11"/>
      <c r="G7" s="66">
        <f>E11*(1+C3)</f>
        <v>105</v>
      </c>
      <c r="H7" s="11"/>
      <c r="I7" s="68">
        <f>MAX(0,I8-C4)</f>
        <v>0</v>
      </c>
      <c r="J7" s="19"/>
      <c r="L7" s="1"/>
      <c r="M7" s="1"/>
    </row>
    <row r="8" spans="2:14" x14ac:dyDescent="0.25">
      <c r="E8" s="10"/>
      <c r="F8" s="11"/>
      <c r="G8" s="40"/>
      <c r="H8" s="11"/>
      <c r="I8" s="69">
        <f>G7*(1-C3)</f>
        <v>99.75</v>
      </c>
      <c r="J8" s="11"/>
      <c r="L8" s="1" t="s">
        <v>11</v>
      </c>
      <c r="M8" s="4">
        <f>1+M5</f>
        <v>1.0049999999999999</v>
      </c>
    </row>
    <row r="9" spans="2:14" x14ac:dyDescent="0.25">
      <c r="E9" s="67">
        <f>(G6-G14)/(G7-G15)</f>
        <v>0.11069651741293329</v>
      </c>
      <c r="F9" s="11"/>
      <c r="G9" s="40"/>
      <c r="H9" s="11"/>
      <c r="I9" s="41"/>
    </row>
    <row r="10" spans="2:14" x14ac:dyDescent="0.25">
      <c r="E10" s="65">
        <f>((M11*G6)+(M12*G14))/(1+M5)^M6</f>
        <v>5.0858889631444741</v>
      </c>
      <c r="F10" s="11"/>
      <c r="G10" s="11"/>
      <c r="H10" s="11"/>
      <c r="I10" s="41"/>
      <c r="L10" s="28" t="s">
        <v>18</v>
      </c>
      <c r="M10" s="1"/>
    </row>
    <row r="11" spans="2:14" x14ac:dyDescent="0.25">
      <c r="C11" s="53"/>
      <c r="E11" s="66">
        <f>C2</f>
        <v>100</v>
      </c>
      <c r="F11" s="11"/>
      <c r="G11" s="40"/>
      <c r="H11" s="40"/>
      <c r="I11" s="68">
        <f>MAX(0,C4-I12)</f>
        <v>0.25</v>
      </c>
      <c r="J11" s="19"/>
      <c r="L11" s="16" t="s">
        <v>10</v>
      </c>
      <c r="M11" s="29">
        <f>(M8-M3)/(M2-M3)</f>
        <v>0.54999999999999893</v>
      </c>
    </row>
    <row r="12" spans="2:14" x14ac:dyDescent="0.25">
      <c r="E12" s="10"/>
      <c r="F12" s="11"/>
      <c r="G12" s="63" t="s">
        <v>28</v>
      </c>
      <c r="H12" s="11"/>
      <c r="I12" s="69">
        <f>G15*(1+C3)</f>
        <v>99.75</v>
      </c>
      <c r="J12" s="11"/>
      <c r="L12" s="13" t="s">
        <v>13</v>
      </c>
      <c r="M12" s="27">
        <f>1-M11</f>
        <v>0.45000000000000107</v>
      </c>
    </row>
    <row r="13" spans="2:14" x14ac:dyDescent="0.25">
      <c r="E13" s="10"/>
      <c r="F13" s="11"/>
      <c r="G13" s="67">
        <f>(I11-I15)/(I12-I16)</f>
        <v>-1</v>
      </c>
      <c r="H13" s="11"/>
      <c r="I13" s="41"/>
    </row>
    <row r="14" spans="2:14" x14ac:dyDescent="0.25">
      <c r="E14" s="10"/>
      <c r="F14" s="11"/>
      <c r="G14" s="65">
        <f>((M11*I11)+(M12*I15))/(1+M5)^M6</f>
        <v>4.5024875621890645</v>
      </c>
      <c r="H14" s="11"/>
      <c r="I14" s="41"/>
    </row>
    <row r="15" spans="2:14" x14ac:dyDescent="0.25">
      <c r="E15" s="10"/>
      <c r="F15" s="11"/>
      <c r="G15" s="66">
        <f>E11*(1-C3)</f>
        <v>95</v>
      </c>
      <c r="H15" s="11"/>
      <c r="I15" s="68">
        <f>MAX(0,C4-I16)</f>
        <v>9.75</v>
      </c>
    </row>
    <row r="16" spans="2:14" x14ac:dyDescent="0.25">
      <c r="E16" s="39"/>
      <c r="F16" s="40"/>
      <c r="G16" s="11"/>
      <c r="H16" s="11"/>
      <c r="I16" s="69">
        <f>G15*(1-C3)</f>
        <v>90.25</v>
      </c>
      <c r="J16" s="19"/>
    </row>
    <row r="17" spans="2:10" x14ac:dyDescent="0.25">
      <c r="E17" s="39"/>
      <c r="F17" s="40"/>
      <c r="G17" s="40"/>
      <c r="H17" s="40"/>
      <c r="I17" s="56"/>
      <c r="J17" s="11"/>
    </row>
    <row r="18" spans="2:10" x14ac:dyDescent="0.25">
      <c r="E18" s="39"/>
      <c r="F18" s="40"/>
      <c r="G18" s="40"/>
      <c r="H18" s="40"/>
      <c r="I18" s="41"/>
    </row>
    <row r="19" spans="2:10" x14ac:dyDescent="0.25">
      <c r="E19" s="39"/>
      <c r="F19" s="40"/>
      <c r="G19" s="40"/>
      <c r="H19" s="40"/>
      <c r="I19" s="41"/>
    </row>
    <row r="20" spans="2:10" ht="18.75" x14ac:dyDescent="0.3">
      <c r="E20" s="47" t="s">
        <v>4</v>
      </c>
      <c r="F20" s="48"/>
      <c r="G20" s="48" t="s">
        <v>5</v>
      </c>
      <c r="H20" s="48"/>
      <c r="I20" s="49" t="s">
        <v>6</v>
      </c>
      <c r="J20" s="2"/>
    </row>
    <row r="22" spans="2:10" ht="15.75" x14ac:dyDescent="0.25">
      <c r="B22" t="s">
        <v>44</v>
      </c>
      <c r="D22" s="30">
        <v>100</v>
      </c>
      <c r="E22" s="90" t="s">
        <v>33</v>
      </c>
    </row>
    <row r="23" spans="2:10" ht="15.75" x14ac:dyDescent="0.25">
      <c r="B23" s="82"/>
      <c r="D23" s="94"/>
      <c r="E23" s="90"/>
    </row>
    <row r="24" spans="2:10" ht="51.75" customHeight="1" x14ac:dyDescent="0.25">
      <c r="C24" s="91" t="s">
        <v>40</v>
      </c>
      <c r="D24" s="92" t="s">
        <v>34</v>
      </c>
      <c r="E24" s="92" t="s">
        <v>35</v>
      </c>
      <c r="F24" s="93" t="s">
        <v>36</v>
      </c>
      <c r="G24" s="92" t="s">
        <v>41</v>
      </c>
    </row>
    <row r="25" spans="2:10" ht="18.75" x14ac:dyDescent="0.3">
      <c r="B25" s="2" t="s">
        <v>4</v>
      </c>
      <c r="C25" s="103">
        <f>D22*(1/E9)</f>
        <v>903.37078651687045</v>
      </c>
      <c r="D25" s="96">
        <f>-(D22*E11-C25*E10)</f>
        <v>-5405.5564872267059</v>
      </c>
      <c r="E25" s="96">
        <f>D22*G7-C25*G6</f>
        <v>5432.5842696628379</v>
      </c>
      <c r="F25" s="96">
        <f>D22*G15-C25*G14</f>
        <v>5432.5842696628388</v>
      </c>
      <c r="G25" s="100">
        <f>-(E25/D25)-1</f>
        <v>4.9999999999996714E-3</v>
      </c>
    </row>
    <row r="26" spans="2:10" ht="18.75" x14ac:dyDescent="0.3">
      <c r="B26" s="2" t="s">
        <v>37</v>
      </c>
      <c r="C26" s="104">
        <f>D22*(1/G5)</f>
        <v>102.4390243902439</v>
      </c>
      <c r="D26" s="118">
        <f>-(D22*G7-C26*G6)</f>
        <v>-9925.3731343283598</v>
      </c>
      <c r="E26" s="118">
        <f>D22*I4-C26*I3</f>
        <v>9975</v>
      </c>
      <c r="F26" s="22">
        <f>D22*I8-C26*I7</f>
        <v>9975</v>
      </c>
      <c r="G26" s="100">
        <f>-(E26/D26)-1</f>
        <v>4.9999999999998934E-3</v>
      </c>
    </row>
    <row r="27" spans="2:10" ht="18.75" x14ac:dyDescent="0.3">
      <c r="B27" s="2" t="s">
        <v>38</v>
      </c>
      <c r="C27" s="66">
        <f>-D22*(1/G13)</f>
        <v>100</v>
      </c>
      <c r="D27" s="108">
        <f>-(D22*G15+C27*G14)</f>
        <v>-9950.2487562189071</v>
      </c>
      <c r="E27" s="99">
        <f>D22*I12+C27*I11</f>
        <v>10000</v>
      </c>
      <c r="F27" s="99">
        <f>D22*I16+C27*I15</f>
        <v>10000</v>
      </c>
      <c r="G27" s="119">
        <f>-(E27/D27)-1</f>
        <v>4.9999999999998934E-3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9CE6-4F74-4E1F-98F4-E440AEEEFEE3}">
  <sheetPr codeName="Sheet7"/>
  <dimension ref="A2:R52"/>
  <sheetViews>
    <sheetView showGridLines="0" workbookViewId="0">
      <selection sqref="A1:XFD1048576"/>
    </sheetView>
  </sheetViews>
  <sheetFormatPr defaultRowHeight="15" x14ac:dyDescent="0.25"/>
  <cols>
    <col min="1" max="5" width="9.140625" style="125"/>
    <col min="6" max="6" width="12" style="125" customWidth="1"/>
    <col min="7" max="7" width="12.85546875" style="125" customWidth="1"/>
    <col min="8" max="8" width="13.28515625" style="125" customWidth="1"/>
    <col min="9" max="9" width="13.42578125" style="125" customWidth="1"/>
    <col min="10" max="10" width="13" style="125" customWidth="1"/>
    <col min="11" max="11" width="12.85546875" style="125" customWidth="1"/>
    <col min="12" max="12" width="17.140625" style="125" customWidth="1"/>
    <col min="13" max="13" width="17" style="125" customWidth="1"/>
    <col min="14" max="16384" width="9.140625" style="125"/>
  </cols>
  <sheetData>
    <row r="2" spans="1:11" ht="15.75" x14ac:dyDescent="0.25">
      <c r="A2" s="123" t="s">
        <v>48</v>
      </c>
      <c r="B2" s="124">
        <v>120</v>
      </c>
      <c r="C2" s="124"/>
    </row>
    <row r="3" spans="1:11" x14ac:dyDescent="0.25">
      <c r="A3" s="124" t="s">
        <v>49</v>
      </c>
      <c r="B3" s="124">
        <v>100</v>
      </c>
      <c r="C3" s="124"/>
    </row>
    <row r="4" spans="1:11" x14ac:dyDescent="0.25">
      <c r="A4" s="124" t="s">
        <v>50</v>
      </c>
      <c r="B4" s="126">
        <v>5.0000000000000001E-3</v>
      </c>
      <c r="C4" s="124"/>
    </row>
    <row r="5" spans="1:11" x14ac:dyDescent="0.25">
      <c r="A5" s="124" t="s">
        <v>51</v>
      </c>
      <c r="B5" s="124">
        <f>85/365</f>
        <v>0.23287671232876711</v>
      </c>
      <c r="C5" s="124"/>
    </row>
    <row r="6" spans="1:11" x14ac:dyDescent="0.25">
      <c r="A6" s="127" t="s">
        <v>52</v>
      </c>
      <c r="B6" s="128">
        <v>0.2</v>
      </c>
      <c r="C6" s="124"/>
    </row>
    <row r="7" spans="1:11" x14ac:dyDescent="0.25">
      <c r="A7" s="124"/>
      <c r="B7" s="124"/>
      <c r="C7" s="124"/>
    </row>
    <row r="8" spans="1:11" x14ac:dyDescent="0.25">
      <c r="A8" s="124"/>
      <c r="B8" s="124"/>
      <c r="C8" s="124"/>
    </row>
    <row r="9" spans="1:11" x14ac:dyDescent="0.25">
      <c r="A9" s="124"/>
      <c r="B9" s="124"/>
      <c r="C9" s="124"/>
    </row>
    <row r="10" spans="1:11" x14ac:dyDescent="0.25">
      <c r="A10" s="124"/>
      <c r="B10" s="124"/>
      <c r="C10" s="124"/>
    </row>
    <row r="11" spans="1:11" x14ac:dyDescent="0.25">
      <c r="A11" s="124"/>
      <c r="B11" s="124" t="s">
        <v>53</v>
      </c>
      <c r="C11" s="124">
        <f>(LN(B2/B3)+(B4+0.5*B6^2)*B5)/(B6*B5^0.5)</f>
        <v>1.9493783298568972</v>
      </c>
    </row>
    <row r="12" spans="1:11" x14ac:dyDescent="0.25">
      <c r="A12" s="124"/>
      <c r="B12" s="124" t="s">
        <v>54</v>
      </c>
      <c r="C12" s="124">
        <f>C11-B6*SQRT(B5)</f>
        <v>1.852863727370275</v>
      </c>
    </row>
    <row r="13" spans="1:11" x14ac:dyDescent="0.25">
      <c r="A13" s="124"/>
      <c r="B13" s="124"/>
      <c r="C13" s="124"/>
    </row>
    <row r="14" spans="1:11" x14ac:dyDescent="0.25">
      <c r="A14" s="124" t="s">
        <v>55</v>
      </c>
      <c r="B14" s="124">
        <f>NORMSDIST(C11)</f>
        <v>0.97437486976622734</v>
      </c>
      <c r="C14" s="124"/>
    </row>
    <row r="15" spans="1:11" x14ac:dyDescent="0.25">
      <c r="A15" s="124" t="s">
        <v>56</v>
      </c>
      <c r="B15" s="124">
        <f>NORMSDIST(C12)</f>
        <v>0.96804905336626856</v>
      </c>
      <c r="C15" s="124"/>
    </row>
    <row r="16" spans="1:11" ht="26.25" x14ac:dyDescent="0.4">
      <c r="A16" s="124"/>
      <c r="B16" s="124"/>
      <c r="C16" s="124"/>
      <c r="I16" s="129" t="s">
        <v>57</v>
      </c>
      <c r="J16" s="129"/>
      <c r="K16" s="129"/>
    </row>
    <row r="17" spans="1:18" x14ac:dyDescent="0.25">
      <c r="A17" s="127" t="s">
        <v>58</v>
      </c>
      <c r="B17" s="130">
        <f>B2*B14-B3*EXP(-B4*B5)*B15</f>
        <v>20.232731477727071</v>
      </c>
      <c r="C17" s="124"/>
    </row>
    <row r="18" spans="1:18" x14ac:dyDescent="0.25">
      <c r="A18" s="124" t="s">
        <v>59</v>
      </c>
      <c r="B18" s="124">
        <f>B17-B2+B3*EXP(-B4*B5)</f>
        <v>0.11636088471330197</v>
      </c>
      <c r="C18" s="124"/>
    </row>
    <row r="19" spans="1:18" ht="60" x14ac:dyDescent="0.25">
      <c r="E19" s="131" t="s">
        <v>60</v>
      </c>
      <c r="F19" s="132" t="s">
        <v>61</v>
      </c>
      <c r="G19" s="132" t="s">
        <v>62</v>
      </c>
      <c r="H19" s="131" t="s">
        <v>15</v>
      </c>
      <c r="I19" s="132" t="s">
        <v>63</v>
      </c>
      <c r="J19" s="132" t="s">
        <v>64</v>
      </c>
      <c r="K19" s="132" t="s">
        <v>65</v>
      </c>
      <c r="L19" s="132" t="s">
        <v>66</v>
      </c>
      <c r="M19" s="132" t="s">
        <v>67</v>
      </c>
      <c r="N19" s="132" t="s">
        <v>68</v>
      </c>
      <c r="O19" s="132" t="s">
        <v>69</v>
      </c>
      <c r="P19" s="132" t="s">
        <v>70</v>
      </c>
    </row>
    <row r="20" spans="1:18" x14ac:dyDescent="0.25">
      <c r="E20" s="133">
        <v>0</v>
      </c>
      <c r="F20" s="133">
        <v>100</v>
      </c>
      <c r="G20" s="133">
        <v>4.0199999999999996</v>
      </c>
      <c r="H20" s="133">
        <v>0.52474699999999996</v>
      </c>
      <c r="I20" s="133">
        <v>100</v>
      </c>
      <c r="J20" s="133">
        <f>I20*H20</f>
        <v>52.474699999999999</v>
      </c>
      <c r="K20" s="133">
        <v>0</v>
      </c>
      <c r="L20" s="133">
        <v>0</v>
      </c>
      <c r="M20" s="133">
        <v>0</v>
      </c>
      <c r="N20" s="133">
        <f>(F20*J20)-(I20*G20)</f>
        <v>4845.47</v>
      </c>
      <c r="O20" s="133">
        <v>0</v>
      </c>
      <c r="P20" s="133"/>
      <c r="R20" s="134"/>
    </row>
    <row r="21" spans="1:18" x14ac:dyDescent="0.25">
      <c r="E21" s="133">
        <v>1</v>
      </c>
      <c r="F21" s="133">
        <f>F20+5</f>
        <v>105</v>
      </c>
      <c r="G21" s="133">
        <v>7.1</v>
      </c>
      <c r="H21" s="133">
        <v>0.71081099999999997</v>
      </c>
      <c r="I21" s="133">
        <v>100</v>
      </c>
      <c r="J21" s="133">
        <f>100*H21</f>
        <v>71.081099999999992</v>
      </c>
      <c r="K21" s="133">
        <f>J21-J20</f>
        <v>18.606399999999994</v>
      </c>
      <c r="L21" s="133">
        <f>K21*-F21</f>
        <v>-1953.6719999999993</v>
      </c>
      <c r="M21" s="133">
        <f>L21</f>
        <v>-1953.6719999999993</v>
      </c>
      <c r="N21" s="133">
        <f>(F21*J21)-(I21*G21)+M21</f>
        <v>4799.8434999999999</v>
      </c>
      <c r="O21" s="133">
        <f>N20*EXP(0.5%/365)</f>
        <v>4845.5363767560038</v>
      </c>
      <c r="P21" s="135">
        <f>(N21-O21)/O21</f>
        <v>-9.4298903574828643E-3</v>
      </c>
      <c r="R21" s="134"/>
    </row>
    <row r="22" spans="1:18" x14ac:dyDescent="0.25">
      <c r="E22" s="133">
        <v>2</v>
      </c>
      <c r="F22" s="133">
        <f>F21+5</f>
        <v>110</v>
      </c>
      <c r="G22" s="133">
        <v>11.01</v>
      </c>
      <c r="H22" s="133">
        <v>0.84894499999999995</v>
      </c>
      <c r="I22" s="133">
        <v>100</v>
      </c>
      <c r="J22" s="133">
        <f>100*H22</f>
        <v>84.894499999999994</v>
      </c>
      <c r="K22" s="133">
        <f>J22-J21</f>
        <v>13.813400000000001</v>
      </c>
      <c r="L22" s="133">
        <f>K22*-F22</f>
        <v>-1519.4740000000002</v>
      </c>
      <c r="M22" s="133">
        <f>-(1953.672*(EXP(0.5%/365))-L22)</f>
        <v>-3473.1727628134436</v>
      </c>
      <c r="N22" s="133">
        <f>(F22*J22)-(I22*G22)+M22</f>
        <v>4764.2222371865555</v>
      </c>
      <c r="O22" s="133">
        <f>N21*EXP(0.5%/365)</f>
        <v>4799.9092517311747</v>
      </c>
      <c r="P22" s="135">
        <f>(N22-O22)/O22</f>
        <v>-7.4349352608589396E-3</v>
      </c>
      <c r="R22" s="134"/>
    </row>
    <row r="23" spans="1:18" x14ac:dyDescent="0.25">
      <c r="E23" s="133">
        <v>3</v>
      </c>
      <c r="F23" s="133">
        <v>102</v>
      </c>
      <c r="G23" s="133">
        <v>5.08</v>
      </c>
      <c r="H23" s="133">
        <v>0.60404599999999997</v>
      </c>
      <c r="I23" s="133">
        <v>100</v>
      </c>
      <c r="J23" s="133">
        <f>I23*H23</f>
        <v>60.404599999999995</v>
      </c>
      <c r="K23" s="133">
        <f>J23-J22</f>
        <v>-24.489899999999999</v>
      </c>
      <c r="L23" s="133">
        <f>K23*-F23</f>
        <v>2497.9697999999999</v>
      </c>
      <c r="M23" s="133">
        <f>-(L22*(EXP(0.5%/365))+L23)</f>
        <v>-978.4749851451038</v>
      </c>
      <c r="N23" s="133">
        <f>(F23*J23)-(I23*G23)+M23</f>
        <v>4674.7942148548955</v>
      </c>
      <c r="O23" s="133">
        <f>N22*EXP(0.5%/365)</f>
        <v>4764.2875009518839</v>
      </c>
      <c r="P23" s="135">
        <f>(N23-O23)/O23</f>
        <v>-1.8784190937072551E-2</v>
      </c>
      <c r="R23" s="134"/>
    </row>
    <row r="24" spans="1:18" x14ac:dyDescent="0.25">
      <c r="E24" s="133">
        <v>4</v>
      </c>
      <c r="F24" s="133">
        <v>104</v>
      </c>
      <c r="G24" s="133">
        <v>6.34</v>
      </c>
      <c r="H24" s="133">
        <v>0.67891800000000002</v>
      </c>
      <c r="I24" s="133">
        <v>100</v>
      </c>
      <c r="J24" s="133">
        <f>I24*H24</f>
        <v>67.891800000000003</v>
      </c>
      <c r="K24" s="133">
        <f>J24-J23</f>
        <v>7.4872000000000085</v>
      </c>
      <c r="L24" s="133">
        <f>K24*-F24</f>
        <v>-778.66880000000083</v>
      </c>
      <c r="M24" s="133">
        <f>-(L23*(EXP(0.5%/365))+L24)</f>
        <v>-1719.3352189987586</v>
      </c>
      <c r="N24" s="133">
        <f>(F24*J24)-(I24*G24)+M24</f>
        <v>4707.4119810012417</v>
      </c>
      <c r="O24" s="133">
        <f>N23*EXP(0.5%/365)</f>
        <v>4674.8582535704318</v>
      </c>
      <c r="P24" s="135">
        <f>(N24-O24)/O24</f>
        <v>6.9635752925656979E-3</v>
      </c>
      <c r="R24" s="134"/>
    </row>
    <row r="25" spans="1:18" x14ac:dyDescent="0.25">
      <c r="E25" s="133">
        <v>5</v>
      </c>
      <c r="F25" s="133">
        <v>120</v>
      </c>
      <c r="G25" s="133">
        <v>20.23</v>
      </c>
      <c r="H25" s="133">
        <v>0.97437499999999999</v>
      </c>
      <c r="I25" s="133">
        <v>100</v>
      </c>
      <c r="J25" s="133">
        <f>I25*H25</f>
        <v>97.4375</v>
      </c>
      <c r="K25" s="133">
        <f>J25-J24</f>
        <v>29.545699999999997</v>
      </c>
      <c r="L25" s="133">
        <f>K25*-F25</f>
        <v>-3545.4839999999995</v>
      </c>
      <c r="M25" s="133">
        <f>(L24*(EXP(0.5%/365))+L25)</f>
        <v>-4324.1634667689505</v>
      </c>
      <c r="N25" s="133">
        <f>(F25*J25)-(I25*G25)+M25</f>
        <v>5345.3365332310495</v>
      </c>
      <c r="O25" s="133">
        <f>N24*EXP(0.5%/365)</f>
        <v>4707.4764665385528</v>
      </c>
      <c r="P25" s="135">
        <f>(N25-O25)/O25</f>
        <v>0.13549936387924646</v>
      </c>
      <c r="R25" s="136"/>
    </row>
    <row r="32" spans="1:18" x14ac:dyDescent="0.25">
      <c r="F32" s="137"/>
      <c r="G32" s="137"/>
      <c r="H32" s="137"/>
      <c r="I32" s="137"/>
      <c r="J32" s="137"/>
    </row>
    <row r="33" spans="1:14" x14ac:dyDescent="0.25">
      <c r="F33" s="137"/>
      <c r="G33" s="137"/>
      <c r="H33" s="137"/>
      <c r="I33" s="137"/>
      <c r="J33" s="137"/>
    </row>
    <row r="35" spans="1:14" x14ac:dyDescent="0.25">
      <c r="B35" s="138"/>
    </row>
    <row r="37" spans="1:14" x14ac:dyDescent="0.25">
      <c r="A37" s="139"/>
      <c r="B37" s="140"/>
    </row>
    <row r="47" spans="1:14" x14ac:dyDescent="0.25">
      <c r="L47" s="141"/>
      <c r="N47" s="136"/>
    </row>
    <row r="48" spans="1:14" x14ac:dyDescent="0.25">
      <c r="A48" s="139"/>
      <c r="B48" s="142"/>
      <c r="N48" s="136"/>
    </row>
    <row r="49" spans="14:14" x14ac:dyDescent="0.25">
      <c r="N49" s="136"/>
    </row>
    <row r="50" spans="14:14" x14ac:dyDescent="0.25">
      <c r="N50" s="136"/>
    </row>
    <row r="51" spans="14:14" x14ac:dyDescent="0.25">
      <c r="N51" s="136"/>
    </row>
    <row r="52" spans="14:14" x14ac:dyDescent="0.25">
      <c r="N52" s="136"/>
    </row>
  </sheetData>
  <dataValidations count="1">
    <dataValidation type="list" allowBlank="1" showInputMessage="1" showErrorMessage="1" sqref="B37" xr:uid="{DD37B801-C47C-4C5B-9068-A9511800A674}">
      <formula1>"7%,10%,20%,30%,40%,50%,70%"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7447-3010-4202-9537-611AD26CB888}">
  <sheetPr codeName="Sheet8"/>
  <dimension ref="A1:Q56"/>
  <sheetViews>
    <sheetView showGridLines="0" topLeftCell="F34" workbookViewId="0">
      <selection sqref="A1:XFD1048576"/>
    </sheetView>
  </sheetViews>
  <sheetFormatPr defaultRowHeight="15" x14ac:dyDescent="0.25"/>
  <cols>
    <col min="1" max="5" width="9.140625" style="125"/>
    <col min="6" max="6" width="13" style="125" customWidth="1"/>
    <col min="7" max="7" width="11" style="125" customWidth="1"/>
    <col min="8" max="8" width="9.140625" style="125"/>
    <col min="9" max="10" width="11" style="125" customWidth="1"/>
    <col min="11" max="12" width="9.140625" style="125"/>
    <col min="13" max="13" width="15.28515625" style="125" customWidth="1"/>
    <col min="14" max="14" width="19.7109375" style="125" customWidth="1"/>
    <col min="15" max="16" width="12.28515625" style="125" customWidth="1"/>
    <col min="17" max="17" width="10.7109375" style="125" bestFit="1" customWidth="1"/>
    <col min="18" max="16384" width="9.140625" style="125"/>
  </cols>
  <sheetData>
    <row r="1" spans="1:17" x14ac:dyDescent="0.25">
      <c r="B1" s="125" t="s">
        <v>71</v>
      </c>
      <c r="G1" s="125" t="s">
        <v>72</v>
      </c>
    </row>
    <row r="2" spans="1:17" ht="30" x14ac:dyDescent="0.25">
      <c r="M2" s="143" t="s">
        <v>73</v>
      </c>
      <c r="N2" s="143" t="s">
        <v>74</v>
      </c>
      <c r="O2" s="143" t="s">
        <v>75</v>
      </c>
      <c r="P2" s="144" t="s">
        <v>76</v>
      </c>
      <c r="Q2" s="145" t="s">
        <v>77</v>
      </c>
    </row>
    <row r="3" spans="1:17" x14ac:dyDescent="0.25">
      <c r="A3" s="125" t="s">
        <v>48</v>
      </c>
      <c r="B3" s="125">
        <v>100</v>
      </c>
      <c r="G3" s="125" t="s">
        <v>48</v>
      </c>
      <c r="H3" s="125">
        <v>100</v>
      </c>
      <c r="M3" s="146">
        <v>100</v>
      </c>
      <c r="N3" s="147">
        <f>D25</f>
        <v>3.0698497561941545</v>
      </c>
      <c r="O3" s="148">
        <v>3.07</v>
      </c>
      <c r="P3" s="149">
        <f t="shared" ref="P3:P10" si="0">O3-N3</f>
        <v>1.5024380584538477E-4</v>
      </c>
      <c r="Q3" s="146">
        <v>0.56100000000000005</v>
      </c>
    </row>
    <row r="4" spans="1:17" x14ac:dyDescent="0.25">
      <c r="A4" s="125" t="s">
        <v>49</v>
      </c>
      <c r="B4" s="125">
        <v>100</v>
      </c>
      <c r="G4" s="125" t="s">
        <v>49</v>
      </c>
      <c r="H4" s="125">
        <v>100</v>
      </c>
      <c r="M4" s="150">
        <f t="shared" ref="M4:M10" si="1">M3*(1.05)</f>
        <v>105</v>
      </c>
      <c r="N4" s="147">
        <f>O3+(M4-M3)*$Q$3</f>
        <v>5.875</v>
      </c>
      <c r="O4" s="146">
        <v>6.43</v>
      </c>
      <c r="P4" s="149">
        <f t="shared" si="0"/>
        <v>0.55499999999999972</v>
      </c>
      <c r="Q4" s="146">
        <f>0.7869</f>
        <v>0.78690000000000004</v>
      </c>
    </row>
    <row r="5" spans="1:17" x14ac:dyDescent="0.25">
      <c r="A5" s="125" t="s">
        <v>50</v>
      </c>
      <c r="B5" s="138">
        <v>5.0000000000000001E-3</v>
      </c>
      <c r="G5" s="125" t="s">
        <v>50</v>
      </c>
      <c r="H5" s="138">
        <v>5.0000000000000001E-3</v>
      </c>
      <c r="M5" s="150">
        <f t="shared" si="1"/>
        <v>110.25</v>
      </c>
      <c r="N5" s="147">
        <f t="shared" ref="N5:N10" si="2">O4+(M5-M4)*$Q$3</f>
        <v>9.3752499999999994</v>
      </c>
      <c r="O5" s="146">
        <v>10.76</v>
      </c>
      <c r="P5" s="149">
        <f t="shared" si="0"/>
        <v>1.3847500000000004</v>
      </c>
      <c r="Q5" s="146">
        <v>0.92701199999999995</v>
      </c>
    </row>
    <row r="6" spans="1:17" x14ac:dyDescent="0.25">
      <c r="A6" s="125" t="s">
        <v>51</v>
      </c>
      <c r="B6" s="125">
        <v>1</v>
      </c>
      <c r="G6" s="125" t="s">
        <v>51</v>
      </c>
      <c r="H6" s="125">
        <v>1</v>
      </c>
      <c r="M6" s="150">
        <f t="shared" si="1"/>
        <v>115.7625</v>
      </c>
      <c r="N6" s="147">
        <f t="shared" si="2"/>
        <v>13.852512500000001</v>
      </c>
      <c r="O6" s="146">
        <v>16.54</v>
      </c>
      <c r="P6" s="149">
        <f t="shared" si="0"/>
        <v>2.6874874999999978</v>
      </c>
      <c r="Q6" s="146">
        <v>0.98627100000000001</v>
      </c>
    </row>
    <row r="7" spans="1:17" x14ac:dyDescent="0.25">
      <c r="A7" s="139" t="s">
        <v>52</v>
      </c>
      <c r="B7" s="140">
        <v>5.8260835729230909E-2</v>
      </c>
      <c r="G7" s="139" t="s">
        <v>52</v>
      </c>
      <c r="H7" s="140">
        <v>7.0713699131009083E-2</v>
      </c>
      <c r="M7" s="150">
        <f t="shared" si="1"/>
        <v>121.55062500000001</v>
      </c>
      <c r="N7" s="147">
        <f t="shared" si="2"/>
        <v>19.787138125000006</v>
      </c>
      <c r="O7" s="146">
        <v>22.5</v>
      </c>
      <c r="P7" s="149">
        <f t="shared" si="0"/>
        <v>2.7128618749999944</v>
      </c>
      <c r="Q7" s="146">
        <v>0.99819999999999998</v>
      </c>
    </row>
    <row r="8" spans="1:17" x14ac:dyDescent="0.25">
      <c r="M8" s="150">
        <f t="shared" si="1"/>
        <v>127.62815625000002</v>
      </c>
      <c r="N8" s="147">
        <f t="shared" si="2"/>
        <v>25.909495031250003</v>
      </c>
      <c r="O8" s="146">
        <v>28.5</v>
      </c>
      <c r="P8" s="149">
        <f t="shared" si="0"/>
        <v>2.5905049687499968</v>
      </c>
      <c r="Q8" s="146">
        <v>0.99980000000000002</v>
      </c>
    </row>
    <row r="9" spans="1:17" x14ac:dyDescent="0.25">
      <c r="A9" s="125" t="s">
        <v>78</v>
      </c>
      <c r="G9" s="125" t="s">
        <v>78</v>
      </c>
      <c r="M9" s="150">
        <f t="shared" si="1"/>
        <v>134.00956406250003</v>
      </c>
      <c r="N9" s="147">
        <f t="shared" si="2"/>
        <v>32.079969782812512</v>
      </c>
      <c r="O9" s="146">
        <v>34.5</v>
      </c>
      <c r="P9" s="149">
        <f t="shared" si="0"/>
        <v>2.4200302171874881</v>
      </c>
      <c r="Q9" s="146">
        <v>0.99998900000000002</v>
      </c>
    </row>
    <row r="10" spans="1:17" x14ac:dyDescent="0.25">
      <c r="A10" s="125" t="s">
        <v>79</v>
      </c>
      <c r="G10" s="125" t="s">
        <v>79</v>
      </c>
      <c r="M10" s="150">
        <f t="shared" si="1"/>
        <v>140.71004226562505</v>
      </c>
      <c r="N10" s="147">
        <f t="shared" si="2"/>
        <v>38.258968271953137</v>
      </c>
      <c r="O10" s="146">
        <v>41.5</v>
      </c>
      <c r="P10" s="149">
        <f t="shared" si="0"/>
        <v>3.2410317280468632</v>
      </c>
      <c r="Q10" s="146">
        <v>1</v>
      </c>
    </row>
    <row r="11" spans="1:17" x14ac:dyDescent="0.25">
      <c r="M11" s="151"/>
      <c r="N11" s="152"/>
      <c r="P11" s="153"/>
    </row>
    <row r="12" spans="1:17" x14ac:dyDescent="0.25">
      <c r="B12" s="125" t="s">
        <v>78</v>
      </c>
      <c r="C12" s="125">
        <f>(LN(B3/B4)+(B5+0.5*B7^2)*B6)/(B7*B6^0.5)</f>
        <v>0.11495136322897066</v>
      </c>
      <c r="H12" s="125" t="s">
        <v>78</v>
      </c>
      <c r="I12" s="125">
        <f>(LN(H3/H4)+(H5+0.5*H7^2)*H6)/(H7*H6^0.5)</f>
        <v>0.10606450680086787</v>
      </c>
      <c r="M12" s="151"/>
      <c r="N12" s="152"/>
      <c r="P12" s="153"/>
    </row>
    <row r="13" spans="1:17" x14ac:dyDescent="0.25">
      <c r="B13" s="125" t="s">
        <v>54</v>
      </c>
      <c r="C13" s="125">
        <f>C12-B7*SQRT(B6)</f>
        <v>5.6690527499739754E-2</v>
      </c>
      <c r="H13" s="125" t="s">
        <v>54</v>
      </c>
      <c r="I13" s="125">
        <f>I12-H7*SQRT(H6)</f>
        <v>3.5350807669858791E-2</v>
      </c>
      <c r="M13" s="151"/>
    </row>
    <row r="14" spans="1:17" x14ac:dyDescent="0.25">
      <c r="M14" s="151"/>
    </row>
    <row r="15" spans="1:17" x14ac:dyDescent="0.25">
      <c r="A15" s="125" t="s">
        <v>80</v>
      </c>
      <c r="B15" s="125">
        <f>NORMSDIST(C12)</f>
        <v>0.54575816354037965</v>
      </c>
      <c r="G15" s="125" t="s">
        <v>80</v>
      </c>
      <c r="H15" s="125">
        <f>NORMSDIST(I12)</f>
        <v>0.54223441413812334</v>
      </c>
      <c r="M15" s="151"/>
    </row>
    <row r="16" spans="1:17" x14ac:dyDescent="0.25">
      <c r="A16" s="125" t="s">
        <v>56</v>
      </c>
      <c r="B16" s="125">
        <f>NORMSDIST(C13)</f>
        <v>0.52260414007909639</v>
      </c>
      <c r="G16" s="125" t="s">
        <v>56</v>
      </c>
      <c r="H16" s="125">
        <f>NORMSDIST(I13)</f>
        <v>0.5140999950186701</v>
      </c>
      <c r="M16" s="151"/>
    </row>
    <row r="17" spans="1:13" x14ac:dyDescent="0.25">
      <c r="M17" s="151"/>
    </row>
    <row r="18" spans="1:13" x14ac:dyDescent="0.25">
      <c r="A18" s="125" t="s">
        <v>58</v>
      </c>
      <c r="B18" s="136">
        <f>B3*B15-B4*EXP(-B5*B6)*B16</f>
        <v>2.5760522483918109</v>
      </c>
      <c r="G18" s="139" t="s">
        <v>58</v>
      </c>
      <c r="H18" s="142">
        <f>H3*H15-H4*EXP(-H5*H6)*H16</f>
        <v>3.0698503541650695</v>
      </c>
      <c r="M18" s="151"/>
    </row>
    <row r="19" spans="1:13" x14ac:dyDescent="0.25">
      <c r="A19" s="139" t="s">
        <v>59</v>
      </c>
      <c r="B19" s="139">
        <f>B18-B3+B4*EXP(-B5*B6)</f>
        <v>2.0773001676600558</v>
      </c>
      <c r="G19" s="125" t="s">
        <v>59</v>
      </c>
      <c r="H19" s="125">
        <f>H18-H3+H4*EXP(-H5*H6)</f>
        <v>2.5710982734333072</v>
      </c>
    </row>
    <row r="24" spans="1:13" x14ac:dyDescent="0.25">
      <c r="C24" s="215" t="s">
        <v>81</v>
      </c>
      <c r="D24" s="216"/>
      <c r="E24" s="154" t="s">
        <v>82</v>
      </c>
      <c r="F24" s="154" t="s">
        <v>82</v>
      </c>
    </row>
    <row r="25" spans="1:13" x14ac:dyDescent="0.25">
      <c r="C25" s="154" t="s">
        <v>58</v>
      </c>
      <c r="D25" s="154">
        <v>3.0698497561941545</v>
      </c>
      <c r="E25" s="154">
        <f>'Call and Put '!E23</f>
        <v>0.56094527363184088</v>
      </c>
      <c r="F25" s="154">
        <f>'Call and Put '!G23</f>
        <v>0.97619047619047616</v>
      </c>
    </row>
    <row r="26" spans="1:13" x14ac:dyDescent="0.25">
      <c r="C26" s="154" t="s">
        <v>59</v>
      </c>
      <c r="D26" s="154">
        <v>2.0773000668300292</v>
      </c>
      <c r="E26" s="154">
        <f>'Call and Put '!E52</f>
        <v>-0.43905472636815918</v>
      </c>
      <c r="F26" s="154">
        <f>'Call and Put '!G52</f>
        <v>-1</v>
      </c>
    </row>
    <row r="31" spans="1:13" x14ac:dyDescent="0.25">
      <c r="F31" s="134"/>
    </row>
    <row r="35" spans="1:10" x14ac:dyDescent="0.25">
      <c r="A35" s="125" t="s">
        <v>72</v>
      </c>
    </row>
    <row r="36" spans="1:10" ht="45" x14ac:dyDescent="0.25">
      <c r="F36" s="132" t="s">
        <v>73</v>
      </c>
      <c r="G36" s="132" t="s">
        <v>74</v>
      </c>
      <c r="H36" s="132" t="s">
        <v>75</v>
      </c>
      <c r="I36" s="144" t="s">
        <v>76</v>
      </c>
      <c r="J36" s="145" t="s">
        <v>77</v>
      </c>
    </row>
    <row r="37" spans="1:10" x14ac:dyDescent="0.25">
      <c r="A37" s="125" t="s">
        <v>48</v>
      </c>
      <c r="B37" s="125">
        <v>1420</v>
      </c>
      <c r="F37" s="155"/>
      <c r="G37" s="155"/>
      <c r="H37" s="155"/>
      <c r="I37" s="155"/>
      <c r="J37" s="155"/>
    </row>
    <row r="38" spans="1:10" x14ac:dyDescent="0.25">
      <c r="A38" s="125" t="s">
        <v>49</v>
      </c>
      <c r="B38" s="125">
        <v>1300</v>
      </c>
      <c r="F38" s="155">
        <v>1000</v>
      </c>
      <c r="G38" s="155">
        <f>6.07</f>
        <v>6.07</v>
      </c>
      <c r="H38" s="155">
        <v>6.07</v>
      </c>
      <c r="I38" s="155">
        <f>H38-G38</f>
        <v>0</v>
      </c>
      <c r="J38" s="155">
        <v>8.2769999999999996E-2</v>
      </c>
    </row>
    <row r="39" spans="1:10" x14ac:dyDescent="0.25">
      <c r="A39" s="125" t="s">
        <v>50</v>
      </c>
      <c r="B39" s="138">
        <v>2.75E-2</v>
      </c>
      <c r="F39" s="155">
        <f>F38+20</f>
        <v>1020</v>
      </c>
      <c r="G39" s="155">
        <f>G38+20*0.101766</f>
        <v>8.1053200000000007</v>
      </c>
      <c r="H39" s="155">
        <v>7.91</v>
      </c>
      <c r="I39" s="155">
        <f t="shared" ref="I39:I42" si="3">H39-G39</f>
        <v>-0.1953200000000006</v>
      </c>
      <c r="J39" s="155">
        <v>0.101766</v>
      </c>
    </row>
    <row r="40" spans="1:10" x14ac:dyDescent="0.25">
      <c r="A40" s="125" t="s">
        <v>51</v>
      </c>
      <c r="B40" s="125">
        <f>120/365</f>
        <v>0.32876712328767121</v>
      </c>
      <c r="F40" s="155">
        <f>F39+100</f>
        <v>1120</v>
      </c>
      <c r="G40" s="155">
        <f>G39+(F40-F39)*$J$38</f>
        <v>16.38232</v>
      </c>
      <c r="H40" s="155">
        <v>24.18</v>
      </c>
      <c r="I40" s="155">
        <f t="shared" si="3"/>
        <v>7.7976799999999997</v>
      </c>
      <c r="J40" s="155">
        <v>0.23335400000000001</v>
      </c>
    </row>
    <row r="41" spans="1:10" x14ac:dyDescent="0.25">
      <c r="A41" s="139" t="s">
        <v>52</v>
      </c>
      <c r="B41" s="140">
        <v>0.3</v>
      </c>
      <c r="F41" s="155">
        <f>F40+100</f>
        <v>1220</v>
      </c>
      <c r="G41" s="155">
        <f>G40+(F41-F40)*$J$38</f>
        <v>24.659320000000001</v>
      </c>
      <c r="H41" s="155">
        <v>56.07</v>
      </c>
      <c r="I41" s="155">
        <f t="shared" si="3"/>
        <v>31.410679999999999</v>
      </c>
      <c r="J41" s="155">
        <v>0.40878700000000001</v>
      </c>
    </row>
    <row r="42" spans="1:10" x14ac:dyDescent="0.25">
      <c r="F42" s="155">
        <f>F41+100</f>
        <v>1320</v>
      </c>
      <c r="G42" s="155">
        <f>G41+(F42-F41)*$J$38</f>
        <v>32.936320000000002</v>
      </c>
      <c r="H42" s="155">
        <v>106.12</v>
      </c>
      <c r="I42" s="155">
        <f t="shared" si="3"/>
        <v>73.18368000000001</v>
      </c>
      <c r="J42" s="155">
        <v>0.58991400000000005</v>
      </c>
    </row>
    <row r="43" spans="1:10" x14ac:dyDescent="0.25">
      <c r="A43" s="125" t="s">
        <v>78</v>
      </c>
      <c r="F43" s="155">
        <f>F42+100</f>
        <v>1420</v>
      </c>
      <c r="G43" s="155">
        <f>G42+(F43-F42)*$J$38</f>
        <v>41.213320000000003</v>
      </c>
      <c r="H43" s="155">
        <v>173.09</v>
      </c>
      <c r="I43" s="155">
        <f>H43-G43</f>
        <v>131.87667999999999</v>
      </c>
      <c r="J43" s="155">
        <v>0.74275199999999997</v>
      </c>
    </row>
    <row r="44" spans="1:10" x14ac:dyDescent="0.25">
      <c r="A44" s="125" t="s">
        <v>79</v>
      </c>
    </row>
    <row r="46" spans="1:10" x14ac:dyDescent="0.25">
      <c r="B46" s="125" t="s">
        <v>78</v>
      </c>
      <c r="C46" s="125">
        <f>(LN(B37/B38)+(B39+0.5*B41^2)*B40)/(B41*B40^0.5)</f>
        <v>0.6518527413585995</v>
      </c>
    </row>
    <row r="47" spans="1:10" x14ac:dyDescent="0.25">
      <c r="B47" s="125" t="s">
        <v>54</v>
      </c>
      <c r="C47" s="125">
        <f>C46-B41*SQRT(B40)</f>
        <v>0.47983808763430075</v>
      </c>
    </row>
    <row r="49" spans="1:14" x14ac:dyDescent="0.25">
      <c r="A49" s="125" t="s">
        <v>80</v>
      </c>
      <c r="B49" s="125">
        <f>NORMSDIST(C46)</f>
        <v>0.74275191293348564</v>
      </c>
    </row>
    <row r="50" spans="1:14" x14ac:dyDescent="0.25">
      <c r="A50" s="125" t="s">
        <v>56</v>
      </c>
      <c r="B50" s="125">
        <f>NORMSDIST(C47)</f>
        <v>0.68432873613427669</v>
      </c>
    </row>
    <row r="51" spans="1:14" x14ac:dyDescent="0.25">
      <c r="L51" s="141"/>
      <c r="N51" s="136"/>
    </row>
    <row r="52" spans="1:14" x14ac:dyDescent="0.25">
      <c r="A52" s="139" t="s">
        <v>58</v>
      </c>
      <c r="B52" s="142">
        <f>B37*B49-B38*EXP(-B39*B40)*B50</f>
        <v>173.08731526263273</v>
      </c>
      <c r="N52" s="136"/>
    </row>
    <row r="53" spans="1:14" x14ac:dyDescent="0.25">
      <c r="A53" s="125" t="s">
        <v>59</v>
      </c>
      <c r="B53" s="125">
        <f>B52-B37+B38*EXP(-B39*B40)</f>
        <v>41.386862762459486</v>
      </c>
      <c r="N53" s="136"/>
    </row>
    <row r="54" spans="1:14" x14ac:dyDescent="0.25">
      <c r="N54" s="136"/>
    </row>
    <row r="55" spans="1:14" x14ac:dyDescent="0.25">
      <c r="N55" s="136"/>
    </row>
    <row r="56" spans="1:14" x14ac:dyDescent="0.25">
      <c r="N56" s="136"/>
    </row>
  </sheetData>
  <mergeCells count="1">
    <mergeCell ref="C24:D24"/>
  </mergeCells>
  <dataValidations count="1">
    <dataValidation type="list" allowBlank="1" showInputMessage="1" showErrorMessage="1" sqref="B41" xr:uid="{E1ABF733-62E2-4CF8-9F61-560A1C01F3D1}">
      <formula1>"7%,10%,20%,30%,40%,50%,70%"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0A4D-814B-40E2-90A9-24F35A66731D}">
  <sheetPr codeName="Sheet5"/>
  <dimension ref="A1:N78"/>
  <sheetViews>
    <sheetView showGridLines="0" topLeftCell="A71" zoomScale="80" zoomScaleNormal="80" workbookViewId="0">
      <selection sqref="A1:XFD1048576"/>
    </sheetView>
  </sheetViews>
  <sheetFormatPr defaultRowHeight="15.75" customHeight="1" x14ac:dyDescent="0.25"/>
  <cols>
    <col min="1" max="1" width="18.7109375" style="156" customWidth="1"/>
    <col min="2" max="2" width="9" style="182" customWidth="1"/>
    <col min="3" max="3" width="9.42578125" style="156" customWidth="1"/>
    <col min="4" max="4" width="12" style="156" customWidth="1"/>
    <col min="5" max="7" width="9.140625" style="156"/>
    <col min="8" max="8" width="20.5703125" style="156" bestFit="1" customWidth="1"/>
    <col min="9" max="16384" width="9.140625" style="156"/>
  </cols>
  <sheetData>
    <row r="1" spans="1:14" ht="15.75" customHeight="1" x14ac:dyDescent="0.25">
      <c r="B1" s="156"/>
    </row>
    <row r="2" spans="1:14" ht="15.75" customHeight="1" x14ac:dyDescent="0.35">
      <c r="A2" s="217" t="s">
        <v>83</v>
      </c>
      <c r="B2" s="217"/>
      <c r="C2" s="217"/>
      <c r="D2" s="217"/>
      <c r="E2" s="217"/>
      <c r="F2" s="217"/>
      <c r="L2" s="217" t="s">
        <v>84</v>
      </c>
      <c r="M2" s="217"/>
      <c r="N2" s="217"/>
    </row>
    <row r="3" spans="1:14" ht="15.75" customHeight="1" x14ac:dyDescent="0.35">
      <c r="A3" s="157"/>
      <c r="B3" s="157"/>
      <c r="C3" s="157"/>
      <c r="D3" s="157"/>
      <c r="E3" s="157"/>
      <c r="F3" s="157"/>
      <c r="L3" s="157"/>
      <c r="M3" s="157"/>
      <c r="N3" s="157"/>
    </row>
    <row r="4" spans="1:14" ht="19.5" customHeight="1" x14ac:dyDescent="0.35">
      <c r="A4" s="217" t="s">
        <v>85</v>
      </c>
      <c r="B4" s="217"/>
      <c r="C4" s="217"/>
      <c r="D4" s="217"/>
      <c r="E4" s="217"/>
      <c r="F4" s="217"/>
      <c r="L4" s="158" t="s">
        <v>48</v>
      </c>
      <c r="M4" s="159">
        <v>105</v>
      </c>
      <c r="N4" s="159"/>
    </row>
    <row r="5" spans="1:14" ht="15.75" customHeight="1" thickBot="1" x14ac:dyDescent="0.3">
      <c r="B5" s="156"/>
      <c r="L5" s="158" t="s">
        <v>49</v>
      </c>
      <c r="M5" s="159">
        <v>100</v>
      </c>
      <c r="N5" s="159"/>
    </row>
    <row r="6" spans="1:14" ht="15.75" customHeight="1" x14ac:dyDescent="0.25">
      <c r="A6" s="160" t="s">
        <v>86</v>
      </c>
      <c r="B6" s="161"/>
      <c r="D6" s="162" t="s">
        <v>87</v>
      </c>
      <c r="E6" s="163" t="s">
        <v>72</v>
      </c>
      <c r="F6" s="164" t="s">
        <v>71</v>
      </c>
      <c r="L6" s="158" t="s">
        <v>50</v>
      </c>
      <c r="M6" s="165">
        <v>5.0000000000000001E-3</v>
      </c>
      <c r="N6" s="159"/>
    </row>
    <row r="7" spans="1:14" ht="15.75" customHeight="1" x14ac:dyDescent="0.25">
      <c r="A7" s="166" t="s">
        <v>88</v>
      </c>
      <c r="B7" s="167">
        <v>120</v>
      </c>
      <c r="D7" s="168" t="s">
        <v>89</v>
      </c>
      <c r="E7" s="169" t="e">
        <f ca="1">optionPrice("C",StockPrice,StrikePrice,TimeToExpiry,RiskFreeRate,Volatility,Dividend)</f>
        <v>#NAME?</v>
      </c>
      <c r="F7" s="169" t="e">
        <f ca="1">optionPrice("P",StockPrice,StrikePrice,TimeToExpiry,RiskFreeRate,Volatility,Dividend)</f>
        <v>#NAME?</v>
      </c>
      <c r="L7" s="158" t="s">
        <v>51</v>
      </c>
      <c r="M7" s="159">
        <v>1</v>
      </c>
      <c r="N7" s="159"/>
    </row>
    <row r="8" spans="1:14" ht="15.75" customHeight="1" x14ac:dyDescent="0.25">
      <c r="A8" s="166" t="s">
        <v>90</v>
      </c>
      <c r="B8" s="167">
        <v>100</v>
      </c>
      <c r="D8" s="168" t="s">
        <v>15</v>
      </c>
      <c r="E8" s="169" t="e">
        <f ca="1">OptionDelta("C",StockPrice,StrikePrice,TimeToExpiry,RiskFreeRate,Volatility,Dividend)</f>
        <v>#NAME?</v>
      </c>
      <c r="F8" s="169" t="e">
        <f ca="1">OptionDelta("P",StockPrice,StrikePrice,TimeToExpiry,RiskFreeRate,Volatility,Dividend)</f>
        <v>#NAME?</v>
      </c>
      <c r="L8" s="170" t="s">
        <v>52</v>
      </c>
      <c r="M8" s="171">
        <v>7.0000000000000007E-2</v>
      </c>
      <c r="N8" s="159"/>
    </row>
    <row r="9" spans="1:14" ht="15.75" customHeight="1" x14ac:dyDescent="0.25">
      <c r="A9" s="166" t="s">
        <v>91</v>
      </c>
      <c r="B9" s="172">
        <v>1</v>
      </c>
      <c r="D9" s="168" t="s">
        <v>92</v>
      </c>
      <c r="E9" s="169" t="e">
        <f ca="1">_xludf.Gamma(StockPrice,StrikePrice,TimeToExpiry,RiskFreeRate,Volatility,Dividend)</f>
        <v>#NAME?</v>
      </c>
      <c r="F9" s="169" t="e">
        <f ca="1">_xludf.Gamma(StockPrice,StrikePrice,TimeToExpiry,RiskFreeRate,Volatility,Dividend)</f>
        <v>#NAME?</v>
      </c>
      <c r="H9" s="173" t="s">
        <v>93</v>
      </c>
      <c r="L9" s="159"/>
      <c r="M9" s="159"/>
      <c r="N9" s="159"/>
    </row>
    <row r="10" spans="1:14" ht="15.75" customHeight="1" x14ac:dyDescent="0.25">
      <c r="A10" s="166" t="s">
        <v>94</v>
      </c>
      <c r="B10" s="174">
        <v>7.0000000000000007E-2</v>
      </c>
      <c r="D10" s="168" t="s">
        <v>95</v>
      </c>
      <c r="E10" s="169" t="e">
        <f ca="1">OptionTheta("C",StockPrice,StrikePrice,TimeToExpiry,RiskFreeRate,Volatility,Dividend)</f>
        <v>#NAME?</v>
      </c>
      <c r="F10" s="169" t="e">
        <f ca="1">OptionTheta("P",StockPrice,StrikePrice,TimeToExpiry,RiskFreeRate,Volatility,Dividend)</f>
        <v>#NAME?</v>
      </c>
      <c r="H10" s="173" t="s">
        <v>96</v>
      </c>
      <c r="L10" s="159"/>
      <c r="M10" s="159"/>
      <c r="N10" s="159"/>
    </row>
    <row r="11" spans="1:14" ht="15.75" customHeight="1" x14ac:dyDescent="0.25">
      <c r="A11" s="166" t="s">
        <v>97</v>
      </c>
      <c r="B11" s="175">
        <v>5.0000000000000001E-3</v>
      </c>
      <c r="D11" s="168" t="s">
        <v>98</v>
      </c>
      <c r="E11" s="169" t="e">
        <f ca="1">vega(StockPrice,StrikePrice,TimeToExpiry,RiskFreeRate,Volatility,Dividend)</f>
        <v>#NAME?</v>
      </c>
      <c r="F11" s="169" t="e">
        <f ca="1">vega(StockPrice,StrikePrice,TimeToExpiry,RiskFreeRate,Volatility,Dividend)</f>
        <v>#NAME?</v>
      </c>
      <c r="G11" s="176"/>
      <c r="L11" s="159"/>
      <c r="M11" s="159"/>
      <c r="N11" s="159"/>
    </row>
    <row r="12" spans="1:14" ht="15.75" customHeight="1" x14ac:dyDescent="0.25">
      <c r="A12" s="166" t="s">
        <v>99</v>
      </c>
      <c r="B12" s="175">
        <v>0</v>
      </c>
      <c r="C12" s="176"/>
      <c r="D12" s="168" t="s">
        <v>100</v>
      </c>
      <c r="E12" s="169" t="e">
        <f ca="1">OptionRho("C",StockPrice,StrikePrice,TimeToExpiry,RiskFreeRate,Volatility,Dividend)</f>
        <v>#NAME?</v>
      </c>
      <c r="F12" s="169" t="e">
        <f ca="1">OptionRho("P",StockPrice,StrikePrice,TimeToExpiry,RiskFreeRate,Volatility,Dividend)</f>
        <v>#NAME?</v>
      </c>
      <c r="L12" s="159"/>
      <c r="M12" s="159"/>
      <c r="N12" s="159"/>
    </row>
    <row r="13" spans="1:14" ht="15.75" customHeight="1" x14ac:dyDescent="0.25">
      <c r="B13" s="156"/>
      <c r="L13" s="159"/>
      <c r="M13" s="158" t="s">
        <v>53</v>
      </c>
      <c r="N13" s="159">
        <f>(LN(M4/M5)+(M6+0.5*M8^2)*M7)/(M8*M7^0.5)</f>
        <v>0.80343091670617206</v>
      </c>
    </row>
    <row r="14" spans="1:14" ht="15.75" customHeight="1" x14ac:dyDescent="0.25">
      <c r="A14" s="177"/>
      <c r="B14" s="156"/>
      <c r="L14" s="159"/>
      <c r="M14" s="158" t="s">
        <v>54</v>
      </c>
      <c r="N14" s="159">
        <f>N13-M8*SQRT(M7)</f>
        <v>0.73343091670617211</v>
      </c>
    </row>
    <row r="15" spans="1:14" ht="15.75" customHeight="1" x14ac:dyDescent="0.25">
      <c r="B15" s="156"/>
      <c r="L15" s="159"/>
      <c r="M15" s="159"/>
      <c r="N15" s="159"/>
    </row>
    <row r="16" spans="1:14" ht="15.75" customHeight="1" x14ac:dyDescent="0.25">
      <c r="A16" s="178" t="s">
        <v>101</v>
      </c>
      <c r="B16" s="178" t="s">
        <v>102</v>
      </c>
      <c r="C16" s="178" t="s">
        <v>82</v>
      </c>
      <c r="D16" s="178" t="s">
        <v>103</v>
      </c>
      <c r="E16" s="178" t="s">
        <v>104</v>
      </c>
      <c r="F16" s="178" t="s">
        <v>105</v>
      </c>
      <c r="G16" s="178" t="s">
        <v>106</v>
      </c>
      <c r="L16" s="158" t="s">
        <v>55</v>
      </c>
      <c r="M16" s="158">
        <f>NORMSDIST(N13)</f>
        <v>0.78913714430013915</v>
      </c>
      <c r="N16" s="159"/>
    </row>
    <row r="17" spans="1:14" ht="15.75" customHeight="1" x14ac:dyDescent="0.25">
      <c r="A17" s="179" t="s">
        <v>107</v>
      </c>
      <c r="B17" s="179">
        <v>6.4074</v>
      </c>
      <c r="C17" s="179">
        <v>0.78910000000000002</v>
      </c>
      <c r="D17" s="179">
        <v>3.9300000000000002E-2</v>
      </c>
      <c r="E17" s="179">
        <v>-1.9E-3</v>
      </c>
      <c r="F17" s="179">
        <v>0.30330000000000001</v>
      </c>
      <c r="G17" s="179">
        <v>0.76449999999999996</v>
      </c>
      <c r="L17" s="180" t="s">
        <v>108</v>
      </c>
      <c r="M17" s="159">
        <f>NORMSDIST(N14)</f>
        <v>0.76835217580498782</v>
      </c>
      <c r="N17" s="159"/>
    </row>
    <row r="18" spans="1:14" ht="15.75" customHeight="1" x14ac:dyDescent="0.25">
      <c r="A18" s="179" t="s">
        <v>109</v>
      </c>
      <c r="B18" s="179">
        <v>0.90859999999999996</v>
      </c>
      <c r="C18" s="179">
        <v>-0.2109</v>
      </c>
      <c r="D18" s="179">
        <v>3.9300000000000002E-2</v>
      </c>
      <c r="E18" s="179">
        <v>-3.2000000000000002E-3</v>
      </c>
      <c r="F18" s="179">
        <v>0.30330000000000001</v>
      </c>
      <c r="G18" s="179">
        <v>-0.23050000000000001</v>
      </c>
      <c r="L18" s="159"/>
      <c r="M18" s="159"/>
      <c r="N18" s="159"/>
    </row>
    <row r="19" spans="1:14" ht="15.75" customHeight="1" x14ac:dyDescent="0.25">
      <c r="B19" s="156"/>
      <c r="L19" s="170" t="s">
        <v>58</v>
      </c>
      <c r="M19" s="181">
        <f>M4*M16-M5*EXP(-M6*M7)*M17</f>
        <v>6.407399817433344</v>
      </c>
      <c r="N19" s="159"/>
    </row>
    <row r="20" spans="1:14" ht="15.75" customHeight="1" x14ac:dyDescent="0.25">
      <c r="B20" s="156"/>
      <c r="L20" s="158" t="s">
        <v>59</v>
      </c>
      <c r="M20" s="158">
        <f>M19-M4+M5*EXP(-M6*M7)</f>
        <v>0.90864773670158172</v>
      </c>
      <c r="N20" s="159"/>
    </row>
    <row r="21" spans="1:14" ht="15.75" customHeight="1" x14ac:dyDescent="0.25">
      <c r="A21" s="178" t="s">
        <v>110</v>
      </c>
      <c r="B21" s="178" t="s">
        <v>102</v>
      </c>
      <c r="C21" s="178" t="s">
        <v>82</v>
      </c>
      <c r="D21" s="178" t="s">
        <v>103</v>
      </c>
      <c r="E21" s="178" t="s">
        <v>104</v>
      </c>
      <c r="F21" s="178" t="s">
        <v>105</v>
      </c>
      <c r="G21" s="178" t="s">
        <v>106</v>
      </c>
    </row>
    <row r="22" spans="1:14" ht="15.75" customHeight="1" x14ac:dyDescent="0.25">
      <c r="A22" s="179" t="s">
        <v>107</v>
      </c>
      <c r="B22" s="179">
        <v>10.748200000000001</v>
      </c>
      <c r="C22" s="179">
        <v>0.92889999999999995</v>
      </c>
      <c r="D22" s="179">
        <v>1.7600000000000001E-2</v>
      </c>
      <c r="E22" s="179">
        <v>-2.0000000000000001E-4</v>
      </c>
      <c r="F22" s="179">
        <v>0.14940000000000001</v>
      </c>
      <c r="G22" s="179">
        <v>0.91439999999999999</v>
      </c>
    </row>
    <row r="23" spans="1:14" ht="15.75" customHeight="1" x14ac:dyDescent="0.25">
      <c r="A23" s="179" t="s">
        <v>109</v>
      </c>
      <c r="B23" s="179">
        <v>0.2495</v>
      </c>
      <c r="C23" s="179">
        <v>-7.1099999999999997E-2</v>
      </c>
      <c r="D23" s="179">
        <v>1.7600000000000001E-2</v>
      </c>
      <c r="E23" s="179">
        <v>-1.5E-3</v>
      </c>
      <c r="F23" s="179">
        <v>0.14940000000000001</v>
      </c>
      <c r="G23" s="179">
        <v>-8.0699999999999994E-2</v>
      </c>
    </row>
    <row r="26" spans="1:14" ht="15.75" customHeight="1" x14ac:dyDescent="0.25">
      <c r="A26" s="178" t="s">
        <v>111</v>
      </c>
      <c r="B26" s="178" t="s">
        <v>102</v>
      </c>
      <c r="C26" s="178" t="s">
        <v>82</v>
      </c>
      <c r="D26" s="178" t="s">
        <v>103</v>
      </c>
      <c r="E26" s="178" t="s">
        <v>104</v>
      </c>
      <c r="F26" s="178" t="s">
        <v>105</v>
      </c>
      <c r="G26" s="178" t="s">
        <v>106</v>
      </c>
    </row>
    <row r="27" spans="1:14" ht="15.75" customHeight="1" x14ac:dyDescent="0.25">
      <c r="A27" s="179" t="s">
        <v>107</v>
      </c>
      <c r="B27" s="179">
        <v>4.9138000000000002</v>
      </c>
      <c r="C27" s="179">
        <v>0.70150000000000001</v>
      </c>
      <c r="D27" s="179">
        <v>4.8099999999999997E-2</v>
      </c>
      <c r="E27" s="179">
        <v>-2.5000000000000001E-3</v>
      </c>
      <c r="F27" s="179">
        <v>0.35730000000000001</v>
      </c>
      <c r="G27" s="179">
        <v>0.6734</v>
      </c>
    </row>
    <row r="28" spans="1:14" ht="15.75" customHeight="1" x14ac:dyDescent="0.25">
      <c r="A28" s="179" t="s">
        <v>109</v>
      </c>
      <c r="B28" s="179">
        <v>0.41510000000000002</v>
      </c>
      <c r="C28" s="179">
        <v>-0.2109</v>
      </c>
      <c r="D28" s="179">
        <v>4.8099999999999997E-2</v>
      </c>
      <c r="E28" s="179">
        <v>-3.8999999999999998E-3</v>
      </c>
      <c r="F28" s="179">
        <v>0.35730000000000001</v>
      </c>
      <c r="G28" s="179">
        <v>0.3216</v>
      </c>
    </row>
    <row r="32" spans="1:14" ht="15.75" customHeight="1" x14ac:dyDescent="0.25">
      <c r="A32" s="178" t="s">
        <v>112</v>
      </c>
      <c r="B32" s="178" t="s">
        <v>102</v>
      </c>
      <c r="C32" s="178" t="s">
        <v>82</v>
      </c>
      <c r="D32" s="178" t="s">
        <v>103</v>
      </c>
      <c r="E32" s="178" t="s">
        <v>104</v>
      </c>
      <c r="F32" s="178" t="s">
        <v>105</v>
      </c>
      <c r="G32" s="178" t="s">
        <v>106</v>
      </c>
    </row>
    <row r="33" spans="1:7" ht="15.75" customHeight="1" x14ac:dyDescent="0.25">
      <c r="A33" s="179" t="s">
        <v>107</v>
      </c>
      <c r="B33" s="179">
        <v>30.498899999999999</v>
      </c>
      <c r="C33" s="179">
        <v>0.99999000000000005</v>
      </c>
      <c r="D33" s="179">
        <v>0</v>
      </c>
      <c r="E33" s="179">
        <v>1.4E-3</v>
      </c>
      <c r="F33" s="179">
        <v>2.9999999999999997E-4</v>
      </c>
      <c r="G33" s="179">
        <v>0.99490000000000001</v>
      </c>
    </row>
    <row r="34" spans="1:7" ht="15.75" customHeight="1" x14ac:dyDescent="0.25">
      <c r="A34" s="179" t="s">
        <v>109</v>
      </c>
      <c r="B34" s="179">
        <v>1E-4</v>
      </c>
      <c r="C34" s="179">
        <v>-1E-4</v>
      </c>
      <c r="D34" s="179">
        <v>0</v>
      </c>
      <c r="E34" s="179">
        <v>0</v>
      </c>
      <c r="F34" s="179">
        <v>2.9999999999999997E-4</v>
      </c>
      <c r="G34" s="179">
        <v>-1E-4</v>
      </c>
    </row>
    <row r="37" spans="1:7" ht="15.75" customHeight="1" x14ac:dyDescent="0.25">
      <c r="A37" s="178" t="s">
        <v>113</v>
      </c>
      <c r="B37" s="178" t="s">
        <v>102</v>
      </c>
      <c r="C37" s="178" t="s">
        <v>82</v>
      </c>
      <c r="D37" s="178" t="s">
        <v>103</v>
      </c>
      <c r="E37" s="178" t="s">
        <v>104</v>
      </c>
      <c r="F37" s="178" t="s">
        <v>105</v>
      </c>
      <c r="G37" s="178" t="s">
        <v>106</v>
      </c>
    </row>
    <row r="38" spans="1:7" ht="15.75" customHeight="1" x14ac:dyDescent="0.25">
      <c r="A38" s="179" t="s">
        <v>107</v>
      </c>
      <c r="B38" s="179">
        <v>35.498800000000003</v>
      </c>
      <c r="C38" s="179">
        <v>1</v>
      </c>
      <c r="D38" s="179">
        <v>0</v>
      </c>
      <c r="E38" s="179">
        <v>1.4E-3</v>
      </c>
      <c r="F38" s="179">
        <v>0</v>
      </c>
      <c r="G38" s="179">
        <v>0.995</v>
      </c>
    </row>
    <row r="39" spans="1:7" ht="15.75" customHeight="1" x14ac:dyDescent="0.25">
      <c r="A39" s="179" t="s">
        <v>109</v>
      </c>
      <c r="B39" s="179">
        <v>0</v>
      </c>
      <c r="C39" s="179">
        <v>0</v>
      </c>
      <c r="D39" s="179">
        <v>0</v>
      </c>
      <c r="E39" s="179">
        <v>0</v>
      </c>
      <c r="F39" s="179">
        <v>0</v>
      </c>
      <c r="G39" s="179">
        <v>0</v>
      </c>
    </row>
    <row r="47" spans="1:7" ht="15.75" customHeight="1" x14ac:dyDescent="0.35">
      <c r="C47" s="183" t="s">
        <v>72</v>
      </c>
    </row>
    <row r="49" spans="1:8" ht="15.75" customHeight="1" x14ac:dyDescent="0.25">
      <c r="A49" s="184" t="s">
        <v>61</v>
      </c>
      <c r="B49" s="184" t="s">
        <v>102</v>
      </c>
      <c r="C49" s="184" t="s">
        <v>82</v>
      </c>
      <c r="D49" s="184" t="s">
        <v>103</v>
      </c>
      <c r="E49" s="184" t="s">
        <v>104</v>
      </c>
      <c r="F49" s="184" t="s">
        <v>105</v>
      </c>
      <c r="G49" s="184" t="s">
        <v>106</v>
      </c>
      <c r="H49" s="184" t="s">
        <v>114</v>
      </c>
    </row>
    <row r="50" spans="1:8" ht="15.75" customHeight="1" x14ac:dyDescent="0.25">
      <c r="A50" s="185">
        <v>100</v>
      </c>
      <c r="B50" s="185">
        <v>3.04</v>
      </c>
      <c r="C50" s="185">
        <v>0.54239999999999999</v>
      </c>
      <c r="D50" s="185">
        <v>5.67E-2</v>
      </c>
      <c r="E50" s="185">
        <v>-3.0999999999999999E-3</v>
      </c>
      <c r="F50" s="185">
        <v>0.3967</v>
      </c>
      <c r="G50" s="185">
        <v>0.51200000000000001</v>
      </c>
      <c r="H50" s="185">
        <f>B50-(A50-100)</f>
        <v>3.04</v>
      </c>
    </row>
    <row r="51" spans="1:8" ht="15.75" customHeight="1" x14ac:dyDescent="0.25">
      <c r="A51" s="186">
        <v>103</v>
      </c>
      <c r="B51" s="185">
        <f>B27</f>
        <v>4.9138000000000002</v>
      </c>
      <c r="C51" s="185">
        <f t="shared" ref="C51:G51" si="0">C27</f>
        <v>0.70150000000000001</v>
      </c>
      <c r="D51" s="185">
        <f t="shared" si="0"/>
        <v>4.8099999999999997E-2</v>
      </c>
      <c r="E51" s="185">
        <f t="shared" si="0"/>
        <v>-2.5000000000000001E-3</v>
      </c>
      <c r="F51" s="185">
        <f t="shared" si="0"/>
        <v>0.35730000000000001</v>
      </c>
      <c r="G51" s="185">
        <f t="shared" si="0"/>
        <v>0.6734</v>
      </c>
      <c r="H51" s="185">
        <f>B51-(A51-100)</f>
        <v>1.9138000000000002</v>
      </c>
    </row>
    <row r="52" spans="1:8" ht="15.75" customHeight="1" x14ac:dyDescent="0.25">
      <c r="A52" s="186">
        <v>105</v>
      </c>
      <c r="B52" s="185">
        <f>B17</f>
        <v>6.4074</v>
      </c>
      <c r="C52" s="185">
        <f t="shared" ref="C52:G52" si="1">C17</f>
        <v>0.78910000000000002</v>
      </c>
      <c r="D52" s="185">
        <f t="shared" si="1"/>
        <v>3.9300000000000002E-2</v>
      </c>
      <c r="E52" s="185">
        <f t="shared" si="1"/>
        <v>-1.9E-3</v>
      </c>
      <c r="F52" s="185">
        <f t="shared" si="1"/>
        <v>0.30330000000000001</v>
      </c>
      <c r="G52" s="185">
        <f t="shared" si="1"/>
        <v>0.76449999999999996</v>
      </c>
      <c r="H52" s="185">
        <f t="shared" ref="H52:H55" si="2">B52-(A52-100)</f>
        <v>1.4074</v>
      </c>
    </row>
    <row r="53" spans="1:8" ht="15.75" customHeight="1" x14ac:dyDescent="0.25">
      <c r="A53" s="186">
        <v>110</v>
      </c>
      <c r="B53" s="185">
        <f>B22</f>
        <v>10.748200000000001</v>
      </c>
      <c r="C53" s="185">
        <f t="shared" ref="C53:G53" si="3">C22</f>
        <v>0.92889999999999995</v>
      </c>
      <c r="D53" s="185">
        <f t="shared" si="3"/>
        <v>1.7600000000000001E-2</v>
      </c>
      <c r="E53" s="185">
        <f t="shared" si="3"/>
        <v>-2.0000000000000001E-4</v>
      </c>
      <c r="F53" s="185">
        <f t="shared" si="3"/>
        <v>0.14940000000000001</v>
      </c>
      <c r="G53" s="185">
        <f t="shared" si="3"/>
        <v>0.91439999999999999</v>
      </c>
      <c r="H53" s="185">
        <f t="shared" si="2"/>
        <v>0.74820000000000064</v>
      </c>
    </row>
    <row r="54" spans="1:8" ht="15.75" customHeight="1" x14ac:dyDescent="0.25">
      <c r="A54" s="186">
        <v>130</v>
      </c>
      <c r="B54" s="185">
        <f>B33</f>
        <v>30.498899999999999</v>
      </c>
      <c r="C54" s="185">
        <f t="shared" ref="C54:G54" si="4">C33</f>
        <v>0.99999000000000005</v>
      </c>
      <c r="D54" s="185">
        <f t="shared" si="4"/>
        <v>0</v>
      </c>
      <c r="E54" s="185">
        <f t="shared" si="4"/>
        <v>1.4E-3</v>
      </c>
      <c r="F54" s="185">
        <f t="shared" si="4"/>
        <v>2.9999999999999997E-4</v>
      </c>
      <c r="G54" s="185">
        <f t="shared" si="4"/>
        <v>0.99490000000000001</v>
      </c>
      <c r="H54" s="185">
        <f t="shared" si="2"/>
        <v>0.49889999999999901</v>
      </c>
    </row>
    <row r="55" spans="1:8" ht="15.75" customHeight="1" x14ac:dyDescent="0.25">
      <c r="A55" s="186">
        <v>135</v>
      </c>
      <c r="B55" s="185">
        <f>B38</f>
        <v>35.498800000000003</v>
      </c>
      <c r="C55" s="185">
        <f t="shared" ref="C55:G55" si="5">C38</f>
        <v>1</v>
      </c>
      <c r="D55" s="185">
        <f t="shared" si="5"/>
        <v>0</v>
      </c>
      <c r="E55" s="185">
        <f t="shared" si="5"/>
        <v>1.4E-3</v>
      </c>
      <c r="F55" s="185">
        <f t="shared" si="5"/>
        <v>0</v>
      </c>
      <c r="G55" s="185">
        <f t="shared" si="5"/>
        <v>0.995</v>
      </c>
      <c r="H55" s="185">
        <f t="shared" si="2"/>
        <v>0.4988000000000028</v>
      </c>
    </row>
    <row r="56" spans="1:8" ht="15.75" customHeight="1" x14ac:dyDescent="0.25">
      <c r="B56" s="156"/>
    </row>
    <row r="69" spans="1:8" ht="37.5" customHeight="1" x14ac:dyDescent="0.25"/>
    <row r="70" spans="1:8" ht="15.75" customHeight="1" x14ac:dyDescent="0.3">
      <c r="C70" s="187" t="s">
        <v>115</v>
      </c>
    </row>
    <row r="73" spans="1:8" ht="15.75" customHeight="1" x14ac:dyDescent="0.25">
      <c r="A73" s="184" t="s">
        <v>61</v>
      </c>
      <c r="B73" s="184" t="s">
        <v>102</v>
      </c>
      <c r="C73" s="184" t="s">
        <v>82</v>
      </c>
      <c r="D73" s="184" t="s">
        <v>103</v>
      </c>
      <c r="E73" s="184" t="s">
        <v>104</v>
      </c>
      <c r="F73" s="184" t="s">
        <v>105</v>
      </c>
      <c r="G73" s="184" t="s">
        <v>106</v>
      </c>
      <c r="H73" s="184" t="s">
        <v>114</v>
      </c>
    </row>
    <row r="74" spans="1:8" ht="15.75" customHeight="1" x14ac:dyDescent="0.25">
      <c r="A74" s="186">
        <v>20</v>
      </c>
      <c r="B74" s="185">
        <v>29.75</v>
      </c>
      <c r="C74" s="185">
        <v>-1</v>
      </c>
      <c r="D74" s="185">
        <v>0</v>
      </c>
      <c r="E74" s="185">
        <v>6.9999999999999999E-4</v>
      </c>
      <c r="F74" s="185">
        <v>0</v>
      </c>
      <c r="G74" s="185">
        <v>-0.4975</v>
      </c>
      <c r="H74" s="185">
        <f>(50-A74)-B74</f>
        <v>0.25</v>
      </c>
    </row>
    <row r="75" spans="1:8" ht="15.75" customHeight="1" x14ac:dyDescent="0.25">
      <c r="A75" s="186">
        <v>30</v>
      </c>
      <c r="B75" s="185">
        <v>19.750599999999999</v>
      </c>
      <c r="C75" s="185">
        <v>-1</v>
      </c>
      <c r="D75" s="185">
        <v>0</v>
      </c>
      <c r="E75" s="185">
        <v>-6.9999999999999999E-4</v>
      </c>
      <c r="F75" s="185">
        <v>0</v>
      </c>
      <c r="G75" s="185">
        <v>-0.4975</v>
      </c>
      <c r="H75" s="185">
        <f t="shared" ref="H75:H78" si="6">(50-A75)-B75</f>
        <v>0.2494000000000014</v>
      </c>
    </row>
    <row r="76" spans="1:8" ht="15.75" customHeight="1" x14ac:dyDescent="0.25">
      <c r="A76" s="186">
        <v>40</v>
      </c>
      <c r="B76" s="185">
        <v>9.7514000000000003</v>
      </c>
      <c r="C76" s="185">
        <v>-0.99990000000000001</v>
      </c>
      <c r="D76" s="185">
        <v>1.1999999999999999E-3</v>
      </c>
      <c r="E76" s="185">
        <v>-6.9999999999999999E-4</v>
      </c>
      <c r="F76" s="185">
        <v>1.4E-3</v>
      </c>
      <c r="G76" s="185">
        <v>-0.49709999999999999</v>
      </c>
      <c r="H76" s="185">
        <f t="shared" si="6"/>
        <v>0.24859999999999971</v>
      </c>
    </row>
    <row r="77" spans="1:8" ht="15.75" customHeight="1" x14ac:dyDescent="0.25">
      <c r="A77" s="186">
        <v>50</v>
      </c>
      <c r="B77" s="185">
        <v>1.2714000000000001</v>
      </c>
      <c r="C77" s="185">
        <v>-0.45760000000000001</v>
      </c>
      <c r="D77" s="185">
        <v>0.1133</v>
      </c>
      <c r="E77" s="185">
        <v>-2.2000000000000001E-3</v>
      </c>
      <c r="F77" s="185">
        <v>0.1983</v>
      </c>
      <c r="G77" s="185">
        <v>-0.24149999999999999</v>
      </c>
      <c r="H77" s="185">
        <f t="shared" si="6"/>
        <v>-1.2714000000000001</v>
      </c>
    </row>
    <row r="78" spans="1:8" ht="15.75" customHeight="1" x14ac:dyDescent="0.25">
      <c r="A78" s="186">
        <v>60</v>
      </c>
      <c r="B78" s="185">
        <v>4.4000000000000003E-3</v>
      </c>
      <c r="C78" s="185">
        <v>-3.3999999999999998E-3</v>
      </c>
      <c r="D78" s="185">
        <v>2.3999999999999998E-3</v>
      </c>
      <c r="E78" s="185">
        <v>-1E-4</v>
      </c>
      <c r="F78" s="185">
        <v>6.1000000000000004E-3</v>
      </c>
      <c r="G78" s="185">
        <v>-2.0999999999999999E-3</v>
      </c>
      <c r="H78" s="185">
        <f t="shared" si="6"/>
        <v>-10.0044</v>
      </c>
    </row>
  </sheetData>
  <mergeCells count="3">
    <mergeCell ref="A2:F2"/>
    <mergeCell ref="L2:N2"/>
    <mergeCell ref="A4:F4"/>
  </mergeCells>
  <dataValidations count="1">
    <dataValidation type="list" allowBlank="1" showInputMessage="1" showErrorMessage="1" sqref="M8" xr:uid="{B4485F95-2392-47C1-81BA-11F4E1A96E6E}">
      <formula1>"7%,10%,20%,30%,40%,50%,70%"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A07C-529D-4898-8C19-43DF714411A8}">
  <sheetPr codeName="Sheet2"/>
  <dimension ref="A1:AB66"/>
  <sheetViews>
    <sheetView showGridLines="0" zoomScale="70" zoomScaleNormal="70" workbookViewId="0">
      <selection sqref="A1:XFD1048576"/>
    </sheetView>
  </sheetViews>
  <sheetFormatPr defaultRowHeight="15" x14ac:dyDescent="0.25"/>
  <cols>
    <col min="1" max="16384" width="9.140625" style="125"/>
  </cols>
  <sheetData>
    <row r="1" spans="1:28" ht="18" x14ac:dyDescent="0.35">
      <c r="A1" s="155" t="s">
        <v>116</v>
      </c>
      <c r="B1" s="155">
        <v>100</v>
      </c>
      <c r="C1" s="155"/>
    </row>
    <row r="2" spans="1:28" x14ac:dyDescent="0.25">
      <c r="A2" s="155" t="s">
        <v>117</v>
      </c>
      <c r="B2" s="188">
        <v>5.0000000000000001E-3</v>
      </c>
      <c r="C2" s="155"/>
    </row>
    <row r="3" spans="1:28" x14ac:dyDescent="0.25">
      <c r="A3" s="155" t="s">
        <v>118</v>
      </c>
      <c r="B3" s="155">
        <v>100</v>
      </c>
      <c r="C3" s="155"/>
    </row>
    <row r="4" spans="1:28" x14ac:dyDescent="0.25">
      <c r="A4" s="155" t="s">
        <v>51</v>
      </c>
      <c r="B4" s="155">
        <v>1</v>
      </c>
      <c r="C4" s="155"/>
    </row>
    <row r="5" spans="1:28" ht="18" x14ac:dyDescent="0.35">
      <c r="A5" s="155" t="s">
        <v>119</v>
      </c>
      <c r="B5" s="155">
        <v>2</v>
      </c>
      <c r="C5" s="155"/>
    </row>
    <row r="6" spans="1:28" x14ac:dyDescent="0.25">
      <c r="A6" s="155"/>
      <c r="B6" s="155"/>
      <c r="C6" s="155"/>
      <c r="G6" s="139" t="s">
        <v>72</v>
      </c>
      <c r="H6" s="139"/>
      <c r="I6" s="139"/>
      <c r="J6" s="139"/>
      <c r="K6" s="139"/>
      <c r="L6" s="139"/>
      <c r="M6" s="139" t="s">
        <v>120</v>
      </c>
      <c r="N6" s="139" t="s">
        <v>121</v>
      </c>
      <c r="S6" s="139" t="s">
        <v>122</v>
      </c>
      <c r="T6" s="139"/>
      <c r="U6" s="139"/>
      <c r="V6" s="139"/>
      <c r="W6" s="139"/>
      <c r="X6" s="139"/>
      <c r="Y6" s="139"/>
      <c r="Z6" s="139" t="s">
        <v>123</v>
      </c>
      <c r="AA6" s="139"/>
    </row>
    <row r="7" spans="1:28" x14ac:dyDescent="0.25">
      <c r="A7" s="155" t="s">
        <v>124</v>
      </c>
      <c r="B7" s="189">
        <f>1+5%</f>
        <v>1.05</v>
      </c>
      <c r="C7" s="155">
        <v>1.5</v>
      </c>
    </row>
    <row r="8" spans="1:28" x14ac:dyDescent="0.25">
      <c r="A8" s="155" t="s">
        <v>125</v>
      </c>
      <c r="B8" s="189">
        <f>1-5%</f>
        <v>0.95</v>
      </c>
      <c r="C8" s="155">
        <v>0.95</v>
      </c>
      <c r="I8" s="125">
        <f>G10*$B$7</f>
        <v>110.25</v>
      </c>
      <c r="O8" s="125">
        <f>M10*$B$7</f>
        <v>110.25</v>
      </c>
    </row>
    <row r="9" spans="1:28" x14ac:dyDescent="0.25">
      <c r="A9" s="155"/>
      <c r="B9" s="155"/>
      <c r="C9" s="155"/>
      <c r="I9" s="125">
        <f>IF(I8&gt;$B$3,I8-$B$3,0)</f>
        <v>10.25</v>
      </c>
      <c r="O9" s="125">
        <f>IF(O8&gt;$B$3,O8-$B$3,0)</f>
        <v>10.25</v>
      </c>
      <c r="U9" s="125">
        <f>O9</f>
        <v>10.25</v>
      </c>
    </row>
    <row r="10" spans="1:28" x14ac:dyDescent="0.25">
      <c r="A10" s="155" t="s">
        <v>126</v>
      </c>
      <c r="B10" s="155">
        <f>(1+(B2-C8))/(B7-B8)</f>
        <v>0.55000000000000004</v>
      </c>
      <c r="C10" s="155"/>
      <c r="G10" s="125">
        <f>E12*$B$7</f>
        <v>105</v>
      </c>
      <c r="M10" s="125">
        <f>K12*$B$7</f>
        <v>105</v>
      </c>
      <c r="U10" s="125">
        <f>IF(U9&gt;2,U9-2,0)</f>
        <v>8.25</v>
      </c>
      <c r="AB10" s="125">
        <v>0</v>
      </c>
    </row>
    <row r="11" spans="1:28" x14ac:dyDescent="0.25">
      <c r="A11" s="155" t="s">
        <v>127</v>
      </c>
      <c r="B11" s="155">
        <f>1-B10</f>
        <v>0.44999999999999996</v>
      </c>
      <c r="C11" s="155"/>
      <c r="I11" s="125">
        <f>G10*$B$8</f>
        <v>99.75</v>
      </c>
      <c r="M11" s="125">
        <f>EXP(-$B$2*$B$4)*($B$14*O9+$B$15*O12)</f>
        <v>5.6106598386125492</v>
      </c>
      <c r="O11" s="125">
        <f>M10*$B$8</f>
        <v>99.75</v>
      </c>
      <c r="S11" s="125">
        <f>M11</f>
        <v>5.6106598386125492</v>
      </c>
    </row>
    <row r="12" spans="1:28" x14ac:dyDescent="0.25">
      <c r="A12" s="155"/>
      <c r="B12" s="155"/>
      <c r="C12" s="155"/>
      <c r="E12" s="125">
        <f>B1</f>
        <v>100</v>
      </c>
      <c r="G12" s="125">
        <f>((I9*$B$10)+(I12*$B$11))/(1+$B$2)</f>
        <v>5.609452736318409</v>
      </c>
      <c r="I12" s="125">
        <f>IF(I11&gt;$B$3,I11-$B$3,0)</f>
        <v>0</v>
      </c>
      <c r="K12" s="125">
        <v>100</v>
      </c>
      <c r="O12" s="125">
        <f>IF(O11&gt;$B$3,O11-$B$3,0)</f>
        <v>0</v>
      </c>
      <c r="Q12" s="125">
        <f>K13</f>
        <v>3.0711711048409556</v>
      </c>
      <c r="S12" s="125">
        <f>EXP(-$B$2*$B$4)*(U10*0.55+U13*0.45)</f>
        <v>4.5148691243367969</v>
      </c>
      <c r="U12" s="125">
        <f>O12</f>
        <v>0</v>
      </c>
      <c r="X12" s="125">
        <f>Q12</f>
        <v>3.0711711048409556</v>
      </c>
      <c r="Z12" s="125">
        <f>EXP(-$B$2*$B$4)*(AB10*0.55+AB12*0.45)</f>
        <v>0.11193890390917677</v>
      </c>
      <c r="AB12" s="125">
        <v>0.25</v>
      </c>
    </row>
    <row r="13" spans="1:28" x14ac:dyDescent="0.25">
      <c r="A13" s="155" t="s">
        <v>128</v>
      </c>
      <c r="B13" s="155"/>
      <c r="C13" s="155"/>
      <c r="E13" s="125">
        <f>(G12*$B$10+G16*$B$11)/(1+$B$2)</f>
        <v>3.0698497561941545</v>
      </c>
      <c r="I13" s="125">
        <f>G14*$B$7</f>
        <v>99.75</v>
      </c>
      <c r="K13" s="125">
        <f>EXP(-$B$2*$B$4)*($B$14*M11+$B$15*M15)</f>
        <v>3.0711711048409556</v>
      </c>
      <c r="O13" s="125">
        <f>M14*$B$7</f>
        <v>99.75</v>
      </c>
      <c r="Q13" s="125">
        <f>EXP(-$B$2*$B$4)*(S12*0.55+S16*0.45)</f>
        <v>2.4707931163502681</v>
      </c>
      <c r="S13" s="125">
        <f>IF(S11&gt;2,S11-2,0)</f>
        <v>3.6106598386125492</v>
      </c>
      <c r="U13" s="125">
        <f>IF(U12&gt;2,U12-2,0)</f>
        <v>0</v>
      </c>
      <c r="X13" s="125">
        <f>EXP(-$B$2*$B$4)*(Z12*0.55+Z16*0.45)</f>
        <v>1.1817370761615595</v>
      </c>
      <c r="Z13" s="125">
        <f>IF(2&lt;Z12,Z12-2,0)</f>
        <v>0</v>
      </c>
      <c r="AB13" s="125">
        <v>0</v>
      </c>
    </row>
    <row r="14" spans="1:28" x14ac:dyDescent="0.25">
      <c r="A14" s="155" t="s">
        <v>126</v>
      </c>
      <c r="B14" s="190">
        <f>(EXP($B$2*$B$4)-$B$8)/($B$7-$B$8)</f>
        <v>0.5501252085940096</v>
      </c>
      <c r="C14" s="155"/>
      <c r="G14" s="125">
        <f>$B$1*$B$8</f>
        <v>95</v>
      </c>
      <c r="I14" s="125">
        <f>IF(I13&gt;$B$3,I13-$B$3,0)</f>
        <v>0</v>
      </c>
      <c r="M14" s="125">
        <f>K12*$B$8</f>
        <v>95</v>
      </c>
      <c r="O14" s="125">
        <f>IF(O13&gt;$B$3,O13-$B$3,0)</f>
        <v>0</v>
      </c>
      <c r="Q14" s="191">
        <f>EXP(-$B$2*$B$4)*(S13*0.55+S17*0.45)</f>
        <v>1.9759583786466277</v>
      </c>
      <c r="U14" s="125">
        <f>O14</f>
        <v>0</v>
      </c>
      <c r="AB14" s="125">
        <v>0.25</v>
      </c>
    </row>
    <row r="15" spans="1:28" x14ac:dyDescent="0.25">
      <c r="A15" s="155" t="s">
        <v>127</v>
      </c>
      <c r="B15" s="190">
        <f>1-B14</f>
        <v>0.4498747914059904</v>
      </c>
      <c r="C15" s="155"/>
      <c r="M15" s="125">
        <f>EXP(-$B$2*$B$4)*($B$14*O14+$B$15*O17)</f>
        <v>0</v>
      </c>
      <c r="S15" s="125">
        <f>M15</f>
        <v>0</v>
      </c>
      <c r="U15" s="125">
        <f>IF(U14&gt;2,U14-2,0)</f>
        <v>0</v>
      </c>
      <c r="Z15" s="125">
        <f>EXP(-$B$2*$B$4)*(AB14*0.55+AB17*0.45)</f>
        <v>4.502431468346888</v>
      </c>
      <c r="AB15" s="125">
        <v>0</v>
      </c>
    </row>
    <row r="16" spans="1:28" x14ac:dyDescent="0.25">
      <c r="G16" s="125">
        <f>((I14*$B$10)+(I17*$B$11))/(1+$B$2)</f>
        <v>0</v>
      </c>
      <c r="I16" s="125">
        <f>G14*$B$8</f>
        <v>90.25</v>
      </c>
      <c r="O16" s="125">
        <f>M14*$B$8</f>
        <v>90.25</v>
      </c>
      <c r="S16" s="125">
        <f>EXP(-$B$2*$B$4)*(U14*0.55+U17*0.45)</f>
        <v>0</v>
      </c>
      <c r="Z16" s="125">
        <f>IF(2&lt;Z15,Z15-2,0)</f>
        <v>2.502431468346888</v>
      </c>
    </row>
    <row r="17" spans="2:28" x14ac:dyDescent="0.25">
      <c r="I17" s="125">
        <f>IF(I16&gt;$B$3,I16-$B$3,0)</f>
        <v>0</v>
      </c>
      <c r="O17" s="125">
        <f>IF(O16&gt;$B$3,O16-$B$3,0)</f>
        <v>0</v>
      </c>
      <c r="S17" s="125">
        <f>IF(S15&gt;2,S15-2,0)</f>
        <v>0</v>
      </c>
      <c r="U17" s="125">
        <f>O17</f>
        <v>0</v>
      </c>
      <c r="AB17" s="125">
        <v>9.75</v>
      </c>
    </row>
    <row r="18" spans="2:28" x14ac:dyDescent="0.25">
      <c r="U18" s="125">
        <f>IF(U17&gt;2,U17-2,0)</f>
        <v>0</v>
      </c>
      <c r="AB18" s="125">
        <v>0</v>
      </c>
    </row>
    <row r="20" spans="2:28" x14ac:dyDescent="0.25">
      <c r="E20" s="125" t="s">
        <v>129</v>
      </c>
      <c r="G20" s="125" t="s">
        <v>130</v>
      </c>
      <c r="I20" s="125" t="s">
        <v>131</v>
      </c>
      <c r="Q20" s="125" t="s">
        <v>129</v>
      </c>
      <c r="S20" s="125" t="s">
        <v>130</v>
      </c>
      <c r="U20" s="125" t="s">
        <v>131</v>
      </c>
    </row>
    <row r="23" spans="2:28" x14ac:dyDescent="0.25">
      <c r="B23" s="125" t="s">
        <v>82</v>
      </c>
      <c r="E23" s="125">
        <f>(G12-G16)/(G10-G14)</f>
        <v>0.56094527363184088</v>
      </c>
      <c r="G23" s="125">
        <f>(I9-I12)/(I8-I11)</f>
        <v>0.97619047619047616</v>
      </c>
      <c r="K23" s="125">
        <f>(M11-M15)/(M10-M14)</f>
        <v>0.56106598386125495</v>
      </c>
      <c r="M23" s="125">
        <f>(O9-O12)/(O8-O11)</f>
        <v>0.97619047619047616</v>
      </c>
    </row>
    <row r="25" spans="2:28" x14ac:dyDescent="0.25">
      <c r="I25" s="218" t="s">
        <v>132</v>
      </c>
      <c r="J25" s="218"/>
      <c r="K25" s="218"/>
      <c r="L25" s="218"/>
      <c r="M25" s="218"/>
      <c r="O25" s="218" t="s">
        <v>132</v>
      </c>
      <c r="P25" s="218"/>
      <c r="Q25" s="218"/>
      <c r="R25" s="218"/>
      <c r="S25" s="218"/>
    </row>
    <row r="26" spans="2:28" x14ac:dyDescent="0.25">
      <c r="I26" s="219"/>
      <c r="J26" s="219"/>
      <c r="K26" s="219"/>
      <c r="L26" s="219"/>
      <c r="M26" s="219"/>
      <c r="O26" s="219"/>
      <c r="P26" s="219"/>
      <c r="Q26" s="219"/>
      <c r="R26" s="219"/>
      <c r="S26" s="219"/>
    </row>
    <row r="27" spans="2:28" x14ac:dyDescent="0.25">
      <c r="I27" s="192" t="s">
        <v>133</v>
      </c>
      <c r="J27" s="192"/>
      <c r="K27" s="192">
        <v>100</v>
      </c>
      <c r="L27" s="192"/>
      <c r="M27" s="192"/>
      <c r="O27" s="192" t="s">
        <v>133</v>
      </c>
      <c r="P27" s="192"/>
      <c r="Q27" s="192">
        <v>100</v>
      </c>
      <c r="R27" s="192"/>
      <c r="S27" s="192"/>
    </row>
    <row r="28" spans="2:28" x14ac:dyDescent="0.25">
      <c r="I28" s="192" t="s">
        <v>134</v>
      </c>
      <c r="J28" s="192"/>
      <c r="K28" s="192">
        <f>K27*K23</f>
        <v>56.106598386125498</v>
      </c>
      <c r="L28" s="192"/>
      <c r="M28" s="192"/>
      <c r="O28" s="192" t="s">
        <v>134</v>
      </c>
      <c r="P28" s="192"/>
      <c r="Q28" s="192">
        <f>Q27*M23</f>
        <v>97.61904761904762</v>
      </c>
      <c r="R28" s="192"/>
      <c r="S28" s="192"/>
    </row>
    <row r="29" spans="2:28" x14ac:dyDescent="0.25">
      <c r="I29" s="192" t="s">
        <v>135</v>
      </c>
      <c r="J29" s="192"/>
      <c r="K29" s="192"/>
      <c r="L29" s="192">
        <f>(100*K28)-(100*K13)</f>
        <v>5303.5427281284537</v>
      </c>
      <c r="M29" s="192"/>
      <c r="O29" s="192" t="s">
        <v>135</v>
      </c>
      <c r="P29" s="192"/>
      <c r="Q29" s="192"/>
      <c r="R29" s="192">
        <f>(100*Q28)-(100*M11)</f>
        <v>9200.838778043506</v>
      </c>
      <c r="S29" s="192"/>
    </row>
    <row r="30" spans="2:28" x14ac:dyDescent="0.25">
      <c r="I30" s="192"/>
      <c r="J30" s="192"/>
      <c r="K30" s="192"/>
      <c r="L30" s="192"/>
      <c r="M30" s="192"/>
      <c r="O30" s="192"/>
      <c r="P30" s="192"/>
      <c r="Q30" s="192"/>
      <c r="R30" s="192"/>
      <c r="S30" s="192"/>
    </row>
    <row r="31" spans="2:28" x14ac:dyDescent="0.25">
      <c r="I31" s="192" t="s">
        <v>136</v>
      </c>
      <c r="J31" s="192"/>
      <c r="K31" s="192"/>
      <c r="L31" s="192">
        <f>(K28*105)-(100*M11)</f>
        <v>5330.1268466819229</v>
      </c>
      <c r="M31" s="192"/>
      <c r="O31" s="192" t="s">
        <v>136</v>
      </c>
      <c r="P31" s="192"/>
      <c r="Q31" s="192"/>
      <c r="R31" s="192">
        <f>(Q28*O8)-(100*O9)</f>
        <v>9737.5</v>
      </c>
      <c r="S31" s="192"/>
    </row>
    <row r="32" spans="2:28" x14ac:dyDescent="0.25">
      <c r="I32" s="192"/>
      <c r="J32" s="192"/>
      <c r="K32" s="192"/>
      <c r="L32" s="192"/>
      <c r="M32" s="192"/>
      <c r="O32" s="192"/>
      <c r="P32" s="192"/>
      <c r="Q32" s="192"/>
      <c r="R32" s="192"/>
      <c r="S32" s="192"/>
    </row>
    <row r="33" spans="5:28" x14ac:dyDescent="0.25">
      <c r="I33" s="192" t="s">
        <v>137</v>
      </c>
      <c r="J33" s="192"/>
      <c r="K33" s="192"/>
      <c r="L33" s="193">
        <f>L31/L29-1</f>
        <v>5.0125208594011816E-3</v>
      </c>
      <c r="M33" s="192" t="s">
        <v>138</v>
      </c>
      <c r="O33" s="192" t="s">
        <v>137</v>
      </c>
      <c r="P33" s="192"/>
      <c r="Q33" s="192"/>
      <c r="R33" s="193">
        <f>R31/R29-1</f>
        <v>5.8327423716755034E-2</v>
      </c>
      <c r="S33" s="192" t="s">
        <v>138</v>
      </c>
    </row>
    <row r="34" spans="5:28" x14ac:dyDescent="0.25">
      <c r="L34" s="125">
        <f>L31/L29-1</f>
        <v>5.0125208594011816E-3</v>
      </c>
      <c r="R34" s="194">
        <f>R31/R29-1</f>
        <v>5.8327423716755034E-2</v>
      </c>
    </row>
    <row r="38" spans="5:28" x14ac:dyDescent="0.25">
      <c r="G38" s="125" t="s">
        <v>71</v>
      </c>
      <c r="M38" s="125" t="s">
        <v>71</v>
      </c>
      <c r="S38" s="125" t="s">
        <v>139</v>
      </c>
      <c r="Z38" s="125" t="s">
        <v>140</v>
      </c>
    </row>
    <row r="41" spans="5:28" x14ac:dyDescent="0.25">
      <c r="I41" s="125">
        <f>G43*$B$7</f>
        <v>110.25</v>
      </c>
    </row>
    <row r="42" spans="5:28" x14ac:dyDescent="0.25">
      <c r="I42" s="125">
        <f>IF(I41&lt;$B$3,$B$3-I41,0)</f>
        <v>0</v>
      </c>
      <c r="O42" s="125">
        <f>M44*$B$7</f>
        <v>110.25</v>
      </c>
    </row>
    <row r="43" spans="5:28" x14ac:dyDescent="0.25">
      <c r="G43" s="125">
        <f>E45*$B$7</f>
        <v>105</v>
      </c>
      <c r="O43" s="125">
        <f>IF(O42&lt;$B$3,$B$3-O42,0)</f>
        <v>0</v>
      </c>
      <c r="U43" s="125">
        <v>0</v>
      </c>
    </row>
    <row r="44" spans="5:28" x14ac:dyDescent="0.25">
      <c r="I44" s="125">
        <f>G43*$B$8</f>
        <v>99.75</v>
      </c>
      <c r="M44" s="125">
        <f>K46*$B$7</f>
        <v>105</v>
      </c>
      <c r="AB44" s="125">
        <v>10.25</v>
      </c>
    </row>
    <row r="45" spans="5:28" x14ac:dyDescent="0.25">
      <c r="E45" s="125">
        <v>100</v>
      </c>
      <c r="G45" s="125">
        <f>((I42*$B$10)+(I45*$B$11))/(1+$B$2)</f>
        <v>0.11194029850746269</v>
      </c>
      <c r="I45" s="125">
        <f>IF(I44&lt;$B$3,$B$3-I44,0)</f>
        <v>0.25</v>
      </c>
      <c r="M45" s="125">
        <f>EXP(-$B$2*$B$4)*($B$14*O43+$B$15*O46)</f>
        <v>0.11190775788079133</v>
      </c>
      <c r="O45" s="125">
        <f>M44*$B$8</f>
        <v>99.75</v>
      </c>
      <c r="S45" s="125">
        <v>0.11190775788079133</v>
      </c>
    </row>
    <row r="46" spans="5:28" x14ac:dyDescent="0.25">
      <c r="E46" s="125">
        <f>(G45*$B$10+G49*$B$11)/(1+$B$2)</f>
        <v>2.0773000668300292</v>
      </c>
      <c r="I46" s="125">
        <f>G47*$B$7</f>
        <v>99.75</v>
      </c>
      <c r="K46" s="125">
        <v>100</v>
      </c>
      <c r="O46" s="125">
        <f>IF(O45&lt;$B$3,$B$3-O45,0)</f>
        <v>0.25</v>
      </c>
      <c r="S46" s="125">
        <f>IF(2&gt;S45,2-S45,0)</f>
        <v>1.8880922421192086</v>
      </c>
      <c r="U46" s="125">
        <v>0.25</v>
      </c>
      <c r="Z46" s="125">
        <f>EXP(-$B$2*$B$4)*($B$14*AB44+$B$15*AB47)</f>
        <v>5.6106598386125492</v>
      </c>
    </row>
    <row r="47" spans="5:28" x14ac:dyDescent="0.25">
      <c r="G47" s="125">
        <f>$B$1*$B$8</f>
        <v>95</v>
      </c>
      <c r="I47" s="125">
        <f>IF(I46&lt;$B$3,$B$3-I46,0)</f>
        <v>0.25</v>
      </c>
      <c r="K47" s="125">
        <f>EXP(-$B$2*$B$4)*($B$14*M45+$B$15*M49)</f>
        <v>2.0761544797577822</v>
      </c>
      <c r="O47" s="125">
        <f>M48*$B$7</f>
        <v>99.75</v>
      </c>
      <c r="Q47" s="125">
        <v>2.0761544797577822</v>
      </c>
      <c r="Z47" s="125">
        <f>IF(Z46&lt;2,2-Z46,0)</f>
        <v>0</v>
      </c>
      <c r="AB47" s="125">
        <f>IF(AB46&gt;$B$5,AB46-$B$5,0)</f>
        <v>0</v>
      </c>
    </row>
    <row r="48" spans="5:28" x14ac:dyDescent="0.25">
      <c r="M48" s="125">
        <f>K46*$B$8</f>
        <v>95</v>
      </c>
      <c r="O48" s="125">
        <f>IF(O47&lt;$B$3,$B$3-O47,0)</f>
        <v>0.25</v>
      </c>
      <c r="Q48" s="125">
        <f>EXP(-$B$2*$B$4)*($B$14*S46+$B$15*S50)</f>
        <v>1.0335066648247966</v>
      </c>
      <c r="U48" s="125">
        <v>0.25</v>
      </c>
      <c r="X48" s="125">
        <f>EXP(-$B$2*$B$4)*($B$14*Z47+$B$15*Z51)</f>
        <v>0.8952620630463306</v>
      </c>
    </row>
    <row r="49" spans="4:28" x14ac:dyDescent="0.25">
      <c r="G49" s="125">
        <f>((I47*$B$10)+(I50*$B$11))/(1+$B$2)</f>
        <v>4.5024875621890548</v>
      </c>
      <c r="I49" s="125">
        <f>G47*$B$8</f>
        <v>90.25</v>
      </c>
      <c r="M49" s="125">
        <f>EXP(-$B$2*$B$4)*($B$14*O48+$B$15*O51)</f>
        <v>4.5012479192682422</v>
      </c>
      <c r="S49" s="125">
        <v>4.5012479192682404</v>
      </c>
      <c r="AB49" s="125">
        <f>IF(AB48&gt;$B$5,AB48-$B$5,0)</f>
        <v>0</v>
      </c>
    </row>
    <row r="50" spans="4:28" x14ac:dyDescent="0.25">
      <c r="I50" s="125">
        <f>IF(I49&lt;$B$3,$B$3-I49,0)</f>
        <v>9.75</v>
      </c>
      <c r="O50" s="125">
        <f>M48*$B$8</f>
        <v>90.25</v>
      </c>
      <c r="S50" s="125">
        <f>IF(2&gt;S49,2-S49,0)</f>
        <v>0</v>
      </c>
      <c r="Z50" s="125">
        <f>EXP(-$B$2*$B$4)*($B$14*AB49+$B$15*AB51)</f>
        <v>0</v>
      </c>
    </row>
    <row r="51" spans="4:28" x14ac:dyDescent="0.25">
      <c r="O51" s="125">
        <f>IF(O50&lt;$B$3,$B$3-O50,0)</f>
        <v>9.75</v>
      </c>
      <c r="U51" s="125">
        <v>9.75</v>
      </c>
      <c r="Z51" s="125">
        <f>IF(Z50&lt;2,2-Z50,0)</f>
        <v>2</v>
      </c>
      <c r="AB51" s="125">
        <v>0</v>
      </c>
    </row>
    <row r="52" spans="4:28" x14ac:dyDescent="0.25">
      <c r="D52" s="125" t="s">
        <v>15</v>
      </c>
      <c r="E52" s="125">
        <f>(G45-G49)/(G43-G47)</f>
        <v>-0.43905472636815918</v>
      </c>
      <c r="G52" s="125">
        <f>(I47-I50)/(I46-I49)</f>
        <v>-1</v>
      </c>
      <c r="K52" s="125">
        <f>(M45-M49)/(M44-M48)</f>
        <v>-0.43893401613874505</v>
      </c>
      <c r="M52" s="125">
        <f>(O48-O51)/(O47-O50)</f>
        <v>-1</v>
      </c>
    </row>
    <row r="53" spans="4:28" x14ac:dyDescent="0.25">
      <c r="D53" s="125" t="s">
        <v>141</v>
      </c>
    </row>
    <row r="55" spans="4:28" x14ac:dyDescent="0.25">
      <c r="E55" s="125" t="s">
        <v>129</v>
      </c>
      <c r="G55" s="125" t="s">
        <v>130</v>
      </c>
      <c r="I55" s="125" t="s">
        <v>131</v>
      </c>
      <c r="K55" s="125" t="s">
        <v>129</v>
      </c>
      <c r="M55" s="125" t="s">
        <v>130</v>
      </c>
      <c r="O55" s="125" t="s">
        <v>131</v>
      </c>
      <c r="Q55" s="125" t="s">
        <v>129</v>
      </c>
      <c r="S55" s="125" t="s">
        <v>130</v>
      </c>
      <c r="U55" s="125" t="s">
        <v>131</v>
      </c>
      <c r="X55" s="125" t="s">
        <v>129</v>
      </c>
      <c r="Z55" s="125" t="s">
        <v>130</v>
      </c>
      <c r="AB55" s="125" t="s">
        <v>131</v>
      </c>
    </row>
    <row r="58" spans="4:28" x14ac:dyDescent="0.25">
      <c r="G58" s="220"/>
      <c r="H58" s="220"/>
      <c r="I58" s="220"/>
      <c r="J58" s="220"/>
      <c r="K58" s="220"/>
    </row>
    <row r="59" spans="4:28" x14ac:dyDescent="0.25">
      <c r="G59" s="220"/>
      <c r="H59" s="220"/>
      <c r="I59" s="220"/>
      <c r="J59" s="220"/>
      <c r="K59" s="220"/>
    </row>
    <row r="60" spans="4:28" x14ac:dyDescent="0.25">
      <c r="G60" s="195"/>
      <c r="H60" s="195"/>
      <c r="I60" s="195"/>
      <c r="J60" s="195"/>
      <c r="K60" s="195"/>
    </row>
    <row r="61" spans="4:28" x14ac:dyDescent="0.25">
      <c r="G61" s="195"/>
      <c r="H61" s="195"/>
      <c r="I61" s="195"/>
      <c r="J61" s="195"/>
      <c r="K61" s="195"/>
    </row>
    <row r="62" spans="4:28" x14ac:dyDescent="0.25">
      <c r="G62" s="195"/>
      <c r="H62" s="195"/>
      <c r="I62" s="195"/>
      <c r="J62" s="195"/>
      <c r="K62" s="195"/>
    </row>
    <row r="63" spans="4:28" x14ac:dyDescent="0.25">
      <c r="G63" s="195"/>
      <c r="H63" s="195"/>
      <c r="I63" s="195"/>
      <c r="J63" s="195"/>
      <c r="K63" s="195"/>
    </row>
    <row r="64" spans="4:28" x14ac:dyDescent="0.25">
      <c r="G64" s="195"/>
      <c r="H64" s="195"/>
      <c r="I64" s="195"/>
      <c r="J64" s="195"/>
      <c r="K64" s="195"/>
    </row>
    <row r="65" spans="7:11" x14ac:dyDescent="0.25">
      <c r="G65" s="195"/>
      <c r="H65" s="195"/>
      <c r="I65" s="195"/>
      <c r="J65" s="195"/>
      <c r="K65" s="195"/>
    </row>
    <row r="66" spans="7:11" x14ac:dyDescent="0.25">
      <c r="G66" s="195"/>
      <c r="H66" s="195"/>
      <c r="I66" s="195"/>
      <c r="J66" s="196"/>
      <c r="K66" s="195"/>
    </row>
  </sheetData>
  <mergeCells count="3">
    <mergeCell ref="I25:M26"/>
    <mergeCell ref="O25:S26"/>
    <mergeCell ref="G58:K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260F-935F-4BE3-869E-D5D3028E4ADB}">
  <sheetPr codeName="Sheet4"/>
  <dimension ref="A2:P20"/>
  <sheetViews>
    <sheetView showGridLines="0" topLeftCell="A2" workbookViewId="0">
      <selection sqref="A1:XFD1048576"/>
    </sheetView>
  </sheetViews>
  <sheetFormatPr defaultRowHeight="15" x14ac:dyDescent="0.25"/>
  <cols>
    <col min="1" max="16384" width="9.140625" style="125"/>
  </cols>
  <sheetData>
    <row r="2" spans="1:16" x14ac:dyDescent="0.25">
      <c r="G2" s="139" t="s">
        <v>142</v>
      </c>
      <c r="N2" s="139" t="s">
        <v>143</v>
      </c>
    </row>
    <row r="3" spans="1:16" ht="18" x14ac:dyDescent="0.35">
      <c r="A3" s="155" t="s">
        <v>116</v>
      </c>
      <c r="B3" s="155">
        <v>100</v>
      </c>
    </row>
    <row r="4" spans="1:16" x14ac:dyDescent="0.25">
      <c r="A4" s="155" t="s">
        <v>117</v>
      </c>
      <c r="B4" s="188">
        <v>5.0000000000000001E-3</v>
      </c>
    </row>
    <row r="5" spans="1:16" x14ac:dyDescent="0.25">
      <c r="A5" s="155" t="s">
        <v>118</v>
      </c>
      <c r="B5" s="155">
        <v>100</v>
      </c>
    </row>
    <row r="6" spans="1:16" x14ac:dyDescent="0.25">
      <c r="A6" s="155" t="s">
        <v>51</v>
      </c>
      <c r="B6" s="155">
        <v>1</v>
      </c>
    </row>
    <row r="7" spans="1:16" ht="18" x14ac:dyDescent="0.35">
      <c r="A7" s="155" t="s">
        <v>119</v>
      </c>
      <c r="B7" s="155">
        <v>2</v>
      </c>
      <c r="I7" s="125">
        <f>G9*$B$9</f>
        <v>110.25</v>
      </c>
      <c r="P7" s="125">
        <f>N9*$B$9</f>
        <v>110.25</v>
      </c>
    </row>
    <row r="8" spans="1:16" x14ac:dyDescent="0.25">
      <c r="A8" s="155"/>
      <c r="B8" s="155"/>
      <c r="I8" s="125">
        <f>IF(MAXA(E11,G9,I7)&gt;$B$5,MAXA(E11,G9,I7)-$B$5,0)</f>
        <v>10.25</v>
      </c>
      <c r="P8" s="125">
        <f>IF(MINA(L11,N9,P7)&lt;$B$5,$B$5-MINA(L11,N9,P7),0)</f>
        <v>0</v>
      </c>
    </row>
    <row r="9" spans="1:16" x14ac:dyDescent="0.25">
      <c r="A9" s="155" t="s">
        <v>124</v>
      </c>
      <c r="B9" s="189">
        <f>1+5%</f>
        <v>1.05</v>
      </c>
      <c r="G9" s="125">
        <f>E11*$B$9</f>
        <v>105</v>
      </c>
      <c r="N9" s="125">
        <f>L11*$B$9</f>
        <v>105</v>
      </c>
    </row>
    <row r="10" spans="1:16" x14ac:dyDescent="0.25">
      <c r="A10" s="155" t="s">
        <v>125</v>
      </c>
      <c r="B10" s="189">
        <f>1-5%</f>
        <v>0.95</v>
      </c>
      <c r="G10" s="125">
        <f>EXP(-$B$4*$B$6)*($B$16*I8+$B$17*I11)</f>
        <v>7.8488149962283753</v>
      </c>
      <c r="I10" s="125">
        <f>G9*$B$10</f>
        <v>99.75</v>
      </c>
      <c r="N10" s="125">
        <f>EXP(-$B$4*$B$6)*($B$16*P8+$B$17*P11)</f>
        <v>0.11190775788079133</v>
      </c>
      <c r="P10" s="125">
        <f>N9*$B$10</f>
        <v>99.75</v>
      </c>
    </row>
    <row r="11" spans="1:16" x14ac:dyDescent="0.25">
      <c r="A11" s="155"/>
      <c r="B11" s="155"/>
      <c r="E11" s="125">
        <f>B3</f>
        <v>100</v>
      </c>
      <c r="I11" s="125">
        <f>IF(MAXA(E11,G9,I10)&gt;$B$5,MAXA(E11,G9,I10)-$B$5,0)</f>
        <v>5</v>
      </c>
      <c r="L11" s="125">
        <f>B3</f>
        <v>100</v>
      </c>
      <c r="P11" s="125">
        <f>IF(MINA(L11,N9,P10)&lt;$B$5,$B$5-MINA(L11,N9,P10),0)</f>
        <v>0.25</v>
      </c>
    </row>
    <row r="12" spans="1:16" x14ac:dyDescent="0.25">
      <c r="A12" s="155"/>
      <c r="B12" s="155"/>
      <c r="E12" s="125">
        <f>EXP(-$B$4*$B$6)*($B$16*G10+$B$17*G14)</f>
        <v>4.2962957151257024</v>
      </c>
      <c r="I12" s="125">
        <f>G13*$B$9</f>
        <v>99.75</v>
      </c>
      <c r="L12" s="125">
        <f>EXP(-$B$4*$B$6)*($B$16*N10+$B$17*N14)</f>
        <v>3.2400228595282923</v>
      </c>
      <c r="P12" s="125">
        <f>N13*$B$9</f>
        <v>99.75</v>
      </c>
    </row>
    <row r="13" spans="1:16" x14ac:dyDescent="0.25">
      <c r="A13" s="155"/>
      <c r="B13" s="155"/>
      <c r="G13" s="125">
        <f>E11*$B$10</f>
        <v>95</v>
      </c>
      <c r="I13" s="125">
        <f>IF(MAXA(E11,G13,I12)&gt;$B$5,MAXA(E11,G13,I12)-$B$5,0)</f>
        <v>0</v>
      </c>
      <c r="N13" s="125">
        <f>L11*$B$10</f>
        <v>95</v>
      </c>
      <c r="P13" s="125">
        <f>IF(MINA(L11,N13,P12)&lt;$B$5,$B$5-MINA(L11,N13,P12),0)</f>
        <v>5</v>
      </c>
    </row>
    <row r="14" spans="1:16" x14ac:dyDescent="0.25">
      <c r="A14" s="155"/>
      <c r="B14" s="155"/>
      <c r="G14" s="125">
        <f>EXP(-$B$4*$B$6)*($B$16*I13+$B$17*I16)</f>
        <v>0</v>
      </c>
      <c r="N14" s="125">
        <f>EXP(-$B$4*$B$6)*($B$16*P13+$B$17*P16)</f>
        <v>7.1013097956984481</v>
      </c>
    </row>
    <row r="15" spans="1:16" x14ac:dyDescent="0.25">
      <c r="A15" s="155" t="s">
        <v>128</v>
      </c>
      <c r="B15" s="155"/>
      <c r="I15" s="125">
        <f>G13*$B$10</f>
        <v>90.25</v>
      </c>
      <c r="P15" s="125">
        <f>N13*$B$10</f>
        <v>90.25</v>
      </c>
    </row>
    <row r="16" spans="1:16" x14ac:dyDescent="0.25">
      <c r="A16" s="155" t="s">
        <v>126</v>
      </c>
      <c r="B16" s="190">
        <f>(EXP($B$4*$B$6)-$B$10)/($B$9-$B$10)</f>
        <v>0.5501252085940096</v>
      </c>
      <c r="I16" s="125">
        <f>IF(MAXA(E11,G13,I15)&gt;$B$5,MAXA(E11,G13,I15)-$B$5,0)</f>
        <v>0</v>
      </c>
      <c r="P16" s="125">
        <f>IF(MINA(L11,N13,P15)&lt;$B$5,$B$5-MINA(L11,N13,P15),0)</f>
        <v>9.75</v>
      </c>
    </row>
    <row r="17" spans="1:14" x14ac:dyDescent="0.25">
      <c r="A17" s="155" t="s">
        <v>127</v>
      </c>
      <c r="B17" s="190">
        <f>1-B16</f>
        <v>0.4498747914059904</v>
      </c>
    </row>
    <row r="19" spans="1:14" x14ac:dyDescent="0.25">
      <c r="D19" s="125" t="s">
        <v>144</v>
      </c>
      <c r="E19" s="125">
        <f>(G10-G14)/(G9-G13)</f>
        <v>0.78488149962283749</v>
      </c>
      <c r="G19" s="125">
        <f>(I8-I11)/(I7-I10)</f>
        <v>0.5</v>
      </c>
      <c r="K19" s="125" t="s">
        <v>144</v>
      </c>
      <c r="L19" s="125">
        <f>(N10-N14)/(N9-N13)</f>
        <v>-0.69894020378176569</v>
      </c>
      <c r="N19" s="125">
        <f>(P8-P11)/(P7-P10)</f>
        <v>-2.3809523809523808E-2</v>
      </c>
    </row>
    <row r="20" spans="1:14" x14ac:dyDescent="0.25">
      <c r="N20" s="125">
        <f>(P13-P16)/(P12-P15)</f>
        <v>-0.5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DE91-09D1-4F35-8DD4-6D8D5BE823B5}">
  <sheetPr codeName="Sheet6"/>
  <dimension ref="A2:I23"/>
  <sheetViews>
    <sheetView showGridLines="0" workbookViewId="0">
      <selection sqref="A1:XFD1048576"/>
    </sheetView>
  </sheetViews>
  <sheetFormatPr defaultRowHeight="15" x14ac:dyDescent="0.25"/>
  <cols>
    <col min="1" max="16384" width="9.140625" style="125"/>
  </cols>
  <sheetData>
    <row r="2" spans="1:9" x14ac:dyDescent="0.25">
      <c r="F2" s="139" t="s">
        <v>145</v>
      </c>
    </row>
    <row r="3" spans="1:9" ht="18" x14ac:dyDescent="0.35">
      <c r="A3" s="155" t="s">
        <v>116</v>
      </c>
      <c r="B3" s="155">
        <v>100</v>
      </c>
    </row>
    <row r="4" spans="1:9" x14ac:dyDescent="0.25">
      <c r="A4" s="155" t="s">
        <v>117</v>
      </c>
      <c r="B4" s="188">
        <v>5.0000000000000001E-3</v>
      </c>
    </row>
    <row r="5" spans="1:9" x14ac:dyDescent="0.25">
      <c r="A5" s="155" t="s">
        <v>118</v>
      </c>
      <c r="B5" s="155">
        <v>100</v>
      </c>
    </row>
    <row r="6" spans="1:9" x14ac:dyDescent="0.25">
      <c r="A6" s="155" t="s">
        <v>51</v>
      </c>
      <c r="B6" s="155">
        <v>1</v>
      </c>
    </row>
    <row r="7" spans="1:9" ht="18" x14ac:dyDescent="0.35">
      <c r="A7" s="155" t="s">
        <v>119</v>
      </c>
      <c r="B7" s="155">
        <v>2</v>
      </c>
      <c r="I7" s="125">
        <f>G9*B9</f>
        <v>110.25</v>
      </c>
    </row>
    <row r="8" spans="1:9" x14ac:dyDescent="0.25">
      <c r="A8" s="155"/>
      <c r="B8" s="155"/>
      <c r="I8" s="125">
        <f>_xlfn.IFS(I7&gt;$B$5,MAX(0,I7-$B$5),I7&lt;$B$5,MAX(0,$B$5-I7))</f>
        <v>10.25</v>
      </c>
    </row>
    <row r="9" spans="1:9" x14ac:dyDescent="0.25">
      <c r="A9" s="155" t="s">
        <v>124</v>
      </c>
      <c r="B9" s="189">
        <f>1+5%</f>
        <v>1.05</v>
      </c>
      <c r="G9" s="125">
        <f>E11*B9</f>
        <v>105</v>
      </c>
    </row>
    <row r="10" spans="1:9" x14ac:dyDescent="0.25">
      <c r="A10" s="155" t="s">
        <v>125</v>
      </c>
      <c r="B10" s="189">
        <f>1-5%</f>
        <v>0.95</v>
      </c>
      <c r="G10" s="125">
        <f>EXP(-$B$4*$B$6)*($B$16*I8+$B$17*I11)</f>
        <v>5.7225675964933407</v>
      </c>
      <c r="I10" s="125">
        <f>G9*B10</f>
        <v>99.75</v>
      </c>
    </row>
    <row r="11" spans="1:9" x14ac:dyDescent="0.25">
      <c r="A11" s="155"/>
      <c r="B11" s="155"/>
      <c r="E11" s="125">
        <f>B3</f>
        <v>100</v>
      </c>
      <c r="I11" s="125">
        <f>_xlfn.IFS(I10&gt;$B$5,MAX(0,I10-$B$5),I10&lt;$B$5,MAX(0,$B$5-I10))</f>
        <v>0.25</v>
      </c>
    </row>
    <row r="12" spans="1:9" x14ac:dyDescent="0.25">
      <c r="A12" s="155"/>
      <c r="B12" s="155"/>
      <c r="E12" s="125">
        <f>EXP(-$B$4*$B$6)*($B$16*G10+$B$17*G14)</f>
        <v>5.1473255845987378</v>
      </c>
      <c r="I12" s="125">
        <f>G13*B9</f>
        <v>99.75</v>
      </c>
    </row>
    <row r="13" spans="1:9" x14ac:dyDescent="0.25">
      <c r="A13" s="155"/>
      <c r="B13" s="155"/>
      <c r="G13" s="125">
        <f>E11*B10</f>
        <v>95</v>
      </c>
      <c r="I13" s="125">
        <f>_xlfn.IFS(I12&gt;$B$5,MAX(0,I12-$B$5),I12&lt;$B$5,MAX(0,$B$5-I12))</f>
        <v>0.25</v>
      </c>
    </row>
    <row r="14" spans="1:9" x14ac:dyDescent="0.25">
      <c r="A14" s="155"/>
      <c r="B14" s="155"/>
      <c r="G14" s="125">
        <f>EXP(-$B$4*$B$6)*($B$16*I13+$B$17*I16)</f>
        <v>4.5012479192682422</v>
      </c>
    </row>
    <row r="15" spans="1:9" x14ac:dyDescent="0.25">
      <c r="A15" s="155" t="s">
        <v>128</v>
      </c>
      <c r="B15" s="155"/>
      <c r="I15" s="125">
        <f>G13*B10</f>
        <v>90.25</v>
      </c>
    </row>
    <row r="16" spans="1:9" x14ac:dyDescent="0.25">
      <c r="A16" s="155" t="s">
        <v>126</v>
      </c>
      <c r="B16" s="190">
        <f>(EXP($B$4*$B$6)-$B$10)/($B$9-$B$10)</f>
        <v>0.5501252085940096</v>
      </c>
      <c r="I16" s="125">
        <f>_xlfn.IFS(I15&gt;$B$5,MAX(0,I15-$B$5),I15&lt;$B$5,MAX(0,$B$5-I15))</f>
        <v>9.75</v>
      </c>
    </row>
    <row r="17" spans="1:9" x14ac:dyDescent="0.25">
      <c r="A17" s="155" t="s">
        <v>127</v>
      </c>
      <c r="B17" s="190">
        <f>1-B16</f>
        <v>0.4498747914059904</v>
      </c>
    </row>
    <row r="19" spans="1:9" x14ac:dyDescent="0.25">
      <c r="E19" s="125" t="s">
        <v>129</v>
      </c>
      <c r="G19" s="125" t="s">
        <v>130</v>
      </c>
      <c r="I19" s="125" t="s">
        <v>131</v>
      </c>
    </row>
    <row r="22" spans="1:9" x14ac:dyDescent="0.25">
      <c r="D22" s="125" t="s">
        <v>144</v>
      </c>
      <c r="E22" s="125">
        <f>(G10-G14)/(G9-G13)</f>
        <v>0.12213196772250985</v>
      </c>
      <c r="G22" s="125">
        <f>(I8-I11)/(I7-I10)</f>
        <v>0.95238095238095233</v>
      </c>
    </row>
    <row r="23" spans="1:9" x14ac:dyDescent="0.25">
      <c r="G23" s="125">
        <f>(I13-I16)/(I12-I15)</f>
        <v>-1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307D-41DE-4C80-95A1-A61263D093A3}">
  <sheetPr codeName="Sheet9"/>
  <dimension ref="A2:P15"/>
  <sheetViews>
    <sheetView showGridLines="0" workbookViewId="0">
      <selection sqref="A1:XFD1048576"/>
    </sheetView>
  </sheetViews>
  <sheetFormatPr defaultRowHeight="15" x14ac:dyDescent="0.25"/>
  <cols>
    <col min="1" max="5" width="9.140625" style="125"/>
    <col min="6" max="6" width="10.42578125" style="125" customWidth="1"/>
    <col min="7" max="8" width="9.140625" style="125"/>
    <col min="9" max="9" width="14.140625" style="125" customWidth="1"/>
    <col min="10" max="13" width="9.140625" style="125"/>
    <col min="14" max="14" width="10" style="125" customWidth="1"/>
    <col min="15" max="16384" width="9.140625" style="125"/>
  </cols>
  <sheetData>
    <row r="2" spans="1:16" ht="18" x14ac:dyDescent="0.35">
      <c r="A2" s="155" t="s">
        <v>116</v>
      </c>
      <c r="B2" s="155">
        <v>100</v>
      </c>
    </row>
    <row r="3" spans="1:16" x14ac:dyDescent="0.25">
      <c r="A3" s="155" t="s">
        <v>117</v>
      </c>
      <c r="B3" s="188">
        <v>5.0000000000000001E-3</v>
      </c>
    </row>
    <row r="4" spans="1:16" ht="18" x14ac:dyDescent="0.35">
      <c r="A4" s="155" t="s">
        <v>146</v>
      </c>
      <c r="B4" s="155">
        <v>100</v>
      </c>
      <c r="H4" s="139" t="s">
        <v>147</v>
      </c>
      <c r="N4" s="139" t="s">
        <v>148</v>
      </c>
    </row>
    <row r="5" spans="1:16" x14ac:dyDescent="0.25">
      <c r="A5" s="155" t="s">
        <v>51</v>
      </c>
      <c r="B5" s="155">
        <v>1</v>
      </c>
    </row>
    <row r="6" spans="1:16" ht="18" x14ac:dyDescent="0.35">
      <c r="A6" s="155" t="s">
        <v>119</v>
      </c>
      <c r="B6" s="155">
        <v>2</v>
      </c>
    </row>
    <row r="7" spans="1:16" x14ac:dyDescent="0.25">
      <c r="A7" s="155"/>
      <c r="B7" s="155"/>
      <c r="I7" s="125">
        <f>G9*$B$8</f>
        <v>110.25</v>
      </c>
      <c r="P7" s="125">
        <f>N9*$B$8</f>
        <v>110.25</v>
      </c>
    </row>
    <row r="8" spans="1:16" x14ac:dyDescent="0.25">
      <c r="A8" s="155" t="s">
        <v>124</v>
      </c>
      <c r="B8" s="189">
        <f>1+5%</f>
        <v>1.05</v>
      </c>
      <c r="I8" s="125">
        <f>IF(AVERAGE(E11,G9,I7)&gt;$B$4,AVERAGE(E11,G9,I7)-$B$4,0)</f>
        <v>5.0833333333333286</v>
      </c>
      <c r="P8" s="125">
        <f>IF(AVERAGE(L11,N9,P7)&lt;$B$4,$B$4-AVERAGE(L11,N9,P7),0)</f>
        <v>0</v>
      </c>
    </row>
    <row r="9" spans="1:16" x14ac:dyDescent="0.25">
      <c r="A9" s="155" t="s">
        <v>125</v>
      </c>
      <c r="B9" s="189">
        <f>1-5%</f>
        <v>0.95</v>
      </c>
      <c r="G9" s="125">
        <f>E11*$B$8</f>
        <v>105</v>
      </c>
      <c r="N9" s="125">
        <f>L11*$B$8</f>
        <v>105</v>
      </c>
    </row>
    <row r="10" spans="1:16" x14ac:dyDescent="0.25">
      <c r="A10" s="155"/>
      <c r="B10" s="155"/>
      <c r="G10" s="125">
        <f>EXP(-$B$3*$B$5)*($B$12*I8+$B$13*I11)</f>
        <v>3.4912714922317187</v>
      </c>
      <c r="I10" s="125">
        <f>G9*$B$9</f>
        <v>99.75</v>
      </c>
      <c r="N10" s="125">
        <f>EXP(-$B$3*$B$5)*($B$12*P8+$B$13*P11)</f>
        <v>0</v>
      </c>
      <c r="P10" s="125">
        <f>N9*$B$9</f>
        <v>99.75</v>
      </c>
    </row>
    <row r="11" spans="1:16" x14ac:dyDescent="0.25">
      <c r="A11" s="155" t="s">
        <v>128</v>
      </c>
      <c r="B11" s="155"/>
      <c r="E11" s="125">
        <f>B4</f>
        <v>100</v>
      </c>
      <c r="I11" s="125">
        <f>IF(AVERAGE(E11,G9,I10)&gt;$B$4,AVERAGE(E11,G9,I10)-$B$4,0)</f>
        <v>1.5833333333333286</v>
      </c>
      <c r="L11" s="125">
        <v>100</v>
      </c>
      <c r="P11" s="125">
        <f>IF(AVERAGE(L11,N9,P10)&lt;$B$4,$B$4-AVERAGE(L11,N9,P10),0)</f>
        <v>0</v>
      </c>
    </row>
    <row r="12" spans="1:16" x14ac:dyDescent="0.25">
      <c r="A12" s="155" t="s">
        <v>126</v>
      </c>
      <c r="B12" s="190">
        <f>(EXP($B$3*$B$5)-$B$9)/($B$8-$B$9)</f>
        <v>0.5501252085940096</v>
      </c>
      <c r="E12" s="125">
        <f>EXP(-$B$3*$B$5)*($B$12*G10+$B$13*G14)</f>
        <v>1.911057243625113</v>
      </c>
      <c r="I12" s="125">
        <f>G13*$B$8</f>
        <v>99.75</v>
      </c>
      <c r="L12" s="125">
        <f>EXP(-$B$3*$B$5)*($B$12*N10+$B$13*N14)</f>
        <v>1.4139635204802532</v>
      </c>
      <c r="P12" s="125">
        <f>N13*$B$8</f>
        <v>99.75</v>
      </c>
    </row>
    <row r="13" spans="1:16" x14ac:dyDescent="0.25">
      <c r="A13" s="155" t="s">
        <v>127</v>
      </c>
      <c r="B13" s="190">
        <f>1-B12</f>
        <v>0.4498747914059904</v>
      </c>
      <c r="G13" s="125">
        <f>E11*$B$9</f>
        <v>95</v>
      </c>
      <c r="I13" s="125">
        <f>IF(AVERAGE(E11,G13,I12)&gt;$B$4,AVERAGE(E11,G13,I12)-$B$4,0)</f>
        <v>0</v>
      </c>
      <c r="N13" s="125">
        <f>L11*$B$9</f>
        <v>95</v>
      </c>
      <c r="P13" s="125">
        <f>IF(AVERAGE(L11,N13,P12)&lt;$B$4,$B$4-AVERAGE(L11,N13,P12),0)</f>
        <v>1.75</v>
      </c>
    </row>
    <row r="14" spans="1:16" x14ac:dyDescent="0.25">
      <c r="G14" s="125">
        <f>EXP(-$B$3*$B$5)*($B$12*I13+$B$13*I15)</f>
        <v>0</v>
      </c>
      <c r="I14" s="125">
        <f>G13*$B$9</f>
        <v>90.25</v>
      </c>
      <c r="N14" s="125">
        <f>EXP(-$B$3*$B$5)*($B$12*P13+$B$13*P15)</f>
        <v>3.1587701050772199</v>
      </c>
      <c r="P14" s="125">
        <f>N13*$B$9</f>
        <v>90.25</v>
      </c>
    </row>
    <row r="15" spans="1:16" x14ac:dyDescent="0.25">
      <c r="I15" s="125">
        <f>IF(AVERAGE(E18,G16,I14)&gt;$B$4,AVERAGE(E18,G16,I14)-$B$4,0)</f>
        <v>0</v>
      </c>
      <c r="P15" s="125">
        <f>IF(AVERAGE(L11,N13,P14)&lt;$B$4,$B$4-AVERAGE(L11,N13,P14),0)</f>
        <v>4.9166666666666714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F146-4A43-4856-BE36-8E27DB74D8DF}">
  <dimension ref="B2:T33"/>
  <sheetViews>
    <sheetView zoomScale="70" zoomScaleNormal="70" workbookViewId="0">
      <selection activeCell="N16" sqref="N16"/>
    </sheetView>
  </sheetViews>
  <sheetFormatPr defaultRowHeight="15" x14ac:dyDescent="0.25"/>
  <cols>
    <col min="2" max="2" width="13.140625" bestFit="1" customWidth="1"/>
    <col min="3" max="3" width="18.28515625" customWidth="1"/>
    <col min="4" max="4" width="14.7109375" customWidth="1"/>
    <col min="5" max="5" width="13.85546875" bestFit="1" customWidth="1"/>
    <col min="6" max="6" width="15.85546875" customWidth="1"/>
    <col min="7" max="7" width="13.85546875" bestFit="1" customWidth="1"/>
    <col min="8" max="8" width="13.7109375" bestFit="1" customWidth="1"/>
  </cols>
  <sheetData>
    <row r="2" spans="2:20" x14ac:dyDescent="0.25">
      <c r="B2" t="s">
        <v>1</v>
      </c>
      <c r="C2" s="30">
        <v>100</v>
      </c>
      <c r="G2" s="18" t="s">
        <v>15</v>
      </c>
      <c r="J2" t="s">
        <v>17</v>
      </c>
      <c r="K2" s="16" t="s">
        <v>8</v>
      </c>
      <c r="L2" s="24">
        <f>1+C3</f>
        <v>1.05</v>
      </c>
      <c r="M2" s="55">
        <f>L2</f>
        <v>1.05</v>
      </c>
    </row>
    <row r="3" spans="2:20" x14ac:dyDescent="0.25">
      <c r="B3" t="s">
        <v>2</v>
      </c>
      <c r="C3" s="32">
        <v>0.05</v>
      </c>
      <c r="G3" s="7" t="s">
        <v>16</v>
      </c>
      <c r="K3" s="13" t="s">
        <v>9</v>
      </c>
      <c r="L3" s="25">
        <f>1-C3</f>
        <v>0.95</v>
      </c>
      <c r="M3" s="55">
        <f>L3</f>
        <v>0.95</v>
      </c>
    </row>
    <row r="4" spans="2:20" x14ac:dyDescent="0.25">
      <c r="B4" t="s">
        <v>0</v>
      </c>
      <c r="C4" s="30">
        <v>100</v>
      </c>
      <c r="K4" s="1"/>
    </row>
    <row r="5" spans="2:20" x14ac:dyDescent="0.25">
      <c r="B5" t="s">
        <v>3</v>
      </c>
      <c r="C5" s="32">
        <v>5.0000000000000001E-3</v>
      </c>
      <c r="K5" s="1" t="s">
        <v>14</v>
      </c>
      <c r="L5" s="17">
        <f>C5</f>
        <v>5.0000000000000001E-3</v>
      </c>
    </row>
    <row r="6" spans="2:20" x14ac:dyDescent="0.25">
      <c r="B6" t="s">
        <v>7</v>
      </c>
      <c r="C6" s="30">
        <v>2</v>
      </c>
      <c r="E6" s="16"/>
      <c r="F6" s="23"/>
      <c r="G6" s="23"/>
      <c r="H6" s="23"/>
      <c r="I6" s="35">
        <f>MAX(0,C4-I7)</f>
        <v>0</v>
      </c>
      <c r="K6" s="1" t="s">
        <v>12</v>
      </c>
      <c r="L6" s="1">
        <f>C6/2</f>
        <v>1</v>
      </c>
      <c r="M6" t="s">
        <v>19</v>
      </c>
    </row>
    <row r="7" spans="2:20" x14ac:dyDescent="0.25">
      <c r="E7" s="10"/>
      <c r="F7" s="11"/>
      <c r="G7" s="37">
        <f>(I6-I10)/(I7-I11)</f>
        <v>-2.3809523809523808E-2</v>
      </c>
      <c r="H7" s="11"/>
      <c r="I7" s="12">
        <f>G9*(1+C3)</f>
        <v>110.25</v>
      </c>
      <c r="K7" s="1"/>
      <c r="L7" s="1"/>
    </row>
    <row r="8" spans="2:20" x14ac:dyDescent="0.25">
      <c r="E8" s="10"/>
      <c r="F8" s="11"/>
      <c r="G8" s="19">
        <f>((L11*I6)+(L12*I10))/((1+L5)^L6)</f>
        <v>0.11194029850746297</v>
      </c>
      <c r="H8" s="11"/>
      <c r="I8" s="12"/>
      <c r="K8" s="1" t="s">
        <v>11</v>
      </c>
      <c r="L8" s="4">
        <f>1+L5</f>
        <v>1.0049999999999999</v>
      </c>
    </row>
    <row r="9" spans="2:20" x14ac:dyDescent="0.25">
      <c r="E9" s="36">
        <f>(G8-G12)/(G9-G13)</f>
        <v>-0.43905472636816018</v>
      </c>
      <c r="F9" s="11"/>
      <c r="G9" s="22">
        <f>E11*(1+C3)</f>
        <v>105</v>
      </c>
      <c r="H9" s="11"/>
      <c r="I9" s="12"/>
      <c r="L9" s="4"/>
    </row>
    <row r="10" spans="2:20" x14ac:dyDescent="0.25">
      <c r="E10" s="26">
        <f>((L11*G8)+(L12*G12))/((1+L5)^L6)</f>
        <v>2.0773000668300385</v>
      </c>
      <c r="F10" s="11"/>
      <c r="G10" s="11"/>
      <c r="H10" s="11"/>
      <c r="I10" s="20">
        <f>MAX(0,C4-I11)</f>
        <v>0.25</v>
      </c>
      <c r="K10" s="28" t="s">
        <v>18</v>
      </c>
    </row>
    <row r="11" spans="2:20" x14ac:dyDescent="0.25">
      <c r="E11" s="21">
        <f>C2</f>
        <v>100</v>
      </c>
      <c r="F11" s="11"/>
      <c r="G11" s="37">
        <f>(I10-I14)/(I11-I15)</f>
        <v>-1</v>
      </c>
      <c r="H11" s="11"/>
      <c r="I11" s="12">
        <f>G9*(1-C3)</f>
        <v>99.75</v>
      </c>
      <c r="K11" s="16" t="s">
        <v>10</v>
      </c>
      <c r="L11" s="29">
        <f>(L8-L3)/(L2-L3)</f>
        <v>0.54999999999999893</v>
      </c>
    </row>
    <row r="12" spans="2:20" x14ac:dyDescent="0.25">
      <c r="E12" s="10"/>
      <c r="F12" s="11"/>
      <c r="G12" s="19">
        <f>((L11*I10)+(L12*I14))/((1+L5)^L6)</f>
        <v>4.5024875621890645</v>
      </c>
      <c r="H12" s="11"/>
      <c r="I12" s="12"/>
      <c r="K12" s="13" t="s">
        <v>13</v>
      </c>
      <c r="L12" s="27">
        <f>1-L11</f>
        <v>0.45000000000000107</v>
      </c>
    </row>
    <row r="13" spans="2:20" x14ac:dyDescent="0.25">
      <c r="E13" s="10"/>
      <c r="F13" s="11"/>
      <c r="G13" s="22">
        <f>E11*(1-C3)</f>
        <v>95</v>
      </c>
      <c r="H13" s="11"/>
      <c r="I13" s="12"/>
    </row>
    <row r="14" spans="2:20" x14ac:dyDescent="0.25">
      <c r="E14" s="10"/>
      <c r="F14" s="11"/>
      <c r="G14" s="11"/>
      <c r="H14" s="11"/>
      <c r="I14" s="20">
        <f>MAX(0,C4-I15)</f>
        <v>9.75</v>
      </c>
      <c r="T14" s="86"/>
    </row>
    <row r="15" spans="2:20" x14ac:dyDescent="0.25">
      <c r="E15" s="13"/>
      <c r="F15" s="14"/>
      <c r="G15" s="14"/>
      <c r="H15" s="14"/>
      <c r="I15" s="15">
        <f>G13*(1-C3)</f>
        <v>90.25</v>
      </c>
    </row>
    <row r="16" spans="2:20" x14ac:dyDescent="0.25">
      <c r="M16" s="28"/>
    </row>
    <row r="17" spans="3:20" ht="18.75" x14ac:dyDescent="0.3">
      <c r="E17" s="2" t="s">
        <v>4</v>
      </c>
      <c r="F17" s="2"/>
      <c r="G17" s="2" t="s">
        <v>5</v>
      </c>
      <c r="H17" s="2"/>
      <c r="I17" s="2" t="s">
        <v>6</v>
      </c>
    </row>
    <row r="20" spans="3:20" ht="15.75" x14ac:dyDescent="0.25">
      <c r="C20" t="s">
        <v>44</v>
      </c>
      <c r="E20" s="30">
        <v>100</v>
      </c>
      <c r="F20" s="90" t="s">
        <v>33</v>
      </c>
      <c r="O20" s="45"/>
    </row>
    <row r="21" spans="3:20" ht="15.75" x14ac:dyDescent="0.25">
      <c r="C21" s="82" t="s">
        <v>45</v>
      </c>
      <c r="D21" t="s">
        <v>47</v>
      </c>
      <c r="E21" s="94"/>
      <c r="F21" s="90"/>
    </row>
    <row r="22" spans="3:20" ht="45" x14ac:dyDescent="0.25">
      <c r="D22" s="91" t="s">
        <v>40</v>
      </c>
      <c r="E22" s="92" t="s">
        <v>34</v>
      </c>
      <c r="F22" s="92" t="s">
        <v>35</v>
      </c>
      <c r="G22" s="93" t="s">
        <v>36</v>
      </c>
      <c r="H22" s="92" t="s">
        <v>41</v>
      </c>
      <c r="T22" s="86"/>
    </row>
    <row r="23" spans="3:20" ht="18.75" x14ac:dyDescent="0.3">
      <c r="C23" s="2" t="s">
        <v>4</v>
      </c>
      <c r="D23" s="103">
        <f>-E20*(1/E9)</f>
        <v>227.76203966005616</v>
      </c>
      <c r="E23" s="95">
        <f>-(E11*E20+D23*E10)</f>
        <v>-10473.130100207181</v>
      </c>
      <c r="F23" s="96">
        <f>E20*G9+D23*G8</f>
        <v>10525.495750708214</v>
      </c>
      <c r="G23" s="96">
        <f>E20*G13+D23*G12</f>
        <v>10525.495750708214</v>
      </c>
      <c r="H23" s="100">
        <f>-(F23/E23)-1</f>
        <v>4.9999999999996714E-3</v>
      </c>
    </row>
    <row r="24" spans="3:20" ht="18.75" x14ac:dyDescent="0.3">
      <c r="C24" s="2" t="s">
        <v>37</v>
      </c>
      <c r="D24" s="104">
        <f>-E20*(1/G7)</f>
        <v>4200</v>
      </c>
      <c r="E24" s="21">
        <f>-(E20*G9+D24*G8)</f>
        <v>-10970.149253731344</v>
      </c>
      <c r="F24" s="22">
        <f>E20*I7+D24*I6</f>
        <v>11025</v>
      </c>
      <c r="G24" s="22">
        <f>E20*I11+D24*I10</f>
        <v>11025</v>
      </c>
      <c r="H24" s="101">
        <f>-(F24/E24)-1</f>
        <v>4.9999999999998934E-3</v>
      </c>
    </row>
    <row r="25" spans="3:20" ht="18.75" x14ac:dyDescent="0.3">
      <c r="C25" s="2" t="s">
        <v>38</v>
      </c>
      <c r="D25" s="66">
        <f>-E20*(1/G11)</f>
        <v>100</v>
      </c>
      <c r="E25" s="97">
        <f>-(E20*G13+D25*G12)</f>
        <v>-9950.2487562189071</v>
      </c>
      <c r="F25" s="98">
        <f>E20*I11+D25*I10</f>
        <v>10000</v>
      </c>
      <c r="G25" s="99">
        <f>E20*I15+D25*I14</f>
        <v>10000</v>
      </c>
      <c r="H25" s="102">
        <f>-(F25/E25)-1</f>
        <v>4.9999999999998934E-3</v>
      </c>
    </row>
    <row r="26" spans="3:20" x14ac:dyDescent="0.25">
      <c r="C26" s="79"/>
      <c r="D26" s="204"/>
      <c r="E26" s="204"/>
    </row>
    <row r="27" spans="3:20" x14ac:dyDescent="0.25">
      <c r="C27" s="79"/>
      <c r="D27" s="79"/>
      <c r="E27" s="79"/>
      <c r="F27" s="4"/>
      <c r="G27" s="79"/>
    </row>
    <row r="28" spans="3:20" x14ac:dyDescent="0.25">
      <c r="D28" s="77"/>
      <c r="E28" s="77"/>
      <c r="F28" s="77"/>
      <c r="G28" s="17"/>
    </row>
    <row r="30" spans="3:20" ht="18.75" x14ac:dyDescent="0.3">
      <c r="C30" s="2"/>
      <c r="E30" s="79"/>
      <c r="F30" s="90"/>
    </row>
    <row r="31" spans="3:20" x14ac:dyDescent="0.25">
      <c r="C31" s="76"/>
      <c r="E31" s="77"/>
      <c r="F31" s="111"/>
      <c r="G31" s="203"/>
      <c r="H31" s="203"/>
    </row>
    <row r="32" spans="3:20" x14ac:dyDescent="0.25">
      <c r="C32" s="76"/>
      <c r="D32" s="79"/>
      <c r="E32" s="79"/>
      <c r="F32" s="112"/>
      <c r="G32" s="113"/>
      <c r="H32" s="114"/>
    </row>
    <row r="33" spans="3:8" x14ac:dyDescent="0.25">
      <c r="C33" s="76"/>
      <c r="D33" s="77"/>
      <c r="E33" s="77"/>
      <c r="F33" s="115"/>
      <c r="G33" s="116"/>
      <c r="H33" s="114"/>
    </row>
  </sheetData>
  <mergeCells count="2">
    <mergeCell ref="G31:H31"/>
    <mergeCell ref="D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020C-09E6-4602-9404-EE89C9B19A2D}">
  <dimension ref="B2:Q30"/>
  <sheetViews>
    <sheetView zoomScale="60" zoomScaleNormal="60" workbookViewId="0">
      <selection activeCell="Q20" sqref="Q20"/>
    </sheetView>
  </sheetViews>
  <sheetFormatPr defaultRowHeight="15" x14ac:dyDescent="0.25"/>
  <cols>
    <col min="2" max="2" width="16" customWidth="1"/>
    <col min="3" max="3" width="18.7109375" customWidth="1"/>
    <col min="4" max="4" width="14.42578125" customWidth="1"/>
    <col min="5" max="5" width="13.85546875" bestFit="1" customWidth="1"/>
    <col min="6" max="6" width="16.42578125" customWidth="1"/>
    <col min="7" max="7" width="14.5703125" customWidth="1"/>
    <col min="8" max="8" width="15" bestFit="1" customWidth="1"/>
    <col min="11" max="11" width="10.85546875" customWidth="1"/>
  </cols>
  <sheetData>
    <row r="2" spans="2:14" x14ac:dyDescent="0.25">
      <c r="B2" t="s">
        <v>1</v>
      </c>
      <c r="C2" s="30">
        <v>100</v>
      </c>
      <c r="G2" s="6" t="s">
        <v>15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G3" s="7" t="s">
        <v>16</v>
      </c>
      <c r="H3" s="3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21</v>
      </c>
      <c r="C4" s="30">
        <v>2</v>
      </c>
      <c r="E4" s="8"/>
      <c r="F4" s="9"/>
      <c r="G4" s="9"/>
      <c r="H4" s="9"/>
      <c r="I4" s="35">
        <f>MAX(0,I5-C5)</f>
        <v>10.25</v>
      </c>
      <c r="J4" s="19"/>
    </row>
    <row r="5" spans="2:14" x14ac:dyDescent="0.25">
      <c r="B5" t="s">
        <v>22</v>
      </c>
      <c r="C5" s="30">
        <v>100</v>
      </c>
      <c r="E5" s="39"/>
      <c r="F5" s="40"/>
      <c r="G5" s="40"/>
      <c r="H5" s="40"/>
      <c r="I5" s="12">
        <f>G10*(1+C3)</f>
        <v>110.25</v>
      </c>
      <c r="J5" s="11"/>
    </row>
    <row r="6" spans="2:14" x14ac:dyDescent="0.25">
      <c r="B6" t="s">
        <v>3</v>
      </c>
      <c r="C6" s="31">
        <v>5.0000000000000001E-3</v>
      </c>
      <c r="E6" s="39"/>
      <c r="F6" s="40"/>
      <c r="G6" s="34">
        <f>(I4-I11)/(I5-I12)</f>
        <v>0.97619047619047616</v>
      </c>
      <c r="H6" s="40"/>
      <c r="I6" s="41"/>
      <c r="L6" s="1" t="s">
        <v>14</v>
      </c>
      <c r="M6" s="5">
        <f>C6</f>
        <v>5.0000000000000001E-3</v>
      </c>
    </row>
    <row r="7" spans="2:14" x14ac:dyDescent="0.25">
      <c r="B7" t="s">
        <v>7</v>
      </c>
      <c r="C7" s="30">
        <v>2</v>
      </c>
      <c r="E7" s="39"/>
      <c r="F7" s="11">
        <f>C4</f>
        <v>2</v>
      </c>
      <c r="G7" s="11" t="s">
        <v>20</v>
      </c>
      <c r="H7" s="51">
        <f>((M12*I4)+(M13*I11))/((1+M6)^M7)</f>
        <v>5.6094527363183975</v>
      </c>
      <c r="I7" s="41"/>
      <c r="L7" s="1" t="s">
        <v>12</v>
      </c>
      <c r="M7" s="1">
        <f>C7/2</f>
        <v>1</v>
      </c>
      <c r="N7" t="s">
        <v>19</v>
      </c>
    </row>
    <row r="8" spans="2:14" x14ac:dyDescent="0.25">
      <c r="E8" s="10"/>
      <c r="F8" s="205" t="s">
        <v>23</v>
      </c>
      <c r="G8" s="206"/>
      <c r="H8" s="207"/>
      <c r="I8" s="41"/>
      <c r="L8" s="1"/>
      <c r="M8" s="1"/>
    </row>
    <row r="9" spans="2:14" x14ac:dyDescent="0.25">
      <c r="E9" s="10"/>
      <c r="F9" s="50" t="s">
        <v>25</v>
      </c>
      <c r="G9" s="19">
        <f>MAX(-F7+H7,0)</f>
        <v>3.6094527363183975</v>
      </c>
      <c r="I9" s="12"/>
      <c r="J9" s="11"/>
      <c r="L9" s="1" t="s">
        <v>11</v>
      </c>
      <c r="M9" s="4">
        <f>1+M6</f>
        <v>1.0049999999999999</v>
      </c>
    </row>
    <row r="10" spans="2:14" x14ac:dyDescent="0.25">
      <c r="E10" s="33">
        <f>(G9-G16)/(G10-G17)</f>
        <v>0.36094527363183976</v>
      </c>
      <c r="F10" s="11"/>
      <c r="G10" s="22">
        <f>E12*(1+C3)</f>
        <v>105</v>
      </c>
      <c r="H10" s="11"/>
      <c r="I10" s="12"/>
      <c r="J10" s="11"/>
    </row>
    <row r="11" spans="2:14" x14ac:dyDescent="0.25">
      <c r="E11" s="26">
        <f>((M12*G9)+(M13*G16))/((1+M6)^M7)</f>
        <v>1.9753223930100645</v>
      </c>
      <c r="F11" s="11"/>
      <c r="G11" s="11"/>
      <c r="H11" s="11"/>
      <c r="I11" s="20">
        <f>MAX(0,I12-C5)</f>
        <v>0</v>
      </c>
      <c r="J11" s="19"/>
      <c r="L11" s="28" t="s">
        <v>18</v>
      </c>
      <c r="M11" s="1"/>
    </row>
    <row r="12" spans="2:14" x14ac:dyDescent="0.25">
      <c r="E12" s="21">
        <f>C2</f>
        <v>100</v>
      </c>
      <c r="F12" s="40"/>
      <c r="G12" s="40"/>
      <c r="H12" s="40"/>
      <c r="I12" s="12">
        <f>G10*(1-C3)</f>
        <v>99.75</v>
      </c>
      <c r="J12" s="11"/>
      <c r="L12" s="16" t="s">
        <v>10</v>
      </c>
      <c r="M12" s="29">
        <f>(M9-M3)/(M2-M3)</f>
        <v>0.54999999999999893</v>
      </c>
    </row>
    <row r="13" spans="2:14" x14ac:dyDescent="0.25">
      <c r="E13" s="10"/>
      <c r="F13" s="11"/>
      <c r="G13" s="34">
        <f>(I11-I17)/(I12-I18)</f>
        <v>0</v>
      </c>
      <c r="H13" s="11"/>
      <c r="I13" s="12"/>
      <c r="J13" s="11"/>
      <c r="L13" s="13" t="s">
        <v>13</v>
      </c>
      <c r="M13" s="27">
        <f>1-M12</f>
        <v>0.45000000000000107</v>
      </c>
    </row>
    <row r="14" spans="2:14" x14ac:dyDescent="0.25">
      <c r="E14" s="10"/>
      <c r="F14" s="11">
        <f>C4</f>
        <v>2</v>
      </c>
      <c r="G14" s="11" t="s">
        <v>20</v>
      </c>
      <c r="H14" s="46">
        <f>((M12*I11)+(M13*I17))/((1+M6)^M7)</f>
        <v>0</v>
      </c>
      <c r="I14" s="12"/>
      <c r="J14" s="11"/>
    </row>
    <row r="15" spans="2:14" x14ac:dyDescent="0.25">
      <c r="E15" s="10"/>
      <c r="F15" s="208" t="s">
        <v>24</v>
      </c>
      <c r="G15" s="209"/>
      <c r="H15" s="210"/>
      <c r="I15" s="41"/>
    </row>
    <row r="16" spans="2:14" x14ac:dyDescent="0.25">
      <c r="E16" s="10"/>
      <c r="F16" s="50" t="s">
        <v>25</v>
      </c>
      <c r="G16" s="19">
        <f>MAX(-F14+H14,0)</f>
        <v>0</v>
      </c>
      <c r="H16" s="40"/>
      <c r="I16" s="41"/>
    </row>
    <row r="17" spans="3:17" x14ac:dyDescent="0.25">
      <c r="E17" s="39"/>
      <c r="F17" s="40"/>
      <c r="G17" s="22">
        <f>E12*(1-C3)</f>
        <v>95</v>
      </c>
      <c r="H17" s="40"/>
      <c r="I17" s="20">
        <f>MAX(0,I18-C5)</f>
        <v>0</v>
      </c>
      <c r="J17" s="19"/>
    </row>
    <row r="18" spans="3:17" x14ac:dyDescent="0.25">
      <c r="E18" s="39"/>
      <c r="F18" s="40"/>
      <c r="G18" s="40"/>
      <c r="H18" s="40"/>
      <c r="I18" s="12">
        <f>G17*(1-C3)</f>
        <v>90.25</v>
      </c>
      <c r="J18" s="11"/>
    </row>
    <row r="19" spans="3:17" x14ac:dyDescent="0.25">
      <c r="E19" s="39"/>
      <c r="F19" s="40"/>
      <c r="G19" s="40"/>
      <c r="H19" s="40"/>
      <c r="I19" s="41"/>
      <c r="Q19" s="86"/>
    </row>
    <row r="20" spans="3:17" x14ac:dyDescent="0.25">
      <c r="E20" s="39"/>
      <c r="F20" s="40"/>
      <c r="G20" s="40"/>
      <c r="H20" s="40"/>
      <c r="I20" s="41"/>
    </row>
    <row r="21" spans="3:17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</row>
    <row r="24" spans="3:17" ht="15.75" x14ac:dyDescent="0.25">
      <c r="C24" t="s">
        <v>44</v>
      </c>
      <c r="E24" s="30">
        <v>100</v>
      </c>
      <c r="F24" s="90" t="s">
        <v>33</v>
      </c>
    </row>
    <row r="25" spans="3:17" ht="15.75" x14ac:dyDescent="0.25">
      <c r="C25" s="82"/>
      <c r="E25" s="94"/>
      <c r="F25" s="90"/>
    </row>
    <row r="26" spans="3:17" ht="45" x14ac:dyDescent="0.25">
      <c r="D26" s="91" t="s">
        <v>40</v>
      </c>
      <c r="E26" s="92" t="s">
        <v>34</v>
      </c>
      <c r="F26" s="92" t="s">
        <v>35</v>
      </c>
      <c r="G26" s="93" t="s">
        <v>36</v>
      </c>
      <c r="H26" s="92" t="s">
        <v>41</v>
      </c>
    </row>
    <row r="27" spans="3:17" ht="18.75" x14ac:dyDescent="0.3">
      <c r="C27" s="2" t="s">
        <v>4</v>
      </c>
      <c r="D27" s="103">
        <f>E24*(1/E10)</f>
        <v>277.05031013094498</v>
      </c>
      <c r="E27" s="96">
        <f>-(E24*E12-D27*E11)</f>
        <v>-9452.7363184079604</v>
      </c>
      <c r="F27" s="96">
        <f>E24*G10-D27*G9</f>
        <v>9500</v>
      </c>
      <c r="G27" s="96">
        <f>E24*G17-D27*G16</f>
        <v>9500</v>
      </c>
      <c r="H27" s="100">
        <f>-(F27/E27)-1</f>
        <v>4.9999999999998934E-3</v>
      </c>
      <c r="Q27" s="86"/>
    </row>
    <row r="28" spans="3:17" ht="18.75" x14ac:dyDescent="0.3">
      <c r="C28" s="2" t="s">
        <v>37</v>
      </c>
      <c r="D28" s="104">
        <f>E24*(1/G6)</f>
        <v>102.4390243902439</v>
      </c>
      <c r="E28" s="22">
        <f>-(E24*G10-D28*H7)</f>
        <v>-9925.3731343283598</v>
      </c>
      <c r="F28" s="22">
        <f>E24*I5-D28*I4</f>
        <v>9975</v>
      </c>
      <c r="G28" s="22">
        <f>E24*I12-D28*I11</f>
        <v>9975</v>
      </c>
      <c r="H28" s="101">
        <f>-(F28/E28)-1</f>
        <v>4.9999999999998934E-3</v>
      </c>
    </row>
    <row r="29" spans="3:17" ht="18.75" x14ac:dyDescent="0.3">
      <c r="C29" s="2" t="s">
        <v>38</v>
      </c>
      <c r="D29" s="66">
        <v>0</v>
      </c>
      <c r="E29" s="211" t="s">
        <v>39</v>
      </c>
      <c r="F29" s="212"/>
      <c r="G29" s="99"/>
      <c r="H29" s="102"/>
    </row>
    <row r="30" spans="3:17" x14ac:dyDescent="0.25">
      <c r="C30" s="79"/>
    </row>
  </sheetData>
  <mergeCells count="3">
    <mergeCell ref="F8:H8"/>
    <mergeCell ref="F15:H15"/>
    <mergeCell ref="E29:F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4018-4EBD-4348-8DE6-DA72DE8AE7C5}">
  <dimension ref="B2:Q29"/>
  <sheetViews>
    <sheetView zoomScale="60" zoomScaleNormal="60" workbookViewId="0">
      <selection activeCell="P24" sqref="P24"/>
    </sheetView>
  </sheetViews>
  <sheetFormatPr defaultRowHeight="15" x14ac:dyDescent="0.25"/>
  <cols>
    <col min="2" max="2" width="15.85546875" bestFit="1" customWidth="1"/>
    <col min="3" max="3" width="16" customWidth="1"/>
    <col min="4" max="4" width="15.140625" customWidth="1"/>
    <col min="5" max="5" width="18.42578125" customWidth="1"/>
    <col min="6" max="6" width="13.28515625" customWidth="1"/>
    <col min="7" max="7" width="13.7109375" bestFit="1" customWidth="1"/>
    <col min="11" max="11" width="9.85546875" customWidth="1"/>
  </cols>
  <sheetData>
    <row r="2" spans="2:14" x14ac:dyDescent="0.25">
      <c r="B2" t="s">
        <v>1</v>
      </c>
      <c r="C2" s="30">
        <v>100</v>
      </c>
      <c r="G2" s="6" t="s">
        <v>15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G3" s="7" t="s">
        <v>16</v>
      </c>
      <c r="H3" s="3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21</v>
      </c>
      <c r="C4" s="30">
        <v>2</v>
      </c>
      <c r="E4" s="8"/>
      <c r="F4" s="9"/>
      <c r="G4" s="9"/>
      <c r="H4" s="9"/>
      <c r="I4" s="35">
        <f>MAX(0,C5-I5)</f>
        <v>0</v>
      </c>
      <c r="J4" s="19"/>
    </row>
    <row r="5" spans="2:14" x14ac:dyDescent="0.25">
      <c r="B5" t="s">
        <v>22</v>
      </c>
      <c r="C5" s="30">
        <v>100</v>
      </c>
      <c r="E5" s="39"/>
      <c r="F5" s="40"/>
      <c r="G5" s="40"/>
      <c r="H5" s="40"/>
      <c r="I5" s="12">
        <f>G10*(1+C3)</f>
        <v>110.25</v>
      </c>
      <c r="J5" s="11"/>
    </row>
    <row r="6" spans="2:14" x14ac:dyDescent="0.25">
      <c r="B6" t="s">
        <v>3</v>
      </c>
      <c r="C6" s="31">
        <v>5.0000000000000001E-3</v>
      </c>
      <c r="E6" s="39"/>
      <c r="F6" s="40"/>
      <c r="G6" s="34">
        <f>(I4-I11)/(I5-I12)</f>
        <v>-2.3809523809523808E-2</v>
      </c>
      <c r="H6" s="40"/>
      <c r="I6" s="41"/>
      <c r="L6" s="1" t="s">
        <v>14</v>
      </c>
      <c r="M6" s="5">
        <f>C6</f>
        <v>5.0000000000000001E-3</v>
      </c>
    </row>
    <row r="7" spans="2:14" x14ac:dyDescent="0.25">
      <c r="B7" t="s">
        <v>7</v>
      </c>
      <c r="C7" s="30">
        <v>2</v>
      </c>
      <c r="E7" s="39"/>
      <c r="F7" s="11">
        <f>C4</f>
        <v>2</v>
      </c>
      <c r="G7" s="11" t="s">
        <v>20</v>
      </c>
      <c r="H7" s="52">
        <f>((M12*I4)+(M13*I11))/((1+M6)^M7)</f>
        <v>0.11194029850746297</v>
      </c>
      <c r="I7" s="41"/>
      <c r="L7" s="1" t="s">
        <v>12</v>
      </c>
      <c r="M7" s="1">
        <f>C7/2</f>
        <v>1</v>
      </c>
      <c r="N7" t="s">
        <v>19</v>
      </c>
    </row>
    <row r="8" spans="2:14" x14ac:dyDescent="0.25">
      <c r="E8" s="10"/>
      <c r="F8" s="208" t="s">
        <v>24</v>
      </c>
      <c r="G8" s="209"/>
      <c r="H8" s="210"/>
      <c r="I8" s="41"/>
      <c r="L8" s="1"/>
      <c r="M8" s="1"/>
    </row>
    <row r="9" spans="2:14" x14ac:dyDescent="0.25">
      <c r="E9" s="10"/>
      <c r="F9" s="50" t="s">
        <v>25</v>
      </c>
      <c r="G9" s="19">
        <f>MAX(-F7+H7,0)</f>
        <v>0</v>
      </c>
      <c r="I9" s="12"/>
      <c r="J9" s="11"/>
      <c r="L9" s="1" t="s">
        <v>11</v>
      </c>
      <c r="M9" s="4">
        <f>1+M6</f>
        <v>1.0049999999999999</v>
      </c>
    </row>
    <row r="10" spans="2:14" x14ac:dyDescent="0.25">
      <c r="E10" s="33">
        <f>(G9-G16)/(G10-G17)</f>
        <v>-0.25024875621890647</v>
      </c>
      <c r="F10" s="11"/>
      <c r="G10" s="22">
        <f>E12*(1+C3)</f>
        <v>105</v>
      </c>
      <c r="H10" s="11"/>
      <c r="I10" s="12"/>
      <c r="J10" s="11"/>
    </row>
    <row r="11" spans="2:14" x14ac:dyDescent="0.25">
      <c r="E11" s="26">
        <f>((M12*G9)+(M13*G16))/((1+M6)^M7)</f>
        <v>1.1205168188906285</v>
      </c>
      <c r="F11" s="11"/>
      <c r="G11" s="11"/>
      <c r="H11" s="11"/>
      <c r="I11" s="20">
        <f>MAX(0,C5-I12)</f>
        <v>0.25</v>
      </c>
      <c r="J11" s="19"/>
      <c r="L11" s="28" t="s">
        <v>18</v>
      </c>
      <c r="M11" s="1"/>
    </row>
    <row r="12" spans="2:14" x14ac:dyDescent="0.25">
      <c r="E12" s="21">
        <f>C2</f>
        <v>100</v>
      </c>
      <c r="F12" s="40"/>
      <c r="G12" s="40"/>
      <c r="H12" s="40"/>
      <c r="I12" s="12">
        <f>G10*(1-C3)</f>
        <v>99.75</v>
      </c>
      <c r="J12" s="11"/>
      <c r="L12" s="16" t="s">
        <v>10</v>
      </c>
      <c r="M12" s="29">
        <f>(M9-M3)/(M2-M3)</f>
        <v>0.54999999999999893</v>
      </c>
    </row>
    <row r="13" spans="2:14" x14ac:dyDescent="0.25">
      <c r="E13" s="10"/>
      <c r="F13" s="11"/>
      <c r="G13" s="34">
        <f>(I11-I17)/(I12-I18)</f>
        <v>-1</v>
      </c>
      <c r="H13" s="11"/>
      <c r="I13" s="12"/>
      <c r="J13" s="11"/>
      <c r="L13" s="13" t="s">
        <v>13</v>
      </c>
      <c r="M13" s="27">
        <f>1-M12</f>
        <v>0.45000000000000107</v>
      </c>
    </row>
    <row r="14" spans="2:14" x14ac:dyDescent="0.25">
      <c r="E14" s="10"/>
      <c r="F14" s="11">
        <f>C4</f>
        <v>2</v>
      </c>
      <c r="G14" s="11" t="s">
        <v>20</v>
      </c>
      <c r="H14" s="51">
        <f>((M12*I11)+(M13*I17))/((1+M6)^M7)</f>
        <v>4.5024875621890645</v>
      </c>
      <c r="I14" s="12"/>
      <c r="J14" s="11"/>
    </row>
    <row r="15" spans="2:14" x14ac:dyDescent="0.25">
      <c r="E15" s="10"/>
      <c r="F15" s="205" t="s">
        <v>23</v>
      </c>
      <c r="G15" s="206"/>
      <c r="H15" s="207"/>
      <c r="I15" s="41"/>
    </row>
    <row r="16" spans="2:14" x14ac:dyDescent="0.25">
      <c r="E16" s="10"/>
      <c r="F16" s="50" t="s">
        <v>25</v>
      </c>
      <c r="G16" s="19">
        <f>MAX(-F14+H14,0)</f>
        <v>2.5024875621890645</v>
      </c>
      <c r="H16" s="40"/>
      <c r="I16" s="41"/>
    </row>
    <row r="17" spans="2:17" x14ac:dyDescent="0.25">
      <c r="E17" s="39"/>
      <c r="F17" s="40"/>
      <c r="G17" s="22">
        <f>E12*(1-C3)</f>
        <v>95</v>
      </c>
      <c r="H17" s="40"/>
      <c r="I17" s="20">
        <f>MAX(0,C5-I18)</f>
        <v>9.75</v>
      </c>
      <c r="J17" s="19"/>
      <c r="L17" s="45"/>
    </row>
    <row r="18" spans="2:17" x14ac:dyDescent="0.25">
      <c r="E18" s="39"/>
      <c r="F18" s="40"/>
      <c r="G18" s="40"/>
      <c r="H18" s="40"/>
      <c r="I18" s="12">
        <f>G17*(1-C3)</f>
        <v>90.25</v>
      </c>
      <c r="J18" s="11"/>
      <c r="Q18" s="87"/>
    </row>
    <row r="19" spans="2:17" x14ac:dyDescent="0.25">
      <c r="E19" s="39"/>
      <c r="F19" s="40"/>
      <c r="G19" s="40"/>
      <c r="H19" s="40"/>
      <c r="I19" s="41"/>
    </row>
    <row r="20" spans="2:17" x14ac:dyDescent="0.25">
      <c r="E20" s="39"/>
      <c r="F20" s="40"/>
      <c r="G20" s="40"/>
      <c r="H20" s="40"/>
      <c r="I20" s="41"/>
    </row>
    <row r="21" spans="2:17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</row>
    <row r="23" spans="2:17" ht="15.75" x14ac:dyDescent="0.25">
      <c r="B23" t="s">
        <v>44</v>
      </c>
      <c r="D23" s="30">
        <v>100</v>
      </c>
      <c r="E23" s="90" t="s">
        <v>33</v>
      </c>
      <c r="L23" s="45"/>
    </row>
    <row r="24" spans="2:17" ht="15.75" x14ac:dyDescent="0.25">
      <c r="B24" s="82"/>
      <c r="D24" s="94"/>
      <c r="E24" s="90"/>
    </row>
    <row r="25" spans="2:17" ht="59.25" customHeight="1" x14ac:dyDescent="0.25">
      <c r="C25" s="91" t="s">
        <v>40</v>
      </c>
      <c r="D25" s="92" t="s">
        <v>34</v>
      </c>
      <c r="E25" s="92" t="s">
        <v>35</v>
      </c>
      <c r="F25" s="93" t="s">
        <v>36</v>
      </c>
      <c r="G25" s="92" t="s">
        <v>41</v>
      </c>
      <c r="Q25" s="86"/>
    </row>
    <row r="26" spans="2:17" ht="18.75" x14ac:dyDescent="0.3">
      <c r="B26" s="2" t="s">
        <v>4</v>
      </c>
      <c r="C26" s="103">
        <f>-D23*(1/E10)</f>
        <v>399.60238568588312</v>
      </c>
      <c r="D26" s="96">
        <f>-(D23*E12+C26*E11)</f>
        <v>-10447.761194029852</v>
      </c>
      <c r="E26" s="96">
        <f>D23*G10+C26*G9</f>
        <v>10500</v>
      </c>
      <c r="F26" s="96">
        <f>D23*G17+C26*G16</f>
        <v>10500</v>
      </c>
      <c r="G26" s="100">
        <f>-(E26/D26)-1</f>
        <v>4.9999999999998934E-3</v>
      </c>
    </row>
    <row r="27" spans="2:17" ht="18.75" x14ac:dyDescent="0.3">
      <c r="B27" s="2" t="s">
        <v>37</v>
      </c>
      <c r="C27" s="104">
        <f>-D23*(1/G6)</f>
        <v>4200</v>
      </c>
      <c r="D27" s="22">
        <f>-(D23*G10+C27*H7)</f>
        <v>-10970.149253731344</v>
      </c>
      <c r="E27" s="22">
        <f>D23*I5+C27*I4</f>
        <v>11025</v>
      </c>
      <c r="F27" s="22">
        <f>D23*I12+C27*I11</f>
        <v>11025</v>
      </c>
      <c r="G27" s="101">
        <f>-(E27/D27)-1</f>
        <v>4.9999999999998934E-3</v>
      </c>
    </row>
    <row r="28" spans="2:17" ht="18.75" x14ac:dyDescent="0.3">
      <c r="B28" s="2" t="s">
        <v>38</v>
      </c>
      <c r="C28" s="66">
        <f>-D23*(1/G13)</f>
        <v>100</v>
      </c>
      <c r="D28" s="98">
        <f>-(D23*G17+C28*H14)</f>
        <v>-9950.2487562189071</v>
      </c>
      <c r="E28" s="98">
        <f>D23*I12+C28*I11</f>
        <v>10000</v>
      </c>
      <c r="F28" s="99">
        <f>D23*I18+C28*I17</f>
        <v>10000</v>
      </c>
      <c r="G28" s="102">
        <f>-(E28/D28)-1</f>
        <v>4.9999999999998934E-3</v>
      </c>
    </row>
    <row r="29" spans="2:17" x14ac:dyDescent="0.25">
      <c r="B29" s="79"/>
      <c r="C29" s="213"/>
      <c r="D29" s="213"/>
    </row>
  </sheetData>
  <mergeCells count="3">
    <mergeCell ref="F15:H15"/>
    <mergeCell ref="F8:H8"/>
    <mergeCell ref="C29:D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4387-A060-4281-82BC-200F1A5F1D15}">
  <dimension ref="B2:N28"/>
  <sheetViews>
    <sheetView zoomScale="60" zoomScaleNormal="60" workbookViewId="0">
      <selection activeCell="C24" sqref="C24"/>
    </sheetView>
  </sheetViews>
  <sheetFormatPr defaultRowHeight="15" x14ac:dyDescent="0.25"/>
  <cols>
    <col min="2" max="2" width="15.85546875" bestFit="1" customWidth="1"/>
    <col min="3" max="3" width="12.85546875" customWidth="1"/>
    <col min="4" max="4" width="18.5703125" customWidth="1"/>
    <col min="5" max="5" width="13.85546875" bestFit="1" customWidth="1"/>
    <col min="6" max="6" width="16.28515625" customWidth="1"/>
    <col min="7" max="7" width="14.85546875" bestFit="1" customWidth="1"/>
    <col min="8" max="8" width="15" bestFit="1" customWidth="1"/>
    <col min="11" max="11" width="10.85546875" customWidth="1"/>
    <col min="14" max="14" width="12.7109375" customWidth="1"/>
  </cols>
  <sheetData>
    <row r="2" spans="2:14" x14ac:dyDescent="0.25">
      <c r="B2" t="s">
        <v>1</v>
      </c>
      <c r="C2" s="30">
        <v>100</v>
      </c>
      <c r="G2" s="6" t="s">
        <v>15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G3" s="7" t="s">
        <v>16</v>
      </c>
      <c r="H3" s="3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21</v>
      </c>
      <c r="C4" s="30">
        <v>2</v>
      </c>
      <c r="E4" s="8"/>
      <c r="F4" s="9"/>
      <c r="G4" s="9"/>
      <c r="H4" s="9"/>
      <c r="I4" s="35">
        <f>MAX(0,I5-C5)</f>
        <v>10.25</v>
      </c>
      <c r="J4" s="19"/>
    </row>
    <row r="5" spans="2:14" x14ac:dyDescent="0.25">
      <c r="B5" t="s">
        <v>22</v>
      </c>
      <c r="C5" s="30">
        <v>100</v>
      </c>
      <c r="E5" s="39"/>
      <c r="F5" s="40"/>
      <c r="G5" s="40"/>
      <c r="H5" s="40"/>
      <c r="I5" s="12">
        <f>G10*(1+C3)</f>
        <v>110.25</v>
      </c>
      <c r="J5" s="11"/>
    </row>
    <row r="6" spans="2:14" x14ac:dyDescent="0.25">
      <c r="B6" t="s">
        <v>3</v>
      </c>
      <c r="C6" s="31">
        <v>5.0000000000000001E-3</v>
      </c>
      <c r="E6" s="39"/>
      <c r="F6" s="40"/>
      <c r="G6" s="34">
        <f>(I4-I11)/(I5-I12)</f>
        <v>0.97619047619047616</v>
      </c>
      <c r="H6" s="40"/>
      <c r="I6" s="41"/>
      <c r="L6" s="1" t="s">
        <v>14</v>
      </c>
      <c r="M6" s="5">
        <f>C6</f>
        <v>5.0000000000000001E-3</v>
      </c>
    </row>
    <row r="7" spans="2:14" x14ac:dyDescent="0.25">
      <c r="B7" t="s">
        <v>7</v>
      </c>
      <c r="C7" s="30">
        <v>2</v>
      </c>
      <c r="E7" s="39"/>
      <c r="F7" s="11">
        <f>C4</f>
        <v>2</v>
      </c>
      <c r="G7" s="11" t="s">
        <v>20</v>
      </c>
      <c r="H7" s="52">
        <f>((M12*I4)+(M13*I11))/((1+M6)^M7)</f>
        <v>5.6094527363183975</v>
      </c>
      <c r="I7" s="41"/>
      <c r="L7" s="1" t="s">
        <v>12</v>
      </c>
      <c r="M7" s="1">
        <f>C7/2</f>
        <v>1</v>
      </c>
      <c r="N7" t="s">
        <v>19</v>
      </c>
    </row>
    <row r="8" spans="2:14" x14ac:dyDescent="0.25">
      <c r="E8" s="10"/>
      <c r="F8" s="208" t="s">
        <v>32</v>
      </c>
      <c r="G8" s="209"/>
      <c r="H8" s="210"/>
      <c r="I8" s="41"/>
      <c r="L8" s="1"/>
      <c r="M8" s="1"/>
    </row>
    <row r="9" spans="2:14" x14ac:dyDescent="0.25">
      <c r="E9" s="10"/>
      <c r="F9" s="50" t="s">
        <v>25</v>
      </c>
      <c r="G9" s="19">
        <f>MAX(F7-H7,0)</f>
        <v>0</v>
      </c>
      <c r="I9" s="12"/>
      <c r="J9" s="11"/>
      <c r="L9" s="1" t="s">
        <v>11</v>
      </c>
      <c r="M9" s="4">
        <f>1+M6</f>
        <v>1.0049999999999999</v>
      </c>
    </row>
    <row r="10" spans="2:14" x14ac:dyDescent="0.25">
      <c r="E10" s="33">
        <f>(G9-G16)/(G10-G17)</f>
        <v>-0.2</v>
      </c>
      <c r="F10" s="11"/>
      <c r="G10" s="22">
        <f>E12*(1+C3)</f>
        <v>105</v>
      </c>
      <c r="H10" s="11"/>
      <c r="I10" s="12"/>
      <c r="J10" s="11"/>
    </row>
    <row r="11" spans="2:14" x14ac:dyDescent="0.25">
      <c r="E11" s="26">
        <f>((M12*G9)+(M13*G16))/((1+M6)^M7)</f>
        <v>0.89552238805970374</v>
      </c>
      <c r="F11" s="11"/>
      <c r="G11" s="11"/>
      <c r="H11" s="11"/>
      <c r="I11" s="20">
        <f>MAX(0,I12-C5)</f>
        <v>0</v>
      </c>
      <c r="J11" s="19"/>
      <c r="L11" s="28" t="s">
        <v>18</v>
      </c>
      <c r="M11" s="1"/>
    </row>
    <row r="12" spans="2:14" x14ac:dyDescent="0.25">
      <c r="E12" s="21">
        <f>C2</f>
        <v>100</v>
      </c>
      <c r="F12" s="40"/>
      <c r="G12" s="40"/>
      <c r="H12" s="40"/>
      <c r="I12" s="12">
        <f>G10*(1-C3)</f>
        <v>99.75</v>
      </c>
      <c r="J12" s="11"/>
      <c r="L12" s="16" t="s">
        <v>10</v>
      </c>
      <c r="M12" s="29">
        <f>(M9-M3)/(M2-M3)</f>
        <v>0.54999999999999893</v>
      </c>
    </row>
    <row r="13" spans="2:14" x14ac:dyDescent="0.25">
      <c r="E13" s="10"/>
      <c r="F13" s="11"/>
      <c r="G13" s="34">
        <f>(I11-I17)/(I12-I18)</f>
        <v>0</v>
      </c>
      <c r="H13" s="11"/>
      <c r="I13" s="12"/>
      <c r="J13" s="11"/>
      <c r="L13" s="13" t="s">
        <v>13</v>
      </c>
      <c r="M13" s="27">
        <f>1-M12</f>
        <v>0.45000000000000107</v>
      </c>
    </row>
    <row r="14" spans="2:14" x14ac:dyDescent="0.25">
      <c r="E14" s="10"/>
      <c r="F14" s="11">
        <f>C4</f>
        <v>2</v>
      </c>
      <c r="G14" s="11" t="s">
        <v>20</v>
      </c>
      <c r="H14" s="51">
        <f>((M12*I11)+(M13*I17))/((1+M6)^M7)</f>
        <v>0</v>
      </c>
      <c r="I14" s="12"/>
      <c r="J14" s="11"/>
    </row>
    <row r="15" spans="2:14" x14ac:dyDescent="0.25">
      <c r="E15" s="10"/>
      <c r="F15" s="205" t="s">
        <v>31</v>
      </c>
      <c r="G15" s="206"/>
      <c r="H15" s="207"/>
      <c r="I15" s="41"/>
    </row>
    <row r="16" spans="2:14" x14ac:dyDescent="0.25">
      <c r="E16" s="10"/>
      <c r="F16" s="50" t="s">
        <v>25</v>
      </c>
      <c r="G16" s="19">
        <f>MAX(F14-H14,0)</f>
        <v>2</v>
      </c>
      <c r="H16" s="40"/>
      <c r="I16" s="41"/>
    </row>
    <row r="17" spans="3:10" x14ac:dyDescent="0.25">
      <c r="E17" s="39"/>
      <c r="F17" s="40"/>
      <c r="G17" s="22">
        <f>E12*(1-C3)</f>
        <v>95</v>
      </c>
      <c r="H17" s="40"/>
      <c r="I17" s="20">
        <f>MAX(0,I18-C5)</f>
        <v>0</v>
      </c>
      <c r="J17" s="19"/>
    </row>
    <row r="18" spans="3:10" x14ac:dyDescent="0.25">
      <c r="E18" s="39"/>
      <c r="F18" s="40"/>
      <c r="G18" s="40"/>
      <c r="H18" s="40"/>
      <c r="I18" s="12">
        <f>G17*(1-C3)</f>
        <v>90.25</v>
      </c>
      <c r="J18" s="11"/>
    </row>
    <row r="19" spans="3:10" x14ac:dyDescent="0.25">
      <c r="E19" s="39"/>
      <c r="F19" s="40"/>
      <c r="G19" s="40"/>
      <c r="H19" s="40"/>
      <c r="I19" s="41"/>
    </row>
    <row r="20" spans="3:10" x14ac:dyDescent="0.25">
      <c r="E20" s="39"/>
      <c r="F20" s="40"/>
      <c r="G20" s="40"/>
      <c r="H20" s="40"/>
      <c r="I20" s="41"/>
    </row>
    <row r="21" spans="3:10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</row>
    <row r="23" spans="3:10" ht="15.75" x14ac:dyDescent="0.25">
      <c r="C23" t="s">
        <v>44</v>
      </c>
      <c r="E23" s="30">
        <v>100</v>
      </c>
      <c r="F23" s="90" t="s">
        <v>33</v>
      </c>
    </row>
    <row r="24" spans="3:10" ht="15.75" x14ac:dyDescent="0.25">
      <c r="C24" s="82"/>
      <c r="E24" s="94"/>
      <c r="F24" s="90"/>
    </row>
    <row r="25" spans="3:10" ht="54" customHeight="1" x14ac:dyDescent="0.25">
      <c r="D25" s="91" t="s">
        <v>40</v>
      </c>
      <c r="E25" s="92" t="s">
        <v>34</v>
      </c>
      <c r="F25" s="92" t="s">
        <v>35</v>
      </c>
      <c r="G25" s="93" t="s">
        <v>36</v>
      </c>
      <c r="H25" s="92" t="s">
        <v>41</v>
      </c>
    </row>
    <row r="26" spans="3:10" ht="18.75" x14ac:dyDescent="0.3">
      <c r="C26" s="2" t="s">
        <v>4</v>
      </c>
      <c r="D26" s="103">
        <f>-E23*(1/E10)</f>
        <v>500</v>
      </c>
      <c r="E26" s="96">
        <f>-(E23*E12+D26*E11)</f>
        <v>-10447.761194029852</v>
      </c>
      <c r="F26" s="96">
        <f>E23*G10+D26*G9</f>
        <v>10500</v>
      </c>
      <c r="G26" s="120">
        <f>E23*G17+D26*G16</f>
        <v>10500</v>
      </c>
      <c r="H26" s="117">
        <f>-(F26/E26)-1</f>
        <v>4.9999999999998934E-3</v>
      </c>
    </row>
    <row r="27" spans="3:10" ht="18.75" x14ac:dyDescent="0.3">
      <c r="C27" s="2" t="s">
        <v>37</v>
      </c>
      <c r="D27" s="104">
        <f>E23*(1/G6)</f>
        <v>102.4390243902439</v>
      </c>
      <c r="E27" s="22">
        <f>-(E23*G10-D27*H7)</f>
        <v>-9925.3731343283598</v>
      </c>
      <c r="F27" s="200">
        <f>E23*I5-I4*D27</f>
        <v>9975</v>
      </c>
      <c r="G27" s="200">
        <f>E23*I12-D27*I11</f>
        <v>9975</v>
      </c>
      <c r="H27" s="121">
        <f>-(F27/E27)-1</f>
        <v>4.9999999999998934E-3</v>
      </c>
    </row>
    <row r="28" spans="3:10" ht="18.75" x14ac:dyDescent="0.3">
      <c r="C28" s="2" t="s">
        <v>38</v>
      </c>
      <c r="D28" s="66">
        <v>0</v>
      </c>
      <c r="E28" s="59" t="s">
        <v>39</v>
      </c>
      <c r="F28" s="98"/>
      <c r="G28" s="99"/>
      <c r="H28" s="102"/>
    </row>
  </sheetData>
  <mergeCells count="2">
    <mergeCell ref="F8:H8"/>
    <mergeCell ref="F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F4B8-0F82-44F9-A4E1-DF52658C47A4}">
  <dimension ref="B2:N29"/>
  <sheetViews>
    <sheetView zoomScale="60" zoomScaleNormal="60" workbookViewId="0">
      <selection activeCell="B24" sqref="B24"/>
    </sheetView>
  </sheetViews>
  <sheetFormatPr defaultRowHeight="15" x14ac:dyDescent="0.25"/>
  <cols>
    <col min="2" max="2" width="15.85546875" bestFit="1" customWidth="1"/>
    <col min="3" max="3" width="15.5703125" customWidth="1"/>
    <col min="4" max="4" width="13.85546875" bestFit="1" customWidth="1"/>
    <col min="5" max="5" width="17.28515625" customWidth="1"/>
    <col min="6" max="6" width="14.42578125" bestFit="1" customWidth="1"/>
    <col min="7" max="7" width="15" bestFit="1" customWidth="1"/>
    <col min="12" max="12" width="13" customWidth="1"/>
    <col min="13" max="13" width="13.42578125" customWidth="1"/>
    <col min="14" max="14" width="12.28515625" customWidth="1"/>
  </cols>
  <sheetData>
    <row r="2" spans="2:14" x14ac:dyDescent="0.25">
      <c r="B2" t="s">
        <v>1</v>
      </c>
      <c r="C2" s="30">
        <v>100</v>
      </c>
      <c r="G2" s="6" t="s">
        <v>15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G3" s="7" t="s">
        <v>16</v>
      </c>
      <c r="H3" s="3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21</v>
      </c>
      <c r="C4" s="30">
        <v>2</v>
      </c>
      <c r="E4" s="8"/>
      <c r="F4" s="9"/>
      <c r="G4" s="9"/>
      <c r="H4" s="9"/>
      <c r="I4" s="35">
        <f>MAX(0,C5-I5)</f>
        <v>0</v>
      </c>
      <c r="J4" s="19"/>
    </row>
    <row r="5" spans="2:14" x14ac:dyDescent="0.25">
      <c r="B5" t="s">
        <v>22</v>
      </c>
      <c r="C5" s="30">
        <v>100</v>
      </c>
      <c r="E5" s="39"/>
      <c r="F5" s="40"/>
      <c r="G5" s="40"/>
      <c r="H5" s="40"/>
      <c r="I5" s="12">
        <f>G10*(1+C3)</f>
        <v>110.25</v>
      </c>
      <c r="J5" s="11"/>
    </row>
    <row r="6" spans="2:14" x14ac:dyDescent="0.25">
      <c r="B6" t="s">
        <v>3</v>
      </c>
      <c r="C6" s="31">
        <v>5.0000000000000001E-3</v>
      </c>
      <c r="E6" s="39"/>
      <c r="F6" s="40"/>
      <c r="G6" s="34">
        <f>(I4-I11)/(I5-I12)</f>
        <v>-2.3809523809523808E-2</v>
      </c>
      <c r="H6" s="40"/>
      <c r="I6" s="41"/>
      <c r="L6" s="1" t="s">
        <v>14</v>
      </c>
      <c r="M6" s="5">
        <f>C6</f>
        <v>5.0000000000000001E-3</v>
      </c>
    </row>
    <row r="7" spans="2:14" x14ac:dyDescent="0.25">
      <c r="B7" t="s">
        <v>7</v>
      </c>
      <c r="C7" s="30">
        <v>2</v>
      </c>
      <c r="E7" s="39"/>
      <c r="F7" s="11">
        <f>C4</f>
        <v>2</v>
      </c>
      <c r="G7" s="11" t="s">
        <v>20</v>
      </c>
      <c r="H7" s="51">
        <f>((M12*I4)+(M13*I11))/((1+M6)^M7)</f>
        <v>0.11194029850746297</v>
      </c>
      <c r="I7" s="41"/>
      <c r="L7" s="1" t="s">
        <v>12</v>
      </c>
      <c r="M7" s="1">
        <f>C7/2</f>
        <v>1</v>
      </c>
      <c r="N7" t="s">
        <v>19</v>
      </c>
    </row>
    <row r="8" spans="2:14" x14ac:dyDescent="0.25">
      <c r="E8" s="10"/>
      <c r="F8" s="205" t="s">
        <v>31</v>
      </c>
      <c r="G8" s="206"/>
      <c r="H8" s="207"/>
      <c r="I8" s="41"/>
      <c r="L8" s="1"/>
      <c r="M8" s="1"/>
    </row>
    <row r="9" spans="2:14" x14ac:dyDescent="0.25">
      <c r="E9" s="10"/>
      <c r="F9" s="50" t="s">
        <v>25</v>
      </c>
      <c r="G9" s="19">
        <f>MAX(F7-H7,0)</f>
        <v>1.8880597014925371</v>
      </c>
      <c r="I9" s="12"/>
      <c r="J9" s="11"/>
      <c r="L9" s="1" t="s">
        <v>11</v>
      </c>
      <c r="M9" s="4">
        <f>1+M6</f>
        <v>1.0049999999999999</v>
      </c>
    </row>
    <row r="10" spans="2:14" x14ac:dyDescent="0.25">
      <c r="E10" s="33">
        <f>(G9-G16)/(G10-G17)</f>
        <v>0.18880597014925371</v>
      </c>
      <c r="F10" s="11"/>
      <c r="G10" s="22">
        <f>E12*(1+C3)</f>
        <v>105</v>
      </c>
      <c r="H10" s="11"/>
      <c r="I10" s="12"/>
      <c r="J10" s="11"/>
    </row>
    <row r="11" spans="2:14" x14ac:dyDescent="0.25">
      <c r="E11" s="26">
        <f>((M12*G9)+(M13*G16))/((1+M6)^M7)</f>
        <v>1.0332665033043718</v>
      </c>
      <c r="F11" s="11"/>
      <c r="G11" s="11"/>
      <c r="H11" s="11"/>
      <c r="I11" s="20">
        <f>MAX(0,C5-I12)</f>
        <v>0.25</v>
      </c>
      <c r="J11" s="19"/>
      <c r="L11" s="28" t="s">
        <v>18</v>
      </c>
      <c r="M11" s="1"/>
    </row>
    <row r="12" spans="2:14" x14ac:dyDescent="0.25">
      <c r="E12" s="21">
        <f>C2</f>
        <v>100</v>
      </c>
      <c r="F12" s="40"/>
      <c r="G12" s="40"/>
      <c r="H12" s="40"/>
      <c r="I12" s="12">
        <f>G10*(1-C3)</f>
        <v>99.75</v>
      </c>
      <c r="J12" s="11"/>
      <c r="L12" s="16" t="s">
        <v>10</v>
      </c>
      <c r="M12" s="29">
        <f>(M9-M3)/(M2-M3)</f>
        <v>0.54999999999999893</v>
      </c>
    </row>
    <row r="13" spans="2:14" x14ac:dyDescent="0.25">
      <c r="E13" s="10"/>
      <c r="F13" s="11"/>
      <c r="G13" s="34">
        <f>(I11-I17)/(I12-I18)</f>
        <v>-1</v>
      </c>
      <c r="H13" s="11"/>
      <c r="I13" s="12"/>
      <c r="J13" s="11"/>
      <c r="L13" s="13" t="s">
        <v>13</v>
      </c>
      <c r="M13" s="27">
        <f>1-M12</f>
        <v>0.45000000000000107</v>
      </c>
    </row>
    <row r="14" spans="2:14" x14ac:dyDescent="0.25">
      <c r="E14" s="10"/>
      <c r="F14" s="11">
        <f>C4</f>
        <v>2</v>
      </c>
      <c r="G14" s="11" t="s">
        <v>20</v>
      </c>
      <c r="H14" s="52">
        <f>((M12*I11)+(M13*I17))/((1+M6)^M7)</f>
        <v>4.5024875621890645</v>
      </c>
      <c r="I14" s="12"/>
      <c r="J14" s="11"/>
    </row>
    <row r="15" spans="2:14" x14ac:dyDescent="0.25">
      <c r="E15" s="10"/>
      <c r="F15" s="208" t="s">
        <v>32</v>
      </c>
      <c r="G15" s="209"/>
      <c r="H15" s="210"/>
      <c r="I15" s="41"/>
    </row>
    <row r="16" spans="2:14" x14ac:dyDescent="0.25">
      <c r="E16" s="10"/>
      <c r="F16" s="50" t="s">
        <v>25</v>
      </c>
      <c r="G16" s="19">
        <f>MAX(F14-H14,0)</f>
        <v>0</v>
      </c>
      <c r="H16" s="40"/>
      <c r="I16" s="41"/>
    </row>
    <row r="17" spans="2:10" x14ac:dyDescent="0.25">
      <c r="E17" s="39"/>
      <c r="F17" s="40"/>
      <c r="G17" s="22">
        <f>E12*(1-C3)</f>
        <v>95</v>
      </c>
      <c r="H17" s="40"/>
      <c r="I17" s="20">
        <f>MAX(0,C5-I18)</f>
        <v>9.75</v>
      </c>
      <c r="J17" s="19"/>
    </row>
    <row r="18" spans="2:10" x14ac:dyDescent="0.25">
      <c r="E18" s="39"/>
      <c r="F18" s="40"/>
      <c r="G18" s="40"/>
      <c r="H18" s="40"/>
      <c r="I18" s="12">
        <f>G17*(1-C3)</f>
        <v>90.25</v>
      </c>
      <c r="J18" s="11"/>
    </row>
    <row r="19" spans="2:10" x14ac:dyDescent="0.25">
      <c r="E19" s="39"/>
      <c r="F19" s="40"/>
      <c r="G19" s="40"/>
      <c r="H19" s="40"/>
      <c r="I19" s="41"/>
    </row>
    <row r="20" spans="2:10" x14ac:dyDescent="0.25">
      <c r="E20" s="39"/>
      <c r="F20" s="40"/>
      <c r="G20" s="40"/>
      <c r="H20" s="40"/>
      <c r="I20" s="41"/>
    </row>
    <row r="21" spans="2:10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</row>
    <row r="23" spans="2:10" ht="15.75" x14ac:dyDescent="0.25">
      <c r="B23" t="s">
        <v>44</v>
      </c>
      <c r="D23" s="30">
        <v>100</v>
      </c>
      <c r="E23" s="90" t="s">
        <v>33</v>
      </c>
    </row>
    <row r="24" spans="2:10" ht="15.75" x14ac:dyDescent="0.25">
      <c r="B24" s="82"/>
      <c r="D24" s="94"/>
      <c r="E24" s="90"/>
    </row>
    <row r="25" spans="2:10" ht="54.75" customHeight="1" x14ac:dyDescent="0.25">
      <c r="C25" s="91" t="s">
        <v>40</v>
      </c>
      <c r="D25" s="92" t="s">
        <v>34</v>
      </c>
      <c r="E25" s="92" t="s">
        <v>35</v>
      </c>
      <c r="F25" s="93" t="s">
        <v>36</v>
      </c>
      <c r="G25" s="92" t="s">
        <v>41</v>
      </c>
    </row>
    <row r="26" spans="2:10" ht="18.75" x14ac:dyDescent="0.3">
      <c r="B26" s="2" t="s">
        <v>4</v>
      </c>
      <c r="C26" s="103">
        <f>D23*(1/E10)</f>
        <v>529.64426877470362</v>
      </c>
      <c r="D26" s="96">
        <f>-(D23*E12-C26*E11)</f>
        <v>-9452.7363184079604</v>
      </c>
      <c r="E26" s="96">
        <f>D23*G10-C26*G9</f>
        <v>9500</v>
      </c>
      <c r="F26" s="96">
        <f>D23*G17-C26*G16</f>
        <v>9500</v>
      </c>
      <c r="G26" s="100">
        <f>-(E26/D26)-1</f>
        <v>4.9999999999998934E-3</v>
      </c>
    </row>
    <row r="27" spans="2:10" ht="18.75" x14ac:dyDescent="0.3">
      <c r="B27" s="2" t="s">
        <v>37</v>
      </c>
      <c r="C27" s="104">
        <f>-D23*(1/G6)</f>
        <v>4200</v>
      </c>
      <c r="D27" s="22">
        <f>-(D23*G10+C27*H7)</f>
        <v>-10970.149253731344</v>
      </c>
      <c r="E27" s="200">
        <f>D23*I5+C27*I4</f>
        <v>11025</v>
      </c>
      <c r="F27" s="200">
        <f>D23*I12+C27*I11</f>
        <v>11025</v>
      </c>
      <c r="G27" s="101">
        <f>-(E27/D27)-1</f>
        <v>4.9999999999998934E-3</v>
      </c>
    </row>
    <row r="28" spans="2:10" ht="18.75" x14ac:dyDescent="0.3">
      <c r="B28" s="2" t="s">
        <v>38</v>
      </c>
      <c r="C28" s="66">
        <f>-D23*(1/G13)</f>
        <v>100</v>
      </c>
      <c r="D28" s="98">
        <f>-(D23*G17+C28*H14)</f>
        <v>-9950.2487562189071</v>
      </c>
      <c r="E28" s="98">
        <f>D23*I12+C28*I11</f>
        <v>10000</v>
      </c>
      <c r="F28" s="99">
        <f>D23*I18+C28*I17</f>
        <v>10000</v>
      </c>
      <c r="G28" s="102">
        <f>-(E28/D28)-1</f>
        <v>4.9999999999998934E-3</v>
      </c>
    </row>
    <row r="29" spans="2:10" x14ac:dyDescent="0.25">
      <c r="B29" s="79"/>
      <c r="C29" s="213"/>
      <c r="D29" s="213"/>
    </row>
  </sheetData>
  <mergeCells count="3">
    <mergeCell ref="F15:H15"/>
    <mergeCell ref="F8:H8"/>
    <mergeCell ref="C29:D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989E-7343-4D1A-B02A-3E829306D4D1}">
  <dimension ref="B1:Q27"/>
  <sheetViews>
    <sheetView zoomScale="60" zoomScaleNormal="60" workbookViewId="0">
      <selection activeCell="M24" sqref="M24"/>
    </sheetView>
  </sheetViews>
  <sheetFormatPr defaultRowHeight="15" x14ac:dyDescent="0.25"/>
  <cols>
    <col min="2" max="2" width="14.7109375" customWidth="1"/>
    <col min="3" max="3" width="17.5703125" customWidth="1"/>
    <col min="4" max="4" width="12.28515625" bestFit="1" customWidth="1"/>
    <col min="5" max="5" width="17.42578125" customWidth="1"/>
    <col min="6" max="6" width="13.85546875" bestFit="1" customWidth="1"/>
    <col min="7" max="7" width="13.7109375" bestFit="1" customWidth="1"/>
    <col min="11" max="11" width="10" customWidth="1"/>
    <col min="12" max="12" width="12.42578125" customWidth="1"/>
    <col min="13" max="13" width="13" customWidth="1"/>
  </cols>
  <sheetData>
    <row r="1" spans="2:16" x14ac:dyDescent="0.25">
      <c r="G1" s="6" t="s">
        <v>15</v>
      </c>
    </row>
    <row r="2" spans="2:16" x14ac:dyDescent="0.25">
      <c r="B2" t="s">
        <v>1</v>
      </c>
      <c r="C2" s="30">
        <v>100</v>
      </c>
      <c r="G2" s="7" t="s">
        <v>16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6" x14ac:dyDescent="0.25">
      <c r="B3" t="s">
        <v>2</v>
      </c>
      <c r="C3" s="31">
        <v>0.05</v>
      </c>
      <c r="E3" s="8"/>
      <c r="F3" s="9"/>
      <c r="G3" s="9"/>
      <c r="H3" s="54"/>
      <c r="I3" s="197">
        <f>MAX(0,AVERAGE(E11,G7,I4)-C4)</f>
        <v>5.0833333333333286</v>
      </c>
      <c r="J3" s="19"/>
      <c r="L3" s="13" t="s">
        <v>9</v>
      </c>
      <c r="M3" s="44">
        <f>1-C3</f>
        <v>0.95</v>
      </c>
      <c r="N3" s="55">
        <f>M3</f>
        <v>0.95</v>
      </c>
    </row>
    <row r="4" spans="2:16" x14ac:dyDescent="0.25">
      <c r="B4" t="s">
        <v>0</v>
      </c>
      <c r="C4" s="30">
        <v>100</v>
      </c>
      <c r="E4" s="39"/>
      <c r="F4" s="40"/>
      <c r="G4" s="40"/>
      <c r="H4" s="40"/>
      <c r="I4" s="12">
        <f>G7*(1+C3)</f>
        <v>110.25</v>
      </c>
      <c r="J4" s="11"/>
    </row>
    <row r="5" spans="2:16" x14ac:dyDescent="0.25">
      <c r="B5" t="s">
        <v>3</v>
      </c>
      <c r="C5" s="31">
        <v>5.0000000000000001E-3</v>
      </c>
      <c r="E5" s="39"/>
      <c r="F5" s="40"/>
      <c r="G5" s="34">
        <f>(I3-I7)/(I4-I8)</f>
        <v>0.33333333333333331</v>
      </c>
      <c r="H5" s="40"/>
      <c r="I5" s="41"/>
      <c r="L5" s="1" t="s">
        <v>14</v>
      </c>
      <c r="M5" s="5">
        <f>C5</f>
        <v>5.0000000000000001E-3</v>
      </c>
    </row>
    <row r="6" spans="2:16" x14ac:dyDescent="0.25">
      <c r="B6" t="s">
        <v>7</v>
      </c>
      <c r="C6" s="30">
        <v>2</v>
      </c>
      <c r="E6" s="39"/>
      <c r="F6" s="40"/>
      <c r="G6" s="19">
        <f>((M11*I3)+(M12*I7))/(1+M5)^M6</f>
        <v>3.4908789386401247</v>
      </c>
      <c r="H6" s="40"/>
      <c r="I6" s="41"/>
      <c r="L6" s="1" t="s">
        <v>12</v>
      </c>
      <c r="M6" s="1">
        <f>C6/2</f>
        <v>1</v>
      </c>
      <c r="N6" t="s">
        <v>19</v>
      </c>
    </row>
    <row r="7" spans="2:16" x14ac:dyDescent="0.25">
      <c r="E7" s="10"/>
      <c r="F7" s="11"/>
      <c r="G7" s="22">
        <f>E11*(1+C3)</f>
        <v>105</v>
      </c>
      <c r="H7" s="11"/>
      <c r="I7" s="198">
        <f>MAX(0,AVERAGE(E11,G7,I8)-C4)</f>
        <v>1.5833333333333286</v>
      </c>
      <c r="J7" s="19"/>
      <c r="L7" s="1"/>
      <c r="M7" s="1"/>
    </row>
    <row r="8" spans="2:16" x14ac:dyDescent="0.25">
      <c r="E8" s="10"/>
      <c r="F8" s="11"/>
      <c r="G8" s="40"/>
      <c r="H8" s="11"/>
      <c r="I8" s="12">
        <f>G7*(1-C3)</f>
        <v>99.75</v>
      </c>
      <c r="J8" s="11"/>
      <c r="L8" s="1" t="s">
        <v>11</v>
      </c>
      <c r="M8" s="4">
        <f>1+M5</f>
        <v>1.0049999999999999</v>
      </c>
    </row>
    <row r="9" spans="2:16" x14ac:dyDescent="0.25">
      <c r="E9" s="33">
        <f>(G6-G14)/(G7-G15)</f>
        <v>0.34908789386401246</v>
      </c>
      <c r="F9" s="11"/>
      <c r="G9" s="40"/>
      <c r="H9" s="11"/>
      <c r="I9" s="41"/>
    </row>
    <row r="10" spans="2:16" x14ac:dyDescent="0.25">
      <c r="E10" s="26">
        <f>((M11*G6)+(M12*G14))/(1+M5)^M6</f>
        <v>1.9104312599523035</v>
      </c>
      <c r="F10" s="11"/>
      <c r="G10" s="11"/>
      <c r="H10" s="11"/>
      <c r="I10" s="41"/>
      <c r="L10" s="28" t="s">
        <v>18</v>
      </c>
      <c r="M10" s="1"/>
      <c r="P10" s="45"/>
    </row>
    <row r="11" spans="2:16" x14ac:dyDescent="0.25">
      <c r="C11" s="53"/>
      <c r="E11" s="21">
        <f>C2</f>
        <v>100</v>
      </c>
      <c r="F11" s="11"/>
      <c r="G11" s="40"/>
      <c r="H11" s="40"/>
      <c r="I11" s="198">
        <f>MAX(0,AVERAGE(E11,G15,I12)-C4)</f>
        <v>0</v>
      </c>
      <c r="J11" s="19"/>
      <c r="L11" s="16" t="s">
        <v>10</v>
      </c>
      <c r="M11" s="29">
        <f>(M8-M3)/(M2-M3)</f>
        <v>0.54999999999999893</v>
      </c>
      <c r="P11" s="53"/>
    </row>
    <row r="12" spans="2:16" x14ac:dyDescent="0.25">
      <c r="E12" s="10"/>
      <c r="F12" s="11"/>
      <c r="G12" s="40"/>
      <c r="H12" s="11"/>
      <c r="I12" s="12">
        <f>G15*(1+C3)</f>
        <v>99.75</v>
      </c>
      <c r="J12" s="11"/>
      <c r="L12" s="13" t="s">
        <v>13</v>
      </c>
      <c r="M12" s="27">
        <f>1-M11</f>
        <v>0.45000000000000107</v>
      </c>
    </row>
    <row r="13" spans="2:16" x14ac:dyDescent="0.25">
      <c r="E13" s="10"/>
      <c r="F13" s="11"/>
      <c r="G13" s="34">
        <f>(I11-I16)/(I12-I17)</f>
        <v>0</v>
      </c>
      <c r="H13" s="11"/>
      <c r="I13" s="41"/>
    </row>
    <row r="14" spans="2:16" x14ac:dyDescent="0.25">
      <c r="E14" s="10"/>
      <c r="F14" s="11"/>
      <c r="G14" s="19">
        <f>((M11*I11)+(M12*I16))/(1+M5)^M6</f>
        <v>0</v>
      </c>
      <c r="H14" s="11"/>
      <c r="I14" s="41"/>
    </row>
    <row r="15" spans="2:16" x14ac:dyDescent="0.25">
      <c r="E15" s="10"/>
      <c r="F15" s="11"/>
      <c r="G15" s="22">
        <f>E11*(1-C3)</f>
        <v>95</v>
      </c>
      <c r="H15" s="11"/>
      <c r="I15" s="41"/>
    </row>
    <row r="16" spans="2:16" x14ac:dyDescent="0.25">
      <c r="E16" s="39"/>
      <c r="F16" s="40"/>
      <c r="G16" s="11"/>
      <c r="H16" s="11"/>
      <c r="I16" s="198">
        <f>MAX(0,AVERAGE(I17,G15,E11)-C4)</f>
        <v>0</v>
      </c>
      <c r="J16" s="19"/>
    </row>
    <row r="17" spans="2:17" x14ac:dyDescent="0.25">
      <c r="E17" s="39"/>
      <c r="F17" s="40"/>
      <c r="G17" s="40"/>
      <c r="H17" s="40"/>
      <c r="I17" s="12">
        <f>G15*(1-C3)</f>
        <v>90.25</v>
      </c>
      <c r="J17" s="11"/>
    </row>
    <row r="18" spans="2:17" x14ac:dyDescent="0.25">
      <c r="E18" s="39"/>
      <c r="F18" s="40"/>
      <c r="G18" s="40"/>
      <c r="H18" s="40"/>
      <c r="I18" s="41"/>
    </row>
    <row r="19" spans="2:17" x14ac:dyDescent="0.25">
      <c r="E19" s="39"/>
      <c r="F19" s="40"/>
      <c r="G19" s="40"/>
      <c r="H19" s="40"/>
      <c r="I19" s="41"/>
      <c r="Q19" s="87"/>
    </row>
    <row r="20" spans="2:17" ht="18.75" x14ac:dyDescent="0.3">
      <c r="E20" s="47" t="s">
        <v>4</v>
      </c>
      <c r="F20" s="48"/>
      <c r="G20" s="48" t="s">
        <v>5</v>
      </c>
      <c r="H20" s="48"/>
      <c r="I20" s="49" t="s">
        <v>6</v>
      </c>
      <c r="J20" s="2"/>
    </row>
    <row r="22" spans="2:17" ht="15.75" x14ac:dyDescent="0.25">
      <c r="B22" t="s">
        <v>44</v>
      </c>
      <c r="D22" s="30">
        <v>100</v>
      </c>
      <c r="E22" s="90" t="s">
        <v>33</v>
      </c>
    </row>
    <row r="23" spans="2:17" ht="15.75" x14ac:dyDescent="0.25">
      <c r="B23" s="82"/>
      <c r="D23" s="94"/>
      <c r="E23" s="90"/>
    </row>
    <row r="24" spans="2:17" ht="56.25" customHeight="1" x14ac:dyDescent="0.25">
      <c r="C24" s="91" t="s">
        <v>40</v>
      </c>
      <c r="D24" s="92" t="s">
        <v>34</v>
      </c>
      <c r="E24" s="92" t="s">
        <v>35</v>
      </c>
      <c r="F24" s="93" t="s">
        <v>36</v>
      </c>
      <c r="G24" s="92" t="s">
        <v>41</v>
      </c>
    </row>
    <row r="25" spans="2:17" ht="18.75" x14ac:dyDescent="0.3">
      <c r="B25" s="2" t="s">
        <v>4</v>
      </c>
      <c r="C25" s="103">
        <f>D22*(1/E9)</f>
        <v>286.46080760095083</v>
      </c>
      <c r="D25" s="96">
        <f>-(D22*E11-C25*E10)</f>
        <v>-9452.7363184079604</v>
      </c>
      <c r="E25" s="96">
        <f>D22*G7-C25*G6</f>
        <v>9500</v>
      </c>
      <c r="F25" s="96">
        <f>D22*G15-C25*G14</f>
        <v>9500</v>
      </c>
      <c r="G25" s="100">
        <f>-(E25/D25)-1</f>
        <v>4.9999999999998934E-3</v>
      </c>
      <c r="Q25" s="87"/>
    </row>
    <row r="26" spans="2:17" ht="18.75" x14ac:dyDescent="0.3">
      <c r="B26" s="2" t="s">
        <v>37</v>
      </c>
      <c r="C26" s="104">
        <f>D22*(1/G5)</f>
        <v>300</v>
      </c>
      <c r="D26" s="22">
        <f>-(D22*G7-C26*G6)</f>
        <v>-9452.7363184079622</v>
      </c>
      <c r="E26" s="22">
        <f>D22*I4-C26*I3</f>
        <v>9500.0000000000018</v>
      </c>
      <c r="F26" s="22">
        <f>D22*I8-C26*I7</f>
        <v>9500.0000000000018</v>
      </c>
      <c r="G26" s="101">
        <f>-(E26/D26)-1</f>
        <v>4.9999999999998934E-3</v>
      </c>
    </row>
    <row r="27" spans="2:17" ht="18.75" x14ac:dyDescent="0.3">
      <c r="B27" s="2" t="s">
        <v>38</v>
      </c>
      <c r="C27" s="66">
        <v>0</v>
      </c>
      <c r="D27" s="211" t="s">
        <v>39</v>
      </c>
      <c r="E27" s="212"/>
      <c r="F27" s="99"/>
      <c r="G27" s="102"/>
    </row>
  </sheetData>
  <mergeCells count="1">
    <mergeCell ref="D27:E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62A1-DB03-4CDD-AFAE-CC9C227746E8}">
  <dimension ref="B1:P27"/>
  <sheetViews>
    <sheetView zoomScale="60" zoomScaleNormal="60" workbookViewId="0">
      <selection activeCell="N19" sqref="N19"/>
    </sheetView>
  </sheetViews>
  <sheetFormatPr defaultRowHeight="15" x14ac:dyDescent="0.25"/>
  <cols>
    <col min="2" max="2" width="13.140625" bestFit="1" customWidth="1"/>
    <col min="3" max="3" width="18.42578125" customWidth="1"/>
    <col min="4" max="4" width="13.85546875" bestFit="1" customWidth="1"/>
    <col min="5" max="5" width="16.28515625" bestFit="1" customWidth="1"/>
    <col min="6" max="6" width="14.85546875" bestFit="1" customWidth="1"/>
    <col min="7" max="7" width="15" bestFit="1" customWidth="1"/>
    <col min="11" max="11" width="10.5703125" customWidth="1"/>
    <col min="12" max="12" width="12.28515625" customWidth="1"/>
    <col min="13" max="13" width="13" customWidth="1"/>
    <col min="14" max="14" width="12.7109375" customWidth="1"/>
  </cols>
  <sheetData>
    <row r="1" spans="2:14" x14ac:dyDescent="0.25">
      <c r="G1" s="6" t="s">
        <v>15</v>
      </c>
    </row>
    <row r="2" spans="2:14" x14ac:dyDescent="0.25">
      <c r="B2" t="s">
        <v>1</v>
      </c>
      <c r="C2" s="30">
        <v>100</v>
      </c>
      <c r="G2" s="7" t="s">
        <v>16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14" x14ac:dyDescent="0.25">
      <c r="B3" t="s">
        <v>2</v>
      </c>
      <c r="C3" s="31">
        <v>0.05</v>
      </c>
      <c r="E3" s="8"/>
      <c r="F3" s="9"/>
      <c r="G3" s="9"/>
      <c r="H3" s="54"/>
      <c r="I3" s="197">
        <f>MAX(0,C4-AVERAGE(E11,G7,I4))</f>
        <v>0</v>
      </c>
      <c r="J3" s="19"/>
      <c r="L3" s="13" t="s">
        <v>9</v>
      </c>
      <c r="M3" s="44">
        <f>1-C3</f>
        <v>0.95</v>
      </c>
      <c r="N3" s="55">
        <f>M3</f>
        <v>0.95</v>
      </c>
    </row>
    <row r="4" spans="2:14" x14ac:dyDescent="0.25">
      <c r="B4" t="s">
        <v>0</v>
      </c>
      <c r="C4" s="30">
        <v>100</v>
      </c>
      <c r="E4" s="39"/>
      <c r="F4" s="40"/>
      <c r="G4" s="40"/>
      <c r="H4" s="40"/>
      <c r="I4" s="12">
        <f>G7*(1+C3)</f>
        <v>110.25</v>
      </c>
      <c r="J4" s="11"/>
    </row>
    <row r="5" spans="2:14" x14ac:dyDescent="0.25">
      <c r="B5" t="s">
        <v>3</v>
      </c>
      <c r="C5" s="31">
        <v>5.0000000000000001E-3</v>
      </c>
      <c r="E5" s="39"/>
      <c r="F5" s="40"/>
      <c r="G5" s="34">
        <f>(I3-I7)/(I4-I8)</f>
        <v>0</v>
      </c>
      <c r="H5" s="40"/>
      <c r="I5" s="41"/>
      <c r="L5" s="1" t="s">
        <v>14</v>
      </c>
      <c r="M5" s="5">
        <f>C5</f>
        <v>5.0000000000000001E-3</v>
      </c>
    </row>
    <row r="6" spans="2:14" x14ac:dyDescent="0.25">
      <c r="B6" t="s">
        <v>7</v>
      </c>
      <c r="C6" s="30">
        <v>2</v>
      </c>
      <c r="E6" s="39"/>
      <c r="F6" s="40"/>
      <c r="G6" s="19">
        <f>((M11*I3)+(M12*I7))/(1+M5)^M6</f>
        <v>0</v>
      </c>
      <c r="H6" s="40"/>
      <c r="I6" s="41"/>
      <c r="L6" s="1" t="s">
        <v>12</v>
      </c>
      <c r="M6" s="1">
        <f>C6/2</f>
        <v>1</v>
      </c>
      <c r="N6" t="s">
        <v>19</v>
      </c>
    </row>
    <row r="7" spans="2:14" x14ac:dyDescent="0.25">
      <c r="E7" s="10"/>
      <c r="F7" s="11"/>
      <c r="G7" s="22">
        <f>E11*(1+C3)</f>
        <v>105</v>
      </c>
      <c r="H7" s="11"/>
      <c r="I7" s="198">
        <f>MAX(0,C4-AVERAGE(E11,G7,I8))</f>
        <v>0</v>
      </c>
      <c r="J7" s="19"/>
      <c r="L7" s="1"/>
      <c r="M7" s="1"/>
    </row>
    <row r="8" spans="2:14" x14ac:dyDescent="0.25">
      <c r="E8" s="10"/>
      <c r="F8" s="11"/>
      <c r="G8" s="40"/>
      <c r="H8" s="11"/>
      <c r="I8" s="12">
        <f>G7*(1-C3)</f>
        <v>99.75</v>
      </c>
      <c r="J8" s="11"/>
      <c r="L8" s="1" t="s">
        <v>11</v>
      </c>
      <c r="M8" s="4">
        <f>1+M5</f>
        <v>1.0049999999999999</v>
      </c>
    </row>
    <row r="9" spans="2:14" x14ac:dyDescent="0.25">
      <c r="E9" s="33">
        <f>(G6-G14)/(G7-G15)</f>
        <v>-0.31592039800995086</v>
      </c>
      <c r="F9" s="11"/>
      <c r="G9" s="40"/>
      <c r="H9" s="11"/>
      <c r="I9" s="41"/>
    </row>
    <row r="10" spans="2:14" x14ac:dyDescent="0.25">
      <c r="E10" s="26">
        <f>((M11*G6)+(M12*G14))/(1+M5)^M6</f>
        <v>1.4145689463132161</v>
      </c>
      <c r="F10" s="11"/>
      <c r="G10" s="11"/>
      <c r="H10" s="11"/>
      <c r="I10" s="41"/>
      <c r="L10" s="28" t="s">
        <v>18</v>
      </c>
      <c r="M10" s="1"/>
    </row>
    <row r="11" spans="2:14" x14ac:dyDescent="0.25">
      <c r="C11" s="53"/>
      <c r="E11" s="21">
        <f>C2</f>
        <v>100</v>
      </c>
      <c r="F11" s="11"/>
      <c r="G11" s="40"/>
      <c r="H11" s="40"/>
      <c r="I11" s="198">
        <f>MAX(0,C4-AVERAGE(E11,G15,I12))</f>
        <v>1.75</v>
      </c>
      <c r="J11" s="19"/>
      <c r="L11" s="16" t="s">
        <v>10</v>
      </c>
      <c r="M11" s="29">
        <f>(M8-M3)/(M2-M3)</f>
        <v>0.54999999999999893</v>
      </c>
    </row>
    <row r="12" spans="2:14" x14ac:dyDescent="0.25">
      <c r="E12" s="10"/>
      <c r="F12" s="11"/>
      <c r="G12" s="40"/>
      <c r="H12" s="11"/>
      <c r="I12" s="12">
        <f>G15*(1+C3)</f>
        <v>99.75</v>
      </c>
      <c r="J12" s="11"/>
      <c r="L12" s="13" t="s">
        <v>13</v>
      </c>
      <c r="M12" s="27">
        <f>1-M11</f>
        <v>0.45000000000000107</v>
      </c>
    </row>
    <row r="13" spans="2:14" x14ac:dyDescent="0.25">
      <c r="E13" s="10"/>
      <c r="F13" s="11"/>
      <c r="G13" s="34">
        <f>(I11-I16)/(I12-I17)</f>
        <v>-0.33333333333333381</v>
      </c>
      <c r="H13" s="11"/>
      <c r="I13" s="41"/>
    </row>
    <row r="14" spans="2:14" x14ac:dyDescent="0.25">
      <c r="E14" s="10"/>
      <c r="F14" s="11"/>
      <c r="G14" s="19">
        <f>((M11*I11)+(M12*I16))/(1+M5)^M6</f>
        <v>3.1592039800995084</v>
      </c>
      <c r="H14" s="11"/>
      <c r="I14" s="41"/>
    </row>
    <row r="15" spans="2:14" x14ac:dyDescent="0.25">
      <c r="E15" s="10"/>
      <c r="F15" s="11"/>
      <c r="G15" s="22">
        <f>E11*(1-C3)</f>
        <v>95</v>
      </c>
      <c r="H15" s="11"/>
      <c r="I15" s="41"/>
    </row>
    <row r="16" spans="2:14" x14ac:dyDescent="0.25">
      <c r="E16" s="39"/>
      <c r="F16" s="40"/>
      <c r="G16" s="11"/>
      <c r="H16" s="11"/>
      <c r="I16" s="198">
        <f>MAX(0,C4-AVERAGE(I17,G15,E11))</f>
        <v>4.9166666666666714</v>
      </c>
      <c r="J16" s="19"/>
    </row>
    <row r="17" spans="2:16" x14ac:dyDescent="0.25">
      <c r="E17" s="39"/>
      <c r="F17" s="40"/>
      <c r="G17" s="40"/>
      <c r="H17" s="40"/>
      <c r="I17" s="12">
        <f>G15*(1-C3)</f>
        <v>90.25</v>
      </c>
      <c r="J17" s="11"/>
    </row>
    <row r="18" spans="2:16" x14ac:dyDescent="0.25">
      <c r="E18" s="39"/>
      <c r="F18" s="40"/>
      <c r="G18" s="40"/>
      <c r="H18" s="40"/>
      <c r="I18" s="41"/>
      <c r="P18" s="87"/>
    </row>
    <row r="19" spans="2:16" x14ac:dyDescent="0.25">
      <c r="E19" s="39"/>
      <c r="F19" s="40"/>
      <c r="G19" s="40"/>
      <c r="H19" s="40"/>
      <c r="I19" s="41"/>
    </row>
    <row r="20" spans="2:16" ht="18.75" x14ac:dyDescent="0.3">
      <c r="E20" s="47" t="s">
        <v>4</v>
      </c>
      <c r="F20" s="48"/>
      <c r="G20" s="48" t="s">
        <v>5</v>
      </c>
      <c r="H20" s="48"/>
      <c r="I20" s="49" t="s">
        <v>6</v>
      </c>
      <c r="J20" s="2"/>
    </row>
    <row r="22" spans="2:16" ht="15.75" x14ac:dyDescent="0.25">
      <c r="B22" t="s">
        <v>44</v>
      </c>
      <c r="D22" s="30">
        <v>100</v>
      </c>
      <c r="E22" s="90" t="s">
        <v>33</v>
      </c>
    </row>
    <row r="23" spans="2:16" ht="15.75" x14ac:dyDescent="0.25">
      <c r="B23" s="82"/>
      <c r="D23" s="94"/>
      <c r="E23" s="90"/>
    </row>
    <row r="24" spans="2:16" ht="52.5" customHeight="1" x14ac:dyDescent="0.25">
      <c r="C24" s="91" t="s">
        <v>40</v>
      </c>
      <c r="D24" s="92" t="s">
        <v>34</v>
      </c>
      <c r="E24" s="92" t="s">
        <v>35</v>
      </c>
      <c r="F24" s="93" t="s">
        <v>36</v>
      </c>
      <c r="G24" s="92" t="s">
        <v>41</v>
      </c>
      <c r="P24" s="87"/>
    </row>
    <row r="25" spans="2:16" ht="18.75" x14ac:dyDescent="0.3">
      <c r="B25" s="2" t="s">
        <v>4</v>
      </c>
      <c r="C25" s="103">
        <f>-D22*(1/E9)</f>
        <v>316.53543307086551</v>
      </c>
      <c r="D25" s="96">
        <f>-(D22*E11+C25*E10)</f>
        <v>-10447.761194029852</v>
      </c>
      <c r="E25" s="96">
        <f>D22*G7+C25*G6</f>
        <v>10500</v>
      </c>
      <c r="F25" s="96">
        <f>D22*G15+C25*G14</f>
        <v>10500</v>
      </c>
      <c r="G25" s="100">
        <f>-(E25/D25)-1</f>
        <v>4.9999999999998934E-3</v>
      </c>
    </row>
    <row r="26" spans="2:16" ht="18.75" x14ac:dyDescent="0.3">
      <c r="B26" s="2" t="s">
        <v>37</v>
      </c>
      <c r="C26" s="104">
        <v>0</v>
      </c>
      <c r="D26" s="213" t="s">
        <v>39</v>
      </c>
      <c r="E26" s="213"/>
      <c r="F26" s="22"/>
      <c r="G26" s="100"/>
    </row>
    <row r="27" spans="2:16" ht="18.75" x14ac:dyDescent="0.3">
      <c r="B27" s="2" t="s">
        <v>38</v>
      </c>
      <c r="C27" s="66">
        <f>-D22*(1/G13)</f>
        <v>299.99999999999955</v>
      </c>
      <c r="D27" s="98">
        <f>-(D22*G15+C27*G14)</f>
        <v>-10447.761194029852</v>
      </c>
      <c r="E27" s="98">
        <f>D22*I12+C27*I11</f>
        <v>10500</v>
      </c>
      <c r="F27" s="99">
        <f>D22*I17+C27*I16</f>
        <v>10500</v>
      </c>
      <c r="G27" s="105">
        <f t="shared" ref="G27" si="0">-(E27/D27)-1</f>
        <v>4.9999999999998934E-3</v>
      </c>
    </row>
  </sheetData>
  <mergeCells count="1">
    <mergeCell ref="D26:E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3C75-5175-4900-A822-60AF12072DA1}">
  <dimension ref="B1:V28"/>
  <sheetViews>
    <sheetView zoomScale="60" zoomScaleNormal="60" workbookViewId="0">
      <selection activeCell="N27" sqref="N27"/>
    </sheetView>
  </sheetViews>
  <sheetFormatPr defaultRowHeight="15" x14ac:dyDescent="0.25"/>
  <cols>
    <col min="2" max="2" width="14.5703125" customWidth="1"/>
    <col min="3" max="3" width="18.42578125" customWidth="1"/>
    <col min="4" max="4" width="13.85546875" bestFit="1" customWidth="1"/>
    <col min="5" max="5" width="16.28515625" bestFit="1" customWidth="1"/>
    <col min="6" max="6" width="14.85546875" bestFit="1" customWidth="1"/>
    <col min="7" max="7" width="15" bestFit="1" customWidth="1"/>
    <col min="11" max="11" width="9.7109375" customWidth="1"/>
    <col min="12" max="12" width="11.7109375" customWidth="1"/>
    <col min="13" max="13" width="15.85546875" customWidth="1"/>
    <col min="14" max="14" width="13" customWidth="1"/>
  </cols>
  <sheetData>
    <row r="1" spans="2:22" x14ac:dyDescent="0.25">
      <c r="G1" s="6" t="s">
        <v>15</v>
      </c>
    </row>
    <row r="2" spans="2:22" x14ac:dyDescent="0.25">
      <c r="B2" t="s">
        <v>1</v>
      </c>
      <c r="C2" s="30">
        <v>100</v>
      </c>
      <c r="G2" s="7" t="s">
        <v>16</v>
      </c>
      <c r="H2" s="3"/>
      <c r="K2" t="s">
        <v>17</v>
      </c>
      <c r="L2" s="16" t="s">
        <v>8</v>
      </c>
      <c r="M2" s="43">
        <f>1+C3</f>
        <v>1.05</v>
      </c>
      <c r="N2" s="55">
        <f>M2</f>
        <v>1.05</v>
      </c>
    </row>
    <row r="3" spans="2:22" x14ac:dyDescent="0.25">
      <c r="B3" t="s">
        <v>2</v>
      </c>
      <c r="C3" s="31">
        <v>0.05</v>
      </c>
      <c r="E3" s="8"/>
      <c r="F3" s="9"/>
      <c r="G3" s="9"/>
      <c r="H3" s="54"/>
      <c r="I3" s="35">
        <f>MAX(0,I4-C4)</f>
        <v>10.25</v>
      </c>
      <c r="J3" s="19"/>
      <c r="L3" s="13" t="s">
        <v>9</v>
      </c>
      <c r="M3" s="62">
        <f>1-C3</f>
        <v>0.95</v>
      </c>
      <c r="N3" s="55">
        <f>M3</f>
        <v>0.95</v>
      </c>
    </row>
    <row r="4" spans="2:22" x14ac:dyDescent="0.25">
      <c r="B4" t="s">
        <v>0</v>
      </c>
      <c r="C4" s="30">
        <v>100</v>
      </c>
      <c r="E4" s="39"/>
      <c r="F4" s="40"/>
      <c r="G4" s="40"/>
      <c r="H4" s="40"/>
      <c r="I4" s="12">
        <f>IF(G7*M2&gt;=MAX(E11,G7,G7*M2),G7*M2,MAX(E11,G7,G7*M2))</f>
        <v>110.25</v>
      </c>
      <c r="J4" s="22">
        <f>MAX(I4,G7,E11)</f>
        <v>110.25</v>
      </c>
    </row>
    <row r="5" spans="2:22" x14ac:dyDescent="0.25">
      <c r="B5" t="s">
        <v>3</v>
      </c>
      <c r="C5" s="31">
        <v>5.0000000000000001E-3</v>
      </c>
      <c r="E5" s="39"/>
      <c r="F5" s="40"/>
      <c r="G5" s="34">
        <f>(I3-I7)/(I4-I8)</f>
        <v>0.5</v>
      </c>
      <c r="H5" s="40"/>
      <c r="I5" s="41"/>
      <c r="J5" s="40"/>
      <c r="L5" s="1" t="s">
        <v>14</v>
      </c>
      <c r="M5" s="5">
        <f>C5</f>
        <v>5.0000000000000001E-3</v>
      </c>
    </row>
    <row r="6" spans="2:22" x14ac:dyDescent="0.25">
      <c r="B6" t="s">
        <v>7</v>
      </c>
      <c r="C6" s="30">
        <v>2</v>
      </c>
      <c r="E6" s="39"/>
      <c r="F6" s="40"/>
      <c r="G6" s="19">
        <f>((M11*I3)+(M12*I7))/((1+M5)^M6)</f>
        <v>7.8482587064676563</v>
      </c>
      <c r="H6" s="40"/>
      <c r="I6" s="41"/>
      <c r="J6" s="40"/>
      <c r="L6" s="1" t="s">
        <v>12</v>
      </c>
      <c r="M6" s="1">
        <f>C6/2</f>
        <v>1</v>
      </c>
      <c r="N6" t="s">
        <v>19</v>
      </c>
    </row>
    <row r="7" spans="2:22" x14ac:dyDescent="0.25">
      <c r="E7" s="10"/>
      <c r="F7" s="11"/>
      <c r="G7" s="22">
        <f>IF(E11*M2&gt;=E11,E11*M2,E11)</f>
        <v>105</v>
      </c>
      <c r="H7" s="11"/>
      <c r="I7" s="20">
        <f>MAX(0,J8-C4)</f>
        <v>5</v>
      </c>
      <c r="J7" s="53"/>
      <c r="L7" s="1"/>
      <c r="M7" s="1"/>
    </row>
    <row r="8" spans="2:22" x14ac:dyDescent="0.25">
      <c r="E8" s="10"/>
      <c r="F8" s="11"/>
      <c r="G8" s="40"/>
      <c r="H8" s="11"/>
      <c r="I8" s="88">
        <f>G7*M3</f>
        <v>99.75</v>
      </c>
      <c r="J8" s="122">
        <f>MAX(E11,G7,I8)</f>
        <v>105</v>
      </c>
      <c r="L8" s="1" t="s">
        <v>11</v>
      </c>
      <c r="M8" s="4">
        <f>1+M5</f>
        <v>1.0049999999999999</v>
      </c>
    </row>
    <row r="9" spans="2:22" x14ac:dyDescent="0.25">
      <c r="E9" s="33">
        <f>(G6-G14)/(G7-G15)</f>
        <v>0.78482587064676568</v>
      </c>
      <c r="F9" s="11"/>
      <c r="G9" s="40"/>
      <c r="H9" s="11"/>
      <c r="I9" s="41"/>
      <c r="J9" s="11"/>
      <c r="Q9" s="40"/>
      <c r="R9" s="40"/>
      <c r="S9" s="40"/>
      <c r="T9" s="40"/>
      <c r="U9" s="40"/>
      <c r="V9" s="40"/>
    </row>
    <row r="10" spans="2:22" x14ac:dyDescent="0.25">
      <c r="E10" s="26">
        <f>((M11*G6)+(M12*G14))/((1+M5)^M6)</f>
        <v>4.2950669537882611</v>
      </c>
      <c r="F10" s="11"/>
      <c r="G10" s="11"/>
      <c r="H10" s="11"/>
      <c r="I10" s="41"/>
      <c r="L10" s="28" t="s">
        <v>18</v>
      </c>
      <c r="M10" s="1"/>
      <c r="Q10" s="40"/>
      <c r="R10" s="40"/>
      <c r="S10" s="40"/>
      <c r="T10" s="40"/>
      <c r="U10" s="40"/>
      <c r="V10" s="40"/>
    </row>
    <row r="11" spans="2:22" x14ac:dyDescent="0.25">
      <c r="E11" s="21">
        <f>C2</f>
        <v>100</v>
      </c>
      <c r="F11" s="11"/>
      <c r="G11" s="40"/>
      <c r="H11" s="11"/>
      <c r="I11" s="20">
        <f>MAX(0,J12-C4)</f>
        <v>0</v>
      </c>
      <c r="L11" s="16" t="s">
        <v>10</v>
      </c>
      <c r="M11" s="29">
        <f>(M8-M3)/(M2-M3)</f>
        <v>0.54999999999999893</v>
      </c>
      <c r="Q11" s="40"/>
      <c r="R11" s="40"/>
      <c r="S11" s="40"/>
      <c r="T11" s="40"/>
      <c r="U11" s="109"/>
      <c r="V11" s="40"/>
    </row>
    <row r="12" spans="2:22" x14ac:dyDescent="0.25">
      <c r="E12" s="10"/>
      <c r="F12" s="11"/>
      <c r="G12" s="40"/>
      <c r="H12" s="11"/>
      <c r="I12" s="11">
        <f>G15*M2</f>
        <v>99.75</v>
      </c>
      <c r="J12" s="122">
        <f>MAX(E11,G15,I12)</f>
        <v>100</v>
      </c>
      <c r="L12" s="13" t="s">
        <v>13</v>
      </c>
      <c r="M12" s="27">
        <f>1-M11</f>
        <v>0.45000000000000107</v>
      </c>
      <c r="Q12" s="40"/>
      <c r="R12" s="40"/>
      <c r="S12" s="40"/>
      <c r="T12" s="40"/>
      <c r="U12" s="40"/>
      <c r="V12" s="40"/>
    </row>
    <row r="13" spans="2:22" x14ac:dyDescent="0.25">
      <c r="E13" s="10"/>
      <c r="F13" s="11"/>
      <c r="G13" s="199">
        <f>(I11-I16)/(I12-I17)</f>
        <v>0</v>
      </c>
      <c r="H13" s="11"/>
      <c r="I13" s="12"/>
      <c r="J13" s="11"/>
      <c r="Q13" s="40"/>
      <c r="R13" s="40"/>
      <c r="S13" s="40"/>
      <c r="T13" s="40"/>
      <c r="U13" s="40"/>
      <c r="V13" s="40"/>
    </row>
    <row r="14" spans="2:22" x14ac:dyDescent="0.25">
      <c r="E14" s="10"/>
      <c r="F14" s="11"/>
      <c r="G14" s="19">
        <f>((M11*I11)+(M12*I16))/((1+M5)^M6)</f>
        <v>0</v>
      </c>
      <c r="H14" s="11"/>
      <c r="I14" s="41"/>
      <c r="J14" s="40"/>
      <c r="Q14" s="40"/>
      <c r="R14" s="40"/>
      <c r="S14" s="40"/>
      <c r="T14" s="40"/>
      <c r="U14" s="40"/>
      <c r="V14" s="40"/>
    </row>
    <row r="15" spans="2:22" x14ac:dyDescent="0.25">
      <c r="E15" s="10"/>
      <c r="F15" s="11"/>
      <c r="G15" s="22">
        <f>E11*(1-C3)</f>
        <v>95</v>
      </c>
      <c r="H15" s="11"/>
      <c r="I15" s="41"/>
      <c r="J15" s="40"/>
      <c r="Q15" s="40"/>
      <c r="R15" s="40"/>
      <c r="S15" s="40"/>
      <c r="T15" s="40"/>
      <c r="U15" s="40"/>
      <c r="V15" s="40"/>
    </row>
    <row r="16" spans="2:22" x14ac:dyDescent="0.25">
      <c r="E16" s="39"/>
      <c r="F16" s="40"/>
      <c r="G16" s="40"/>
      <c r="H16" s="40"/>
      <c r="I16" s="20">
        <f>MAX(0,J17-C4)</f>
        <v>0</v>
      </c>
      <c r="Q16" s="40"/>
      <c r="R16" s="40"/>
      <c r="S16" s="40"/>
      <c r="T16" s="40"/>
      <c r="U16" s="40"/>
      <c r="V16" s="40"/>
    </row>
    <row r="17" spans="2:22" x14ac:dyDescent="0.25">
      <c r="E17" s="39"/>
      <c r="F17" s="40"/>
      <c r="G17" s="40"/>
      <c r="H17" s="40"/>
      <c r="I17" s="11">
        <f>G15*M3</f>
        <v>90.25</v>
      </c>
      <c r="J17" s="122">
        <f>MAX(E11,G15,I17)</f>
        <v>100</v>
      </c>
      <c r="Q17" s="40"/>
      <c r="R17" s="40"/>
      <c r="S17" s="40"/>
      <c r="T17" s="40"/>
      <c r="U17" s="40"/>
      <c r="V17" s="40"/>
    </row>
    <row r="18" spans="2:22" x14ac:dyDescent="0.25">
      <c r="E18" s="39"/>
      <c r="F18" s="40"/>
      <c r="G18" s="40"/>
      <c r="H18" s="40"/>
      <c r="I18" s="41"/>
      <c r="Q18" s="40"/>
      <c r="R18" s="40"/>
      <c r="S18" s="40"/>
      <c r="T18" s="40"/>
      <c r="U18" s="110"/>
      <c r="V18" s="40"/>
    </row>
    <row r="19" spans="2:22" x14ac:dyDescent="0.25">
      <c r="E19" s="39"/>
      <c r="F19" s="40"/>
      <c r="G19" s="40"/>
      <c r="H19" s="40"/>
      <c r="I19" s="41"/>
      <c r="Q19" s="40"/>
      <c r="R19" s="40"/>
      <c r="S19" s="40"/>
      <c r="T19" s="40"/>
      <c r="U19" s="40"/>
      <c r="V19" s="40"/>
    </row>
    <row r="20" spans="2:22" x14ac:dyDescent="0.25">
      <c r="E20" s="39"/>
      <c r="F20" s="40"/>
      <c r="G20" s="40"/>
      <c r="H20" s="40"/>
      <c r="I20" s="41"/>
    </row>
    <row r="21" spans="2:22" ht="18.75" x14ac:dyDescent="0.3">
      <c r="E21" s="47" t="s">
        <v>4</v>
      </c>
      <c r="F21" s="48"/>
      <c r="G21" s="48" t="s">
        <v>5</v>
      </c>
      <c r="H21" s="48"/>
      <c r="I21" s="49" t="s">
        <v>6</v>
      </c>
      <c r="J21" s="2"/>
    </row>
    <row r="23" spans="2:22" ht="15.75" x14ac:dyDescent="0.25">
      <c r="B23" t="s">
        <v>44</v>
      </c>
      <c r="D23" s="30">
        <v>100</v>
      </c>
      <c r="E23" s="90" t="s">
        <v>33</v>
      </c>
    </row>
    <row r="24" spans="2:22" ht="15.75" x14ac:dyDescent="0.25">
      <c r="B24" s="82"/>
      <c r="D24" s="94"/>
      <c r="E24" s="90"/>
    </row>
    <row r="25" spans="2:22" ht="51.75" customHeight="1" x14ac:dyDescent="0.25">
      <c r="C25" s="91" t="s">
        <v>40</v>
      </c>
      <c r="D25" s="92" t="s">
        <v>34</v>
      </c>
      <c r="E25" s="92" t="s">
        <v>35</v>
      </c>
      <c r="F25" s="93" t="s">
        <v>36</v>
      </c>
      <c r="G25" s="92" t="s">
        <v>41</v>
      </c>
    </row>
    <row r="26" spans="2:22" ht="18.75" x14ac:dyDescent="0.3">
      <c r="B26" s="2" t="s">
        <v>4</v>
      </c>
      <c r="C26" s="103">
        <f>D23*(1/E9)</f>
        <v>127.41679873217124</v>
      </c>
      <c r="D26" s="96">
        <f>-(D23*E11-C26*E10)</f>
        <v>-9452.7363184079622</v>
      </c>
      <c r="E26" s="96">
        <f>D23*G7-C26*G6</f>
        <v>9500</v>
      </c>
      <c r="F26" s="96">
        <f>D23*G15-C26*G14</f>
        <v>9500</v>
      </c>
      <c r="G26" s="100">
        <f>-(E26/D26)-1</f>
        <v>4.9999999999998934E-3</v>
      </c>
    </row>
    <row r="27" spans="2:22" ht="18.75" x14ac:dyDescent="0.3">
      <c r="B27" s="2" t="s">
        <v>37</v>
      </c>
      <c r="C27" s="104">
        <f>D23*(1/G5)</f>
        <v>200</v>
      </c>
      <c r="D27" s="77">
        <f>-(D23*G7-C27*G6)</f>
        <v>-8930.3482587064682</v>
      </c>
      <c r="E27" s="77">
        <f>D23*I4-C27*I3</f>
        <v>8975</v>
      </c>
      <c r="F27" s="22">
        <f>D23*I8-C27*I7</f>
        <v>8975</v>
      </c>
      <c r="G27" s="100">
        <f>-(E27/D27)-1</f>
        <v>4.9999999999998934E-3</v>
      </c>
    </row>
    <row r="28" spans="2:22" ht="18.75" x14ac:dyDescent="0.3">
      <c r="B28" s="2" t="s">
        <v>38</v>
      </c>
      <c r="C28" s="66">
        <v>0</v>
      </c>
      <c r="D28" s="211" t="s">
        <v>39</v>
      </c>
      <c r="E28" s="212"/>
      <c r="F28" s="99"/>
      <c r="G28" s="105"/>
    </row>
  </sheetData>
  <mergeCells count="1"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</vt:i4>
      </vt:variant>
    </vt:vector>
  </HeadingPairs>
  <TitlesOfParts>
    <vt:vector size="25" baseType="lpstr">
      <vt:lpstr>Standard Call</vt:lpstr>
      <vt:lpstr>Standard Put</vt:lpstr>
      <vt:lpstr>Call on Call</vt:lpstr>
      <vt:lpstr>Call on Put</vt:lpstr>
      <vt:lpstr>Put on Call</vt:lpstr>
      <vt:lpstr>Put on Put</vt:lpstr>
      <vt:lpstr>Asian Call</vt:lpstr>
      <vt:lpstr>Asian Put</vt:lpstr>
      <vt:lpstr>Lookback Call</vt:lpstr>
      <vt:lpstr>Lookback Put</vt:lpstr>
      <vt:lpstr>Knock-out Put</vt:lpstr>
      <vt:lpstr>Chooser</vt:lpstr>
      <vt:lpstr>implementing delta</vt:lpstr>
      <vt:lpstr>Delta Errors</vt:lpstr>
      <vt:lpstr>GREEKS </vt:lpstr>
      <vt:lpstr>Call and Put </vt:lpstr>
      <vt:lpstr>Look back</vt:lpstr>
      <vt:lpstr>CHOOSER </vt:lpstr>
      <vt:lpstr>Asian </vt:lpstr>
      <vt:lpstr>Dividend</vt:lpstr>
      <vt:lpstr>RiskFreeRate</vt:lpstr>
      <vt:lpstr>StockPrice</vt:lpstr>
      <vt:lpstr>StrikePrice</vt:lpstr>
      <vt:lpstr>TimeToExpiry</vt:lpstr>
      <vt:lpstr>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2017-11-22T08:18:43Z</dcterms:modified>
</cp:coreProperties>
</file>