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029A958F-D702-4E4E-91F3-A3549A4E0F5A}" xr6:coauthVersionLast="47" xr6:coauthVersionMax="47" xr10:uidLastSave="{00000000-0000-0000-0000-000000000000}"/>
  <bookViews>
    <workbookView xWindow="-120" yWindow="-120" windowWidth="29040" windowHeight="15840" tabRatio="820" firstSheet="18" activeTab="27" xr2:uid="{00000000-000D-0000-FFFF-FFFF00000000}"/>
  </bookViews>
  <sheets>
    <sheet name="Ej. 1" sheetId="3" r:id="rId1"/>
    <sheet name="Ej. 2" sheetId="4" r:id="rId2"/>
    <sheet name="Ej. 3" sheetId="5" r:id="rId3"/>
    <sheet name="Ej. 4" sheetId="6" r:id="rId4"/>
    <sheet name="Ej. 5" sheetId="7" r:id="rId5"/>
    <sheet name="Ej. 6" sheetId="8" r:id="rId6"/>
    <sheet name="Ej. 7" sheetId="9" r:id="rId7"/>
    <sheet name="Ej. 8" sheetId="10" r:id="rId8"/>
    <sheet name="Ej. 9" sheetId="11" r:id="rId9"/>
    <sheet name="Ej. 10" sheetId="12" r:id="rId10"/>
    <sheet name="Ej. 11" sheetId="13" r:id="rId11"/>
    <sheet name="Ej. 12" sheetId="14" r:id="rId12"/>
    <sheet name="Ej. 13" sheetId="15" r:id="rId13"/>
    <sheet name="Ej. 14" sheetId="16" r:id="rId14"/>
    <sheet name="Ej. 15" sheetId="17" r:id="rId15"/>
    <sheet name="Ej. 16" sheetId="18" r:id="rId16"/>
    <sheet name="Ej. 17" sheetId="19" r:id="rId17"/>
    <sheet name="Ej. 18" sheetId="20" r:id="rId18"/>
    <sheet name="Ej. 19" sheetId="21" r:id="rId19"/>
    <sheet name="Ej. 20" sheetId="22" r:id="rId20"/>
    <sheet name="Ej. 21" sheetId="33" r:id="rId21"/>
    <sheet name="Ej. 21(2)" sheetId="23" r:id="rId22"/>
    <sheet name="Ej. 22" sheetId="24" r:id="rId23"/>
    <sheet name="Ej. 22 (2)" sheetId="35" r:id="rId24"/>
    <sheet name="Ej. 23" sheetId="25" r:id="rId25"/>
    <sheet name="Ej. 24" sheetId="26" r:id="rId26"/>
    <sheet name="Hoja1" sheetId="36" r:id="rId27"/>
    <sheet name="Ej. 25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7" l="1"/>
  <c r="H24" i="27"/>
  <c r="H4" i="27"/>
  <c r="H14" i="27"/>
  <c r="K6" i="26"/>
  <c r="L6" i="26"/>
  <c r="M6" i="26"/>
  <c r="N6" i="26"/>
  <c r="O6" i="26"/>
  <c r="J6" i="26"/>
  <c r="P6" i="26" s="1"/>
  <c r="K4" i="36"/>
  <c r="C5" i="36"/>
  <c r="D3" i="36"/>
  <c r="D5" i="36" s="1"/>
  <c r="C6" i="25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19" i="24"/>
  <c r="K11" i="15"/>
  <c r="D13" i="11"/>
  <c r="D14" i="11" s="1"/>
  <c r="E13" i="11"/>
  <c r="E14" i="11" s="1"/>
  <c r="F13" i="11"/>
  <c r="F14" i="11" s="1"/>
  <c r="C13" i="11"/>
  <c r="C14" i="11" s="1"/>
  <c r="G14" i="11" s="1"/>
  <c r="G13" i="11" l="1"/>
  <c r="E3" i="36"/>
  <c r="D10" i="17"/>
  <c r="E10" i="17"/>
  <c r="F10" i="17"/>
  <c r="G10" i="17"/>
  <c r="H10" i="17"/>
  <c r="C10" i="17"/>
  <c r="I10" i="17" s="1"/>
  <c r="Q12" i="15"/>
  <c r="Q11" i="15"/>
  <c r="C8" i="11"/>
  <c r="D8" i="11"/>
  <c r="E8" i="11"/>
  <c r="F8" i="11"/>
  <c r="C10" i="11"/>
  <c r="G7" i="11"/>
  <c r="D15" i="10"/>
  <c r="D14" i="10"/>
  <c r="E14" i="10"/>
  <c r="E15" i="10" s="1"/>
  <c r="F14" i="10"/>
  <c r="F15" i="10" s="1"/>
  <c r="C14" i="10"/>
  <c r="C15" i="10" s="1"/>
  <c r="C8" i="8"/>
  <c r="I6" i="4"/>
  <c r="K6" i="3"/>
  <c r="G8" i="11" l="1"/>
  <c r="E5" i="36"/>
  <c r="F3" i="36"/>
  <c r="G14" i="10"/>
  <c r="G15" i="10"/>
  <c r="C20" i="10" s="1"/>
  <c r="H19" i="27"/>
  <c r="C7" i="26"/>
  <c r="D7" i="26"/>
  <c r="E7" i="26"/>
  <c r="F7" i="26"/>
  <c r="G7" i="26"/>
  <c r="H7" i="26"/>
  <c r="F5" i="36" l="1"/>
  <c r="G3" i="36"/>
  <c r="N5" i="25"/>
  <c r="G5" i="25"/>
  <c r="G6" i="25"/>
  <c r="G7" i="25"/>
  <c r="G5" i="36" l="1"/>
  <c r="H3" i="36"/>
  <c r="H19" i="35"/>
  <c r="C19" i="35"/>
  <c r="C22" i="35" s="1"/>
  <c r="H23" i="35"/>
  <c r="G23" i="35"/>
  <c r="F23" i="35"/>
  <c r="E23" i="35"/>
  <c r="D23" i="35"/>
  <c r="C23" i="35"/>
  <c r="H22" i="35"/>
  <c r="G22" i="35"/>
  <c r="F22" i="35"/>
  <c r="E22" i="35"/>
  <c r="D22" i="35"/>
  <c r="H11" i="35"/>
  <c r="G11" i="35"/>
  <c r="F11" i="35"/>
  <c r="E11" i="35"/>
  <c r="I11" i="35" s="1"/>
  <c r="K11" i="35" s="1"/>
  <c r="D11" i="35"/>
  <c r="C11" i="35"/>
  <c r="H10" i="35"/>
  <c r="G10" i="35"/>
  <c r="F10" i="35"/>
  <c r="E10" i="35"/>
  <c r="D10" i="35"/>
  <c r="C10" i="35"/>
  <c r="I74" i="23"/>
  <c r="K79" i="23"/>
  <c r="K78" i="23"/>
  <c r="K77" i="23"/>
  <c r="K76" i="23"/>
  <c r="K75" i="23"/>
  <c r="K74" i="23"/>
  <c r="K73" i="23"/>
  <c r="K72" i="23"/>
  <c r="K71" i="23"/>
  <c r="K70" i="23"/>
  <c r="K69" i="23"/>
  <c r="O69" i="23"/>
  <c r="P69" i="23" s="1"/>
  <c r="O70" i="23"/>
  <c r="P70" i="23"/>
  <c r="O71" i="23"/>
  <c r="P71" i="23" s="1"/>
  <c r="O72" i="23"/>
  <c r="P72" i="23" s="1"/>
  <c r="O73" i="23"/>
  <c r="P73" i="23"/>
  <c r="O74" i="23"/>
  <c r="P74" i="23" s="1"/>
  <c r="H5" i="36" l="1"/>
  <c r="I3" i="36"/>
  <c r="I10" i="35"/>
  <c r="K10" i="35" s="1"/>
  <c r="I23" i="35"/>
  <c r="K23" i="35" s="1"/>
  <c r="I22" i="35"/>
  <c r="K22" i="35" s="1"/>
  <c r="I21" i="27"/>
  <c r="F21" i="26"/>
  <c r="E21" i="26"/>
  <c r="D21" i="26"/>
  <c r="C21" i="26"/>
  <c r="H18" i="26"/>
  <c r="H22" i="26" s="1"/>
  <c r="G18" i="26"/>
  <c r="G22" i="26" s="1"/>
  <c r="F18" i="26"/>
  <c r="F22" i="26" s="1"/>
  <c r="E18" i="26"/>
  <c r="E22" i="26" s="1"/>
  <c r="D18" i="26"/>
  <c r="D22" i="26" s="1"/>
  <c r="C18" i="26"/>
  <c r="C22" i="26" s="1"/>
  <c r="I22" i="26" s="1"/>
  <c r="I5" i="36" l="1"/>
  <c r="J3" i="36"/>
  <c r="I21" i="26"/>
  <c r="F6" i="25"/>
  <c r="N6" i="25" s="1"/>
  <c r="J5" i="36" l="1"/>
  <c r="K3" i="36"/>
  <c r="K5" i="36" s="1"/>
  <c r="D11" i="12"/>
  <c r="C6" i="36" l="1"/>
  <c r="E71" i="23"/>
  <c r="C16" i="20"/>
  <c r="I16" i="15"/>
  <c r="J16" i="15"/>
  <c r="K16" i="15"/>
  <c r="D23" i="10"/>
  <c r="E23" i="10"/>
  <c r="F23" i="10"/>
  <c r="C23" i="10"/>
  <c r="I7" i="4"/>
  <c r="I5" i="4"/>
  <c r="I11" i="27" l="1"/>
  <c r="J11" i="27" s="1"/>
  <c r="F11" i="26"/>
  <c r="G11" i="26"/>
  <c r="H11" i="26"/>
  <c r="E11" i="26"/>
  <c r="D11" i="26"/>
  <c r="C11" i="26"/>
  <c r="C22" i="24"/>
  <c r="H19" i="24"/>
  <c r="H22" i="24" s="1"/>
  <c r="H23" i="24"/>
  <c r="G23" i="24"/>
  <c r="F23" i="24"/>
  <c r="E23" i="24"/>
  <c r="D23" i="24"/>
  <c r="C23" i="24"/>
  <c r="G22" i="24"/>
  <c r="F22" i="24"/>
  <c r="E22" i="24"/>
  <c r="D22" i="24"/>
  <c r="H21" i="27" l="1"/>
  <c r="H22" i="27" s="1"/>
  <c r="I17" i="27"/>
  <c r="I18" i="27"/>
  <c r="I15" i="27"/>
  <c r="J17" i="27"/>
  <c r="K21" i="27"/>
  <c r="J21" i="27"/>
  <c r="I22" i="24"/>
  <c r="K22" i="24" s="1"/>
  <c r="I23" i="24"/>
  <c r="K23" i="24" s="1"/>
  <c r="I16" i="27" l="1"/>
  <c r="I19" i="27" s="1"/>
  <c r="K11" i="27"/>
  <c r="K15" i="27" s="1"/>
  <c r="J18" i="27"/>
  <c r="J16" i="27" s="1"/>
  <c r="J15" i="27"/>
  <c r="J19" i="27" l="1"/>
  <c r="J22" i="27" s="1"/>
  <c r="I22" i="27"/>
  <c r="K17" i="27"/>
  <c r="K18" i="27"/>
  <c r="K16" i="27" l="1"/>
  <c r="K19" i="27" l="1"/>
  <c r="K22" i="27" s="1"/>
  <c r="E70" i="23"/>
  <c r="D20" i="20"/>
  <c r="D21" i="20" s="1"/>
  <c r="E20" i="20"/>
  <c r="E21" i="20" s="1"/>
  <c r="C20" i="20"/>
  <c r="C15" i="17"/>
  <c r="D13" i="17"/>
  <c r="E13" i="17"/>
  <c r="F13" i="17"/>
  <c r="G13" i="17"/>
  <c r="H13" i="17"/>
  <c r="C13" i="17"/>
  <c r="J11" i="15"/>
  <c r="I11" i="15"/>
  <c r="L11" i="15" s="1"/>
  <c r="J13" i="13"/>
  <c r="J11" i="13"/>
  <c r="G5" i="10"/>
  <c r="C24" i="10"/>
  <c r="J8" i="9"/>
  <c r="J7" i="9"/>
  <c r="J6" i="9"/>
  <c r="M6" i="7"/>
  <c r="M7" i="7"/>
  <c r="M5" i="7"/>
  <c r="K7" i="3"/>
  <c r="K8" i="3"/>
  <c r="F20" i="20" l="1"/>
  <c r="C17" i="20"/>
  <c r="C21" i="20"/>
  <c r="G20" i="20" s="1"/>
  <c r="C14" i="17"/>
  <c r="C16" i="17" s="1"/>
  <c r="F7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D11" i="24"/>
  <c r="D10" i="24"/>
  <c r="I75" i="33"/>
  <c r="J75" i="33" s="1"/>
  <c r="I74" i="33"/>
  <c r="J74" i="33" s="1"/>
  <c r="C74" i="33"/>
  <c r="E74" i="33" s="1"/>
  <c r="I73" i="33"/>
  <c r="J73" i="33" s="1"/>
  <c r="E73" i="33"/>
  <c r="I72" i="33"/>
  <c r="J72" i="33" s="1"/>
  <c r="E72" i="33"/>
  <c r="I71" i="33"/>
  <c r="J71" i="33" s="1"/>
  <c r="E71" i="33"/>
  <c r="I70" i="33"/>
  <c r="J70" i="33" s="1"/>
  <c r="E70" i="33"/>
  <c r="I69" i="33"/>
  <c r="J69" i="33" s="1"/>
  <c r="E69" i="33"/>
  <c r="C62" i="33"/>
  <c r="D62" i="33" s="1"/>
  <c r="C61" i="33"/>
  <c r="D61" i="33" s="1"/>
  <c r="C60" i="33"/>
  <c r="D60" i="33" s="1"/>
  <c r="C59" i="33"/>
  <c r="D59" i="33" s="1"/>
  <c r="C58" i="33"/>
  <c r="D58" i="33" s="1"/>
  <c r="C57" i="33"/>
  <c r="D57" i="33" s="1"/>
  <c r="C56" i="33"/>
  <c r="D56" i="33" s="1"/>
  <c r="C55" i="33"/>
  <c r="D55" i="33" s="1"/>
  <c r="C54" i="33"/>
  <c r="D54" i="33" s="1"/>
  <c r="C53" i="33"/>
  <c r="D53" i="33" s="1"/>
  <c r="C52" i="33"/>
  <c r="D52" i="33" s="1"/>
  <c r="C51" i="33"/>
  <c r="D51" i="33" s="1"/>
  <c r="C50" i="33"/>
  <c r="D50" i="33" s="1"/>
  <c r="C49" i="33"/>
  <c r="D49" i="33" s="1"/>
  <c r="C48" i="33"/>
  <c r="D48" i="33" s="1"/>
  <c r="C47" i="33"/>
  <c r="D47" i="33" s="1"/>
  <c r="C46" i="33"/>
  <c r="D46" i="33" s="1"/>
  <c r="C45" i="33"/>
  <c r="D45" i="33" s="1"/>
  <c r="C44" i="33"/>
  <c r="D44" i="33" s="1"/>
  <c r="C43" i="33"/>
  <c r="D43" i="33" s="1"/>
  <c r="C42" i="33"/>
  <c r="D42" i="33" s="1"/>
  <c r="C41" i="33"/>
  <c r="D41" i="33" s="1"/>
  <c r="C40" i="33"/>
  <c r="D40" i="33" s="1"/>
  <c r="C39" i="33"/>
  <c r="D39" i="33" s="1"/>
  <c r="C38" i="33"/>
  <c r="D38" i="33" s="1"/>
  <c r="C37" i="33"/>
  <c r="D37" i="33" s="1"/>
  <c r="C36" i="33"/>
  <c r="D36" i="33" s="1"/>
  <c r="C35" i="33"/>
  <c r="D35" i="33" s="1"/>
  <c r="C34" i="33"/>
  <c r="D34" i="33" s="1"/>
  <c r="C33" i="33"/>
  <c r="D33" i="33" s="1"/>
  <c r="C32" i="33"/>
  <c r="D32" i="33" s="1"/>
  <c r="C31" i="33"/>
  <c r="D31" i="33" s="1"/>
  <c r="C30" i="33"/>
  <c r="D30" i="33" s="1"/>
  <c r="C29" i="33"/>
  <c r="D29" i="33" s="1"/>
  <c r="C28" i="33"/>
  <c r="D28" i="33" s="1"/>
  <c r="C27" i="33"/>
  <c r="D27" i="33" s="1"/>
  <c r="C26" i="33"/>
  <c r="D26" i="33" s="1"/>
  <c r="C25" i="33"/>
  <c r="D25" i="33" s="1"/>
  <c r="C24" i="33"/>
  <c r="D24" i="33" s="1"/>
  <c r="C23" i="33"/>
  <c r="D23" i="33" s="1"/>
  <c r="C22" i="33"/>
  <c r="D22" i="33" s="1"/>
  <c r="C21" i="33"/>
  <c r="D21" i="33" s="1"/>
  <c r="C20" i="33"/>
  <c r="D20" i="33" s="1"/>
  <c r="C19" i="33"/>
  <c r="D19" i="33" s="1"/>
  <c r="C18" i="33"/>
  <c r="D18" i="33" s="1"/>
  <c r="C17" i="33"/>
  <c r="D17" i="33" s="1"/>
  <c r="C16" i="33"/>
  <c r="D16" i="33" s="1"/>
  <c r="C15" i="33"/>
  <c r="D15" i="33" s="1"/>
  <c r="C14" i="33"/>
  <c r="D14" i="33" s="1"/>
  <c r="H13" i="33"/>
  <c r="H14" i="33" s="1"/>
  <c r="D13" i="33"/>
  <c r="C13" i="33"/>
  <c r="H12" i="33"/>
  <c r="I12" i="33" s="1"/>
  <c r="C12" i="33"/>
  <c r="D12" i="33" s="1"/>
  <c r="D11" i="15"/>
  <c r="F6" i="15"/>
  <c r="E11" i="14"/>
  <c r="D24" i="10"/>
  <c r="F24" i="10"/>
  <c r="E24" i="10"/>
  <c r="G23" i="10"/>
  <c r="N7" i="25" l="1"/>
  <c r="H7" i="25"/>
  <c r="D63" i="33"/>
  <c r="I13" i="33"/>
  <c r="H23" i="10"/>
  <c r="C26" i="10" s="1"/>
  <c r="I14" i="33"/>
  <c r="H15" i="33"/>
  <c r="I15" i="33" l="1"/>
  <c r="H16" i="33"/>
  <c r="I16" i="33" l="1"/>
  <c r="H17" i="33"/>
  <c r="I17" i="33" l="1"/>
  <c r="H18" i="33"/>
  <c r="H6" i="25"/>
  <c r="H5" i="25"/>
  <c r="D16" i="20"/>
  <c r="F16" i="20" s="1"/>
  <c r="E16" i="20"/>
  <c r="E17" i="20" s="1"/>
  <c r="Q13" i="15"/>
  <c r="O13" i="15"/>
  <c r="O12" i="15"/>
  <c r="O11" i="15"/>
  <c r="K12" i="15"/>
  <c r="K13" i="15"/>
  <c r="J12" i="15"/>
  <c r="J13" i="15"/>
  <c r="I13" i="15"/>
  <c r="I12" i="15"/>
  <c r="D10" i="11"/>
  <c r="D11" i="11" s="1"/>
  <c r="E10" i="11"/>
  <c r="E11" i="11" s="1"/>
  <c r="F10" i="11"/>
  <c r="F11" i="11" s="1"/>
  <c r="C11" i="11"/>
  <c r="C78" i="33" l="1"/>
  <c r="E78" i="33" s="1"/>
  <c r="I78" i="33"/>
  <c r="C75" i="33"/>
  <c r="E75" i="33" s="1"/>
  <c r="C79" i="33"/>
  <c r="I79" i="33"/>
  <c r="J79" i="33" s="1"/>
  <c r="C76" i="33"/>
  <c r="I76" i="33"/>
  <c r="I80" i="33"/>
  <c r="C77" i="33"/>
  <c r="E77" i="33" s="1"/>
  <c r="I77" i="33"/>
  <c r="L12" i="15"/>
  <c r="G11" i="11"/>
  <c r="D17" i="20"/>
  <c r="G16" i="20" s="1"/>
  <c r="H62" i="33"/>
  <c r="I62" i="33" s="1"/>
  <c r="H61" i="33"/>
  <c r="I61" i="33" s="1"/>
  <c r="H60" i="33"/>
  <c r="I60" i="33" s="1"/>
  <c r="H59" i="33"/>
  <c r="I59" i="33" s="1"/>
  <c r="H58" i="33"/>
  <c r="I58" i="33" s="1"/>
  <c r="H57" i="33"/>
  <c r="I57" i="33" s="1"/>
  <c r="H56" i="33"/>
  <c r="I56" i="33" s="1"/>
  <c r="H55" i="33"/>
  <c r="I55" i="33" s="1"/>
  <c r="H54" i="33"/>
  <c r="I54" i="33" s="1"/>
  <c r="H53" i="33"/>
  <c r="I53" i="33" s="1"/>
  <c r="H52" i="33"/>
  <c r="I52" i="33" s="1"/>
  <c r="H51" i="33"/>
  <c r="I51" i="33" s="1"/>
  <c r="H50" i="33"/>
  <c r="I50" i="33" s="1"/>
  <c r="H49" i="33"/>
  <c r="I49" i="33" s="1"/>
  <c r="H48" i="33"/>
  <c r="I48" i="33" s="1"/>
  <c r="H47" i="33"/>
  <c r="I47" i="33" s="1"/>
  <c r="H46" i="33"/>
  <c r="I46" i="33" s="1"/>
  <c r="H45" i="33"/>
  <c r="I45" i="33" s="1"/>
  <c r="H44" i="33"/>
  <c r="I44" i="33" s="1"/>
  <c r="H43" i="33"/>
  <c r="I43" i="33" s="1"/>
  <c r="H42" i="33"/>
  <c r="I42" i="33" s="1"/>
  <c r="H41" i="33"/>
  <c r="I41" i="33" s="1"/>
  <c r="H40" i="33"/>
  <c r="I40" i="33" s="1"/>
  <c r="H39" i="33"/>
  <c r="I39" i="33" s="1"/>
  <c r="H38" i="33"/>
  <c r="I38" i="33" s="1"/>
  <c r="H37" i="33"/>
  <c r="I37" i="33" s="1"/>
  <c r="H36" i="33"/>
  <c r="I36" i="33" s="1"/>
  <c r="C119" i="33"/>
  <c r="E119" i="33" s="1"/>
  <c r="C118" i="33"/>
  <c r="E118" i="33" s="1"/>
  <c r="C117" i="33"/>
  <c r="E117" i="33" s="1"/>
  <c r="C116" i="33"/>
  <c r="E116" i="33" s="1"/>
  <c r="C115" i="33"/>
  <c r="E115" i="33" s="1"/>
  <c r="C114" i="33"/>
  <c r="E114" i="33" s="1"/>
  <c r="C113" i="33"/>
  <c r="E113" i="33" s="1"/>
  <c r="C112" i="33"/>
  <c r="E112" i="33" s="1"/>
  <c r="C111" i="33"/>
  <c r="E111" i="33" s="1"/>
  <c r="C110" i="33"/>
  <c r="E110" i="33" s="1"/>
  <c r="C109" i="33"/>
  <c r="E109" i="33" s="1"/>
  <c r="C108" i="33"/>
  <c r="E108" i="33" s="1"/>
  <c r="C107" i="33"/>
  <c r="E107" i="33" s="1"/>
  <c r="C106" i="33"/>
  <c r="E106" i="33" s="1"/>
  <c r="C105" i="33"/>
  <c r="E105" i="33" s="1"/>
  <c r="C104" i="33"/>
  <c r="E104" i="33" s="1"/>
  <c r="C103" i="33"/>
  <c r="E103" i="33" s="1"/>
  <c r="C102" i="33"/>
  <c r="E102" i="33" s="1"/>
  <c r="C101" i="33"/>
  <c r="E101" i="33" s="1"/>
  <c r="C100" i="33"/>
  <c r="E100" i="33" s="1"/>
  <c r="C99" i="33"/>
  <c r="E99" i="33" s="1"/>
  <c r="C98" i="33"/>
  <c r="E98" i="33" s="1"/>
  <c r="C97" i="33"/>
  <c r="E97" i="33" s="1"/>
  <c r="C96" i="33"/>
  <c r="E96" i="33" s="1"/>
  <c r="C95" i="33"/>
  <c r="E95" i="33" s="1"/>
  <c r="C94" i="33"/>
  <c r="E94" i="33" s="1"/>
  <c r="C93" i="33"/>
  <c r="E93" i="33" s="1"/>
  <c r="C92" i="33"/>
  <c r="E92" i="33" s="1"/>
  <c r="C91" i="33"/>
  <c r="E91" i="33" s="1"/>
  <c r="C90" i="33"/>
  <c r="E90" i="33" s="1"/>
  <c r="C89" i="33"/>
  <c r="E89" i="33" s="1"/>
  <c r="C88" i="33"/>
  <c r="E88" i="33" s="1"/>
  <c r="C87" i="33"/>
  <c r="E87" i="33" s="1"/>
  <c r="C86" i="33"/>
  <c r="E86" i="33" s="1"/>
  <c r="C85" i="33"/>
  <c r="E85" i="33" s="1"/>
  <c r="C84" i="33"/>
  <c r="E84" i="33" s="1"/>
  <c r="C83" i="33"/>
  <c r="E83" i="33" s="1"/>
  <c r="C82" i="33"/>
  <c r="E82" i="33" s="1"/>
  <c r="C81" i="33"/>
  <c r="E81" i="33" s="1"/>
  <c r="C80" i="33"/>
  <c r="E80" i="33" s="1"/>
  <c r="E79" i="33"/>
  <c r="E76" i="33"/>
  <c r="H32" i="33"/>
  <c r="I32" i="33" s="1"/>
  <c r="H28" i="33"/>
  <c r="I28" i="33" s="1"/>
  <c r="H29" i="33"/>
  <c r="I29" i="33" s="1"/>
  <c r="I18" i="33"/>
  <c r="I106" i="33"/>
  <c r="J106" i="33" s="1"/>
  <c r="I96" i="33"/>
  <c r="J96" i="33" s="1"/>
  <c r="I90" i="33"/>
  <c r="J90" i="33" s="1"/>
  <c r="I84" i="33"/>
  <c r="J84" i="33" s="1"/>
  <c r="J80" i="33"/>
  <c r="J76" i="33"/>
  <c r="H27" i="33"/>
  <c r="I27" i="33" s="1"/>
  <c r="I119" i="33"/>
  <c r="J119" i="33" s="1"/>
  <c r="I117" i="33"/>
  <c r="J117" i="33" s="1"/>
  <c r="I115" i="33"/>
  <c r="J115" i="33" s="1"/>
  <c r="I113" i="33"/>
  <c r="J113" i="33" s="1"/>
  <c r="I111" i="33"/>
  <c r="J111" i="33" s="1"/>
  <c r="I109" i="33"/>
  <c r="J109" i="33" s="1"/>
  <c r="I107" i="33"/>
  <c r="J107" i="33" s="1"/>
  <c r="I105" i="33"/>
  <c r="J105" i="33" s="1"/>
  <c r="I103" i="33"/>
  <c r="J103" i="33" s="1"/>
  <c r="I101" i="33"/>
  <c r="J101" i="33" s="1"/>
  <c r="I99" i="33"/>
  <c r="J99" i="33" s="1"/>
  <c r="I97" i="33"/>
  <c r="J97" i="33" s="1"/>
  <c r="I95" i="33"/>
  <c r="J95" i="33" s="1"/>
  <c r="I93" i="33"/>
  <c r="J93" i="33" s="1"/>
  <c r="I91" i="33"/>
  <c r="J91" i="33" s="1"/>
  <c r="I89" i="33"/>
  <c r="J89" i="33" s="1"/>
  <c r="I87" i="33"/>
  <c r="J87" i="33" s="1"/>
  <c r="I85" i="33"/>
  <c r="J85" i="33" s="1"/>
  <c r="I83" i="33"/>
  <c r="J83" i="33" s="1"/>
  <c r="I81" i="33"/>
  <c r="J81" i="33" s="1"/>
  <c r="J77" i="33"/>
  <c r="H33" i="33"/>
  <c r="I33" i="33" s="1"/>
  <c r="I88" i="33"/>
  <c r="J88" i="33" s="1"/>
  <c r="H35" i="33"/>
  <c r="I35" i="33" s="1"/>
  <c r="H31" i="33"/>
  <c r="I31" i="33" s="1"/>
  <c r="H34" i="33"/>
  <c r="I34" i="33" s="1"/>
  <c r="H30" i="33"/>
  <c r="I30" i="33" s="1"/>
  <c r="H26" i="33"/>
  <c r="I26" i="33" s="1"/>
  <c r="H25" i="33"/>
  <c r="I25" i="33" s="1"/>
  <c r="H24" i="33"/>
  <c r="I24" i="33" s="1"/>
  <c r="H23" i="33"/>
  <c r="I23" i="33" s="1"/>
  <c r="H22" i="33"/>
  <c r="I22" i="33" s="1"/>
  <c r="H21" i="33"/>
  <c r="I21" i="33" s="1"/>
  <c r="H20" i="33"/>
  <c r="I20" i="33" s="1"/>
  <c r="H19" i="33"/>
  <c r="I19" i="33" s="1"/>
  <c r="I118" i="33"/>
  <c r="J118" i="33" s="1"/>
  <c r="I116" i="33"/>
  <c r="J116" i="33" s="1"/>
  <c r="I114" i="33"/>
  <c r="J114" i="33" s="1"/>
  <c r="I112" i="33"/>
  <c r="J112" i="33" s="1"/>
  <c r="I110" i="33"/>
  <c r="J110" i="33" s="1"/>
  <c r="I108" i="33"/>
  <c r="J108" i="33" s="1"/>
  <c r="I104" i="33"/>
  <c r="J104" i="33" s="1"/>
  <c r="I102" i="33"/>
  <c r="J102" i="33" s="1"/>
  <c r="I100" i="33"/>
  <c r="J100" i="33" s="1"/>
  <c r="I98" i="33"/>
  <c r="J98" i="33" s="1"/>
  <c r="I94" i="33"/>
  <c r="J94" i="33" s="1"/>
  <c r="I92" i="33"/>
  <c r="J92" i="33" s="1"/>
  <c r="I86" i="33"/>
  <c r="J86" i="33" s="1"/>
  <c r="I82" i="33"/>
  <c r="J82" i="33" s="1"/>
  <c r="J78" i="33"/>
  <c r="G10" i="11"/>
  <c r="E120" i="33" l="1"/>
  <c r="J120" i="33"/>
  <c r="I63" i="33"/>
  <c r="J63" i="33" s="1"/>
  <c r="D9" i="5"/>
  <c r="C9" i="5"/>
  <c r="D10" i="26"/>
  <c r="E10" i="26"/>
  <c r="F10" i="26"/>
  <c r="C10" i="26"/>
  <c r="E8" i="25"/>
  <c r="E11" i="24"/>
  <c r="F11" i="24"/>
  <c r="G11" i="24"/>
  <c r="H11" i="24"/>
  <c r="C11" i="24"/>
  <c r="F10" i="24"/>
  <c r="H10" i="24"/>
  <c r="G10" i="24"/>
  <c r="E10" i="24"/>
  <c r="C10" i="24"/>
  <c r="E69" i="23"/>
  <c r="C74" i="23"/>
  <c r="E74" i="23" s="1"/>
  <c r="H13" i="23"/>
  <c r="I13" i="23" s="1"/>
  <c r="H12" i="23"/>
  <c r="I12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23" i="23"/>
  <c r="D23" i="23" s="1"/>
  <c r="C24" i="23"/>
  <c r="D24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35" i="23"/>
  <c r="D35" i="23" s="1"/>
  <c r="C36" i="23"/>
  <c r="D36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47" i="23"/>
  <c r="D47" i="23" s="1"/>
  <c r="C48" i="23"/>
  <c r="D48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59" i="23"/>
  <c r="D59" i="23" s="1"/>
  <c r="C60" i="23"/>
  <c r="D60" i="23" s="1"/>
  <c r="C61" i="23"/>
  <c r="D61" i="23" s="1"/>
  <c r="C62" i="23"/>
  <c r="D62" i="23" s="1"/>
  <c r="C13" i="23"/>
  <c r="D13" i="23" s="1"/>
  <c r="C12" i="23"/>
  <c r="D12" i="23" s="1"/>
  <c r="D10" i="22"/>
  <c r="E5" i="22"/>
  <c r="C10" i="22"/>
  <c r="D9" i="22"/>
  <c r="C9" i="22"/>
  <c r="E9" i="22" s="1"/>
  <c r="C12" i="22" s="1"/>
  <c r="E6" i="22"/>
  <c r="E8" i="21"/>
  <c r="D8" i="21"/>
  <c r="C8" i="21"/>
  <c r="F5" i="21"/>
  <c r="E10" i="20"/>
  <c r="D10" i="20"/>
  <c r="C10" i="20"/>
  <c r="E9" i="20"/>
  <c r="D9" i="20"/>
  <c r="C9" i="20"/>
  <c r="F6" i="20"/>
  <c r="F5" i="20"/>
  <c r="L6" i="19"/>
  <c r="L5" i="19"/>
  <c r="K9" i="19"/>
  <c r="K10" i="19"/>
  <c r="J9" i="19"/>
  <c r="J10" i="19"/>
  <c r="I10" i="19"/>
  <c r="I9" i="19"/>
  <c r="E10" i="19"/>
  <c r="D10" i="19"/>
  <c r="C10" i="19"/>
  <c r="E9" i="19"/>
  <c r="D9" i="19"/>
  <c r="C9" i="19"/>
  <c r="F6" i="19"/>
  <c r="F5" i="19"/>
  <c r="E10" i="18"/>
  <c r="D9" i="18"/>
  <c r="D10" i="18"/>
  <c r="C10" i="18"/>
  <c r="E9" i="18"/>
  <c r="C9" i="18"/>
  <c r="F6" i="18"/>
  <c r="F5" i="18"/>
  <c r="E12" i="16"/>
  <c r="D12" i="16"/>
  <c r="C12" i="16"/>
  <c r="E11" i="16"/>
  <c r="D11" i="16"/>
  <c r="C11" i="16"/>
  <c r="E10" i="16"/>
  <c r="D10" i="16"/>
  <c r="C10" i="16"/>
  <c r="F7" i="16"/>
  <c r="F6" i="16"/>
  <c r="F5" i="16"/>
  <c r="P11" i="15"/>
  <c r="P12" i="15"/>
  <c r="R12" i="15" s="1"/>
  <c r="P13" i="15"/>
  <c r="E13" i="15"/>
  <c r="D13" i="15"/>
  <c r="C13" i="15"/>
  <c r="E12" i="15"/>
  <c r="D12" i="15"/>
  <c r="C12" i="15"/>
  <c r="E11" i="15"/>
  <c r="C11" i="15"/>
  <c r="F8" i="15"/>
  <c r="F7" i="15"/>
  <c r="C12" i="14"/>
  <c r="D10" i="14"/>
  <c r="E10" i="14"/>
  <c r="D11" i="14"/>
  <c r="D12" i="14"/>
  <c r="E12" i="14"/>
  <c r="F12" i="14" s="1"/>
  <c r="C16" i="14" s="1"/>
  <c r="C11" i="14"/>
  <c r="C10" i="14"/>
  <c r="F7" i="14"/>
  <c r="F6" i="14"/>
  <c r="F5" i="14"/>
  <c r="K12" i="13"/>
  <c r="J12" i="13"/>
  <c r="K11" i="13"/>
  <c r="K13" i="13"/>
  <c r="I13" i="13"/>
  <c r="I12" i="13"/>
  <c r="I11" i="13"/>
  <c r="L8" i="13"/>
  <c r="L7" i="13"/>
  <c r="L6" i="13"/>
  <c r="E12" i="13"/>
  <c r="D13" i="13"/>
  <c r="D12" i="13"/>
  <c r="D11" i="13"/>
  <c r="E11" i="13"/>
  <c r="E13" i="13"/>
  <c r="C13" i="13"/>
  <c r="C12" i="13"/>
  <c r="C11" i="13"/>
  <c r="F8" i="13"/>
  <c r="F7" i="13"/>
  <c r="F6" i="13"/>
  <c r="F6" i="12"/>
  <c r="F7" i="12"/>
  <c r="F5" i="12"/>
  <c r="D12" i="12"/>
  <c r="E12" i="12"/>
  <c r="E11" i="12"/>
  <c r="D10" i="12"/>
  <c r="E10" i="12"/>
  <c r="C12" i="12"/>
  <c r="C11" i="12"/>
  <c r="F11" i="12" s="1"/>
  <c r="C16" i="12" s="1"/>
  <c r="C10" i="12"/>
  <c r="G6" i="11"/>
  <c r="G5" i="11"/>
  <c r="F10" i="12" l="1"/>
  <c r="C15" i="12" s="1"/>
  <c r="N8" i="25"/>
  <c r="G8" i="25"/>
  <c r="F12" i="12"/>
  <c r="C17" i="12" s="1"/>
  <c r="F11" i="14"/>
  <c r="C15" i="14" s="1"/>
  <c r="H14" i="23"/>
  <c r="F10" i="16"/>
  <c r="C14" i="16" s="1"/>
  <c r="I10" i="26"/>
  <c r="H23" i="27"/>
  <c r="H26" i="27" s="1"/>
  <c r="I11" i="24"/>
  <c r="I10" i="24"/>
  <c r="K11" i="24"/>
  <c r="F13" i="15"/>
  <c r="F12" i="13"/>
  <c r="L13" i="13"/>
  <c r="L12" i="13"/>
  <c r="F8" i="25"/>
  <c r="E9" i="25"/>
  <c r="I11" i="26"/>
  <c r="K10" i="24"/>
  <c r="D63" i="23"/>
  <c r="E10" i="22"/>
  <c r="C13" i="22" s="1"/>
  <c r="F8" i="21"/>
  <c r="C10" i="21" s="1"/>
  <c r="F10" i="20"/>
  <c r="F9" i="20"/>
  <c r="C12" i="20" s="1"/>
  <c r="L10" i="19"/>
  <c r="I13" i="19" s="1"/>
  <c r="L9" i="19"/>
  <c r="I12" i="19" s="1"/>
  <c r="F10" i="19"/>
  <c r="C13" i="19" s="1"/>
  <c r="F9" i="19"/>
  <c r="C12" i="19" s="1"/>
  <c r="F10" i="18"/>
  <c r="C13" i="18" s="1"/>
  <c r="F9" i="18"/>
  <c r="C12" i="18" s="1"/>
  <c r="F11" i="16"/>
  <c r="C15" i="16" s="1"/>
  <c r="F12" i="16"/>
  <c r="C16" i="16" s="1"/>
  <c r="R13" i="15"/>
  <c r="R11" i="15"/>
  <c r="L13" i="15"/>
  <c r="F12" i="15"/>
  <c r="F11" i="15"/>
  <c r="F10" i="14"/>
  <c r="C14" i="14" s="1"/>
  <c r="L11" i="13"/>
  <c r="F13" i="13"/>
  <c r="F11" i="13"/>
  <c r="G9" i="25" l="1"/>
  <c r="C13" i="20"/>
  <c r="F11" i="20"/>
  <c r="I14" i="23"/>
  <c r="H15" i="23"/>
  <c r="I15" i="23" s="1"/>
  <c r="E10" i="25"/>
  <c r="H8" i="25"/>
  <c r="F9" i="25"/>
  <c r="N9" i="25" s="1"/>
  <c r="E72" i="23"/>
  <c r="G10" i="25" l="1"/>
  <c r="H16" i="23"/>
  <c r="I16" i="23" s="1"/>
  <c r="H9" i="25"/>
  <c r="F10" i="25"/>
  <c r="N10" i="25" s="1"/>
  <c r="E11" i="25"/>
  <c r="E73" i="23"/>
  <c r="D11" i="10"/>
  <c r="D12" i="10"/>
  <c r="E12" i="10"/>
  <c r="F12" i="10"/>
  <c r="E11" i="10"/>
  <c r="F11" i="10"/>
  <c r="E10" i="10"/>
  <c r="F10" i="10"/>
  <c r="D10" i="10"/>
  <c r="C12" i="10"/>
  <c r="C11" i="10"/>
  <c r="C10" i="10"/>
  <c r="G6" i="10"/>
  <c r="G7" i="10"/>
  <c r="D7" i="9"/>
  <c r="D6" i="9"/>
  <c r="D8" i="9"/>
  <c r="D5" i="9"/>
  <c r="H11" i="7"/>
  <c r="H10" i="7"/>
  <c r="H9" i="7"/>
  <c r="G11" i="7"/>
  <c r="G10" i="7"/>
  <c r="G9" i="7"/>
  <c r="F11" i="7"/>
  <c r="F10" i="7"/>
  <c r="F9" i="7"/>
  <c r="E11" i="7"/>
  <c r="E10" i="7"/>
  <c r="E9" i="7"/>
  <c r="D11" i="7"/>
  <c r="D10" i="7"/>
  <c r="D9" i="7"/>
  <c r="C11" i="7"/>
  <c r="C10" i="7"/>
  <c r="C9" i="7"/>
  <c r="D9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C9" i="6"/>
  <c r="E9" i="5"/>
  <c r="F9" i="5" s="1"/>
  <c r="C10" i="5"/>
  <c r="D10" i="5" s="1"/>
  <c r="E10" i="5" s="1"/>
  <c r="F10" i="5" s="1"/>
  <c r="G10" i="5" s="1"/>
  <c r="H10" i="5" s="1"/>
  <c r="C11" i="5"/>
  <c r="D11" i="5" s="1"/>
  <c r="E11" i="5" s="1"/>
  <c r="F11" i="5" s="1"/>
  <c r="G11" i="5" s="1"/>
  <c r="H11" i="5" s="1"/>
  <c r="H12" i="3"/>
  <c r="C10" i="3"/>
  <c r="D12" i="3"/>
  <c r="E12" i="3"/>
  <c r="F12" i="3"/>
  <c r="G12" i="3"/>
  <c r="C12" i="3"/>
  <c r="D11" i="3"/>
  <c r="E11" i="3"/>
  <c r="F11" i="3"/>
  <c r="G11" i="3"/>
  <c r="H11" i="3"/>
  <c r="C11" i="3"/>
  <c r="D10" i="3"/>
  <c r="E10" i="3"/>
  <c r="F10" i="3"/>
  <c r="G10" i="3"/>
  <c r="H10" i="3"/>
  <c r="K10" i="3" l="1"/>
  <c r="G11" i="25"/>
  <c r="G9" i="5"/>
  <c r="H9" i="5" s="1"/>
  <c r="H17" i="23"/>
  <c r="I10" i="6"/>
  <c r="K10" i="7" s="1"/>
  <c r="I11" i="6"/>
  <c r="K11" i="7" s="1"/>
  <c r="G11" i="10"/>
  <c r="C18" i="10" s="1"/>
  <c r="G12" i="10"/>
  <c r="C19" i="10" s="1"/>
  <c r="D9" i="9"/>
  <c r="I11" i="3"/>
  <c r="J10" i="7" s="1"/>
  <c r="I10" i="3"/>
  <c r="J9" i="7" s="1"/>
  <c r="K12" i="3"/>
  <c r="K11" i="3"/>
  <c r="I12" i="3"/>
  <c r="J11" i="7" s="1"/>
  <c r="G10" i="10"/>
  <c r="C17" i="10" s="1"/>
  <c r="H10" i="25"/>
  <c r="F11" i="25"/>
  <c r="N11" i="25" s="1"/>
  <c r="E12" i="25"/>
  <c r="H18" i="23"/>
  <c r="I17" i="23"/>
  <c r="I9" i="7"/>
  <c r="I10" i="7"/>
  <c r="I11" i="7"/>
  <c r="I9" i="6"/>
  <c r="K9" i="7" s="1"/>
  <c r="G12" i="25" l="1"/>
  <c r="I115" i="23"/>
  <c r="K115" i="23" s="1"/>
  <c r="I108" i="23"/>
  <c r="K108" i="23" s="1"/>
  <c r="I102" i="23"/>
  <c r="K102" i="23" s="1"/>
  <c r="I89" i="23"/>
  <c r="K89" i="23" s="1"/>
  <c r="I83" i="23"/>
  <c r="K83" i="23" s="1"/>
  <c r="O79" i="23"/>
  <c r="P79" i="23" s="1"/>
  <c r="O88" i="23"/>
  <c r="P88" i="23" s="1"/>
  <c r="O93" i="23"/>
  <c r="P93" i="23" s="1"/>
  <c r="O102" i="23"/>
  <c r="P102" i="23" s="1"/>
  <c r="O111" i="23"/>
  <c r="P111" i="23" s="1"/>
  <c r="I118" i="23"/>
  <c r="K118" i="23" s="1"/>
  <c r="I92" i="23"/>
  <c r="K92" i="23" s="1"/>
  <c r="O77" i="23"/>
  <c r="P77" i="23" s="1"/>
  <c r="O86" i="23"/>
  <c r="P86" i="23" s="1"/>
  <c r="O95" i="23"/>
  <c r="P95" i="23" s="1"/>
  <c r="O109" i="23"/>
  <c r="P109" i="23" s="1"/>
  <c r="O101" i="23"/>
  <c r="P101" i="23" s="1"/>
  <c r="I90" i="23"/>
  <c r="K90" i="23" s="1"/>
  <c r="I114" i="23"/>
  <c r="K114" i="23" s="1"/>
  <c r="I101" i="23"/>
  <c r="K101" i="23" s="1"/>
  <c r="I95" i="23"/>
  <c r="K95" i="23" s="1"/>
  <c r="I88" i="23"/>
  <c r="K88" i="23" s="1"/>
  <c r="I82" i="23"/>
  <c r="K82" i="23" s="1"/>
  <c r="O84" i="23"/>
  <c r="P84" i="23" s="1"/>
  <c r="O89" i="23"/>
  <c r="P89" i="23" s="1"/>
  <c r="O98" i="23"/>
  <c r="P98" i="23" s="1"/>
  <c r="O107" i="23"/>
  <c r="P107" i="23" s="1"/>
  <c r="O116" i="23"/>
  <c r="P116" i="23" s="1"/>
  <c r="I99" i="23"/>
  <c r="K99" i="23" s="1"/>
  <c r="O78" i="23"/>
  <c r="P78" i="23" s="1"/>
  <c r="O87" i="23"/>
  <c r="P87" i="23" s="1"/>
  <c r="I96" i="23"/>
  <c r="K96" i="23" s="1"/>
  <c r="O97" i="23"/>
  <c r="P97" i="23" s="1"/>
  <c r="O119" i="23"/>
  <c r="P119" i="23" s="1"/>
  <c r="I113" i="23"/>
  <c r="K113" i="23" s="1"/>
  <c r="I107" i="23"/>
  <c r="K107" i="23" s="1"/>
  <c r="I100" i="23"/>
  <c r="K100" i="23" s="1"/>
  <c r="I94" i="23"/>
  <c r="K94" i="23" s="1"/>
  <c r="I81" i="23"/>
  <c r="K81" i="23" s="1"/>
  <c r="O75" i="23"/>
  <c r="P75" i="23" s="1"/>
  <c r="O80" i="23"/>
  <c r="P80" i="23" s="1"/>
  <c r="O85" i="23"/>
  <c r="P85" i="23" s="1"/>
  <c r="O94" i="23"/>
  <c r="P94" i="23" s="1"/>
  <c r="O103" i="23"/>
  <c r="P103" i="23" s="1"/>
  <c r="O112" i="23"/>
  <c r="P112" i="23" s="1"/>
  <c r="I105" i="23"/>
  <c r="K105" i="23" s="1"/>
  <c r="I86" i="23"/>
  <c r="K86" i="23" s="1"/>
  <c r="O110" i="23"/>
  <c r="P110" i="23" s="1"/>
  <c r="I103" i="23"/>
  <c r="K103" i="23" s="1"/>
  <c r="O106" i="23"/>
  <c r="P106" i="23" s="1"/>
  <c r="I119" i="23"/>
  <c r="K119" i="23" s="1"/>
  <c r="I112" i="23"/>
  <c r="K112" i="23" s="1"/>
  <c r="I106" i="23"/>
  <c r="K106" i="23" s="1"/>
  <c r="I93" i="23"/>
  <c r="K93" i="23" s="1"/>
  <c r="I87" i="23"/>
  <c r="K87" i="23" s="1"/>
  <c r="I80" i="23"/>
  <c r="K80" i="23" s="1"/>
  <c r="O76" i="23"/>
  <c r="P76" i="23" s="1"/>
  <c r="O81" i="23"/>
  <c r="P81" i="23" s="1"/>
  <c r="O90" i="23"/>
  <c r="P90" i="23" s="1"/>
  <c r="O99" i="23"/>
  <c r="P99" i="23" s="1"/>
  <c r="O108" i="23"/>
  <c r="P108" i="23" s="1"/>
  <c r="O113" i="23"/>
  <c r="P113" i="23" s="1"/>
  <c r="O117" i="23"/>
  <c r="P117" i="23" s="1"/>
  <c r="O104" i="23"/>
  <c r="P104" i="23" s="1"/>
  <c r="O96" i="23"/>
  <c r="P96" i="23" s="1"/>
  <c r="I117" i="23"/>
  <c r="K117" i="23" s="1"/>
  <c r="I111" i="23"/>
  <c r="K111" i="23" s="1"/>
  <c r="I104" i="23"/>
  <c r="K104" i="23" s="1"/>
  <c r="I98" i="23"/>
  <c r="K98" i="23" s="1"/>
  <c r="I85" i="23"/>
  <c r="K85" i="23" s="1"/>
  <c r="O82" i="23"/>
  <c r="P82" i="23" s="1"/>
  <c r="O91" i="23"/>
  <c r="P91" i="23" s="1"/>
  <c r="O100" i="23"/>
  <c r="P100" i="23" s="1"/>
  <c r="O105" i="23"/>
  <c r="P105" i="23" s="1"/>
  <c r="O114" i="23"/>
  <c r="P114" i="23" s="1"/>
  <c r="O118" i="23"/>
  <c r="P118" i="23" s="1"/>
  <c r="I116" i="23"/>
  <c r="K116" i="23" s="1"/>
  <c r="I110" i="23"/>
  <c r="K110" i="23" s="1"/>
  <c r="I97" i="23"/>
  <c r="K97" i="23" s="1"/>
  <c r="I91" i="23"/>
  <c r="K91" i="23" s="1"/>
  <c r="I84" i="23"/>
  <c r="K84" i="23" s="1"/>
  <c r="I109" i="23"/>
  <c r="K109" i="23" s="1"/>
  <c r="O83" i="23"/>
  <c r="P83" i="23" s="1"/>
  <c r="O92" i="23"/>
  <c r="P92" i="23" s="1"/>
  <c r="O115" i="23"/>
  <c r="P115" i="23" s="1"/>
  <c r="C76" i="23"/>
  <c r="C79" i="23"/>
  <c r="E79" i="23" s="1"/>
  <c r="C77" i="23"/>
  <c r="E77" i="23" s="1"/>
  <c r="C78" i="23"/>
  <c r="E78" i="23" s="1"/>
  <c r="H5" i="9"/>
  <c r="J5" i="9" s="1"/>
  <c r="C112" i="23"/>
  <c r="E112" i="23" s="1"/>
  <c r="C104" i="23"/>
  <c r="E104" i="23" s="1"/>
  <c r="C96" i="23"/>
  <c r="E96" i="23" s="1"/>
  <c r="C88" i="23"/>
  <c r="E88" i="23" s="1"/>
  <c r="C80" i="23"/>
  <c r="E80" i="23" s="1"/>
  <c r="C91" i="23"/>
  <c r="E91" i="23" s="1"/>
  <c r="C114" i="23"/>
  <c r="E114" i="23" s="1"/>
  <c r="C82" i="23"/>
  <c r="E82" i="23" s="1"/>
  <c r="C105" i="23"/>
  <c r="E105" i="23" s="1"/>
  <c r="C81" i="23"/>
  <c r="E81" i="23" s="1"/>
  <c r="C119" i="23"/>
  <c r="E119" i="23" s="1"/>
  <c r="C111" i="23"/>
  <c r="E111" i="23" s="1"/>
  <c r="C103" i="23"/>
  <c r="E103" i="23" s="1"/>
  <c r="C95" i="23"/>
  <c r="E95" i="23" s="1"/>
  <c r="C87" i="23"/>
  <c r="E87" i="23" s="1"/>
  <c r="C99" i="23"/>
  <c r="E99" i="23" s="1"/>
  <c r="C106" i="23"/>
  <c r="E106" i="23" s="1"/>
  <c r="C118" i="23"/>
  <c r="E118" i="23" s="1"/>
  <c r="C110" i="23"/>
  <c r="E110" i="23" s="1"/>
  <c r="C102" i="23"/>
  <c r="E102" i="23" s="1"/>
  <c r="C94" i="23"/>
  <c r="E94" i="23" s="1"/>
  <c r="C86" i="23"/>
  <c r="E86" i="23" s="1"/>
  <c r="C107" i="23"/>
  <c r="E107" i="23" s="1"/>
  <c r="C90" i="23"/>
  <c r="E90" i="23" s="1"/>
  <c r="C97" i="23"/>
  <c r="E97" i="23" s="1"/>
  <c r="E76" i="23"/>
  <c r="C117" i="23"/>
  <c r="E117" i="23" s="1"/>
  <c r="C109" i="23"/>
  <c r="E109" i="23" s="1"/>
  <c r="C101" i="23"/>
  <c r="E101" i="23" s="1"/>
  <c r="C93" i="23"/>
  <c r="E93" i="23" s="1"/>
  <c r="C85" i="23"/>
  <c r="E85" i="23" s="1"/>
  <c r="C98" i="23"/>
  <c r="E98" i="23" s="1"/>
  <c r="C113" i="23"/>
  <c r="E113" i="23" s="1"/>
  <c r="C89" i="23"/>
  <c r="E89" i="23" s="1"/>
  <c r="C116" i="23"/>
  <c r="E116" i="23" s="1"/>
  <c r="C108" i="23"/>
  <c r="E108" i="23" s="1"/>
  <c r="C100" i="23"/>
  <c r="E100" i="23" s="1"/>
  <c r="C92" i="23"/>
  <c r="E92" i="23" s="1"/>
  <c r="C84" i="23"/>
  <c r="E84" i="23" s="1"/>
  <c r="C115" i="23"/>
  <c r="E115" i="23" s="1"/>
  <c r="C83" i="23"/>
  <c r="E83" i="23" s="1"/>
  <c r="F12" i="25"/>
  <c r="N12" i="25" s="1"/>
  <c r="H11" i="25"/>
  <c r="E13" i="25"/>
  <c r="H20" i="23"/>
  <c r="I20" i="23" s="1"/>
  <c r="H24" i="23"/>
  <c r="I24" i="23" s="1"/>
  <c r="H28" i="23"/>
  <c r="I28" i="23" s="1"/>
  <c r="H32" i="23"/>
  <c r="I32" i="23" s="1"/>
  <c r="H36" i="23"/>
  <c r="I36" i="23" s="1"/>
  <c r="H40" i="23"/>
  <c r="I40" i="23" s="1"/>
  <c r="H44" i="23"/>
  <c r="I44" i="23" s="1"/>
  <c r="H48" i="23"/>
  <c r="I48" i="23" s="1"/>
  <c r="H52" i="23"/>
  <c r="I52" i="23" s="1"/>
  <c r="H56" i="23"/>
  <c r="I56" i="23" s="1"/>
  <c r="H60" i="23"/>
  <c r="I60" i="23" s="1"/>
  <c r="H21" i="23"/>
  <c r="I21" i="23" s="1"/>
  <c r="H25" i="23"/>
  <c r="I25" i="23" s="1"/>
  <c r="H29" i="23"/>
  <c r="I29" i="23" s="1"/>
  <c r="H33" i="23"/>
  <c r="I33" i="23" s="1"/>
  <c r="H37" i="23"/>
  <c r="I37" i="23" s="1"/>
  <c r="H41" i="23"/>
  <c r="I41" i="23" s="1"/>
  <c r="H45" i="23"/>
  <c r="I45" i="23" s="1"/>
  <c r="H49" i="23"/>
  <c r="I49" i="23" s="1"/>
  <c r="H53" i="23"/>
  <c r="I53" i="23" s="1"/>
  <c r="H57" i="23"/>
  <c r="I57" i="23" s="1"/>
  <c r="H61" i="23"/>
  <c r="I61" i="23" s="1"/>
  <c r="I18" i="23"/>
  <c r="H22" i="23"/>
  <c r="I22" i="23" s="1"/>
  <c r="H26" i="23"/>
  <c r="I26" i="23" s="1"/>
  <c r="H30" i="23"/>
  <c r="I30" i="23" s="1"/>
  <c r="H34" i="23"/>
  <c r="I34" i="23" s="1"/>
  <c r="H38" i="23"/>
  <c r="I38" i="23" s="1"/>
  <c r="H42" i="23"/>
  <c r="I42" i="23" s="1"/>
  <c r="H46" i="23"/>
  <c r="I46" i="23" s="1"/>
  <c r="H50" i="23"/>
  <c r="I50" i="23" s="1"/>
  <c r="H54" i="23"/>
  <c r="I54" i="23" s="1"/>
  <c r="H58" i="23"/>
  <c r="I58" i="23" s="1"/>
  <c r="H62" i="23"/>
  <c r="I62" i="23" s="1"/>
  <c r="H23" i="23"/>
  <c r="I23" i="23" s="1"/>
  <c r="H27" i="23"/>
  <c r="I27" i="23" s="1"/>
  <c r="H31" i="23"/>
  <c r="I31" i="23" s="1"/>
  <c r="H35" i="23"/>
  <c r="I35" i="23" s="1"/>
  <c r="H39" i="23"/>
  <c r="I39" i="23" s="1"/>
  <c r="H43" i="23"/>
  <c r="I43" i="23" s="1"/>
  <c r="H47" i="23"/>
  <c r="I47" i="23" s="1"/>
  <c r="H51" i="23"/>
  <c r="I51" i="23" s="1"/>
  <c r="H55" i="23"/>
  <c r="I55" i="23" s="1"/>
  <c r="H59" i="23"/>
  <c r="I59" i="23" s="1"/>
  <c r="H19" i="23"/>
  <c r="I19" i="23" s="1"/>
  <c r="G13" i="25" l="1"/>
  <c r="P120" i="23"/>
  <c r="K120" i="23"/>
  <c r="I63" i="23"/>
  <c r="J63" i="23" s="1"/>
  <c r="J9" i="9"/>
  <c r="F13" i="25"/>
  <c r="N13" i="25" s="1"/>
  <c r="H12" i="25"/>
  <c r="E14" i="25"/>
  <c r="E75" i="23"/>
  <c r="E120" i="23" s="1"/>
  <c r="N14" i="25" l="1"/>
  <c r="G14" i="25"/>
  <c r="F120" i="23"/>
  <c r="F14" i="25"/>
  <c r="H13" i="25"/>
  <c r="E15" i="25"/>
  <c r="N15" i="25" l="1"/>
  <c r="G15" i="25"/>
  <c r="F15" i="25"/>
  <c r="H14" i="25"/>
  <c r="E16" i="25"/>
  <c r="G16" i="25" l="1"/>
  <c r="F16" i="25"/>
  <c r="N16" i="25" s="1"/>
  <c r="H15" i="25"/>
  <c r="E17" i="25"/>
  <c r="G17" i="25" l="1"/>
  <c r="F17" i="25"/>
  <c r="N17" i="25" s="1"/>
  <c r="H16" i="25"/>
  <c r="E18" i="25"/>
  <c r="G18" i="25" l="1"/>
  <c r="F18" i="25"/>
  <c r="N18" i="25" s="1"/>
  <c r="H17" i="25"/>
  <c r="E19" i="25"/>
  <c r="N19" i="25" l="1"/>
  <c r="G19" i="25"/>
  <c r="F19" i="25"/>
  <c r="H18" i="25"/>
  <c r="E20" i="25"/>
  <c r="G20" i="25" l="1"/>
  <c r="F20" i="25"/>
  <c r="N20" i="25" s="1"/>
  <c r="H19" i="25"/>
  <c r="E21" i="25"/>
  <c r="G21" i="25" l="1"/>
  <c r="F21" i="25"/>
  <c r="N21" i="25" s="1"/>
  <c r="H20" i="25"/>
  <c r="E22" i="25"/>
  <c r="G22" i="25" l="1"/>
  <c r="F22" i="25"/>
  <c r="N22" i="25" s="1"/>
  <c r="H21" i="25"/>
  <c r="E23" i="25"/>
  <c r="G23" i="25" l="1"/>
  <c r="F23" i="25"/>
  <c r="N23" i="25" s="1"/>
  <c r="H22" i="25"/>
  <c r="E24" i="25"/>
  <c r="G24" i="25" l="1"/>
  <c r="F24" i="25"/>
  <c r="N24" i="25" s="1"/>
  <c r="H23" i="25"/>
  <c r="E25" i="25"/>
  <c r="G25" i="25" l="1"/>
  <c r="F25" i="25"/>
  <c r="N25" i="25" s="1"/>
  <c r="H24" i="25"/>
  <c r="E26" i="25"/>
  <c r="G26" i="25" l="1"/>
  <c r="I26" i="25" s="1"/>
  <c r="F26" i="25"/>
  <c r="N26" i="25" s="1"/>
  <c r="L26" i="25" s="1"/>
  <c r="H25" i="25"/>
  <c r="E27" i="25"/>
  <c r="G27" i="25" l="1"/>
  <c r="H26" i="25"/>
  <c r="J26" i="25" s="1"/>
  <c r="K26" i="25" s="1"/>
  <c r="F27" i="25"/>
  <c r="N27" i="25" s="1"/>
  <c r="E28" i="25"/>
  <c r="G28" i="25" l="1"/>
  <c r="F28" i="25"/>
  <c r="N28" i="25" s="1"/>
  <c r="H27" i="25"/>
  <c r="E29" i="25"/>
  <c r="G29" i="25" l="1"/>
  <c r="F29" i="25"/>
  <c r="N29" i="25" s="1"/>
  <c r="H28" i="25"/>
  <c r="E30" i="25"/>
  <c r="G30" i="25" l="1"/>
  <c r="F30" i="25"/>
  <c r="N30" i="25" s="1"/>
  <c r="H29" i="25"/>
  <c r="E31" i="25"/>
  <c r="G31" i="25" l="1"/>
  <c r="F31" i="25"/>
  <c r="N31" i="25" s="1"/>
  <c r="H30" i="25"/>
  <c r="E32" i="25"/>
  <c r="G32" i="25" l="1"/>
  <c r="F32" i="25"/>
  <c r="N32" i="25" s="1"/>
  <c r="H31" i="25"/>
  <c r="E33" i="25"/>
  <c r="G33" i="25" l="1"/>
  <c r="F33" i="25"/>
  <c r="N33" i="25" s="1"/>
  <c r="H32" i="25"/>
  <c r="E34" i="25"/>
  <c r="G34" i="25" l="1"/>
  <c r="F34" i="25"/>
  <c r="N34" i="25" s="1"/>
  <c r="H33" i="25"/>
  <c r="E35" i="25"/>
  <c r="G35" i="25" l="1"/>
  <c r="F35" i="25"/>
  <c r="N35" i="25" s="1"/>
  <c r="H34" i="25"/>
  <c r="E36" i="25"/>
  <c r="G36" i="25" l="1"/>
  <c r="I36" i="25" s="1"/>
  <c r="F36" i="25"/>
  <c r="H36" i="25" s="1"/>
  <c r="H35" i="25"/>
  <c r="N36" i="25" l="1"/>
  <c r="L36" i="25" s="1"/>
  <c r="J36" i="25"/>
  <c r="K36" i="25" s="1"/>
</calcChain>
</file>

<file path=xl/sharedStrings.xml><?xml version="1.0" encoding="utf-8"?>
<sst xmlns="http://schemas.openxmlformats.org/spreadsheetml/2006/main" count="437" uniqueCount="99">
  <si>
    <t>Flujo</t>
  </si>
  <si>
    <t>A</t>
  </si>
  <si>
    <t>B</t>
  </si>
  <si>
    <t>C</t>
  </si>
  <si>
    <t>Periodo</t>
  </si>
  <si>
    <t>VPN A</t>
  </si>
  <si>
    <t>VPN B</t>
  </si>
  <si>
    <t>VPN C</t>
  </si>
  <si>
    <t>Tasa</t>
  </si>
  <si>
    <t>VPN</t>
  </si>
  <si>
    <t>TIR</t>
  </si>
  <si>
    <t>Recuperación A</t>
  </si>
  <si>
    <t>Recuperación B</t>
  </si>
  <si>
    <t>Recuperación C</t>
  </si>
  <si>
    <t xml:space="preserve">VPN </t>
  </si>
  <si>
    <t>VPN/I (A)</t>
  </si>
  <si>
    <t>VPN/I (B)</t>
  </si>
  <si>
    <t>VPN/I (C)</t>
  </si>
  <si>
    <t xml:space="preserve">VPN B </t>
  </si>
  <si>
    <t>A)</t>
  </si>
  <si>
    <t>B)</t>
  </si>
  <si>
    <t>C)</t>
  </si>
  <si>
    <t>Concepto</t>
  </si>
  <si>
    <t>Costo Anual de Operación</t>
  </si>
  <si>
    <t>Inversión Inicial</t>
  </si>
  <si>
    <t>Subterránea</t>
  </si>
  <si>
    <t>TAJO ABIERTO</t>
  </si>
  <si>
    <t>SUBTERRÁNEA</t>
  </si>
  <si>
    <t>Compra mineral</t>
  </si>
  <si>
    <t>Microbús</t>
  </si>
  <si>
    <t>Autobús</t>
  </si>
  <si>
    <t>VPN (Autobús)</t>
  </si>
  <si>
    <t>VPN (Microbús)</t>
  </si>
  <si>
    <t>Año</t>
  </si>
  <si>
    <t>Curso</t>
  </si>
  <si>
    <t>Sin usar</t>
  </si>
  <si>
    <t>Usándola</t>
  </si>
  <si>
    <t>VPN (Sin usar)</t>
  </si>
  <si>
    <t xml:space="preserve">VPN (Usándola) </t>
  </si>
  <si>
    <t>Tasa real</t>
  </si>
  <si>
    <t>Venta x unidad</t>
  </si>
  <si>
    <t>Costos variables</t>
  </si>
  <si>
    <t>Costos fijos</t>
  </si>
  <si>
    <t>Unidades</t>
  </si>
  <si>
    <t>Inflación</t>
  </si>
  <si>
    <t>Tasa nominal</t>
  </si>
  <si>
    <t>Inversión</t>
  </si>
  <si>
    <t>B-A</t>
  </si>
  <si>
    <t>VPN B-A</t>
  </si>
  <si>
    <t>VPN/I C</t>
  </si>
  <si>
    <t xml:space="preserve"> (39 años)</t>
  </si>
  <si>
    <t xml:space="preserve"> (29 años)</t>
  </si>
  <si>
    <t>Con curso</t>
  </si>
  <si>
    <t>Sin curso</t>
  </si>
  <si>
    <t>Tajo Abierto</t>
  </si>
  <si>
    <t>Problema 1 (10%)</t>
  </si>
  <si>
    <t>Problema 4 (5%)</t>
  </si>
  <si>
    <t>Problema 5 (15%)</t>
  </si>
  <si>
    <t>A+B</t>
  </si>
  <si>
    <t>Catindad</t>
  </si>
  <si>
    <t>edad</t>
  </si>
  <si>
    <t>VPN/I (A+B)</t>
  </si>
  <si>
    <t>Descuento B</t>
  </si>
  <si>
    <t>Descontados</t>
  </si>
  <si>
    <t>B+A</t>
  </si>
  <si>
    <t>10 microbuses por 5 autobuses</t>
  </si>
  <si>
    <t>En esta opción, vendiendo los microbuses si conviene la operación.</t>
  </si>
  <si>
    <t>Diferencia</t>
  </si>
  <si>
    <t>Incremento de precios</t>
  </si>
  <si>
    <t>Flujo Descontado</t>
  </si>
  <si>
    <t>Costos variables x unidad</t>
  </si>
  <si>
    <t>Factor de Valor Presente</t>
  </si>
  <si>
    <t>VPN/I A</t>
  </si>
  <si>
    <t>VPN/I B</t>
  </si>
  <si>
    <t>VPN / I (A)</t>
  </si>
  <si>
    <t>VPN / I (B)</t>
  </si>
  <si>
    <t>VPN / I (C)</t>
  </si>
  <si>
    <t>VPN / I</t>
  </si>
  <si>
    <t>Entre mayor sea la tasa, más se exije al flujo.</t>
  </si>
  <si>
    <t>VP</t>
  </si>
  <si>
    <t>VNP</t>
  </si>
  <si>
    <t>En esta opción, no conviene la operación.</t>
  </si>
  <si>
    <t>TIR Nominal</t>
  </si>
  <si>
    <t>TIR Real</t>
  </si>
  <si>
    <t>Flujo SIN CURSO</t>
  </si>
  <si>
    <t>Flujo CON CURSO</t>
  </si>
  <si>
    <t>Descontado CON CURSO</t>
  </si>
  <si>
    <t>Descontado SIN CURSO</t>
  </si>
  <si>
    <t>FLUJO PARA TIR
CON -SIN</t>
  </si>
  <si>
    <t>VPN CON - SIN</t>
  </si>
  <si>
    <t>Total Costos</t>
  </si>
  <si>
    <t>Totales Ingresos</t>
  </si>
  <si>
    <t>Maximo</t>
  </si>
  <si>
    <t>VPN A+B</t>
  </si>
  <si>
    <t>A-B</t>
  </si>
  <si>
    <t>VPN A-B</t>
  </si>
  <si>
    <t>Periodos</t>
  </si>
  <si>
    <t>tasa</t>
  </si>
  <si>
    <t>con-sin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</si>
</sst>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0"/>
    <numFmt numFmtId="167" formatCode="0.000%"/>
    <numFmt numFmtId="168" formatCode="0.0000%"/>
    <numFmt numFmtId="169" formatCode="_-* #,##0_-;\-* #,##0_-;_-* &quot;-&quot;??_-;_-@_-"/>
    <numFmt numFmtId="170" formatCode="_-* #,##0.0000_-;\-* #,##0.0000_-;_-* &quot;-&quot;??_-;_-@_-"/>
    <numFmt numFmtId="171" formatCode="0.000"/>
    <numFmt numFmtId="172" formatCode="0.00000%"/>
    <numFmt numFmtId="173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2" xfId="0" applyBorder="1"/>
    <xf numFmtId="164" fontId="0" fillId="0" borderId="0" xfId="1" applyFont="1"/>
    <xf numFmtId="0" fontId="0" fillId="0" borderId="2" xfId="0" applyBorder="1" applyAlignment="1">
      <alignment horizontal="center"/>
    </xf>
    <xf numFmtId="164" fontId="0" fillId="0" borderId="2" xfId="1" applyFont="1" applyBorder="1"/>
    <xf numFmtId="164" fontId="0" fillId="0" borderId="2" xfId="0" applyNumberFormat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9" fontId="0" fillId="0" borderId="0" xfId="0" applyNumberFormat="1"/>
    <xf numFmtId="9" fontId="0" fillId="0" borderId="2" xfId="0" applyNumberFormat="1" applyBorder="1"/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164" fontId="2" fillId="0" borderId="2" xfId="0" applyNumberFormat="1" applyFont="1" applyBorder="1"/>
    <xf numFmtId="10" fontId="2" fillId="0" borderId="2" xfId="0" applyNumberFormat="1" applyFont="1" applyBorder="1"/>
    <xf numFmtId="164" fontId="0" fillId="0" borderId="3" xfId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/>
    <xf numFmtId="0" fontId="2" fillId="0" borderId="0" xfId="0" applyFont="1"/>
    <xf numFmtId="0" fontId="2" fillId="4" borderId="2" xfId="0" applyFont="1" applyFill="1" applyBorder="1" applyAlignment="1">
      <alignment horizontal="center"/>
    </xf>
    <xf numFmtId="10" fontId="0" fillId="0" borderId="2" xfId="0" applyNumberFormat="1" applyBorder="1"/>
    <xf numFmtId="0" fontId="0" fillId="3" borderId="3" xfId="0" applyFill="1" applyBorder="1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/>
    </xf>
    <xf numFmtId="164" fontId="2" fillId="2" borderId="2" xfId="0" applyNumberFormat="1" applyFont="1" applyFill="1" applyBorder="1"/>
    <xf numFmtId="166" fontId="2" fillId="2" borderId="2" xfId="0" applyNumberFormat="1" applyFont="1" applyFill="1" applyBorder="1"/>
    <xf numFmtId="166" fontId="2" fillId="0" borderId="2" xfId="0" applyNumberFormat="1" applyFont="1" applyBorder="1"/>
    <xf numFmtId="0" fontId="2" fillId="0" borderId="2" xfId="0" applyFont="1" applyBorder="1"/>
    <xf numFmtId="167" fontId="1" fillId="0" borderId="2" xfId="1" applyNumberFormat="1" applyFont="1" applyFill="1" applyBorder="1"/>
    <xf numFmtId="168" fontId="1" fillId="0" borderId="2" xfId="1" applyNumberFormat="1" applyFont="1" applyFill="1" applyBorder="1"/>
    <xf numFmtId="0" fontId="0" fillId="4" borderId="2" xfId="0" applyFill="1" applyBorder="1"/>
    <xf numFmtId="164" fontId="0" fillId="0" borderId="0" xfId="1" applyFont="1" applyBorder="1"/>
    <xf numFmtId="0" fontId="0" fillId="0" borderId="2" xfId="1" applyNumberFormat="1" applyFont="1" applyFill="1" applyBorder="1"/>
    <xf numFmtId="0" fontId="2" fillId="3" borderId="2" xfId="0" applyFont="1" applyFill="1" applyBorder="1"/>
    <xf numFmtId="164" fontId="0" fillId="0" borderId="0" xfId="0" applyNumberFormat="1"/>
    <xf numFmtId="10" fontId="2" fillId="2" borderId="2" xfId="0" applyNumberFormat="1" applyFont="1" applyFill="1" applyBorder="1"/>
    <xf numFmtId="164" fontId="0" fillId="2" borderId="2" xfId="1" applyFont="1" applyFill="1" applyBorder="1"/>
    <xf numFmtId="164" fontId="0" fillId="2" borderId="3" xfId="1" applyFont="1" applyFill="1" applyBorder="1"/>
    <xf numFmtId="0" fontId="0" fillId="2" borderId="2" xfId="0" applyFill="1" applyBorder="1" applyAlignment="1">
      <alignment horizontal="center"/>
    </xf>
    <xf numFmtId="164" fontId="2" fillId="0" borderId="6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/>
    <xf numFmtId="10" fontId="2" fillId="2" borderId="2" xfId="1" applyNumberFormat="1" applyFont="1" applyFill="1" applyBorder="1"/>
    <xf numFmtId="10" fontId="0" fillId="0" borderId="0" xfId="0" applyNumberFormat="1"/>
    <xf numFmtId="10" fontId="2" fillId="0" borderId="0" xfId="0" applyNumberFormat="1" applyFont="1"/>
    <xf numFmtId="169" fontId="0" fillId="0" borderId="2" xfId="2" applyNumberFormat="1" applyFont="1" applyBorder="1" applyAlignment="1">
      <alignment horizontal="center"/>
    </xf>
    <xf numFmtId="164" fontId="0" fillId="7" borderId="2" xfId="1" applyFont="1" applyFill="1" applyBorder="1"/>
    <xf numFmtId="164" fontId="0" fillId="7" borderId="2" xfId="0" applyNumberFormat="1" applyFill="1" applyBorder="1"/>
    <xf numFmtId="164" fontId="2" fillId="7" borderId="5" xfId="0" applyNumberFormat="1" applyFont="1" applyFill="1" applyBorder="1"/>
    <xf numFmtId="164" fontId="3" fillId="0" borderId="6" xfId="0" applyNumberFormat="1" applyFont="1" applyBorder="1"/>
    <xf numFmtId="164" fontId="3" fillId="0" borderId="2" xfId="0" applyNumberFormat="1" applyFont="1" applyBorder="1"/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164" fontId="0" fillId="0" borderId="2" xfId="1" applyFont="1" applyBorder="1" applyAlignment="1">
      <alignment vertical="center"/>
    </xf>
    <xf numFmtId="10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166" fontId="4" fillId="5" borderId="2" xfId="0" applyNumberFormat="1" applyFont="1" applyFill="1" applyBorder="1"/>
    <xf numFmtId="0" fontId="0" fillId="3" borderId="0" xfId="0" applyFill="1"/>
    <xf numFmtId="10" fontId="2" fillId="0" borderId="2" xfId="1" applyNumberFormat="1" applyFont="1" applyFill="1" applyBorder="1"/>
    <xf numFmtId="2" fontId="2" fillId="0" borderId="2" xfId="0" applyNumberFormat="1" applyFont="1" applyBorder="1"/>
    <xf numFmtId="2" fontId="2" fillId="2" borderId="2" xfId="0" applyNumberFormat="1" applyFont="1" applyFill="1" applyBorder="1"/>
    <xf numFmtId="164" fontId="4" fillId="8" borderId="2" xfId="1" applyFont="1" applyFill="1" applyBorder="1"/>
    <xf numFmtId="0" fontId="0" fillId="3" borderId="12" xfId="0" applyFill="1" applyBorder="1"/>
    <xf numFmtId="164" fontId="4" fillId="8" borderId="13" xfId="1" applyFont="1" applyFill="1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/>
    <xf numFmtId="0" fontId="0" fillId="0" borderId="17" xfId="0" applyBorder="1"/>
    <xf numFmtId="0" fontId="0" fillId="3" borderId="16" xfId="0" applyFill="1" applyBorder="1" applyAlignment="1">
      <alignment horizontal="center"/>
    </xf>
    <xf numFmtId="0" fontId="0" fillId="0" borderId="18" xfId="0" applyBorder="1"/>
    <xf numFmtId="9" fontId="0" fillId="0" borderId="13" xfId="0" applyNumberFormat="1" applyBorder="1"/>
    <xf numFmtId="0" fontId="2" fillId="0" borderId="0" xfId="0" applyFont="1" applyAlignment="1">
      <alignment horizontal="center"/>
    </xf>
    <xf numFmtId="164" fontId="7" fillId="9" borderId="2" xfId="1" applyFont="1" applyFill="1" applyBorder="1"/>
    <xf numFmtId="164" fontId="7" fillId="9" borderId="0" xfId="1" applyFont="1" applyFill="1"/>
    <xf numFmtId="164" fontId="7" fillId="9" borderId="2" xfId="0" applyNumberFormat="1" applyFont="1" applyFill="1" applyBorder="1"/>
    <xf numFmtId="164" fontId="2" fillId="9" borderId="5" xfId="0" applyNumberFormat="1" applyFont="1" applyFill="1" applyBorder="1"/>
    <xf numFmtId="0" fontId="2" fillId="0" borderId="10" xfId="0" applyFont="1" applyBorder="1" applyAlignment="1">
      <alignment horizontal="center"/>
    </xf>
    <xf numFmtId="170" fontId="0" fillId="0" borderId="0" xfId="2" applyNumberFormat="1" applyFont="1"/>
    <xf numFmtId="10" fontId="0" fillId="0" borderId="2" xfId="3" applyNumberFormat="1" applyFont="1" applyBorder="1"/>
    <xf numFmtId="164" fontId="2" fillId="0" borderId="2" xfId="1" applyFont="1" applyBorder="1"/>
    <xf numFmtId="0" fontId="2" fillId="3" borderId="6" xfId="0" applyFont="1" applyFill="1" applyBorder="1"/>
    <xf numFmtId="0" fontId="2" fillId="3" borderId="26" xfId="0" applyFont="1" applyFill="1" applyBorder="1"/>
    <xf numFmtId="164" fontId="0" fillId="0" borderId="26" xfId="1" applyFont="1" applyBorder="1"/>
    <xf numFmtId="164" fontId="0" fillId="0" borderId="26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10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165" fontId="0" fillId="2" borderId="2" xfId="2" applyFont="1" applyFill="1" applyBorder="1"/>
    <xf numFmtId="164" fontId="5" fillId="5" borderId="0" xfId="0" applyNumberFormat="1" applyFont="1" applyFill="1"/>
    <xf numFmtId="164" fontId="0" fillId="0" borderId="0" xfId="1" applyFont="1" applyFill="1"/>
    <xf numFmtId="164" fontId="0" fillId="0" borderId="2" xfId="1" applyFont="1" applyFill="1" applyBorder="1"/>
    <xf numFmtId="0" fontId="3" fillId="0" borderId="2" xfId="0" applyFont="1" applyBorder="1" applyAlignment="1">
      <alignment horizontal="center"/>
    </xf>
    <xf numFmtId="164" fontId="3" fillId="0" borderId="2" xfId="1" applyFont="1" applyFill="1" applyBorder="1"/>
    <xf numFmtId="0" fontId="2" fillId="0" borderId="27" xfId="0" applyFont="1" applyBorder="1" applyAlignment="1">
      <alignment horizontal="center"/>
    </xf>
    <xf numFmtId="164" fontId="2" fillId="0" borderId="28" xfId="0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29" xfId="0" applyBorder="1"/>
    <xf numFmtId="0" fontId="2" fillId="0" borderId="0" xfId="0" applyFont="1" applyAlignment="1">
      <alignment horizontal="center" wrapText="1"/>
    </xf>
    <xf numFmtId="0" fontId="2" fillId="0" borderId="29" xfId="0" applyFont="1" applyBorder="1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29" xfId="0" applyFont="1" applyFill="1" applyBorder="1"/>
    <xf numFmtId="0" fontId="2" fillId="0" borderId="2" xfId="1" applyNumberFormat="1" applyFont="1" applyFill="1" applyBorder="1"/>
    <xf numFmtId="164" fontId="2" fillId="0" borderId="29" xfId="1" applyFont="1" applyBorder="1"/>
    <xf numFmtId="171" fontId="2" fillId="0" borderId="2" xfId="0" applyNumberFormat="1" applyFont="1" applyBorder="1"/>
    <xf numFmtId="171" fontId="2" fillId="2" borderId="2" xfId="0" applyNumberFormat="1" applyFont="1" applyFill="1" applyBorder="1"/>
    <xf numFmtId="165" fontId="2" fillId="2" borderId="2" xfId="2" applyFont="1" applyFill="1" applyBorder="1"/>
    <xf numFmtId="168" fontId="2" fillId="2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6" borderId="2" xfId="0" applyNumberFormat="1" applyFont="1" applyFill="1" applyBorder="1"/>
    <xf numFmtId="0" fontId="5" fillId="6" borderId="2" xfId="0" applyFont="1" applyFill="1" applyBorder="1" applyAlignment="1">
      <alignment horizontal="center"/>
    </xf>
    <xf numFmtId="164" fontId="5" fillId="6" borderId="2" xfId="1" applyFont="1" applyFill="1" applyBorder="1"/>
    <xf numFmtId="164" fontId="5" fillId="6" borderId="2" xfId="0" applyNumberFormat="1" applyFont="1" applyFill="1" applyBorder="1"/>
    <xf numFmtId="172" fontId="0" fillId="0" borderId="2" xfId="0" applyNumberFormat="1" applyBorder="1"/>
    <xf numFmtId="10" fontId="9" fillId="0" borderId="2" xfId="0" applyNumberFormat="1" applyFont="1" applyBorder="1"/>
    <xf numFmtId="10" fontId="2" fillId="0" borderId="6" xfId="0" applyNumberFormat="1" applyFont="1" applyBorder="1" applyAlignment="1">
      <alignment horizontal="center"/>
    </xf>
    <xf numFmtId="9" fontId="0" fillId="0" borderId="0" xfId="3" applyFont="1"/>
    <xf numFmtId="0" fontId="0" fillId="3" borderId="4" xfId="0" applyFill="1" applyBorder="1" applyAlignment="1">
      <alignment horizontal="center"/>
    </xf>
    <xf numFmtId="173" fontId="0" fillId="0" borderId="2" xfId="1" applyNumberFormat="1" applyFont="1" applyBorder="1"/>
    <xf numFmtId="173" fontId="0" fillId="0" borderId="0" xfId="0" applyNumberFormat="1"/>
    <xf numFmtId="173" fontId="0" fillId="0" borderId="22" xfId="1" applyNumberFormat="1" applyFont="1" applyBorder="1"/>
    <xf numFmtId="173" fontId="0" fillId="0" borderId="23" xfId="1" applyNumberFormat="1" applyFont="1" applyBorder="1"/>
    <xf numFmtId="173" fontId="0" fillId="0" borderId="24" xfId="1" applyNumberFormat="1" applyFont="1" applyBorder="1"/>
    <xf numFmtId="173" fontId="0" fillId="0" borderId="25" xfId="1" applyNumberFormat="1" applyFont="1" applyBorder="1"/>
    <xf numFmtId="173" fontId="2" fillId="0" borderId="2" xfId="0" applyNumberFormat="1" applyFont="1" applyBorder="1"/>
    <xf numFmtId="173" fontId="2" fillId="2" borderId="2" xfId="0" applyNumberFormat="1" applyFont="1" applyFill="1" applyBorder="1"/>
    <xf numFmtId="173" fontId="0" fillId="0" borderId="0" xfId="1" applyNumberFormat="1" applyFont="1"/>
    <xf numFmtId="170" fontId="0" fillId="10" borderId="0" xfId="0" applyNumberFormat="1" applyFill="1"/>
    <xf numFmtId="10" fontId="0" fillId="10" borderId="2" xfId="3" applyNumberFormat="1" applyFont="1" applyFill="1" applyBorder="1"/>
    <xf numFmtId="164" fontId="2" fillId="10" borderId="2" xfId="0" applyNumberFormat="1" applyFont="1" applyFill="1" applyBorder="1"/>
    <xf numFmtId="164" fontId="2" fillId="10" borderId="29" xfId="0" applyNumberFormat="1" applyFont="1" applyFill="1" applyBorder="1"/>
    <xf numFmtId="164" fontId="2" fillId="10" borderId="6" xfId="0" applyNumberFormat="1" applyFont="1" applyFill="1" applyBorder="1"/>
    <xf numFmtId="170" fontId="0" fillId="10" borderId="0" xfId="2" applyNumberFormat="1" applyFont="1" applyFill="1"/>
    <xf numFmtId="10" fontId="2" fillId="10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3" borderId="16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439613</xdr:colOff>
      <xdr:row>1</xdr:row>
      <xdr:rowOff>148004</xdr:rowOff>
    </xdr:from>
    <xdr:to>
      <xdr:col>5</xdr:col>
      <xdr:colOff>238706</xdr:colOff>
      <xdr:row>8</xdr:row>
      <xdr:rowOff>146537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13" y="329712"/>
          <a:ext cx="3755631" cy="127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zoomScale="150" zoomScaleNormal="150" workbookViewId="0"/>
  </sheetViews>
  <sheetFormatPr defaultColWidth="11.42578125" defaultRowHeight="15" x14ac:dyDescent="0.25"/>
  <cols>
    <col min="2" max="2" width="6.42578125" bestFit="1" customWidth="1"/>
    <col min="3" max="3" width="14.140625" bestFit="1" customWidth="1"/>
    <col min="4" max="7" width="12.42578125" bestFit="1" customWidth="1"/>
    <col min="8" max="8" width="14.140625" bestFit="1" customWidth="1"/>
    <col min="9" max="9" width="12.42578125" bestFit="1" customWidth="1"/>
    <col min="11" max="11" width="11.85546875" bestFit="1" customWidth="1"/>
  </cols>
  <sheetData>
    <row r="1" spans="2:11" ht="18.600000000000001" customHeight="1" x14ac:dyDescent="0.25">
      <c r="B1" s="18"/>
    </row>
    <row r="3" spans="2:11" x14ac:dyDescent="0.25">
      <c r="B3" s="10" t="s">
        <v>8</v>
      </c>
      <c r="C3" s="9">
        <v>0.1</v>
      </c>
    </row>
    <row r="4" spans="2:11" x14ac:dyDescent="0.25">
      <c r="B4" s="146" t="s">
        <v>0</v>
      </c>
      <c r="C4" s="145" t="s">
        <v>4</v>
      </c>
      <c r="D4" s="145"/>
      <c r="E4" s="145"/>
      <c r="F4" s="145"/>
      <c r="G4" s="145"/>
      <c r="H4" s="145"/>
    </row>
    <row r="5" spans="2:11" x14ac:dyDescent="0.25">
      <c r="B5" s="146"/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K5" s="11" t="s">
        <v>10</v>
      </c>
    </row>
    <row r="6" spans="2:11" x14ac:dyDescent="0.25">
      <c r="B6" s="6" t="s">
        <v>1</v>
      </c>
      <c r="C6" s="4">
        <v>-1000000</v>
      </c>
      <c r="D6" s="4">
        <v>100000</v>
      </c>
      <c r="E6" s="4">
        <v>100000</v>
      </c>
      <c r="F6" s="4">
        <v>100000</v>
      </c>
      <c r="G6" s="4">
        <v>100000</v>
      </c>
      <c r="H6" s="4">
        <v>1100000</v>
      </c>
      <c r="K6" s="124">
        <f>IRR(C6:H6)</f>
        <v>0.10000000000000009</v>
      </c>
    </row>
    <row r="7" spans="2:11" x14ac:dyDescent="0.25">
      <c r="B7" s="6" t="s">
        <v>2</v>
      </c>
      <c r="C7" s="4">
        <v>-1000000</v>
      </c>
      <c r="D7" s="4">
        <v>263797</v>
      </c>
      <c r="E7" s="4">
        <v>263797</v>
      </c>
      <c r="F7" s="4">
        <v>263797</v>
      </c>
      <c r="G7" s="4">
        <v>263797</v>
      </c>
      <c r="H7" s="4">
        <v>263797</v>
      </c>
      <c r="K7" s="124">
        <f t="shared" ref="K7:K8" si="0">IRR(C7:H7)</f>
        <v>9.9999286562188372E-2</v>
      </c>
    </row>
    <row r="8" spans="2:11" x14ac:dyDescent="0.25">
      <c r="B8" s="6" t="s">
        <v>3</v>
      </c>
      <c r="C8" s="4">
        <v>-1000000</v>
      </c>
      <c r="D8" s="1">
        <v>0</v>
      </c>
      <c r="E8" s="1">
        <v>0</v>
      </c>
      <c r="F8" s="1">
        <v>0</v>
      </c>
      <c r="G8" s="1">
        <v>0</v>
      </c>
      <c r="H8" s="5">
        <v>1610510</v>
      </c>
      <c r="K8" s="124">
        <f t="shared" si="0"/>
        <v>0.10000000000000009</v>
      </c>
    </row>
    <row r="9" spans="2:11" x14ac:dyDescent="0.25">
      <c r="I9" s="11" t="s">
        <v>9</v>
      </c>
    </row>
    <row r="10" spans="2:11" x14ac:dyDescent="0.25">
      <c r="B10" s="6" t="s">
        <v>5</v>
      </c>
      <c r="C10" s="4">
        <f>C6*(1+$C$3)^(-C5)</f>
        <v>-1000000</v>
      </c>
      <c r="D10" s="4">
        <f t="shared" ref="D10:H10" si="1">D6*(1+$C$3)^(-D5)</f>
        <v>90909.090909090912</v>
      </c>
      <c r="E10" s="4">
        <f t="shared" si="1"/>
        <v>82644.62809917354</v>
      </c>
      <c r="F10" s="4">
        <f t="shared" si="1"/>
        <v>75131.480090157755</v>
      </c>
      <c r="G10" s="4">
        <f t="shared" si="1"/>
        <v>68301.345536507055</v>
      </c>
      <c r="H10" s="4">
        <f t="shared" si="1"/>
        <v>683013.45536507037</v>
      </c>
      <c r="I10" s="25">
        <f>SUM(C10:H10)</f>
        <v>0</v>
      </c>
      <c r="K10" s="8">
        <f>IRR(C10:H10)</f>
        <v>0</v>
      </c>
    </row>
    <row r="11" spans="2:11" x14ac:dyDescent="0.25">
      <c r="B11" s="6" t="s">
        <v>6</v>
      </c>
      <c r="C11" s="4">
        <f>C7*(1+$C$3)^(-C5)</f>
        <v>-1000000</v>
      </c>
      <c r="D11" s="4">
        <f t="shared" ref="D11:H11" si="2">D7*(1+$C$3)^(-D5)</f>
        <v>239815.45454545453</v>
      </c>
      <c r="E11" s="4">
        <f t="shared" si="2"/>
        <v>218014.04958677685</v>
      </c>
      <c r="F11" s="4">
        <f t="shared" si="2"/>
        <v>198194.59053343345</v>
      </c>
      <c r="G11" s="4">
        <f t="shared" si="2"/>
        <v>180176.90048493951</v>
      </c>
      <c r="H11" s="4">
        <f t="shared" si="2"/>
        <v>163797.18225903588</v>
      </c>
      <c r="I11" s="25">
        <f t="shared" ref="I11:I12" si="3">SUM(C11:H11)</f>
        <v>-1.8225903596612625</v>
      </c>
      <c r="K11" s="8">
        <f t="shared" ref="K11:K12" si="4">IRR(C11:H11)</f>
        <v>-6.4857982862154273E-7</v>
      </c>
    </row>
    <row r="12" spans="2:11" x14ac:dyDescent="0.25">
      <c r="B12" s="6" t="s">
        <v>7</v>
      </c>
      <c r="C12" s="4">
        <f>C8*(1+$C$3)^(-C5)</f>
        <v>-1000000</v>
      </c>
      <c r="D12" s="4">
        <f t="shared" ref="D12:G12" si="5">D8*(1+$C$3)^(-D5)</f>
        <v>0</v>
      </c>
      <c r="E12" s="4">
        <f t="shared" si="5"/>
        <v>0</v>
      </c>
      <c r="F12" s="4">
        <f t="shared" si="5"/>
        <v>0</v>
      </c>
      <c r="G12" s="4">
        <f t="shared" si="5"/>
        <v>0</v>
      </c>
      <c r="H12" s="4">
        <f>H8*(1+$C$3)^(-H5)</f>
        <v>999999.99999999965</v>
      </c>
      <c r="I12" s="25">
        <f t="shared" si="3"/>
        <v>0</v>
      </c>
      <c r="K12" s="8">
        <f t="shared" si="4"/>
        <v>8.8817841970012523E-16</v>
      </c>
    </row>
  </sheetData>
  <mergeCells count="2">
    <mergeCell ref="C4:H4"/>
    <mergeCell ref="B4:B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7"/>
  <sheetViews>
    <sheetView zoomScale="170" zoomScaleNormal="170" workbookViewId="0"/>
  </sheetViews>
  <sheetFormatPr defaultColWidth="11.42578125" defaultRowHeight="15" x14ac:dyDescent="0.25"/>
  <cols>
    <col min="2" max="2" width="7.42578125" bestFit="1" customWidth="1"/>
    <col min="3" max="5" width="10.42578125" bestFit="1" customWidth="1"/>
    <col min="6" max="6" width="9" bestFit="1" customWidth="1"/>
  </cols>
  <sheetData>
    <row r="2" spans="2:6" x14ac:dyDescent="0.25">
      <c r="B2" s="10" t="s">
        <v>8</v>
      </c>
      <c r="C2" s="9">
        <v>0.15</v>
      </c>
    </row>
    <row r="3" spans="2:6" x14ac:dyDescent="0.25">
      <c r="B3" s="146" t="s">
        <v>0</v>
      </c>
      <c r="C3" s="151" t="s">
        <v>4</v>
      </c>
      <c r="D3" s="152"/>
      <c r="E3" s="152"/>
      <c r="F3" s="22"/>
    </row>
    <row r="4" spans="2:6" x14ac:dyDescent="0.25">
      <c r="B4" s="146"/>
      <c r="C4" s="6">
        <v>0</v>
      </c>
      <c r="D4" s="6">
        <v>1</v>
      </c>
      <c r="E4" s="21">
        <v>2</v>
      </c>
      <c r="F4" s="44" t="s">
        <v>10</v>
      </c>
    </row>
    <row r="5" spans="2:6" x14ac:dyDescent="0.25">
      <c r="B5" s="6" t="s">
        <v>1</v>
      </c>
      <c r="C5" s="4">
        <v>-1000</v>
      </c>
      <c r="D5" s="4">
        <v>310</v>
      </c>
      <c r="E5" s="14">
        <v>1232</v>
      </c>
      <c r="F5" s="48">
        <f>IRR(C5:E5)</f>
        <v>0.27572521163753483</v>
      </c>
    </row>
    <row r="6" spans="2:6" x14ac:dyDescent="0.25">
      <c r="B6" s="6" t="s">
        <v>2</v>
      </c>
      <c r="C6" s="4">
        <v>-1000</v>
      </c>
      <c r="D6" s="4">
        <v>615</v>
      </c>
      <c r="E6" s="14">
        <v>1323</v>
      </c>
      <c r="F6" s="48">
        <f t="shared" ref="F6:F7" si="0">IRR(C6:E6)</f>
        <v>0.49811171252056785</v>
      </c>
    </row>
    <row r="7" spans="2:6" x14ac:dyDescent="0.25">
      <c r="B7" s="6" t="s">
        <v>3</v>
      </c>
      <c r="C7" s="4">
        <v>-1000</v>
      </c>
      <c r="D7" s="4">
        <v>1150</v>
      </c>
      <c r="E7" s="14">
        <v>615</v>
      </c>
      <c r="F7" s="48">
        <f t="shared" si="0"/>
        <v>0.54743251693881079</v>
      </c>
    </row>
    <row r="9" spans="2:6" x14ac:dyDescent="0.25">
      <c r="F9" s="44" t="s">
        <v>9</v>
      </c>
    </row>
    <row r="10" spans="2:6" x14ac:dyDescent="0.25">
      <c r="B10" s="6" t="s">
        <v>5</v>
      </c>
      <c r="C10" s="4">
        <f>C5*((1+$C$2)^(-C4))</f>
        <v>-1000</v>
      </c>
      <c r="D10" s="4">
        <f>D5*((1+$C$2)^(-D4))</f>
        <v>269.56521739130437</v>
      </c>
      <c r="E10" s="4">
        <f>E5*((1+$C$2)^(-E4))</f>
        <v>931.56899810964092</v>
      </c>
      <c r="F10" s="25">
        <f>SUM(C10:E10)</f>
        <v>201.13421550094529</v>
      </c>
    </row>
    <row r="11" spans="2:6" x14ac:dyDescent="0.25">
      <c r="B11" s="6" t="s">
        <v>18</v>
      </c>
      <c r="C11" s="4">
        <f>C6*((1+$C$2)^(-C4))</f>
        <v>-1000</v>
      </c>
      <c r="D11" s="4">
        <f>D6*((1+$C$2)^(-D4))</f>
        <v>534.78260869565224</v>
      </c>
      <c r="E11" s="4">
        <f>E6*((1+$C$2)^(-E4))</f>
        <v>1000.3780718336485</v>
      </c>
      <c r="F11" s="25">
        <f>SUM(C11:E11)</f>
        <v>535.16068052930075</v>
      </c>
    </row>
    <row r="12" spans="2:6" x14ac:dyDescent="0.25">
      <c r="B12" s="6" t="s">
        <v>7</v>
      </c>
      <c r="C12" s="4">
        <f>C7*((1+$C$2)^(-C4))</f>
        <v>-1000</v>
      </c>
      <c r="D12" s="4">
        <f>D7*((1+$C$2)^(-D4))</f>
        <v>1000.0000000000001</v>
      </c>
      <c r="E12" s="4">
        <f>E7*((1+$C$2)^(-E4))</f>
        <v>465.02835538752367</v>
      </c>
      <c r="F12" s="25">
        <f t="shared" ref="F12" si="1">SUM(C12:E12)</f>
        <v>465.02835538752379</v>
      </c>
    </row>
    <row r="15" spans="2:6" hidden="1" x14ac:dyDescent="0.25">
      <c r="B15" s="6" t="s">
        <v>72</v>
      </c>
      <c r="C15" s="95">
        <f>F10/-C10</f>
        <v>0.20113421550094529</v>
      </c>
    </row>
    <row r="16" spans="2:6" hidden="1" x14ac:dyDescent="0.25">
      <c r="B16" s="6" t="s">
        <v>73</v>
      </c>
      <c r="C16" s="95">
        <f t="shared" ref="C16:C17" si="2">F11/-C11</f>
        <v>0.53516068052930077</v>
      </c>
    </row>
    <row r="17" spans="2:3" hidden="1" x14ac:dyDescent="0.25">
      <c r="B17" s="6" t="s">
        <v>49</v>
      </c>
      <c r="C17" s="95">
        <f t="shared" si="2"/>
        <v>0.4650283553875238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13"/>
  <sheetViews>
    <sheetView zoomScale="160" zoomScaleNormal="160" workbookViewId="0"/>
  </sheetViews>
  <sheetFormatPr defaultColWidth="11.42578125" defaultRowHeight="15" x14ac:dyDescent="0.25"/>
  <cols>
    <col min="1" max="1" width="5.85546875" customWidth="1"/>
    <col min="2" max="2" width="6.42578125" bestFit="1" customWidth="1"/>
    <col min="3" max="5" width="10.28515625" bestFit="1" customWidth="1"/>
    <col min="6" max="6" width="8.85546875" bestFit="1" customWidth="1"/>
    <col min="7" max="7" width="5.85546875" customWidth="1"/>
    <col min="8" max="8" width="6.42578125" bestFit="1" customWidth="1"/>
    <col min="9" max="11" width="10.28515625" bestFit="1" customWidth="1"/>
    <col min="12" max="12" width="8.85546875" bestFit="1" customWidth="1"/>
  </cols>
  <sheetData>
    <row r="2" spans="2:12" x14ac:dyDescent="0.25">
      <c r="B2" s="18" t="s">
        <v>19</v>
      </c>
      <c r="H2" s="23" t="s">
        <v>20</v>
      </c>
    </row>
    <row r="3" spans="2:12" x14ac:dyDescent="0.25">
      <c r="B3" s="10" t="s">
        <v>8</v>
      </c>
      <c r="C3" s="9">
        <v>0.2</v>
      </c>
      <c r="H3" s="10" t="s">
        <v>8</v>
      </c>
      <c r="I3" s="9">
        <v>0.05</v>
      </c>
    </row>
    <row r="4" spans="2:12" x14ac:dyDescent="0.25">
      <c r="B4" s="146" t="s">
        <v>0</v>
      </c>
      <c r="C4" s="151" t="s">
        <v>4</v>
      </c>
      <c r="D4" s="152"/>
      <c r="E4" s="152"/>
      <c r="F4" s="22"/>
      <c r="H4" s="146" t="s">
        <v>0</v>
      </c>
      <c r="I4" s="151" t="s">
        <v>4</v>
      </c>
      <c r="J4" s="152"/>
      <c r="K4" s="152"/>
      <c r="L4" s="22"/>
    </row>
    <row r="5" spans="2:12" x14ac:dyDescent="0.25">
      <c r="B5" s="146"/>
      <c r="C5" s="6">
        <v>0</v>
      </c>
      <c r="D5" s="6">
        <v>1</v>
      </c>
      <c r="E5" s="21">
        <v>2</v>
      </c>
      <c r="F5" s="44" t="s">
        <v>10</v>
      </c>
      <c r="H5" s="146"/>
      <c r="I5" s="6">
        <v>0</v>
      </c>
      <c r="J5" s="6">
        <v>1</v>
      </c>
      <c r="K5" s="21">
        <v>2</v>
      </c>
      <c r="L5" s="44" t="s">
        <v>10</v>
      </c>
    </row>
    <row r="6" spans="2:12" x14ac:dyDescent="0.25">
      <c r="B6" s="6" t="s">
        <v>1</v>
      </c>
      <c r="C6" s="4">
        <v>-1000</v>
      </c>
      <c r="D6" s="4">
        <v>310</v>
      </c>
      <c r="E6" s="14">
        <v>1232</v>
      </c>
      <c r="F6" s="48">
        <f>IRR(C6:E6)</f>
        <v>0.27572521163753483</v>
      </c>
      <c r="H6" s="6" t="s">
        <v>1</v>
      </c>
      <c r="I6" s="4">
        <v>-1000</v>
      </c>
      <c r="J6" s="4">
        <v>310</v>
      </c>
      <c r="K6" s="14">
        <v>1232</v>
      </c>
      <c r="L6" s="48">
        <f>IRR(I6:K6)</f>
        <v>0.27572521163753483</v>
      </c>
    </row>
    <row r="7" spans="2:12" x14ac:dyDescent="0.25">
      <c r="B7" s="6" t="s">
        <v>2</v>
      </c>
      <c r="C7" s="4">
        <v>-1000</v>
      </c>
      <c r="D7" s="4">
        <v>615</v>
      </c>
      <c r="E7" s="14">
        <v>1323</v>
      </c>
      <c r="F7" s="48">
        <f t="shared" ref="F7:F8" si="0">IRR(C7:E7)</f>
        <v>0.49811171252056785</v>
      </c>
      <c r="H7" s="6" t="s">
        <v>2</v>
      </c>
      <c r="I7" s="4">
        <v>-1000</v>
      </c>
      <c r="J7" s="4">
        <v>615</v>
      </c>
      <c r="K7" s="14">
        <v>1323</v>
      </c>
      <c r="L7" s="48">
        <f t="shared" ref="L7:L8" si="1">IRR(I7:K7)</f>
        <v>0.49811171252056785</v>
      </c>
    </row>
    <row r="8" spans="2:12" x14ac:dyDescent="0.25">
      <c r="B8" s="6" t="s">
        <v>3</v>
      </c>
      <c r="C8" s="4">
        <v>-1000</v>
      </c>
      <c r="D8" s="4">
        <v>1150</v>
      </c>
      <c r="E8" s="14">
        <v>615</v>
      </c>
      <c r="F8" s="48">
        <f t="shared" si="0"/>
        <v>0.54743251693881079</v>
      </c>
      <c r="H8" s="6" t="s">
        <v>3</v>
      </c>
      <c r="I8" s="4">
        <v>-1000</v>
      </c>
      <c r="J8" s="4">
        <v>1150</v>
      </c>
      <c r="K8" s="14">
        <v>615</v>
      </c>
      <c r="L8" s="48">
        <f t="shared" si="1"/>
        <v>0.54743251693881079</v>
      </c>
    </row>
    <row r="10" spans="2:12" x14ac:dyDescent="0.25">
      <c r="F10" s="44" t="s">
        <v>9</v>
      </c>
      <c r="L10" s="44" t="s">
        <v>9</v>
      </c>
    </row>
    <row r="11" spans="2:12" x14ac:dyDescent="0.25">
      <c r="B11" s="6" t="s">
        <v>5</v>
      </c>
      <c r="C11" s="4">
        <f>C6*((1+$C$3)^(-C5))</f>
        <v>-1000</v>
      </c>
      <c r="D11" s="4">
        <f>D6*((1+$C$3)^(-D5))</f>
        <v>258.33333333333337</v>
      </c>
      <c r="E11" s="4">
        <f>E6*((1+$C$3)^(-E5))</f>
        <v>855.55555555555554</v>
      </c>
      <c r="F11" s="25">
        <f>SUM(C11:E11)</f>
        <v>113.88888888888891</v>
      </c>
      <c r="H11" s="6" t="s">
        <v>5</v>
      </c>
      <c r="I11" s="4">
        <f>I6*((1+$I$3)^(-I5))</f>
        <v>-1000</v>
      </c>
      <c r="J11" s="4">
        <f>J6*((1+$I$3)^(-J5))</f>
        <v>295.23809523809524</v>
      </c>
      <c r="K11" s="4">
        <f>K6*((1+$I$3)^(-K5))</f>
        <v>1117.4603174603174</v>
      </c>
      <c r="L11" s="25">
        <f>SUM(I11:K11)</f>
        <v>412.69841269841254</v>
      </c>
    </row>
    <row r="12" spans="2:12" x14ac:dyDescent="0.25">
      <c r="B12" s="6" t="s">
        <v>18</v>
      </c>
      <c r="C12" s="4">
        <f>C7*((1+$C$3)^(-C5))</f>
        <v>-1000</v>
      </c>
      <c r="D12" s="4">
        <f>D7*((1+$C$3)^(-D5))</f>
        <v>512.5</v>
      </c>
      <c r="E12" s="4">
        <f>E7*((1+$C$3)^(-E5))</f>
        <v>918.75</v>
      </c>
      <c r="F12" s="25">
        <f t="shared" ref="F12:F13" si="2">SUM(C12:E12)</f>
        <v>431.25</v>
      </c>
      <c r="H12" s="6" t="s">
        <v>18</v>
      </c>
      <c r="I12" s="4">
        <f>I7*((1+$I$3)^(-I5))</f>
        <v>-1000</v>
      </c>
      <c r="J12" s="4">
        <f>J7*((1+$I$3)^(-J5))</f>
        <v>585.71428571428567</v>
      </c>
      <c r="K12" s="4">
        <f>K7*((1+$I$3)^(-K5))</f>
        <v>1200</v>
      </c>
      <c r="L12" s="25">
        <f t="shared" ref="L12:L13" si="3">SUM(I12:K12)</f>
        <v>785.71428571428567</v>
      </c>
    </row>
    <row r="13" spans="2:12" x14ac:dyDescent="0.25">
      <c r="B13" s="6" t="s">
        <v>7</v>
      </c>
      <c r="C13" s="4">
        <f>C8*((1+$C$3)^(-C5))</f>
        <v>-1000</v>
      </c>
      <c r="D13" s="4">
        <f>D8*((1+$C$3)^(-D5))</f>
        <v>958.33333333333337</v>
      </c>
      <c r="E13" s="4">
        <f>E8*((1+$C$3)^(-E5))</f>
        <v>427.08333333333331</v>
      </c>
      <c r="F13" s="25">
        <f t="shared" si="2"/>
        <v>385.41666666666669</v>
      </c>
      <c r="H13" s="6" t="s">
        <v>7</v>
      </c>
      <c r="I13" s="4">
        <f>I8*((1+$I$3)^(-I5))</f>
        <v>-1000</v>
      </c>
      <c r="J13" s="4">
        <f>J8*((1+$I$3)^(-J5))</f>
        <v>1095.2380952380952</v>
      </c>
      <c r="K13" s="4">
        <f>K8*((1+$I$3)^(-K5))</f>
        <v>557.82312925170061</v>
      </c>
      <c r="L13" s="25">
        <f t="shared" si="3"/>
        <v>653.06122448979579</v>
      </c>
    </row>
  </sheetData>
  <mergeCells count="4">
    <mergeCell ref="B4:B5"/>
    <mergeCell ref="C4:E4"/>
    <mergeCell ref="H4:H5"/>
    <mergeCell ref="I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16"/>
  <sheetViews>
    <sheetView zoomScale="140" zoomScaleNormal="140" workbookViewId="0">
      <selection activeCell="C15" sqref="C15"/>
    </sheetView>
  </sheetViews>
  <sheetFormatPr defaultColWidth="11.42578125" defaultRowHeight="15" x14ac:dyDescent="0.25"/>
  <sheetData>
    <row r="2" spans="2:6" x14ac:dyDescent="0.25">
      <c r="B2" s="10" t="s">
        <v>8</v>
      </c>
      <c r="C2" s="9">
        <v>0.05</v>
      </c>
    </row>
    <row r="3" spans="2:6" x14ac:dyDescent="0.25">
      <c r="B3" s="146" t="s">
        <v>0</v>
      </c>
      <c r="C3" s="151" t="s">
        <v>4</v>
      </c>
      <c r="D3" s="152"/>
      <c r="E3" s="152"/>
      <c r="F3" s="22"/>
    </row>
    <row r="4" spans="2:6" x14ac:dyDescent="0.25">
      <c r="B4" s="146"/>
      <c r="C4" s="6">
        <v>0</v>
      </c>
      <c r="D4" s="6">
        <v>1</v>
      </c>
      <c r="E4" s="21">
        <v>2</v>
      </c>
      <c r="F4" s="44" t="s">
        <v>10</v>
      </c>
    </row>
    <row r="5" spans="2:6" x14ac:dyDescent="0.25">
      <c r="B5" s="6" t="s">
        <v>1</v>
      </c>
      <c r="C5" s="4">
        <v>-1000</v>
      </c>
      <c r="D5" s="4">
        <v>310</v>
      </c>
      <c r="E5" s="14">
        <v>1232</v>
      </c>
      <c r="F5" s="48">
        <f>IRR(C5:E5)</f>
        <v>0.27572521163753483</v>
      </c>
    </row>
    <row r="6" spans="2:6" x14ac:dyDescent="0.25">
      <c r="B6" s="6" t="s">
        <v>2</v>
      </c>
      <c r="C6" s="4">
        <v>-1000</v>
      </c>
      <c r="D6" s="4">
        <v>615</v>
      </c>
      <c r="E6" s="14">
        <v>1323</v>
      </c>
      <c r="F6" s="48">
        <f t="shared" ref="F6:F7" si="0">IRR(C6:E6)</f>
        <v>0.49811171252056785</v>
      </c>
    </row>
    <row r="7" spans="2:6" x14ac:dyDescent="0.25">
      <c r="B7" s="6" t="s">
        <v>3</v>
      </c>
      <c r="C7" s="4">
        <v>-1000</v>
      </c>
      <c r="D7" s="4">
        <v>1150</v>
      </c>
      <c r="E7" s="14">
        <v>615</v>
      </c>
      <c r="F7" s="48">
        <f t="shared" si="0"/>
        <v>0.54743251693881079</v>
      </c>
    </row>
    <row r="9" spans="2:6" x14ac:dyDescent="0.25">
      <c r="F9" s="44" t="s">
        <v>9</v>
      </c>
    </row>
    <row r="10" spans="2:6" x14ac:dyDescent="0.25">
      <c r="B10" s="6" t="s">
        <v>5</v>
      </c>
      <c r="C10" s="4">
        <f>C5*((1+$C$2)^(-C4))</f>
        <v>-1000</v>
      </c>
      <c r="D10" s="4">
        <f t="shared" ref="D10:E10" si="1">D5*((1+$C$2)^(-D4))</f>
        <v>295.23809523809524</v>
      </c>
      <c r="E10" s="4">
        <f t="shared" si="1"/>
        <v>1117.4603174603174</v>
      </c>
      <c r="F10" s="25">
        <f>SUM(C10:E10)</f>
        <v>412.69841269841254</v>
      </c>
    </row>
    <row r="11" spans="2:6" x14ac:dyDescent="0.25">
      <c r="B11" s="6" t="s">
        <v>18</v>
      </c>
      <c r="C11" s="4">
        <f>C6*((1+$C$2)^(-C4))</f>
        <v>-1000</v>
      </c>
      <c r="D11" s="4">
        <f t="shared" ref="D11" si="2">D6*((1+$C$2)^(-D4))</f>
        <v>585.71428571428567</v>
      </c>
      <c r="E11" s="4">
        <f>E6*((1+$C$2)^(-E4))</f>
        <v>1200</v>
      </c>
      <c r="F11" s="25">
        <f t="shared" ref="F11:F12" si="3">SUM(C11:E11)</f>
        <v>785.71428571428567</v>
      </c>
    </row>
    <row r="12" spans="2:6" x14ac:dyDescent="0.25">
      <c r="B12" s="6" t="s">
        <v>7</v>
      </c>
      <c r="C12" s="4">
        <f>C7*((1+$C$2)^(-C4))</f>
        <v>-1000</v>
      </c>
      <c r="D12" s="4">
        <f t="shared" ref="D12:E12" si="4">D7*((1+$C$2)^(-D4))</f>
        <v>1095.2380952380952</v>
      </c>
      <c r="E12" s="4">
        <f t="shared" si="4"/>
        <v>557.82312925170061</v>
      </c>
      <c r="F12" s="25">
        <f t="shared" si="3"/>
        <v>653.06122448979579</v>
      </c>
    </row>
    <row r="14" spans="2:6" x14ac:dyDescent="0.25">
      <c r="B14" s="6" t="s">
        <v>15</v>
      </c>
      <c r="C14" s="28">
        <f>F10/-C5</f>
        <v>0.41269841269841256</v>
      </c>
    </row>
    <row r="15" spans="2:6" x14ac:dyDescent="0.25">
      <c r="B15" s="6" t="s">
        <v>16</v>
      </c>
      <c r="C15" s="25">
        <f>F11/-C6</f>
        <v>0.7857142857142857</v>
      </c>
    </row>
    <row r="16" spans="2:6" x14ac:dyDescent="0.25">
      <c r="B16" s="6" t="s">
        <v>17</v>
      </c>
      <c r="C16" s="28">
        <f t="shared" ref="C16" si="5">F12/-C7</f>
        <v>0.65306122448979576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16"/>
  <sheetViews>
    <sheetView zoomScale="130" zoomScaleNormal="130" workbookViewId="0"/>
  </sheetViews>
  <sheetFormatPr defaultColWidth="11.42578125" defaultRowHeight="15" x14ac:dyDescent="0.25"/>
  <cols>
    <col min="1" max="1" width="5.85546875" customWidth="1"/>
    <col min="2" max="2" width="6.42578125" bestFit="1" customWidth="1"/>
    <col min="3" max="5" width="11.42578125" bestFit="1" customWidth="1"/>
    <col min="6" max="6" width="8.85546875" bestFit="1" customWidth="1"/>
    <col min="7" max="7" width="5.85546875" customWidth="1"/>
    <col min="8" max="8" width="6.42578125" bestFit="1" customWidth="1"/>
    <col min="9" max="11" width="11.42578125" bestFit="1" customWidth="1"/>
    <col min="12" max="12" width="8.85546875" bestFit="1" customWidth="1"/>
    <col min="13" max="13" width="5.85546875" customWidth="1"/>
    <col min="14" max="14" width="6.42578125" bestFit="1" customWidth="1"/>
    <col min="15" max="17" width="11.42578125" bestFit="1" customWidth="1"/>
    <col min="18" max="18" width="8.85546875" bestFit="1" customWidth="1"/>
  </cols>
  <sheetData>
    <row r="2" spans="2:18" x14ac:dyDescent="0.25">
      <c r="H2" s="23" t="s">
        <v>19</v>
      </c>
      <c r="N2" s="23" t="s">
        <v>20</v>
      </c>
    </row>
    <row r="3" spans="2:18" x14ac:dyDescent="0.25">
      <c r="B3" s="10" t="s">
        <v>8</v>
      </c>
      <c r="C3" s="9">
        <v>0.05</v>
      </c>
      <c r="H3" s="10" t="s">
        <v>8</v>
      </c>
      <c r="I3" s="9"/>
      <c r="J3" s="9">
        <v>0.05</v>
      </c>
      <c r="K3" s="9">
        <v>0.1</v>
      </c>
      <c r="N3" s="10" t="s">
        <v>8</v>
      </c>
      <c r="O3" s="9"/>
      <c r="P3" s="9">
        <v>0.05</v>
      </c>
      <c r="Q3" s="9">
        <v>0.02</v>
      </c>
    </row>
    <row r="4" spans="2:18" x14ac:dyDescent="0.25">
      <c r="B4" s="146" t="s">
        <v>0</v>
      </c>
      <c r="C4" s="151" t="s">
        <v>4</v>
      </c>
      <c r="D4" s="152"/>
      <c r="E4" s="152"/>
      <c r="F4" s="22"/>
      <c r="H4" s="155" t="s">
        <v>0</v>
      </c>
      <c r="I4" s="151" t="s">
        <v>4</v>
      </c>
      <c r="J4" s="152"/>
      <c r="K4" s="153"/>
      <c r="N4" s="146" t="s">
        <v>0</v>
      </c>
      <c r="O4" s="151" t="s">
        <v>4</v>
      </c>
      <c r="P4" s="152"/>
      <c r="Q4" s="153"/>
    </row>
    <row r="5" spans="2:18" x14ac:dyDescent="0.25">
      <c r="B5" s="146"/>
      <c r="C5" s="6">
        <v>0</v>
      </c>
      <c r="D5" s="6">
        <v>1</v>
      </c>
      <c r="E5" s="21">
        <v>2</v>
      </c>
      <c r="F5" s="44" t="s">
        <v>10</v>
      </c>
      <c r="H5" s="156"/>
      <c r="I5" s="6">
        <v>0</v>
      </c>
      <c r="J5" s="6">
        <v>1</v>
      </c>
      <c r="K5" s="6">
        <v>2</v>
      </c>
      <c r="N5" s="146"/>
      <c r="O5" s="6">
        <v>0</v>
      </c>
      <c r="P5" s="6">
        <v>1</v>
      </c>
      <c r="Q5" s="6">
        <v>2</v>
      </c>
    </row>
    <row r="6" spans="2:18" x14ac:dyDescent="0.25">
      <c r="B6" s="6" t="s">
        <v>1</v>
      </c>
      <c r="C6" s="4">
        <v>-18954</v>
      </c>
      <c r="D6" s="4">
        <v>10000</v>
      </c>
      <c r="E6" s="14">
        <v>10000</v>
      </c>
      <c r="F6" s="48">
        <f>IRR(C6:E6)</f>
        <v>3.6571912509347326E-2</v>
      </c>
      <c r="H6" s="6" t="s">
        <v>1</v>
      </c>
      <c r="I6" s="4">
        <v>-18954</v>
      </c>
      <c r="J6" s="4">
        <v>10000</v>
      </c>
      <c r="K6" s="4">
        <v>10000</v>
      </c>
      <c r="N6" s="6" t="s">
        <v>1</v>
      </c>
      <c r="O6" s="4">
        <v>-18954</v>
      </c>
      <c r="P6" s="4">
        <v>10000</v>
      </c>
      <c r="Q6" s="4">
        <v>10000</v>
      </c>
    </row>
    <row r="7" spans="2:18" x14ac:dyDescent="0.25">
      <c r="B7" s="6" t="s">
        <v>2</v>
      </c>
      <c r="C7" s="4">
        <v>-18140</v>
      </c>
      <c r="D7" s="4">
        <v>0</v>
      </c>
      <c r="E7" s="14">
        <v>20000</v>
      </c>
      <c r="F7" s="48">
        <f t="shared" ref="F7:F8" si="0">IRR(C7:E7)</f>
        <v>5.0017062915708399E-2</v>
      </c>
      <c r="H7" s="6" t="s">
        <v>2</v>
      </c>
      <c r="I7" s="4">
        <v>-18140</v>
      </c>
      <c r="J7" s="4">
        <v>0</v>
      </c>
      <c r="K7" s="4">
        <v>20000</v>
      </c>
      <c r="N7" s="6" t="s">
        <v>2</v>
      </c>
      <c r="O7" s="4">
        <v>-18140</v>
      </c>
      <c r="P7" s="4">
        <v>0</v>
      </c>
      <c r="Q7" s="4">
        <v>20000</v>
      </c>
    </row>
    <row r="8" spans="2:18" x14ac:dyDescent="0.25">
      <c r="B8" s="6" t="s">
        <v>3</v>
      </c>
      <c r="C8" s="4">
        <v>-19080</v>
      </c>
      <c r="D8" s="4">
        <v>20000</v>
      </c>
      <c r="E8" s="14">
        <v>0</v>
      </c>
      <c r="F8" s="48">
        <f t="shared" si="0"/>
        <v>4.8218029350104663E-2</v>
      </c>
      <c r="H8" s="6" t="s">
        <v>3</v>
      </c>
      <c r="I8" s="4">
        <v>-19080</v>
      </c>
      <c r="J8" s="4">
        <v>20000</v>
      </c>
      <c r="K8" s="4">
        <v>0</v>
      </c>
      <c r="N8" s="6" t="s">
        <v>3</v>
      </c>
      <c r="O8" s="4">
        <v>-19080</v>
      </c>
      <c r="P8" s="4">
        <v>20000</v>
      </c>
      <c r="Q8" s="4">
        <v>0</v>
      </c>
    </row>
    <row r="10" spans="2:18" x14ac:dyDescent="0.25">
      <c r="F10" s="44" t="s">
        <v>9</v>
      </c>
      <c r="L10" s="44" t="s">
        <v>9</v>
      </c>
      <c r="R10" s="44" t="s">
        <v>9</v>
      </c>
    </row>
    <row r="11" spans="2:18" x14ac:dyDescent="0.25">
      <c r="B11" s="6" t="s">
        <v>5</v>
      </c>
      <c r="C11" s="4">
        <f>C6*((1+$C$3)^(-C5))</f>
        <v>-18954</v>
      </c>
      <c r="D11" s="4">
        <f>D6*((1+$C$3)^(-D5))</f>
        <v>9523.8095238095229</v>
      </c>
      <c r="E11" s="4">
        <f t="shared" ref="E11" si="1">E6*((1+$C$3)^(-E5))</f>
        <v>9070.2947845804974</v>
      </c>
      <c r="F11" s="25">
        <f>SUM(C11:E11)</f>
        <v>-359.89569160997962</v>
      </c>
      <c r="H11" s="6" t="s">
        <v>5</v>
      </c>
      <c r="I11" s="4">
        <f>I6*((1+I3)^(-I5))</f>
        <v>-18954</v>
      </c>
      <c r="J11" s="4">
        <f>J6*(1/(1+$J$3))</f>
        <v>9523.8095238095229</v>
      </c>
      <c r="K11" s="4">
        <f>K6*((1/(1+$J$3))*(1/(1+$K$3)))</f>
        <v>8658.0086580086572</v>
      </c>
      <c r="L11" s="25">
        <f>SUM(I11:K11)</f>
        <v>-772.18181818181984</v>
      </c>
      <c r="N11" s="6" t="s">
        <v>5</v>
      </c>
      <c r="O11" s="4">
        <f>O6*((1+$O$3)^(-O5))</f>
        <v>-18954</v>
      </c>
      <c r="P11" s="4">
        <f>P6*((1+$P$3)^(-P5))</f>
        <v>9523.8095238095229</v>
      </c>
      <c r="Q11" s="4">
        <f>Q6*((1/(1+$P$3))*(1/(1+$Q$3)))</f>
        <v>9337.0681605975715</v>
      </c>
      <c r="R11" s="25">
        <f>SUM(O11:Q11)</f>
        <v>-93.122315592905579</v>
      </c>
    </row>
    <row r="12" spans="2:18" x14ac:dyDescent="0.25">
      <c r="B12" s="6" t="s">
        <v>18</v>
      </c>
      <c r="C12" s="4">
        <f>C7*((1+$C$3)^(-C5))</f>
        <v>-18140</v>
      </c>
      <c r="D12" s="4">
        <f t="shared" ref="D12:E12" si="2">D7*((1+$C$3)^(-D5))</f>
        <v>0</v>
      </c>
      <c r="E12" s="4">
        <f t="shared" si="2"/>
        <v>18140.589569160995</v>
      </c>
      <c r="F12" s="25">
        <f t="shared" ref="F12:F13" si="3">SUM(C12:E12)</f>
        <v>0.58956916099486989</v>
      </c>
      <c r="H12" s="6" t="s">
        <v>18</v>
      </c>
      <c r="I12" s="4">
        <f>I7*((1+$I$3)^(-I5))</f>
        <v>-18140</v>
      </c>
      <c r="J12" s="4">
        <f>J7*(1/(1+$J$3))</f>
        <v>0</v>
      </c>
      <c r="K12" s="4">
        <f>K7*((1/(1+$J$3))*(1/(1+$K$3)))</f>
        <v>17316.017316017314</v>
      </c>
      <c r="L12" s="25">
        <f>SUM(I12:K12)</f>
        <v>-823.98268398268556</v>
      </c>
      <c r="N12" s="6" t="s">
        <v>18</v>
      </c>
      <c r="O12" s="4">
        <f>O7*((1+$O$3)^(-O5))</f>
        <v>-18140</v>
      </c>
      <c r="P12" s="4">
        <f>P7*((1+$P$3)^(-P5))</f>
        <v>0</v>
      </c>
      <c r="Q12" s="4">
        <f>Q7*((1/(1+$P$3))*(1/(1+$Q$3)))</f>
        <v>18674.136321195143</v>
      </c>
      <c r="R12" s="120">
        <f>SUM(O12:Q12)</f>
        <v>534.13632119514295</v>
      </c>
    </row>
    <row r="13" spans="2:18" x14ac:dyDescent="0.25">
      <c r="B13" s="6" t="s">
        <v>7</v>
      </c>
      <c r="C13" s="4">
        <f>C8*((1+$C$3)^(-C5))</f>
        <v>-19080</v>
      </c>
      <c r="D13" s="4">
        <f t="shared" ref="D13:E13" si="4">D8*((1+$C$3)^(-D5))</f>
        <v>19047.619047619046</v>
      </c>
      <c r="E13" s="4">
        <f t="shared" si="4"/>
        <v>0</v>
      </c>
      <c r="F13" s="25">
        <f t="shared" si="3"/>
        <v>-32.380952380954113</v>
      </c>
      <c r="H13" s="6" t="s">
        <v>7</v>
      </c>
      <c r="I13" s="4">
        <f>I8*((1+$I$3)^(-I6))</f>
        <v>-19080</v>
      </c>
      <c r="J13" s="4">
        <f>J8*(1/(1+$J$3))</f>
        <v>19047.619047619046</v>
      </c>
      <c r="K13" s="4">
        <f>K8*((1/(1+$J$3))*(1/(1+$K$3)))</f>
        <v>0</v>
      </c>
      <c r="L13" s="25">
        <f t="shared" ref="L13" si="5">SUM(I13:K13)</f>
        <v>-32.380952380954113</v>
      </c>
      <c r="N13" s="6" t="s">
        <v>7</v>
      </c>
      <c r="O13" s="4">
        <f>O8*((1+$O$3)^(-O5))</f>
        <v>-19080</v>
      </c>
      <c r="P13" s="4">
        <f>P8*((1+$P$3)^(-P5))</f>
        <v>19047.619047619046</v>
      </c>
      <c r="Q13" s="4">
        <f>Q8*((1/(1+$P$3))*(1/(1+$Q$3)))</f>
        <v>0</v>
      </c>
      <c r="R13" s="25">
        <f t="shared" ref="R13" si="6">SUM(O13:Q13)</f>
        <v>-32.380952380954113</v>
      </c>
    </row>
    <row r="15" spans="2:18" x14ac:dyDescent="0.25">
      <c r="B15" s="23" t="s">
        <v>21</v>
      </c>
    </row>
    <row r="16" spans="2:18" x14ac:dyDescent="0.25">
      <c r="B16" s="154" t="s">
        <v>78</v>
      </c>
      <c r="C16" s="154"/>
      <c r="D16" s="154"/>
      <c r="E16" s="154"/>
      <c r="F16" s="154"/>
      <c r="H16" s="6" t="s">
        <v>5</v>
      </c>
      <c r="I16" s="4">
        <f>I6</f>
        <v>-18954</v>
      </c>
      <c r="J16" s="4">
        <f>J6/(1+J3)</f>
        <v>9523.8095238095229</v>
      </c>
      <c r="K16" s="4">
        <f>K6/((1+K3)*(1+J3))</f>
        <v>8658.0086580086554</v>
      </c>
    </row>
  </sheetData>
  <mergeCells count="7">
    <mergeCell ref="N4:N5"/>
    <mergeCell ref="O4:Q4"/>
    <mergeCell ref="B16:F16"/>
    <mergeCell ref="B4:B5"/>
    <mergeCell ref="C4:E4"/>
    <mergeCell ref="H4:H5"/>
    <mergeCell ref="I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F16"/>
  <sheetViews>
    <sheetView zoomScale="130" zoomScaleNormal="130" workbookViewId="0"/>
  </sheetViews>
  <sheetFormatPr defaultColWidth="11.42578125" defaultRowHeight="15" x14ac:dyDescent="0.25"/>
  <cols>
    <col min="2" max="2" width="9.28515625" bestFit="1" customWidth="1"/>
    <col min="3" max="5" width="11.28515625" bestFit="1" customWidth="1"/>
    <col min="6" max="6" width="11.42578125" bestFit="1" customWidth="1"/>
  </cols>
  <sheetData>
    <row r="2" spans="2:6" x14ac:dyDescent="0.25">
      <c r="B2" s="10" t="s">
        <v>8</v>
      </c>
      <c r="C2" s="9">
        <v>0.1</v>
      </c>
    </row>
    <row r="3" spans="2:6" x14ac:dyDescent="0.25">
      <c r="B3" s="146" t="s">
        <v>0</v>
      </c>
      <c r="C3" s="151" t="s">
        <v>4</v>
      </c>
      <c r="D3" s="152"/>
      <c r="E3" s="152"/>
      <c r="F3" s="22"/>
    </row>
    <row r="4" spans="2:6" x14ac:dyDescent="0.25">
      <c r="B4" s="146"/>
      <c r="C4" s="6">
        <v>0</v>
      </c>
      <c r="D4" s="6">
        <v>1</v>
      </c>
      <c r="E4" s="21">
        <v>2</v>
      </c>
      <c r="F4" s="44" t="s">
        <v>10</v>
      </c>
    </row>
    <row r="5" spans="2:6" x14ac:dyDescent="0.25">
      <c r="B5" s="6" t="s">
        <v>1</v>
      </c>
      <c r="C5" s="4">
        <v>-10000</v>
      </c>
      <c r="D5" s="4">
        <v>2000</v>
      </c>
      <c r="E5" s="14">
        <v>12000</v>
      </c>
      <c r="F5" s="48">
        <f>IRR(C5:E5)</f>
        <v>0.20000000000000018</v>
      </c>
    </row>
    <row r="6" spans="2:6" x14ac:dyDescent="0.25">
      <c r="B6" s="6" t="s">
        <v>2</v>
      </c>
      <c r="C6" s="4">
        <v>-10000</v>
      </c>
      <c r="D6" s="4">
        <v>10500</v>
      </c>
      <c r="E6" s="14">
        <v>20000</v>
      </c>
      <c r="F6" s="48">
        <f t="shared" ref="F6:F7" si="0">IRR(C6:E6)</f>
        <v>1.0335174841544865</v>
      </c>
    </row>
    <row r="7" spans="2:6" x14ac:dyDescent="0.25">
      <c r="B7" s="6" t="s">
        <v>3</v>
      </c>
      <c r="C7" s="4">
        <v>-10000</v>
      </c>
      <c r="D7" s="4">
        <v>12000</v>
      </c>
      <c r="E7" s="14">
        <v>0</v>
      </c>
      <c r="F7" s="48">
        <f t="shared" si="0"/>
        <v>0.19999999999999973</v>
      </c>
    </row>
    <row r="9" spans="2:6" x14ac:dyDescent="0.25">
      <c r="F9" s="44" t="s">
        <v>9</v>
      </c>
    </row>
    <row r="10" spans="2:6" x14ac:dyDescent="0.25">
      <c r="B10" s="6" t="s">
        <v>5</v>
      </c>
      <c r="C10" s="4">
        <f>C5*((1+$C$2)^(-C4))</f>
        <v>-10000</v>
      </c>
      <c r="D10" s="4">
        <f t="shared" ref="D10:E10" si="1">D5*((1+$C$2)^(-D4))</f>
        <v>1818.181818181818</v>
      </c>
      <c r="E10" s="4">
        <f t="shared" si="1"/>
        <v>9917.355371900825</v>
      </c>
      <c r="F10" s="25">
        <f>SUM(C10:E10)</f>
        <v>1735.5371900826431</v>
      </c>
    </row>
    <row r="11" spans="2:6" x14ac:dyDescent="0.25">
      <c r="B11" s="6" t="s">
        <v>18</v>
      </c>
      <c r="C11" s="4">
        <f>C6*((1+$C$2)^(-C4))</f>
        <v>-10000</v>
      </c>
      <c r="D11" s="4">
        <f t="shared" ref="D11:E11" si="2">D6*((1+$C$2)^(-D4))</f>
        <v>9545.454545454546</v>
      </c>
      <c r="E11" s="4">
        <f t="shared" si="2"/>
        <v>16528.92561983471</v>
      </c>
      <c r="F11" s="25">
        <f t="shared" ref="F11:F12" si="3">SUM(C11:E11)</f>
        <v>16074.380165289256</v>
      </c>
    </row>
    <row r="12" spans="2:6" x14ac:dyDescent="0.25">
      <c r="B12" s="6" t="s">
        <v>7</v>
      </c>
      <c r="C12" s="4">
        <f>C7*((1+$C$2)^(-C4))</f>
        <v>-10000</v>
      </c>
      <c r="D12" s="4">
        <f t="shared" ref="D12:E12" si="4">D7*((1+$C$2)^(-D4))</f>
        <v>10909.090909090908</v>
      </c>
      <c r="E12" s="4">
        <f t="shared" si="4"/>
        <v>0</v>
      </c>
      <c r="F12" s="25">
        <f t="shared" si="3"/>
        <v>909.0909090909081</v>
      </c>
    </row>
    <row r="14" spans="2:6" x14ac:dyDescent="0.25">
      <c r="B14" s="6" t="s">
        <v>74</v>
      </c>
      <c r="C14" s="27">
        <f>F10/-C5</f>
        <v>0.1735537190082643</v>
      </c>
    </row>
    <row r="15" spans="2:6" x14ac:dyDescent="0.25">
      <c r="B15" s="6" t="s">
        <v>75</v>
      </c>
      <c r="C15" s="27">
        <f>F11/-C6</f>
        <v>1.6074380165289257</v>
      </c>
    </row>
    <row r="16" spans="2:6" x14ac:dyDescent="0.25">
      <c r="B16" s="6" t="s">
        <v>76</v>
      </c>
      <c r="C16" s="27">
        <f t="shared" ref="C16" si="5">F12/-C7</f>
        <v>9.0909090909090814E-2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I16"/>
  <sheetViews>
    <sheetView zoomScale="140" zoomScaleNormal="140" workbookViewId="0">
      <selection activeCell="I10" sqref="I10"/>
    </sheetView>
  </sheetViews>
  <sheetFormatPr defaultColWidth="11.42578125" defaultRowHeight="15" x14ac:dyDescent="0.25"/>
  <cols>
    <col min="2" max="2" width="11.42578125" bestFit="1" customWidth="1"/>
    <col min="3" max="3" width="10.42578125" bestFit="1" customWidth="1"/>
    <col min="4" max="8" width="8.85546875" bestFit="1" customWidth="1"/>
    <col min="9" max="9" width="7.140625" bestFit="1" customWidth="1"/>
  </cols>
  <sheetData>
    <row r="2" spans="2:9" x14ac:dyDescent="0.25">
      <c r="B2" s="10" t="s">
        <v>8</v>
      </c>
      <c r="C2" s="9">
        <v>0.1</v>
      </c>
    </row>
    <row r="3" spans="2:9" x14ac:dyDescent="0.25">
      <c r="B3" s="64"/>
      <c r="C3" s="8"/>
    </row>
    <row r="4" spans="2:9" x14ac:dyDescent="0.25">
      <c r="B4" s="146" t="s">
        <v>0</v>
      </c>
      <c r="C4" s="151" t="s">
        <v>4</v>
      </c>
      <c r="D4" s="152"/>
      <c r="E4" s="152"/>
      <c r="F4" s="22"/>
    </row>
    <row r="5" spans="2:9" x14ac:dyDescent="0.25">
      <c r="B5" s="146"/>
      <c r="C5" s="6">
        <v>0</v>
      </c>
      <c r="D5" s="6">
        <v>1</v>
      </c>
      <c r="E5" s="21">
        <v>2</v>
      </c>
      <c r="F5" s="6">
        <v>3</v>
      </c>
      <c r="G5" s="21">
        <v>4</v>
      </c>
      <c r="H5" s="6">
        <v>5</v>
      </c>
    </row>
    <row r="6" spans="2:9" x14ac:dyDescent="0.25">
      <c r="H6" s="35"/>
    </row>
    <row r="7" spans="2:9" x14ac:dyDescent="0.25">
      <c r="B7" t="s">
        <v>1</v>
      </c>
      <c r="C7" s="2">
        <v>1000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2:9" x14ac:dyDescent="0.25">
      <c r="B8" t="s">
        <v>2</v>
      </c>
      <c r="C8" s="2">
        <v>0</v>
      </c>
      <c r="D8" s="2">
        <v>333</v>
      </c>
      <c r="E8" s="2">
        <v>333</v>
      </c>
      <c r="F8" s="2">
        <v>333</v>
      </c>
      <c r="G8" s="2">
        <v>333</v>
      </c>
      <c r="H8" s="2">
        <v>333</v>
      </c>
    </row>
    <row r="10" spans="2:9" x14ac:dyDescent="0.25">
      <c r="B10" t="s">
        <v>47</v>
      </c>
      <c r="C10" s="2">
        <f>C8-C7</f>
        <v>-1000</v>
      </c>
      <c r="D10" s="2">
        <f t="shared" ref="D10:H10" si="0">D8-D7</f>
        <v>333</v>
      </c>
      <c r="E10" s="2">
        <f t="shared" si="0"/>
        <v>333</v>
      </c>
      <c r="F10" s="2">
        <f t="shared" si="0"/>
        <v>333</v>
      </c>
      <c r="G10" s="2">
        <f t="shared" si="0"/>
        <v>333</v>
      </c>
      <c r="H10" s="2">
        <f t="shared" si="0"/>
        <v>333</v>
      </c>
      <c r="I10" s="49">
        <f>IRR(C10:H10)</f>
        <v>0.19812349051166778</v>
      </c>
    </row>
    <row r="13" spans="2:9" x14ac:dyDescent="0.25">
      <c r="B13" t="s">
        <v>62</v>
      </c>
      <c r="C13" s="2">
        <f t="shared" ref="C13:H13" si="1">C8/(1+$C$2)^C5</f>
        <v>0</v>
      </c>
      <c r="D13" s="2">
        <f t="shared" si="1"/>
        <v>302.72727272727269</v>
      </c>
      <c r="E13" s="2">
        <f t="shared" si="1"/>
        <v>275.2066115702479</v>
      </c>
      <c r="F13" s="2">
        <f t="shared" si="1"/>
        <v>250.18782870022531</v>
      </c>
      <c r="G13" s="2">
        <f t="shared" si="1"/>
        <v>227.44348063656847</v>
      </c>
      <c r="H13" s="2">
        <f t="shared" si="1"/>
        <v>206.76680057869859</v>
      </c>
    </row>
    <row r="14" spans="2:9" x14ac:dyDescent="0.25">
      <c r="B14" t="s">
        <v>6</v>
      </c>
      <c r="C14" s="35">
        <f>SUM(C13:H13)</f>
        <v>1262.3319942130129</v>
      </c>
    </row>
    <row r="15" spans="2:9" x14ac:dyDescent="0.25">
      <c r="B15" t="s">
        <v>5</v>
      </c>
      <c r="C15" s="35">
        <f>C7</f>
        <v>1000</v>
      </c>
    </row>
    <row r="16" spans="2:9" x14ac:dyDescent="0.25">
      <c r="B16" t="s">
        <v>48</v>
      </c>
      <c r="C16" s="35">
        <f>C14-C15</f>
        <v>262.33199421301288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3"/>
  <sheetViews>
    <sheetView zoomScale="160" zoomScaleNormal="160" workbookViewId="0"/>
  </sheetViews>
  <sheetFormatPr defaultColWidth="11.42578125" defaultRowHeight="15" x14ac:dyDescent="0.25"/>
  <cols>
    <col min="2" max="2" width="8.42578125" bestFit="1" customWidth="1"/>
    <col min="3" max="3" width="12.42578125" bestFit="1" customWidth="1"/>
    <col min="4" max="5" width="11.28515625" bestFit="1" customWidth="1"/>
    <col min="6" max="6" width="10.42578125" bestFit="1" customWidth="1"/>
  </cols>
  <sheetData>
    <row r="2" spans="2:6" x14ac:dyDescent="0.25">
      <c r="B2" s="10" t="s">
        <v>8</v>
      </c>
      <c r="C2" s="9">
        <v>0.1</v>
      </c>
    </row>
    <row r="3" spans="2:6" x14ac:dyDescent="0.25">
      <c r="B3" s="146" t="s">
        <v>0</v>
      </c>
      <c r="C3" s="151" t="s">
        <v>4</v>
      </c>
      <c r="D3" s="152"/>
      <c r="E3" s="152"/>
      <c r="F3" s="22"/>
    </row>
    <row r="4" spans="2:6" x14ac:dyDescent="0.25">
      <c r="B4" s="146"/>
      <c r="C4" s="6">
        <v>0</v>
      </c>
      <c r="D4" s="6">
        <v>1</v>
      </c>
      <c r="E4" s="21">
        <v>2</v>
      </c>
      <c r="F4" s="44" t="s">
        <v>10</v>
      </c>
    </row>
    <row r="5" spans="2:6" x14ac:dyDescent="0.25">
      <c r="B5" s="6" t="s">
        <v>1</v>
      </c>
      <c r="C5" s="4">
        <v>-16500</v>
      </c>
      <c r="D5" s="4">
        <v>10000</v>
      </c>
      <c r="E5" s="14">
        <v>10000</v>
      </c>
      <c r="F5" s="48">
        <f>IRR(C5:E5)</f>
        <v>0.13842719709637641</v>
      </c>
    </row>
    <row r="6" spans="2:6" x14ac:dyDescent="0.25">
      <c r="B6" s="6" t="s">
        <v>2</v>
      </c>
      <c r="C6" s="4">
        <v>-100000</v>
      </c>
      <c r="D6" s="4">
        <v>60000</v>
      </c>
      <c r="E6" s="14">
        <v>60000</v>
      </c>
      <c r="F6" s="48">
        <f t="shared" ref="F6" si="0">IRR(C6:E6)</f>
        <v>0.13066238629180749</v>
      </c>
    </row>
    <row r="8" spans="2:6" x14ac:dyDescent="0.25">
      <c r="F8" s="44" t="s">
        <v>9</v>
      </c>
    </row>
    <row r="9" spans="2:6" x14ac:dyDescent="0.25">
      <c r="B9" s="6" t="s">
        <v>5</v>
      </c>
      <c r="C9" s="4">
        <f>C5*((1+$C$2)^(-C4))</f>
        <v>-16500</v>
      </c>
      <c r="D9" s="4">
        <f>D5*((1+$C$2)^(-D4))</f>
        <v>9090.9090909090901</v>
      </c>
      <c r="E9" s="4">
        <f>E5*((1+$C$2)^(-E4))</f>
        <v>8264.4628099173551</v>
      </c>
      <c r="F9" s="25">
        <f>SUM(C9:E9)</f>
        <v>855.3719008264452</v>
      </c>
    </row>
    <row r="10" spans="2:6" x14ac:dyDescent="0.25">
      <c r="B10" s="6" t="s">
        <v>18</v>
      </c>
      <c r="C10" s="4">
        <f>C6*((1+$C$2)^(-C4))</f>
        <v>-100000</v>
      </c>
      <c r="D10" s="4">
        <f>D6*((1+$C$2)^(-D4))</f>
        <v>54545.454545454544</v>
      </c>
      <c r="E10" s="4">
        <f>E6*((1+$C$2)^(-E4))</f>
        <v>49586.776859504127</v>
      </c>
      <c r="F10" s="25">
        <f t="shared" ref="F10" si="1">SUM(C10:E10)</f>
        <v>4132.2314049586712</v>
      </c>
    </row>
    <row r="12" spans="2:6" x14ac:dyDescent="0.25">
      <c r="B12" s="6" t="s">
        <v>15</v>
      </c>
      <c r="C12" s="115">
        <f>F9/-C5</f>
        <v>5.1840721262208803E-2</v>
      </c>
    </row>
    <row r="13" spans="2:6" x14ac:dyDescent="0.25">
      <c r="B13" s="6" t="s">
        <v>16</v>
      </c>
      <c r="C13" s="114">
        <f>F10/-C6</f>
        <v>4.1322314049586709E-2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L14"/>
  <sheetViews>
    <sheetView zoomScale="150" zoomScaleNormal="150" workbookViewId="0"/>
  </sheetViews>
  <sheetFormatPr defaultColWidth="11.42578125" defaultRowHeight="15" x14ac:dyDescent="0.25"/>
  <cols>
    <col min="2" max="2" width="8.42578125" bestFit="1" customWidth="1"/>
    <col min="3" max="3" width="11.42578125" bestFit="1" customWidth="1"/>
    <col min="4" max="4" width="10.42578125" bestFit="1" customWidth="1"/>
    <col min="5" max="5" width="11.42578125" bestFit="1" customWidth="1"/>
    <col min="6" max="6" width="8.85546875" bestFit="1" customWidth="1"/>
    <col min="8" max="8" width="8.42578125" bestFit="1" customWidth="1"/>
    <col min="9" max="9" width="11.42578125" bestFit="1" customWidth="1"/>
    <col min="10" max="10" width="10.42578125" bestFit="1" customWidth="1"/>
    <col min="11" max="11" width="11.42578125" bestFit="1" customWidth="1"/>
    <col min="12" max="12" width="9.140625" bestFit="1" customWidth="1"/>
  </cols>
  <sheetData>
    <row r="2" spans="2:12" x14ac:dyDescent="0.25">
      <c r="B2" s="10" t="s">
        <v>8</v>
      </c>
      <c r="C2" s="9">
        <v>0.05</v>
      </c>
      <c r="H2" s="10" t="s">
        <v>8</v>
      </c>
      <c r="I2" s="9">
        <v>0.1</v>
      </c>
    </row>
    <row r="3" spans="2:12" x14ac:dyDescent="0.25">
      <c r="B3" s="146" t="s">
        <v>0</v>
      </c>
      <c r="C3" s="151" t="s">
        <v>4</v>
      </c>
      <c r="D3" s="152"/>
      <c r="E3" s="152"/>
      <c r="F3" s="22"/>
      <c r="H3" s="146" t="s">
        <v>0</v>
      </c>
      <c r="I3" s="151" t="s">
        <v>4</v>
      </c>
      <c r="J3" s="152"/>
      <c r="K3" s="152"/>
      <c r="L3" s="22"/>
    </row>
    <row r="4" spans="2:12" x14ac:dyDescent="0.25">
      <c r="B4" s="146"/>
      <c r="C4" s="6">
        <v>0</v>
      </c>
      <c r="D4" s="6">
        <v>1</v>
      </c>
      <c r="E4" s="21">
        <v>2</v>
      </c>
      <c r="F4" s="11" t="s">
        <v>10</v>
      </c>
      <c r="H4" s="146"/>
      <c r="I4" s="6">
        <v>0</v>
      </c>
      <c r="J4" s="6">
        <v>1</v>
      </c>
      <c r="K4" s="21">
        <v>2</v>
      </c>
      <c r="L4" s="11" t="s">
        <v>10</v>
      </c>
    </row>
    <row r="5" spans="2:12" x14ac:dyDescent="0.25">
      <c r="B5" s="6" t="s">
        <v>1</v>
      </c>
      <c r="C5" s="4">
        <v>-10000</v>
      </c>
      <c r="D5" s="4">
        <v>0</v>
      </c>
      <c r="E5" s="14">
        <v>12100</v>
      </c>
      <c r="F5" s="29">
        <f>IRR(C5:E5)</f>
        <v>0.10000000000000009</v>
      </c>
      <c r="H5" s="6" t="s">
        <v>1</v>
      </c>
      <c r="I5" s="4">
        <v>-10000</v>
      </c>
      <c r="J5" s="4">
        <v>0</v>
      </c>
      <c r="K5" s="14">
        <v>12100</v>
      </c>
      <c r="L5" s="30">
        <f>IRR(I5:K5)</f>
        <v>0.10000000000000009</v>
      </c>
    </row>
    <row r="6" spans="2:12" x14ac:dyDescent="0.25">
      <c r="B6" s="6" t="s">
        <v>2</v>
      </c>
      <c r="C6" s="4">
        <v>-10000</v>
      </c>
      <c r="D6" s="4">
        <v>5762</v>
      </c>
      <c r="E6" s="4">
        <v>5762</v>
      </c>
      <c r="F6" s="29">
        <f t="shared" ref="F6" si="0">IRR(C6:E6)</f>
        <v>0.10001231669277688</v>
      </c>
      <c r="H6" s="6" t="s">
        <v>2</v>
      </c>
      <c r="I6" s="4">
        <v>-10000</v>
      </c>
      <c r="J6" s="4">
        <v>5762</v>
      </c>
      <c r="K6" s="4">
        <v>5762</v>
      </c>
      <c r="L6" s="30">
        <f>IRR(I6:K6)</f>
        <v>0.10001231669277688</v>
      </c>
    </row>
    <row r="8" spans="2:12" x14ac:dyDescent="0.25">
      <c r="F8" s="19" t="s">
        <v>9</v>
      </c>
      <c r="L8" s="19" t="s">
        <v>9</v>
      </c>
    </row>
    <row r="9" spans="2:12" x14ac:dyDescent="0.25">
      <c r="B9" s="6" t="s">
        <v>5</v>
      </c>
      <c r="C9" s="4">
        <f>C5*((1+$C$2)^(-C4))</f>
        <v>-10000</v>
      </c>
      <c r="D9" s="4">
        <f>D5*((1+$C$2)^(-D4))</f>
        <v>0</v>
      </c>
      <c r="E9" s="4">
        <f>E5*((1+$C$2)^(-E4))</f>
        <v>10975.056689342402</v>
      </c>
      <c r="F9" s="12">
        <f>SUM(C9:E9)</f>
        <v>975.05668934240202</v>
      </c>
      <c r="H9" s="6" t="s">
        <v>5</v>
      </c>
      <c r="I9" s="4">
        <f>I5*((1+$I$2)^(-I4))</f>
        <v>-10000</v>
      </c>
      <c r="J9" s="4">
        <f>J5*((1+$I$2)^(-J4))</f>
        <v>0</v>
      </c>
      <c r="K9" s="4">
        <f>K5*((1+$I$2)^(-K4))</f>
        <v>9999.9999999999982</v>
      </c>
      <c r="L9" s="12">
        <f>SUM(I9:K9)</f>
        <v>0</v>
      </c>
    </row>
    <row r="10" spans="2:12" x14ac:dyDescent="0.25">
      <c r="B10" s="6" t="s">
        <v>18</v>
      </c>
      <c r="C10" s="4">
        <f>C6*((1+$C$2)^(-C4))</f>
        <v>-10000</v>
      </c>
      <c r="D10" s="4">
        <f>D6*((1+$C$2)^(-D4))</f>
        <v>5487.6190476190477</v>
      </c>
      <c r="E10" s="4">
        <f>E6*((1+$C$2)^(-E4))</f>
        <v>5226.3038548752829</v>
      </c>
      <c r="F10" s="12">
        <f t="shared" ref="F10" si="1">SUM(C10:E10)</f>
        <v>713.92290249433063</v>
      </c>
      <c r="H10" s="6" t="s">
        <v>18</v>
      </c>
      <c r="I10" s="4">
        <f>I6*((1+$I$2)^(-I4))</f>
        <v>-10000</v>
      </c>
      <c r="J10" s="4">
        <f>J6*((1+$I$2)^(-J4))</f>
        <v>5238.181818181818</v>
      </c>
      <c r="K10" s="4">
        <f>K6*((1+$I$2)^(-K4))</f>
        <v>4761.9834710743798</v>
      </c>
      <c r="L10" s="12">
        <f t="shared" ref="L10" si="2">SUM(I10:K10)</f>
        <v>0.16528925619786605</v>
      </c>
    </row>
    <row r="12" spans="2:12" x14ac:dyDescent="0.25">
      <c r="B12" s="6" t="s">
        <v>15</v>
      </c>
      <c r="C12" s="26">
        <f>F9/-C5</f>
        <v>9.7505668934240203E-2</v>
      </c>
      <c r="H12" s="6" t="s">
        <v>15</v>
      </c>
      <c r="I12" s="27">
        <f>L9/-I5</f>
        <v>0</v>
      </c>
    </row>
    <row r="13" spans="2:12" x14ac:dyDescent="0.25">
      <c r="B13" s="6" t="s">
        <v>16</v>
      </c>
      <c r="C13" s="27">
        <f>F10/-C6</f>
        <v>7.1392290249433069E-2</v>
      </c>
      <c r="H13" s="6" t="s">
        <v>16</v>
      </c>
      <c r="I13" s="26">
        <f>L10/-I6</f>
        <v>1.6528925619786607E-5</v>
      </c>
    </row>
    <row r="14" spans="2:12" x14ac:dyDescent="0.25">
      <c r="B14" s="15"/>
      <c r="C14" s="18"/>
    </row>
  </sheetData>
  <mergeCells count="4">
    <mergeCell ref="B3:B4"/>
    <mergeCell ref="C3:E3"/>
    <mergeCell ref="H3:H4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21"/>
  <sheetViews>
    <sheetView zoomScale="140" zoomScaleNormal="140" workbookViewId="0">
      <selection activeCell="F16" sqref="F16"/>
    </sheetView>
  </sheetViews>
  <sheetFormatPr defaultColWidth="11.42578125" defaultRowHeight="15" x14ac:dyDescent="0.25"/>
  <cols>
    <col min="2" max="2" width="11.85546875" bestFit="1" customWidth="1"/>
    <col min="3" max="5" width="10.42578125" bestFit="1" customWidth="1"/>
    <col min="6" max="6" width="8.85546875" bestFit="1" customWidth="1"/>
    <col min="7" max="7" width="10.42578125" bestFit="1" customWidth="1"/>
  </cols>
  <sheetData>
    <row r="2" spans="2:7" x14ac:dyDescent="0.25">
      <c r="B2" s="10" t="s">
        <v>8</v>
      </c>
      <c r="C2" s="9">
        <v>0.05</v>
      </c>
    </row>
    <row r="3" spans="2:7" x14ac:dyDescent="0.25">
      <c r="B3" s="146" t="s">
        <v>0</v>
      </c>
      <c r="C3" s="151" t="s">
        <v>4</v>
      </c>
      <c r="D3" s="152"/>
      <c r="E3" s="152"/>
      <c r="F3" s="22"/>
    </row>
    <row r="4" spans="2:7" x14ac:dyDescent="0.25">
      <c r="B4" s="146"/>
      <c r="C4" s="6">
        <v>0</v>
      </c>
      <c r="D4" s="6">
        <v>1</v>
      </c>
      <c r="E4" s="21">
        <v>2</v>
      </c>
      <c r="F4" s="19" t="s">
        <v>10</v>
      </c>
    </row>
    <row r="5" spans="2:7" x14ac:dyDescent="0.25">
      <c r="B5" s="6" t="s">
        <v>1</v>
      </c>
      <c r="C5" s="4">
        <v>-600</v>
      </c>
      <c r="D5" s="4">
        <v>500</v>
      </c>
      <c r="E5" s="14">
        <v>600</v>
      </c>
      <c r="F5" s="65">
        <f>IRR(C5:E5)</f>
        <v>0.49999999999945532</v>
      </c>
    </row>
    <row r="6" spans="2:7" x14ac:dyDescent="0.25">
      <c r="B6" s="6" t="s">
        <v>2</v>
      </c>
      <c r="C6" s="4">
        <v>-700</v>
      </c>
      <c r="D6" s="4">
        <v>800</v>
      </c>
      <c r="E6" s="4">
        <v>400</v>
      </c>
      <c r="F6" s="65">
        <f t="shared" ref="F6" si="0">IRR(C6:E6)</f>
        <v>0.51903565438724919</v>
      </c>
    </row>
    <row r="8" spans="2:7" x14ac:dyDescent="0.25">
      <c r="F8" s="19" t="s">
        <v>9</v>
      </c>
    </row>
    <row r="9" spans="2:7" x14ac:dyDescent="0.25">
      <c r="B9" s="6" t="s">
        <v>5</v>
      </c>
      <c r="C9" s="4">
        <f>C5*((1+$C$2)^(-C4))</f>
        <v>-600</v>
      </c>
      <c r="D9" s="4">
        <f>D5*((1+$C$2)^(-D4))</f>
        <v>476.19047619047615</v>
      </c>
      <c r="E9" s="4">
        <f>E5*((1+$C$2)^(-E4))</f>
        <v>544.21768707482988</v>
      </c>
      <c r="F9" s="12">
        <f>SUM(C9:E9)</f>
        <v>420.40816326530603</v>
      </c>
    </row>
    <row r="10" spans="2:7" x14ac:dyDescent="0.25">
      <c r="B10" s="6" t="s">
        <v>18</v>
      </c>
      <c r="C10" s="4">
        <f>C6*((1+$C$2)^(-C4))</f>
        <v>-700</v>
      </c>
      <c r="D10" s="4">
        <f>D6*((1+$C$2)^(-D4))</f>
        <v>761.90476190476181</v>
      </c>
      <c r="E10" s="4">
        <f>E6*((1+$C$2)^(-E4))</f>
        <v>362.81179138321994</v>
      </c>
      <c r="F10" s="12">
        <f t="shared" ref="F10" si="1">SUM(C10:E10)</f>
        <v>424.71655328798175</v>
      </c>
    </row>
    <row r="11" spans="2:7" x14ac:dyDescent="0.25">
      <c r="F11" s="96">
        <f>F10-F9</f>
        <v>4.3083900226757237</v>
      </c>
    </row>
    <row r="12" spans="2:7" x14ac:dyDescent="0.25">
      <c r="B12" s="6" t="s">
        <v>74</v>
      </c>
      <c r="C12" s="67">
        <f>F9/-C5</f>
        <v>0.70068027210884343</v>
      </c>
    </row>
    <row r="13" spans="2:7" x14ac:dyDescent="0.25">
      <c r="B13" s="6" t="s">
        <v>75</v>
      </c>
      <c r="C13" s="66">
        <f>F10/-C6</f>
        <v>0.60673793326854542</v>
      </c>
    </row>
    <row r="15" spans="2:7" x14ac:dyDescent="0.25">
      <c r="F15" s="19" t="s">
        <v>10</v>
      </c>
      <c r="G15" s="19" t="s">
        <v>9</v>
      </c>
    </row>
    <row r="16" spans="2:7" x14ac:dyDescent="0.25">
      <c r="B16" s="10" t="s">
        <v>47</v>
      </c>
      <c r="C16" s="5">
        <f>C6-C5</f>
        <v>-100</v>
      </c>
      <c r="D16" s="5">
        <f t="shared" ref="D16:E16" si="2">D6-D5</f>
        <v>300</v>
      </c>
      <c r="E16" s="5">
        <f t="shared" si="2"/>
        <v>-200</v>
      </c>
      <c r="F16" s="13">
        <f>IRR(C16:E16)</f>
        <v>7.9936057773011271E-15</v>
      </c>
      <c r="G16" s="96">
        <f>SUM(C17:E17)</f>
        <v>4.3083900226757521</v>
      </c>
    </row>
    <row r="17" spans="2:7" x14ac:dyDescent="0.25">
      <c r="B17" s="10" t="s">
        <v>63</v>
      </c>
      <c r="C17" s="5">
        <f>C16/(1+$C$2)^C4</f>
        <v>-100</v>
      </c>
      <c r="D17" s="5">
        <f t="shared" ref="D17:E17" si="3">D16/(1+$C$2)^D4</f>
        <v>285.71428571428572</v>
      </c>
      <c r="E17" s="5">
        <f t="shared" si="3"/>
        <v>-181.40589569160997</v>
      </c>
    </row>
    <row r="18" spans="2:7" hidden="1" x14ac:dyDescent="0.25"/>
    <row r="19" spans="2:7" hidden="1" x14ac:dyDescent="0.25">
      <c r="F19" s="19" t="s">
        <v>10</v>
      </c>
      <c r="G19" s="19" t="s">
        <v>9</v>
      </c>
    </row>
    <row r="20" spans="2:7" hidden="1" x14ac:dyDescent="0.25">
      <c r="B20" s="10" t="s">
        <v>64</v>
      </c>
      <c r="C20" s="5">
        <f>C5+C6</f>
        <v>-1300</v>
      </c>
      <c r="D20" s="5">
        <f t="shared" ref="D20:E20" si="4">D5+D6</f>
        <v>1300</v>
      </c>
      <c r="E20" s="5">
        <f t="shared" si="4"/>
        <v>1000</v>
      </c>
      <c r="F20" s="13">
        <f>IRR(C20:E20)</f>
        <v>0.50956959603119811</v>
      </c>
      <c r="G20" s="12">
        <f>SUM(C21:E21)</f>
        <v>1000</v>
      </c>
    </row>
    <row r="21" spans="2:7" hidden="1" x14ac:dyDescent="0.25">
      <c r="B21" s="10" t="s">
        <v>63</v>
      </c>
      <c r="C21" s="5">
        <f>C20/(1+$C$2)^C8</f>
        <v>-1300</v>
      </c>
      <c r="D21" s="5">
        <f t="shared" ref="D21" si="5">D20/(1+$C$2)^D8</f>
        <v>1300</v>
      </c>
      <c r="E21" s="5">
        <f t="shared" ref="E21" si="6">E20/(1+$C$2)^E8</f>
        <v>1000</v>
      </c>
    </row>
  </sheetData>
  <mergeCells count="2">
    <mergeCell ref="B3:B4"/>
    <mergeCell ref="C3:E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F10"/>
  <sheetViews>
    <sheetView zoomScale="180" zoomScaleNormal="180" workbookViewId="0">
      <selection activeCell="G15" sqref="G15"/>
    </sheetView>
  </sheetViews>
  <sheetFormatPr defaultColWidth="11.42578125" defaultRowHeight="15" x14ac:dyDescent="0.25"/>
  <cols>
    <col min="2" max="2" width="6.7109375" bestFit="1" customWidth="1"/>
    <col min="3" max="3" width="7.85546875" bestFit="1" customWidth="1"/>
    <col min="4" max="6" width="8.85546875" bestFit="1" customWidth="1"/>
  </cols>
  <sheetData>
    <row r="2" spans="2:6" x14ac:dyDescent="0.25">
      <c r="B2" s="10" t="s">
        <v>8</v>
      </c>
      <c r="C2" s="9">
        <v>0.05</v>
      </c>
    </row>
    <row r="3" spans="2:6" x14ac:dyDescent="0.25">
      <c r="B3" s="146" t="s">
        <v>0</v>
      </c>
      <c r="C3" s="151" t="s">
        <v>4</v>
      </c>
      <c r="D3" s="152"/>
      <c r="E3" s="152"/>
      <c r="F3" s="22"/>
    </row>
    <row r="4" spans="2:6" x14ac:dyDescent="0.25">
      <c r="B4" s="146"/>
      <c r="C4" s="6">
        <v>0</v>
      </c>
      <c r="D4" s="6">
        <v>1</v>
      </c>
      <c r="E4" s="21">
        <v>2</v>
      </c>
      <c r="F4" s="19" t="s">
        <v>10</v>
      </c>
    </row>
    <row r="5" spans="2:6" x14ac:dyDescent="0.25">
      <c r="B5" s="6" t="s">
        <v>1</v>
      </c>
      <c r="C5" s="4">
        <v>-50</v>
      </c>
      <c r="D5" s="4">
        <v>150</v>
      </c>
      <c r="E5" s="14">
        <v>100</v>
      </c>
      <c r="F5" s="65">
        <f>IRR(C5:E5)</f>
        <v>2.5615528128073795</v>
      </c>
    </row>
    <row r="7" spans="2:6" x14ac:dyDescent="0.25">
      <c r="F7" s="19" t="s">
        <v>9</v>
      </c>
    </row>
    <row r="8" spans="2:6" x14ac:dyDescent="0.25">
      <c r="B8" s="6" t="s">
        <v>5</v>
      </c>
      <c r="C8" s="4">
        <f>C5*((1+$C$2)^(-C4))</f>
        <v>-50</v>
      </c>
      <c r="D8" s="4">
        <f>D5*((1+$C$2)^(-D4))</f>
        <v>142.85714285714286</v>
      </c>
      <c r="E8" s="4">
        <f>E5*((1+$C$2)^(-E4))</f>
        <v>90.702947845804985</v>
      </c>
      <c r="F8" s="12">
        <f>SUM(C8:E8)</f>
        <v>183.56009070294783</v>
      </c>
    </row>
    <row r="10" spans="2:6" x14ac:dyDescent="0.25">
      <c r="B10" s="31" t="s">
        <v>77</v>
      </c>
      <c r="C10" s="116">
        <f>F8/-C5</f>
        <v>3.6712018140589566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zoomScale="160" zoomScaleNormal="160" workbookViewId="0"/>
  </sheetViews>
  <sheetFormatPr defaultColWidth="11.42578125" defaultRowHeight="15" x14ac:dyDescent="0.25"/>
  <cols>
    <col min="2" max="2" width="4.85546875" bestFit="1" customWidth="1"/>
    <col min="3" max="3" width="13.85546875" bestFit="1" customWidth="1"/>
    <col min="4" max="7" width="12.42578125" bestFit="1" customWidth="1"/>
    <col min="8" max="8" width="13.85546875" bestFit="1" customWidth="1"/>
    <col min="9" max="9" width="9.140625" bestFit="1" customWidth="1"/>
  </cols>
  <sheetData>
    <row r="2" spans="2:9" x14ac:dyDescent="0.25">
      <c r="B2" s="10" t="s">
        <v>8</v>
      </c>
      <c r="C2" s="9">
        <v>0.1</v>
      </c>
    </row>
    <row r="3" spans="2:9" x14ac:dyDescent="0.25">
      <c r="B3" s="146" t="s">
        <v>0</v>
      </c>
      <c r="C3" s="145" t="s">
        <v>4</v>
      </c>
      <c r="D3" s="145"/>
      <c r="E3" s="145"/>
      <c r="F3" s="145"/>
      <c r="G3" s="145"/>
      <c r="H3" s="145"/>
    </row>
    <row r="4" spans="2:9" x14ac:dyDescent="0.25">
      <c r="B4" s="146"/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118" t="s">
        <v>10</v>
      </c>
    </row>
    <row r="5" spans="2:9" x14ac:dyDescent="0.25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  <c r="I5" s="117">
        <f>IRR(C5:H5)</f>
        <v>0.10000000000000009</v>
      </c>
    </row>
    <row r="6" spans="2:9" x14ac:dyDescent="0.25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  <c r="I6" s="117">
        <f>IRR(C6:H6)</f>
        <v>9.9999286562188372E-2</v>
      </c>
    </row>
    <row r="7" spans="2:9" x14ac:dyDescent="0.25">
      <c r="B7" s="6" t="s">
        <v>3</v>
      </c>
      <c r="C7" s="4">
        <v>-1000000</v>
      </c>
      <c r="D7" s="4">
        <v>0</v>
      </c>
      <c r="E7" s="4">
        <v>0</v>
      </c>
      <c r="F7" s="4">
        <v>0</v>
      </c>
      <c r="G7" s="4">
        <v>0</v>
      </c>
      <c r="H7" s="4">
        <v>1610510</v>
      </c>
      <c r="I7" s="117">
        <f>IRR(C7:H7)</f>
        <v>0.10000000000000009</v>
      </c>
    </row>
  </sheetData>
  <mergeCells count="2">
    <mergeCell ref="B3:B4"/>
    <mergeCell ref="C3:H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E13"/>
  <sheetViews>
    <sheetView zoomScale="170" zoomScaleNormal="170" workbookViewId="0"/>
  </sheetViews>
  <sheetFormatPr defaultColWidth="11.42578125" defaultRowHeight="15" x14ac:dyDescent="0.25"/>
  <cols>
    <col min="2" max="2" width="8.85546875" bestFit="1" customWidth="1"/>
    <col min="3" max="4" width="12.42578125" bestFit="1" customWidth="1"/>
    <col min="5" max="5" width="11.42578125" bestFit="1" customWidth="1"/>
  </cols>
  <sheetData>
    <row r="2" spans="2:5" x14ac:dyDescent="0.25">
      <c r="B2" s="10" t="s">
        <v>8</v>
      </c>
      <c r="C2" s="9">
        <v>0.1</v>
      </c>
    </row>
    <row r="3" spans="2:5" x14ac:dyDescent="0.25">
      <c r="B3" s="146" t="s">
        <v>0</v>
      </c>
      <c r="C3" s="151" t="s">
        <v>4</v>
      </c>
      <c r="D3" s="152"/>
      <c r="E3" s="22"/>
    </row>
    <row r="4" spans="2:5" x14ac:dyDescent="0.25">
      <c r="B4" s="146"/>
      <c r="C4" s="6">
        <v>0</v>
      </c>
      <c r="D4" s="6">
        <v>1</v>
      </c>
      <c r="E4" s="19" t="s">
        <v>10</v>
      </c>
    </row>
    <row r="5" spans="2:5" x14ac:dyDescent="0.25">
      <c r="B5" s="6" t="s">
        <v>1</v>
      </c>
      <c r="C5" s="4">
        <v>-20000</v>
      </c>
      <c r="D5" s="4">
        <v>30000</v>
      </c>
      <c r="E5" s="65">
        <f>IRR(C5:D5)</f>
        <v>0.5</v>
      </c>
    </row>
    <row r="6" spans="2:5" x14ac:dyDescent="0.25">
      <c r="B6" s="6" t="s">
        <v>2</v>
      </c>
      <c r="C6" s="4">
        <v>-100000</v>
      </c>
      <c r="D6" s="4">
        <v>130000</v>
      </c>
      <c r="E6" s="65">
        <f>IRR(C6:D6)</f>
        <v>0.30000000000000004</v>
      </c>
    </row>
    <row r="8" spans="2:5" x14ac:dyDescent="0.25">
      <c r="E8" s="19" t="s">
        <v>9</v>
      </c>
    </row>
    <row r="9" spans="2:5" x14ac:dyDescent="0.25">
      <c r="B9" s="6" t="s">
        <v>5</v>
      </c>
      <c r="C9" s="4">
        <f>C5*((1+$C$2)^(-C4))</f>
        <v>-20000</v>
      </c>
      <c r="D9" s="4">
        <f>D5*((1+$C$2)^(-D4))</f>
        <v>27272.727272727272</v>
      </c>
      <c r="E9" s="12">
        <f>SUM(C9:D9)</f>
        <v>7272.7272727272721</v>
      </c>
    </row>
    <row r="10" spans="2:5" x14ac:dyDescent="0.25">
      <c r="B10" s="6" t="s">
        <v>18</v>
      </c>
      <c r="C10" s="4">
        <f>C6*((1+$C$2)^(-C4))</f>
        <v>-100000</v>
      </c>
      <c r="D10" s="4">
        <f>D6*((1+$C$2)^(-D4))</f>
        <v>118181.81818181818</v>
      </c>
      <c r="E10" s="12">
        <f>SUM(C10:D10)</f>
        <v>18181.818181818177</v>
      </c>
    </row>
    <row r="12" spans="2:5" x14ac:dyDescent="0.25">
      <c r="B12" s="6" t="s">
        <v>15</v>
      </c>
      <c r="C12" s="67">
        <f>E9/-C5</f>
        <v>0.36363636363636359</v>
      </c>
    </row>
    <row r="13" spans="2:5" x14ac:dyDescent="0.25">
      <c r="B13" s="6" t="s">
        <v>16</v>
      </c>
      <c r="C13" s="66">
        <f>E10/-C6</f>
        <v>0.18181818181818177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B2:J120"/>
  <sheetViews>
    <sheetView topLeftCell="A55" zoomScale="90" zoomScaleNormal="90" workbookViewId="0">
      <selection activeCell="M78" sqref="M78"/>
    </sheetView>
  </sheetViews>
  <sheetFormatPr defaultColWidth="11.42578125" defaultRowHeight="15" x14ac:dyDescent="0.25"/>
  <cols>
    <col min="2" max="2" width="23.42578125" bestFit="1" customWidth="1"/>
    <col min="3" max="5" width="17.140625" bestFit="1" customWidth="1"/>
    <col min="7" max="7" width="13.42578125" bestFit="1" customWidth="1"/>
    <col min="8" max="8" width="15.85546875" bestFit="1" customWidth="1"/>
    <col min="9" max="10" width="17.140625" bestFit="1" customWidth="1"/>
  </cols>
  <sheetData>
    <row r="2" spans="2:9" x14ac:dyDescent="0.25">
      <c r="B2" s="34" t="s">
        <v>22</v>
      </c>
      <c r="C2" s="24" t="s">
        <v>54</v>
      </c>
      <c r="D2" s="24" t="s">
        <v>25</v>
      </c>
    </row>
    <row r="3" spans="2:9" x14ac:dyDescent="0.25">
      <c r="B3" s="34" t="s">
        <v>24</v>
      </c>
      <c r="C3" s="4">
        <v>60000000</v>
      </c>
      <c r="D3" s="4">
        <v>100000000</v>
      </c>
    </row>
    <row r="4" spans="2:9" x14ac:dyDescent="0.25">
      <c r="B4" s="34" t="s">
        <v>23</v>
      </c>
      <c r="C4" s="4">
        <v>15000000</v>
      </c>
      <c r="D4" s="4">
        <v>20000000</v>
      </c>
    </row>
    <row r="6" spans="2:9" x14ac:dyDescent="0.25">
      <c r="B6" s="10" t="s">
        <v>8</v>
      </c>
      <c r="C6" s="9">
        <v>0.05</v>
      </c>
    </row>
    <row r="7" spans="2:9" x14ac:dyDescent="0.25">
      <c r="C7" s="8"/>
    </row>
    <row r="8" spans="2:9" x14ac:dyDescent="0.25">
      <c r="C8" s="8"/>
    </row>
    <row r="9" spans="2:9" x14ac:dyDescent="0.25">
      <c r="B9" s="18" t="s">
        <v>19</v>
      </c>
    </row>
    <row r="10" spans="2:9" x14ac:dyDescent="0.25">
      <c r="B10" s="18" t="s">
        <v>26</v>
      </c>
      <c r="G10" s="18" t="s">
        <v>27</v>
      </c>
    </row>
    <row r="11" spans="2:9" x14ac:dyDescent="0.25">
      <c r="B11" s="6" t="s">
        <v>4</v>
      </c>
      <c r="C11" s="6" t="s">
        <v>0</v>
      </c>
      <c r="D11" s="11" t="s">
        <v>9</v>
      </c>
      <c r="G11" s="6" t="s">
        <v>4</v>
      </c>
      <c r="H11" s="6" t="s">
        <v>0</v>
      </c>
      <c r="I11" s="11" t="s">
        <v>9</v>
      </c>
    </row>
    <row r="12" spans="2:9" x14ac:dyDescent="0.25">
      <c r="B12" s="3">
        <v>0</v>
      </c>
      <c r="C12" s="4">
        <f>-C3</f>
        <v>-60000000</v>
      </c>
      <c r="D12" s="4">
        <f>C12*((1+$C$6)^(-B12))</f>
        <v>-60000000</v>
      </c>
      <c r="G12" s="3">
        <v>0</v>
      </c>
      <c r="H12" s="4">
        <f>-D3</f>
        <v>-100000000</v>
      </c>
      <c r="I12" s="4">
        <f>H12*((1+$C$6)^(-G12))</f>
        <v>-100000000</v>
      </c>
    </row>
    <row r="13" spans="2:9" x14ac:dyDescent="0.25">
      <c r="B13" s="3">
        <v>1</v>
      </c>
      <c r="C13" s="5">
        <f>-$C$4</f>
        <v>-15000000</v>
      </c>
      <c r="D13" s="4">
        <f>C13*((1+$C$6)^(-B13))</f>
        <v>-14285714.285714285</v>
      </c>
      <c r="G13" s="3">
        <v>1</v>
      </c>
      <c r="H13" s="5">
        <f>-D4</f>
        <v>-20000000</v>
      </c>
      <c r="I13" s="4">
        <f t="shared" ref="I13:I62" si="0">H13*((1+$C$6)^(-G13))</f>
        <v>-19047619.047619045</v>
      </c>
    </row>
    <row r="14" spans="2:9" x14ac:dyDescent="0.25">
      <c r="B14" s="3">
        <v>2</v>
      </c>
      <c r="C14" s="5">
        <f t="shared" ref="C14:C62" si="1">-$C$4</f>
        <v>-15000000</v>
      </c>
      <c r="D14" s="4">
        <f t="shared" ref="D14:D62" si="2">C14*((1+$C$6)^(-B14))</f>
        <v>-13605442.176870747</v>
      </c>
      <c r="G14" s="3">
        <v>2</v>
      </c>
      <c r="H14" s="5">
        <f>H13+2000000</f>
        <v>-18000000</v>
      </c>
      <c r="I14" s="4">
        <f t="shared" si="0"/>
        <v>-16326530.612244897</v>
      </c>
    </row>
    <row r="15" spans="2:9" x14ac:dyDescent="0.25">
      <c r="B15" s="3">
        <v>3</v>
      </c>
      <c r="C15" s="5">
        <f t="shared" si="1"/>
        <v>-15000000</v>
      </c>
      <c r="D15" s="4">
        <f>C15*((1+$C$6)^(-B15))</f>
        <v>-12957563.977972141</v>
      </c>
      <c r="G15" s="3">
        <v>3</v>
      </c>
      <c r="H15" s="5">
        <f>H14+2000000</f>
        <v>-16000000</v>
      </c>
      <c r="I15" s="4">
        <f t="shared" si="0"/>
        <v>-13821401.576503616</v>
      </c>
    </row>
    <row r="16" spans="2:9" x14ac:dyDescent="0.25">
      <c r="B16" s="3">
        <v>4</v>
      </c>
      <c r="C16" s="5">
        <f t="shared" si="1"/>
        <v>-15000000</v>
      </c>
      <c r="D16" s="4">
        <f t="shared" si="2"/>
        <v>-12340537.121878229</v>
      </c>
      <c r="G16" s="3">
        <v>4</v>
      </c>
      <c r="H16" s="5">
        <f t="shared" ref="H16:H18" si="3">H15+2000000</f>
        <v>-14000000</v>
      </c>
      <c r="I16" s="4">
        <f t="shared" si="0"/>
        <v>-11517834.647086348</v>
      </c>
    </row>
    <row r="17" spans="2:9" x14ac:dyDescent="0.25">
      <c r="B17" s="3">
        <v>5</v>
      </c>
      <c r="C17" s="5">
        <f t="shared" si="1"/>
        <v>-15000000</v>
      </c>
      <c r="D17" s="4">
        <f t="shared" si="2"/>
        <v>-11752892.497026885</v>
      </c>
      <c r="G17" s="3">
        <v>5</v>
      </c>
      <c r="H17" s="5">
        <f t="shared" si="3"/>
        <v>-12000000</v>
      </c>
      <c r="I17" s="4">
        <f t="shared" si="0"/>
        <v>-9402313.9976215083</v>
      </c>
    </row>
    <row r="18" spans="2:9" x14ac:dyDescent="0.25">
      <c r="B18" s="3">
        <v>6</v>
      </c>
      <c r="C18" s="5">
        <f t="shared" si="1"/>
        <v>-15000000</v>
      </c>
      <c r="D18" s="4">
        <f t="shared" si="2"/>
        <v>-11193230.949549414</v>
      </c>
      <c r="G18" s="3">
        <v>6</v>
      </c>
      <c r="H18" s="5">
        <f t="shared" si="3"/>
        <v>-10000000</v>
      </c>
      <c r="I18" s="4">
        <f t="shared" si="0"/>
        <v>-7462153.9663662761</v>
      </c>
    </row>
    <row r="19" spans="2:9" x14ac:dyDescent="0.25">
      <c r="B19" s="3">
        <v>7</v>
      </c>
      <c r="C19" s="5">
        <f t="shared" si="1"/>
        <v>-15000000</v>
      </c>
      <c r="D19" s="4">
        <f t="shared" si="2"/>
        <v>-10660219.951951822</v>
      </c>
      <c r="G19" s="3">
        <v>7</v>
      </c>
      <c r="H19" s="5">
        <f>$H$18</f>
        <v>-10000000</v>
      </c>
      <c r="I19" s="4">
        <f t="shared" si="0"/>
        <v>-7106813.3013012148</v>
      </c>
    </row>
    <row r="20" spans="2:9" x14ac:dyDescent="0.25">
      <c r="B20" s="3">
        <v>8</v>
      </c>
      <c r="C20" s="5">
        <f t="shared" si="1"/>
        <v>-15000000</v>
      </c>
      <c r="D20" s="4">
        <f t="shared" si="2"/>
        <v>-10152590.430430308</v>
      </c>
      <c r="G20" s="3">
        <v>8</v>
      </c>
      <c r="H20" s="5">
        <f t="shared" ref="H20:H62" si="4">$H$18</f>
        <v>-10000000</v>
      </c>
      <c r="I20" s="4">
        <f t="shared" si="0"/>
        <v>-6768393.6202868726</v>
      </c>
    </row>
    <row r="21" spans="2:9" x14ac:dyDescent="0.25">
      <c r="B21" s="3">
        <v>9</v>
      </c>
      <c r="C21" s="5">
        <f t="shared" si="1"/>
        <v>-15000000</v>
      </c>
      <c r="D21" s="4">
        <f t="shared" si="2"/>
        <v>-9669133.7432669587</v>
      </c>
      <c r="G21" s="3">
        <v>9</v>
      </c>
      <c r="H21" s="5">
        <f t="shared" si="4"/>
        <v>-10000000</v>
      </c>
      <c r="I21" s="4">
        <f t="shared" si="0"/>
        <v>-6446089.1621779725</v>
      </c>
    </row>
    <row r="22" spans="2:9" x14ac:dyDescent="0.25">
      <c r="B22" s="3">
        <v>10</v>
      </c>
      <c r="C22" s="5">
        <f t="shared" si="1"/>
        <v>-15000000</v>
      </c>
      <c r="D22" s="4">
        <f t="shared" si="2"/>
        <v>-9208698.8031113893</v>
      </c>
      <c r="G22" s="3">
        <v>10</v>
      </c>
      <c r="H22" s="5">
        <f t="shared" si="4"/>
        <v>-10000000</v>
      </c>
      <c r="I22" s="4">
        <f t="shared" si="0"/>
        <v>-6139132.5354075935</v>
      </c>
    </row>
    <row r="23" spans="2:9" x14ac:dyDescent="0.25">
      <c r="B23" s="3">
        <v>11</v>
      </c>
      <c r="C23" s="5">
        <f t="shared" si="1"/>
        <v>-15000000</v>
      </c>
      <c r="D23" s="4">
        <f t="shared" si="2"/>
        <v>-8770189.3362965602</v>
      </c>
      <c r="G23" s="3">
        <v>11</v>
      </c>
      <c r="H23" s="5">
        <f t="shared" si="4"/>
        <v>-10000000</v>
      </c>
      <c r="I23" s="4">
        <f t="shared" si="0"/>
        <v>-5846792.8908643741</v>
      </c>
    </row>
    <row r="24" spans="2:9" x14ac:dyDescent="0.25">
      <c r="B24" s="3">
        <v>12</v>
      </c>
      <c r="C24" s="5">
        <f t="shared" si="1"/>
        <v>-15000000</v>
      </c>
      <c r="D24" s="4">
        <f t="shared" si="2"/>
        <v>-8352561.2726633921</v>
      </c>
      <c r="G24" s="3">
        <v>12</v>
      </c>
      <c r="H24" s="5">
        <f t="shared" si="4"/>
        <v>-10000000</v>
      </c>
      <c r="I24" s="4">
        <f t="shared" si="0"/>
        <v>-5568374.1817755951</v>
      </c>
    </row>
    <row r="25" spans="2:9" x14ac:dyDescent="0.25">
      <c r="B25" s="3">
        <v>13</v>
      </c>
      <c r="C25" s="5">
        <f t="shared" si="1"/>
        <v>-15000000</v>
      </c>
      <c r="D25" s="4">
        <f t="shared" si="2"/>
        <v>-7954820.259679419</v>
      </c>
      <c r="G25" s="3">
        <v>13</v>
      </c>
      <c r="H25" s="5">
        <f t="shared" si="4"/>
        <v>-10000000</v>
      </c>
      <c r="I25" s="4">
        <f t="shared" si="0"/>
        <v>-5303213.506452946</v>
      </c>
    </row>
    <row r="26" spans="2:9" x14ac:dyDescent="0.25">
      <c r="B26" s="3">
        <v>14</v>
      </c>
      <c r="C26" s="5">
        <f t="shared" si="1"/>
        <v>-15000000</v>
      </c>
      <c r="D26" s="4">
        <f t="shared" si="2"/>
        <v>-7576019.2949327836</v>
      </c>
      <c r="G26" s="3">
        <v>14</v>
      </c>
      <c r="H26" s="5">
        <f t="shared" si="4"/>
        <v>-10000000</v>
      </c>
      <c r="I26" s="4">
        <f t="shared" si="0"/>
        <v>-5050679.5299551887</v>
      </c>
    </row>
    <row r="27" spans="2:9" x14ac:dyDescent="0.25">
      <c r="B27" s="3">
        <v>15</v>
      </c>
      <c r="C27" s="5">
        <f t="shared" si="1"/>
        <v>-15000000</v>
      </c>
      <c r="D27" s="4">
        <f t="shared" si="2"/>
        <v>-7215256.4713645531</v>
      </c>
      <c r="G27" s="3">
        <v>15</v>
      </c>
      <c r="H27" s="5">
        <f t="shared" si="4"/>
        <v>-10000000</v>
      </c>
      <c r="I27" s="4">
        <f t="shared" si="0"/>
        <v>-4810170.9809097024</v>
      </c>
    </row>
    <row r="28" spans="2:9" x14ac:dyDescent="0.25">
      <c r="B28" s="3">
        <v>16</v>
      </c>
      <c r="C28" s="5">
        <f t="shared" si="1"/>
        <v>-15000000</v>
      </c>
      <c r="D28" s="4">
        <f t="shared" si="2"/>
        <v>-6871672.8298710035</v>
      </c>
      <c r="G28" s="3">
        <v>16</v>
      </c>
      <c r="H28" s="5">
        <f t="shared" si="4"/>
        <v>-10000000</v>
      </c>
      <c r="I28" s="4">
        <f t="shared" si="0"/>
        <v>-4581115.2199140023</v>
      </c>
    </row>
    <row r="29" spans="2:9" x14ac:dyDescent="0.25">
      <c r="B29" s="3">
        <v>17</v>
      </c>
      <c r="C29" s="5">
        <f t="shared" si="1"/>
        <v>-15000000</v>
      </c>
      <c r="D29" s="4">
        <f t="shared" si="2"/>
        <v>-6544450.3141628588</v>
      </c>
      <c r="G29" s="3">
        <v>17</v>
      </c>
      <c r="H29" s="5">
        <f t="shared" si="4"/>
        <v>-10000000</v>
      </c>
      <c r="I29" s="4">
        <f t="shared" si="0"/>
        <v>-4362966.8761085728</v>
      </c>
    </row>
    <row r="30" spans="2:9" x14ac:dyDescent="0.25">
      <c r="B30" s="3">
        <v>18</v>
      </c>
      <c r="C30" s="5">
        <f t="shared" si="1"/>
        <v>-15000000</v>
      </c>
      <c r="D30" s="4">
        <f t="shared" si="2"/>
        <v>-6232809.8230122468</v>
      </c>
      <c r="G30" s="3">
        <v>18</v>
      </c>
      <c r="H30" s="5">
        <f t="shared" si="4"/>
        <v>-10000000</v>
      </c>
      <c r="I30" s="4">
        <f t="shared" si="0"/>
        <v>-4155206.5486748312</v>
      </c>
    </row>
    <row r="31" spans="2:9" x14ac:dyDescent="0.25">
      <c r="B31" s="3">
        <v>19</v>
      </c>
      <c r="C31" s="5">
        <f t="shared" si="1"/>
        <v>-15000000</v>
      </c>
      <c r="D31" s="4">
        <f t="shared" si="2"/>
        <v>-5936009.3552497588</v>
      </c>
      <c r="G31" s="3">
        <v>19</v>
      </c>
      <c r="H31" s="5">
        <f t="shared" si="4"/>
        <v>-10000000</v>
      </c>
      <c r="I31" s="4">
        <f t="shared" si="0"/>
        <v>-3957339.5701665059</v>
      </c>
    </row>
    <row r="32" spans="2:9" x14ac:dyDescent="0.25">
      <c r="B32" s="3">
        <v>20</v>
      </c>
      <c r="C32" s="5">
        <f t="shared" si="1"/>
        <v>-15000000</v>
      </c>
      <c r="D32" s="4">
        <f t="shared" si="2"/>
        <v>-5653342.2430950096</v>
      </c>
      <c r="G32" s="3">
        <v>20</v>
      </c>
      <c r="H32" s="5">
        <f t="shared" si="4"/>
        <v>-10000000</v>
      </c>
      <c r="I32" s="4">
        <f t="shared" si="0"/>
        <v>-3768894.8287300062</v>
      </c>
    </row>
    <row r="33" spans="2:9" x14ac:dyDescent="0.25">
      <c r="B33" s="3">
        <v>21</v>
      </c>
      <c r="C33" s="5">
        <f t="shared" si="1"/>
        <v>-15000000</v>
      </c>
      <c r="D33" s="4">
        <f t="shared" si="2"/>
        <v>-5384135.4696142944</v>
      </c>
      <c r="G33" s="3">
        <v>21</v>
      </c>
      <c r="H33" s="5">
        <f t="shared" si="4"/>
        <v>-10000000</v>
      </c>
      <c r="I33" s="4">
        <f t="shared" si="0"/>
        <v>-3589423.6464095297</v>
      </c>
    </row>
    <row r="34" spans="2:9" x14ac:dyDescent="0.25">
      <c r="B34" s="3">
        <v>22</v>
      </c>
      <c r="C34" s="5">
        <f t="shared" si="1"/>
        <v>-15000000</v>
      </c>
      <c r="D34" s="4">
        <f t="shared" si="2"/>
        <v>-5127748.0662993286</v>
      </c>
      <c r="G34" s="3">
        <v>22</v>
      </c>
      <c r="H34" s="5">
        <f t="shared" si="4"/>
        <v>-10000000</v>
      </c>
      <c r="I34" s="4">
        <f t="shared" si="0"/>
        <v>-3418498.7108662189</v>
      </c>
    </row>
    <row r="35" spans="2:9" x14ac:dyDescent="0.25">
      <c r="B35" s="3">
        <v>23</v>
      </c>
      <c r="C35" s="5">
        <f t="shared" si="1"/>
        <v>-15000000</v>
      </c>
      <c r="D35" s="4">
        <f t="shared" si="2"/>
        <v>-4883569.5869517401</v>
      </c>
      <c r="G35" s="3">
        <v>23</v>
      </c>
      <c r="H35" s="5">
        <f t="shared" si="4"/>
        <v>-10000000</v>
      </c>
      <c r="I35" s="4">
        <f t="shared" si="0"/>
        <v>-3255713.0579678267</v>
      </c>
    </row>
    <row r="36" spans="2:9" x14ac:dyDescent="0.25">
      <c r="B36" s="3">
        <v>24</v>
      </c>
      <c r="C36" s="5">
        <f t="shared" si="1"/>
        <v>-15000000</v>
      </c>
      <c r="D36" s="4">
        <f t="shared" si="2"/>
        <v>-4651018.6542397533</v>
      </c>
      <c r="G36" s="3">
        <v>24</v>
      </c>
      <c r="H36" s="5">
        <f t="shared" si="4"/>
        <v>-10000000</v>
      </c>
      <c r="I36" s="4">
        <f t="shared" si="0"/>
        <v>-3100679.1028265022</v>
      </c>
    </row>
    <row r="37" spans="2:9" x14ac:dyDescent="0.25">
      <c r="B37" s="3">
        <v>25</v>
      </c>
      <c r="C37" s="5">
        <f t="shared" si="1"/>
        <v>-15000000</v>
      </c>
      <c r="D37" s="4">
        <f t="shared" si="2"/>
        <v>-4429541.5754664317</v>
      </c>
      <c r="G37" s="3">
        <v>25</v>
      </c>
      <c r="H37" s="5">
        <f t="shared" si="4"/>
        <v>-10000000</v>
      </c>
      <c r="I37" s="4">
        <f t="shared" si="0"/>
        <v>-2953027.716977621</v>
      </c>
    </row>
    <row r="38" spans="2:9" x14ac:dyDescent="0.25">
      <c r="B38" s="3">
        <v>26</v>
      </c>
      <c r="C38" s="5">
        <f t="shared" si="1"/>
        <v>-15000000</v>
      </c>
      <c r="D38" s="4">
        <f t="shared" si="2"/>
        <v>-4218611.0242537437</v>
      </c>
      <c r="G38" s="3">
        <v>26</v>
      </c>
      <c r="H38" s="5">
        <f t="shared" si="4"/>
        <v>-10000000</v>
      </c>
      <c r="I38" s="4">
        <f t="shared" si="0"/>
        <v>-2812407.349502496</v>
      </c>
    </row>
    <row r="39" spans="2:9" x14ac:dyDescent="0.25">
      <c r="B39" s="3">
        <v>27</v>
      </c>
      <c r="C39" s="5">
        <f t="shared" si="1"/>
        <v>-15000000</v>
      </c>
      <c r="D39" s="4">
        <f t="shared" si="2"/>
        <v>-4017724.7850035657</v>
      </c>
      <c r="G39" s="3">
        <v>27</v>
      </c>
      <c r="H39" s="5">
        <f t="shared" si="4"/>
        <v>-10000000</v>
      </c>
      <c r="I39" s="4">
        <f t="shared" si="0"/>
        <v>-2678483.1900023771</v>
      </c>
    </row>
    <row r="40" spans="2:9" x14ac:dyDescent="0.25">
      <c r="B40" s="3">
        <v>28</v>
      </c>
      <c r="C40" s="5">
        <f t="shared" si="1"/>
        <v>-15000000</v>
      </c>
      <c r="D40" s="4">
        <f t="shared" si="2"/>
        <v>-3826404.557146254</v>
      </c>
      <c r="G40" s="3">
        <v>28</v>
      </c>
      <c r="H40" s="5">
        <f t="shared" si="4"/>
        <v>-10000000</v>
      </c>
      <c r="I40" s="4">
        <f t="shared" si="0"/>
        <v>-2550936.3714308357</v>
      </c>
    </row>
    <row r="41" spans="2:9" x14ac:dyDescent="0.25">
      <c r="B41" s="3">
        <v>29</v>
      </c>
      <c r="C41" s="5">
        <f t="shared" si="1"/>
        <v>-15000000</v>
      </c>
      <c r="D41" s="4">
        <f t="shared" si="2"/>
        <v>-3644194.8163297647</v>
      </c>
      <c r="G41" s="3">
        <v>29</v>
      </c>
      <c r="H41" s="5">
        <f t="shared" si="4"/>
        <v>-10000000</v>
      </c>
      <c r="I41" s="4">
        <f t="shared" si="0"/>
        <v>-2429463.2108865096</v>
      </c>
    </row>
    <row r="42" spans="2:9" x14ac:dyDescent="0.25">
      <c r="B42" s="3">
        <v>30</v>
      </c>
      <c r="C42" s="5">
        <f t="shared" si="1"/>
        <v>-15000000</v>
      </c>
      <c r="D42" s="4">
        <f t="shared" si="2"/>
        <v>-3470661.7298378721</v>
      </c>
      <c r="G42" s="3">
        <v>30</v>
      </c>
      <c r="H42" s="5">
        <f t="shared" si="4"/>
        <v>-10000000</v>
      </c>
      <c r="I42" s="4">
        <f t="shared" si="0"/>
        <v>-2313774.4865585812</v>
      </c>
    </row>
    <row r="43" spans="2:9" x14ac:dyDescent="0.25">
      <c r="B43" s="3">
        <v>31</v>
      </c>
      <c r="C43" s="5">
        <f t="shared" si="1"/>
        <v>-15000000</v>
      </c>
      <c r="D43" s="4">
        <f t="shared" si="2"/>
        <v>-3305392.1236551148</v>
      </c>
      <c r="G43" s="3">
        <v>31</v>
      </c>
      <c r="H43" s="5">
        <f t="shared" si="4"/>
        <v>-10000000</v>
      </c>
      <c r="I43" s="4">
        <f t="shared" si="0"/>
        <v>-2203594.7491034102</v>
      </c>
    </row>
    <row r="44" spans="2:9" x14ac:dyDescent="0.25">
      <c r="B44" s="3">
        <v>32</v>
      </c>
      <c r="C44" s="5">
        <f t="shared" si="1"/>
        <v>-15000000</v>
      </c>
      <c r="D44" s="4">
        <f t="shared" si="2"/>
        <v>-3147992.4987191572</v>
      </c>
      <c r="G44" s="3">
        <v>32</v>
      </c>
      <c r="H44" s="5">
        <f t="shared" si="4"/>
        <v>-10000000</v>
      </c>
      <c r="I44" s="4">
        <f t="shared" si="0"/>
        <v>-2098661.6658127718</v>
      </c>
    </row>
    <row r="45" spans="2:9" x14ac:dyDescent="0.25">
      <c r="B45" s="3">
        <v>33</v>
      </c>
      <c r="C45" s="5">
        <f t="shared" si="1"/>
        <v>-15000000</v>
      </c>
      <c r="D45" s="4">
        <f t="shared" si="2"/>
        <v>-2998088.0940182451</v>
      </c>
      <c r="G45" s="3">
        <v>33</v>
      </c>
      <c r="H45" s="5">
        <f t="shared" si="4"/>
        <v>-10000000</v>
      </c>
      <c r="I45" s="4">
        <f t="shared" si="0"/>
        <v>-1998725.3960121635</v>
      </c>
    </row>
    <row r="46" spans="2:9" x14ac:dyDescent="0.25">
      <c r="B46" s="3">
        <v>34</v>
      </c>
      <c r="C46" s="5">
        <f t="shared" si="1"/>
        <v>-15000000</v>
      </c>
      <c r="D46" s="4">
        <f t="shared" si="2"/>
        <v>-2855321.9943030905</v>
      </c>
      <c r="G46" s="3">
        <v>34</v>
      </c>
      <c r="H46" s="5">
        <f t="shared" si="4"/>
        <v>-10000000</v>
      </c>
      <c r="I46" s="4">
        <f t="shared" si="0"/>
        <v>-1903547.9962020605</v>
      </c>
    </row>
    <row r="47" spans="2:9" x14ac:dyDescent="0.25">
      <c r="B47" s="3">
        <v>35</v>
      </c>
      <c r="C47" s="5">
        <f t="shared" si="1"/>
        <v>-15000000</v>
      </c>
      <c r="D47" s="4">
        <f t="shared" si="2"/>
        <v>-2719354.2802886572</v>
      </c>
      <c r="G47" s="3">
        <v>35</v>
      </c>
      <c r="H47" s="5">
        <f t="shared" si="4"/>
        <v>-10000000</v>
      </c>
      <c r="I47" s="4">
        <f t="shared" si="0"/>
        <v>-1812902.8535257715</v>
      </c>
    </row>
    <row r="48" spans="2:9" x14ac:dyDescent="0.25">
      <c r="B48" s="3">
        <v>36</v>
      </c>
      <c r="C48" s="5">
        <f t="shared" si="1"/>
        <v>-15000000</v>
      </c>
      <c r="D48" s="4">
        <f t="shared" si="2"/>
        <v>-2589861.219322531</v>
      </c>
      <c r="G48" s="3">
        <v>36</v>
      </c>
      <c r="H48" s="5">
        <f t="shared" si="4"/>
        <v>-10000000</v>
      </c>
      <c r="I48" s="4">
        <f t="shared" si="0"/>
        <v>-1726574.1462150209</v>
      </c>
    </row>
    <row r="49" spans="2:10" x14ac:dyDescent="0.25">
      <c r="B49" s="3">
        <v>37</v>
      </c>
      <c r="C49" s="5">
        <f t="shared" si="1"/>
        <v>-15000000</v>
      </c>
      <c r="D49" s="4">
        <f t="shared" si="2"/>
        <v>-2466534.4945928864</v>
      </c>
      <c r="G49" s="3">
        <v>37</v>
      </c>
      <c r="H49" s="5">
        <f t="shared" si="4"/>
        <v>-10000000</v>
      </c>
      <c r="I49" s="4">
        <f t="shared" si="0"/>
        <v>-1644356.329728591</v>
      </c>
    </row>
    <row r="50" spans="2:10" x14ac:dyDescent="0.25">
      <c r="B50" s="3">
        <v>38</v>
      </c>
      <c r="C50" s="5">
        <f t="shared" si="1"/>
        <v>-15000000</v>
      </c>
      <c r="D50" s="4">
        <f t="shared" si="2"/>
        <v>-2349080.4710408449</v>
      </c>
      <c r="G50" s="3">
        <v>38</v>
      </c>
      <c r="H50" s="5">
        <f t="shared" si="4"/>
        <v>-10000000</v>
      </c>
      <c r="I50" s="4">
        <f t="shared" si="0"/>
        <v>-1566053.6473605633</v>
      </c>
    </row>
    <row r="51" spans="2:10" x14ac:dyDescent="0.25">
      <c r="B51" s="3">
        <v>39</v>
      </c>
      <c r="C51" s="5">
        <f t="shared" si="1"/>
        <v>-15000000</v>
      </c>
      <c r="D51" s="4">
        <f t="shared" si="2"/>
        <v>-2237219.4962293757</v>
      </c>
      <c r="G51" s="3">
        <v>39</v>
      </c>
      <c r="H51" s="5">
        <f t="shared" si="4"/>
        <v>-10000000</v>
      </c>
      <c r="I51" s="4">
        <f t="shared" si="0"/>
        <v>-1491479.6641529172</v>
      </c>
    </row>
    <row r="52" spans="2:10" x14ac:dyDescent="0.25">
      <c r="B52" s="3">
        <v>40</v>
      </c>
      <c r="C52" s="5">
        <f t="shared" si="1"/>
        <v>-15000000</v>
      </c>
      <c r="D52" s="4">
        <f t="shared" si="2"/>
        <v>-2130685.2345041675</v>
      </c>
      <c r="G52" s="3">
        <v>40</v>
      </c>
      <c r="H52" s="5">
        <f t="shared" si="4"/>
        <v>-10000000</v>
      </c>
      <c r="I52" s="4">
        <f t="shared" si="0"/>
        <v>-1420456.8230027785</v>
      </c>
    </row>
    <row r="53" spans="2:10" x14ac:dyDescent="0.25">
      <c r="B53" s="3">
        <v>41</v>
      </c>
      <c r="C53" s="5">
        <f t="shared" si="1"/>
        <v>-15000000</v>
      </c>
      <c r="D53" s="4">
        <f t="shared" si="2"/>
        <v>-2029224.0328611117</v>
      </c>
      <c r="G53" s="3">
        <v>41</v>
      </c>
      <c r="H53" s="5">
        <f t="shared" si="4"/>
        <v>-10000000</v>
      </c>
      <c r="I53" s="4">
        <f t="shared" si="0"/>
        <v>-1352816.0219074078</v>
      </c>
    </row>
    <row r="54" spans="2:10" x14ac:dyDescent="0.25">
      <c r="B54" s="3">
        <v>42</v>
      </c>
      <c r="C54" s="5">
        <f t="shared" si="1"/>
        <v>-15000000</v>
      </c>
      <c r="D54" s="4">
        <f t="shared" si="2"/>
        <v>-1932594.3170105827</v>
      </c>
      <c r="G54" s="3">
        <v>42</v>
      </c>
      <c r="H54" s="5">
        <f t="shared" si="4"/>
        <v>-10000000</v>
      </c>
      <c r="I54" s="4">
        <f t="shared" si="0"/>
        <v>-1288396.2113403885</v>
      </c>
    </row>
    <row r="55" spans="2:10" x14ac:dyDescent="0.25">
      <c r="B55" s="3">
        <v>43</v>
      </c>
      <c r="C55" s="5">
        <f t="shared" si="1"/>
        <v>-15000000</v>
      </c>
      <c r="D55" s="4">
        <f t="shared" si="2"/>
        <v>-1840566.0162005548</v>
      </c>
      <c r="G55" s="3">
        <v>43</v>
      </c>
      <c r="H55" s="5">
        <f t="shared" si="4"/>
        <v>-10000000</v>
      </c>
      <c r="I55" s="4">
        <f t="shared" si="0"/>
        <v>-1227044.0108003698</v>
      </c>
    </row>
    <row r="56" spans="2:10" x14ac:dyDescent="0.25">
      <c r="B56" s="3">
        <v>44</v>
      </c>
      <c r="C56" s="5">
        <f t="shared" si="1"/>
        <v>-15000000</v>
      </c>
      <c r="D56" s="4">
        <f t="shared" si="2"/>
        <v>-1752920.0154290998</v>
      </c>
      <c r="G56" s="3">
        <v>44</v>
      </c>
      <c r="H56" s="5">
        <f t="shared" si="4"/>
        <v>-10000000</v>
      </c>
      <c r="I56" s="4">
        <f t="shared" si="0"/>
        <v>-1168613.3436193999</v>
      </c>
    </row>
    <row r="57" spans="2:10" x14ac:dyDescent="0.25">
      <c r="B57" s="3">
        <v>45</v>
      </c>
      <c r="C57" s="5">
        <f t="shared" si="1"/>
        <v>-15000000</v>
      </c>
      <c r="D57" s="4">
        <f t="shared" si="2"/>
        <v>-1669447.6337419995</v>
      </c>
      <c r="G57" s="3">
        <v>45</v>
      </c>
      <c r="H57" s="5">
        <f t="shared" si="4"/>
        <v>-10000000</v>
      </c>
      <c r="I57" s="4">
        <f t="shared" si="0"/>
        <v>-1112965.0891613329</v>
      </c>
    </row>
    <row r="58" spans="2:10" x14ac:dyDescent="0.25">
      <c r="B58" s="3">
        <v>46</v>
      </c>
      <c r="C58" s="5">
        <f t="shared" si="1"/>
        <v>-15000000</v>
      </c>
      <c r="D58" s="4">
        <f t="shared" si="2"/>
        <v>-1589950.1273733331</v>
      </c>
      <c r="G58" s="3">
        <v>46</v>
      </c>
      <c r="H58" s="5">
        <f t="shared" si="4"/>
        <v>-10000000</v>
      </c>
      <c r="I58" s="4">
        <f t="shared" si="0"/>
        <v>-1059966.7515822221</v>
      </c>
    </row>
    <row r="59" spans="2:10" x14ac:dyDescent="0.25">
      <c r="B59" s="3">
        <v>47</v>
      </c>
      <c r="C59" s="5">
        <f t="shared" si="1"/>
        <v>-15000000</v>
      </c>
      <c r="D59" s="4">
        <f t="shared" si="2"/>
        <v>-1514238.2165460312</v>
      </c>
      <c r="G59" s="3">
        <v>47</v>
      </c>
      <c r="H59" s="5">
        <f t="shared" si="4"/>
        <v>-10000000</v>
      </c>
      <c r="I59" s="4">
        <f t="shared" si="0"/>
        <v>-1009492.1443640208</v>
      </c>
    </row>
    <row r="60" spans="2:10" x14ac:dyDescent="0.25">
      <c r="B60" s="3">
        <v>48</v>
      </c>
      <c r="C60" s="5">
        <f t="shared" si="1"/>
        <v>-15000000</v>
      </c>
      <c r="D60" s="4">
        <f t="shared" si="2"/>
        <v>-1442131.6348057443</v>
      </c>
      <c r="G60" s="3">
        <v>48</v>
      </c>
      <c r="H60" s="5">
        <f t="shared" si="4"/>
        <v>-10000000</v>
      </c>
      <c r="I60" s="4">
        <f t="shared" si="0"/>
        <v>-961421.08987049607</v>
      </c>
    </row>
    <row r="61" spans="2:10" x14ac:dyDescent="0.25">
      <c r="B61" s="3">
        <v>49</v>
      </c>
      <c r="C61" s="5">
        <f t="shared" si="1"/>
        <v>-15000000</v>
      </c>
      <c r="D61" s="4">
        <f t="shared" si="2"/>
        <v>-1373458.6998149944</v>
      </c>
      <c r="G61" s="3">
        <v>49</v>
      </c>
      <c r="H61" s="5">
        <f t="shared" si="4"/>
        <v>-10000000</v>
      </c>
      <c r="I61" s="4">
        <f t="shared" si="0"/>
        <v>-915639.13320999627</v>
      </c>
    </row>
    <row r="62" spans="2:10" x14ac:dyDescent="0.25">
      <c r="B62" s="3">
        <v>50</v>
      </c>
      <c r="C62" s="5">
        <f t="shared" si="1"/>
        <v>-15000000</v>
      </c>
      <c r="D62" s="4">
        <f t="shared" si="2"/>
        <v>-1308055.9045857089</v>
      </c>
      <c r="G62" s="3">
        <v>50</v>
      </c>
      <c r="H62" s="5">
        <f t="shared" si="4"/>
        <v>-10000000</v>
      </c>
      <c r="I62" s="4">
        <f t="shared" si="0"/>
        <v>-872037.26972380583</v>
      </c>
    </row>
    <row r="63" spans="2:10" x14ac:dyDescent="0.25">
      <c r="C63" s="8"/>
      <c r="D63" s="12">
        <f>SUM(D12:D62)</f>
        <v>-333838881.90828562</v>
      </c>
      <c r="H63" s="8"/>
      <c r="I63" s="25">
        <f>SUM(I12:I62)</f>
        <v>-309380187.78029108</v>
      </c>
      <c r="J63" s="35">
        <f>D63-I63</f>
        <v>-24458694.127994537</v>
      </c>
    </row>
    <row r="66" spans="2:10" x14ac:dyDescent="0.25">
      <c r="B66" s="18" t="s">
        <v>20</v>
      </c>
      <c r="H66" s="18" t="s">
        <v>21</v>
      </c>
    </row>
    <row r="67" spans="2:10" x14ac:dyDescent="0.25">
      <c r="B67" s="18" t="s">
        <v>27</v>
      </c>
      <c r="H67" s="18" t="s">
        <v>26</v>
      </c>
    </row>
    <row r="68" spans="2:10" x14ac:dyDescent="0.25">
      <c r="B68" s="3" t="s">
        <v>4</v>
      </c>
      <c r="C68" s="3" t="s">
        <v>0</v>
      </c>
      <c r="D68" s="3" t="s">
        <v>28</v>
      </c>
      <c r="E68" s="3" t="s">
        <v>9</v>
      </c>
      <c r="H68" s="3" t="s">
        <v>4</v>
      </c>
      <c r="I68" s="3" t="s">
        <v>0</v>
      </c>
      <c r="J68" s="3" t="s">
        <v>9</v>
      </c>
    </row>
    <row r="69" spans="2:10" x14ac:dyDescent="0.25">
      <c r="B69" s="3">
        <v>0</v>
      </c>
      <c r="C69" s="97">
        <v>0</v>
      </c>
      <c r="D69" s="98">
        <v>0</v>
      </c>
      <c r="E69" s="98">
        <f>(C69+D69)*((1+$C$6)^(-B69))</f>
        <v>0</v>
      </c>
      <c r="H69" s="3">
        <v>0</v>
      </c>
      <c r="I69" s="98">
        <f>-C3</f>
        <v>-60000000</v>
      </c>
      <c r="J69" s="98">
        <f>I69*((1+$C$6)^(-H69))</f>
        <v>-60000000</v>
      </c>
    </row>
    <row r="70" spans="2:10" x14ac:dyDescent="0.25">
      <c r="B70" s="3">
        <v>1</v>
      </c>
      <c r="C70" s="5">
        <v>0</v>
      </c>
      <c r="D70" s="98">
        <v>-16000000</v>
      </c>
      <c r="E70" s="98">
        <f>(C70+D70)*((1+$C$6)^(-B70))</f>
        <v>-15238095.238095237</v>
      </c>
      <c r="H70" s="3">
        <v>1</v>
      </c>
      <c r="I70" s="5">
        <f>-$C$4</f>
        <v>-15000000</v>
      </c>
      <c r="J70" s="98">
        <f t="shared" ref="J70:J119" si="5">I70*((1+$C$6)^(-H70))</f>
        <v>-14285714.285714285</v>
      </c>
    </row>
    <row r="71" spans="2:10" x14ac:dyDescent="0.25">
      <c r="B71" s="3">
        <v>2</v>
      </c>
      <c r="C71" s="5">
        <v>0</v>
      </c>
      <c r="D71" s="98">
        <v>-16000000</v>
      </c>
      <c r="E71" s="98">
        <f t="shared" ref="E71:E119" si="6">(C71+D71)*((1+$C$6)^(-B71))</f>
        <v>-14512471.655328797</v>
      </c>
      <c r="H71" s="3">
        <v>2</v>
      </c>
      <c r="I71" s="5">
        <f t="shared" ref="I71:I74" si="7">-$C$4</f>
        <v>-15000000</v>
      </c>
      <c r="J71" s="98">
        <f t="shared" si="5"/>
        <v>-13605442.176870747</v>
      </c>
    </row>
    <row r="72" spans="2:10" x14ac:dyDescent="0.25">
      <c r="B72" s="3">
        <v>3</v>
      </c>
      <c r="C72" s="5">
        <v>0</v>
      </c>
      <c r="D72" s="98">
        <v>-16000000</v>
      </c>
      <c r="E72" s="98">
        <f t="shared" si="6"/>
        <v>-13821401.576503616</v>
      </c>
      <c r="H72" s="3">
        <v>3</v>
      </c>
      <c r="I72" s="5">
        <f t="shared" si="7"/>
        <v>-15000000</v>
      </c>
      <c r="J72" s="98">
        <f t="shared" si="5"/>
        <v>-12957563.977972141</v>
      </c>
    </row>
    <row r="73" spans="2:10" x14ac:dyDescent="0.25">
      <c r="B73" s="3">
        <v>4</v>
      </c>
      <c r="C73" s="5">
        <v>0</v>
      </c>
      <c r="D73" s="98">
        <v>-16000000</v>
      </c>
      <c r="E73" s="98">
        <f t="shared" si="6"/>
        <v>-13163239.596670112</v>
      </c>
      <c r="H73" s="3">
        <v>4</v>
      </c>
      <c r="I73" s="5">
        <f t="shared" si="7"/>
        <v>-15000000</v>
      </c>
      <c r="J73" s="98">
        <f t="shared" si="5"/>
        <v>-12340537.121878229</v>
      </c>
    </row>
    <row r="74" spans="2:10" x14ac:dyDescent="0.25">
      <c r="B74" s="3">
        <v>5</v>
      </c>
      <c r="C74" s="98">
        <f>-D3</f>
        <v>-100000000</v>
      </c>
      <c r="D74" s="98">
        <v>-16000000</v>
      </c>
      <c r="E74" s="98">
        <f>(C74+D74)*((1+$C$6)^(-B74))</f>
        <v>-90889035.310341239</v>
      </c>
      <c r="H74" s="3">
        <v>5</v>
      </c>
      <c r="I74" s="5">
        <f t="shared" si="7"/>
        <v>-15000000</v>
      </c>
      <c r="J74" s="98">
        <f t="shared" si="5"/>
        <v>-11752892.497026885</v>
      </c>
    </row>
    <row r="75" spans="2:10" x14ac:dyDescent="0.25">
      <c r="B75" s="3">
        <v>6</v>
      </c>
      <c r="C75" s="5">
        <f t="shared" ref="C75:C79" si="8">$H$18</f>
        <v>-10000000</v>
      </c>
      <c r="D75" s="98">
        <v>0</v>
      </c>
      <c r="E75" s="98">
        <f t="shared" si="6"/>
        <v>-7462153.9663662761</v>
      </c>
      <c r="H75" s="99">
        <v>6</v>
      </c>
      <c r="I75" s="56">
        <f>-C4-100000000</f>
        <v>-115000000</v>
      </c>
      <c r="J75" s="100">
        <f t="shared" si="5"/>
        <v>-85814770.613212183</v>
      </c>
    </row>
    <row r="76" spans="2:10" x14ac:dyDescent="0.25">
      <c r="B76" s="3">
        <v>7</v>
      </c>
      <c r="C76" s="5">
        <f t="shared" si="8"/>
        <v>-10000000</v>
      </c>
      <c r="D76" s="98">
        <v>0</v>
      </c>
      <c r="E76" s="98">
        <f t="shared" si="6"/>
        <v>-7106813.3013012148</v>
      </c>
      <c r="H76" s="3">
        <v>7</v>
      </c>
      <c r="I76" s="5">
        <f t="shared" ref="I76:I80" si="9">$H$18</f>
        <v>-10000000</v>
      </c>
      <c r="J76" s="98">
        <f t="shared" si="5"/>
        <v>-7106813.3013012148</v>
      </c>
    </row>
    <row r="77" spans="2:10" x14ac:dyDescent="0.25">
      <c r="B77" s="3">
        <v>8</v>
      </c>
      <c r="C77" s="5">
        <f t="shared" si="8"/>
        <v>-10000000</v>
      </c>
      <c r="D77" s="98">
        <v>0</v>
      </c>
      <c r="E77" s="98">
        <f t="shared" si="6"/>
        <v>-6768393.6202868726</v>
      </c>
      <c r="H77" s="3">
        <v>8</v>
      </c>
      <c r="I77" s="5">
        <f t="shared" si="9"/>
        <v>-10000000</v>
      </c>
      <c r="J77" s="98">
        <f t="shared" si="5"/>
        <v>-6768393.6202868726</v>
      </c>
    </row>
    <row r="78" spans="2:10" x14ac:dyDescent="0.25">
      <c r="B78" s="3">
        <v>9</v>
      </c>
      <c r="C78" s="5">
        <f t="shared" si="8"/>
        <v>-10000000</v>
      </c>
      <c r="D78" s="98">
        <v>0</v>
      </c>
      <c r="E78" s="98">
        <f t="shared" si="6"/>
        <v>-6446089.1621779725</v>
      </c>
      <c r="H78" s="3">
        <v>9</v>
      </c>
      <c r="I78" s="5">
        <f t="shared" si="9"/>
        <v>-10000000</v>
      </c>
      <c r="J78" s="98">
        <f t="shared" si="5"/>
        <v>-6446089.1621779725</v>
      </c>
    </row>
    <row r="79" spans="2:10" x14ac:dyDescent="0.25">
      <c r="B79" s="3">
        <v>10</v>
      </c>
      <c r="C79" s="5">
        <f t="shared" si="8"/>
        <v>-10000000</v>
      </c>
      <c r="D79" s="98">
        <v>0</v>
      </c>
      <c r="E79" s="98">
        <f t="shared" si="6"/>
        <v>-6139132.5354075935</v>
      </c>
      <c r="H79" s="3">
        <v>10</v>
      </c>
      <c r="I79" s="5">
        <f t="shared" si="9"/>
        <v>-10000000</v>
      </c>
      <c r="J79" s="98">
        <f t="shared" si="5"/>
        <v>-6139132.5354075935</v>
      </c>
    </row>
    <row r="80" spans="2:10" x14ac:dyDescent="0.25">
      <c r="B80" s="3">
        <v>11</v>
      </c>
      <c r="C80" s="5">
        <f t="shared" ref="C80:C119" si="10">$H$18</f>
        <v>-10000000</v>
      </c>
      <c r="D80" s="98">
        <v>0</v>
      </c>
      <c r="E80" s="98">
        <f t="shared" si="6"/>
        <v>-5846792.8908643741</v>
      </c>
      <c r="H80" s="3">
        <v>11</v>
      </c>
      <c r="I80" s="5">
        <f t="shared" si="9"/>
        <v>-10000000</v>
      </c>
      <c r="J80" s="98">
        <f t="shared" si="5"/>
        <v>-5846792.8908643741</v>
      </c>
    </row>
    <row r="81" spans="2:10" x14ac:dyDescent="0.25">
      <c r="B81" s="3">
        <v>12</v>
      </c>
      <c r="C81" s="5">
        <f t="shared" si="10"/>
        <v>-10000000</v>
      </c>
      <c r="D81" s="98">
        <v>0</v>
      </c>
      <c r="E81" s="98">
        <f t="shared" si="6"/>
        <v>-5568374.1817755951</v>
      </c>
      <c r="H81" s="3">
        <v>12</v>
      </c>
      <c r="I81" s="5">
        <f t="shared" ref="I81:I119" si="11">$H$18</f>
        <v>-10000000</v>
      </c>
      <c r="J81" s="98">
        <f t="shared" si="5"/>
        <v>-5568374.1817755951</v>
      </c>
    </row>
    <row r="82" spans="2:10" x14ac:dyDescent="0.25">
      <c r="B82" s="3">
        <v>13</v>
      </c>
      <c r="C82" s="5">
        <f t="shared" si="10"/>
        <v>-10000000</v>
      </c>
      <c r="D82" s="98">
        <v>0</v>
      </c>
      <c r="E82" s="98">
        <f t="shared" si="6"/>
        <v>-5303213.506452946</v>
      </c>
      <c r="H82" s="3">
        <v>13</v>
      </c>
      <c r="I82" s="5">
        <f t="shared" si="11"/>
        <v>-10000000</v>
      </c>
      <c r="J82" s="98">
        <f t="shared" si="5"/>
        <v>-5303213.506452946</v>
      </c>
    </row>
    <row r="83" spans="2:10" x14ac:dyDescent="0.25">
      <c r="B83" s="3">
        <v>14</v>
      </c>
      <c r="C83" s="5">
        <f t="shared" si="10"/>
        <v>-10000000</v>
      </c>
      <c r="D83" s="98">
        <v>0</v>
      </c>
      <c r="E83" s="98">
        <f t="shared" si="6"/>
        <v>-5050679.5299551887</v>
      </c>
      <c r="H83" s="3">
        <v>14</v>
      </c>
      <c r="I83" s="5">
        <f t="shared" si="11"/>
        <v>-10000000</v>
      </c>
      <c r="J83" s="98">
        <f t="shared" si="5"/>
        <v>-5050679.5299551887</v>
      </c>
    </row>
    <row r="84" spans="2:10" x14ac:dyDescent="0.25">
      <c r="B84" s="3">
        <v>15</v>
      </c>
      <c r="C84" s="5">
        <f t="shared" si="10"/>
        <v>-10000000</v>
      </c>
      <c r="D84" s="98">
        <v>0</v>
      </c>
      <c r="E84" s="98">
        <f t="shared" si="6"/>
        <v>-4810170.9809097024</v>
      </c>
      <c r="H84" s="3">
        <v>15</v>
      </c>
      <c r="I84" s="5">
        <f t="shared" si="11"/>
        <v>-10000000</v>
      </c>
      <c r="J84" s="98">
        <f t="shared" si="5"/>
        <v>-4810170.9809097024</v>
      </c>
    </row>
    <row r="85" spans="2:10" x14ac:dyDescent="0.25">
      <c r="B85" s="3">
        <v>16</v>
      </c>
      <c r="C85" s="5">
        <f t="shared" si="10"/>
        <v>-10000000</v>
      </c>
      <c r="D85" s="98">
        <v>0</v>
      </c>
      <c r="E85" s="98">
        <f t="shared" si="6"/>
        <v>-4581115.2199140023</v>
      </c>
      <c r="H85" s="3">
        <v>16</v>
      </c>
      <c r="I85" s="5">
        <f t="shared" si="11"/>
        <v>-10000000</v>
      </c>
      <c r="J85" s="98">
        <f t="shared" si="5"/>
        <v>-4581115.2199140023</v>
      </c>
    </row>
    <row r="86" spans="2:10" x14ac:dyDescent="0.25">
      <c r="B86" s="3">
        <v>17</v>
      </c>
      <c r="C86" s="5">
        <f t="shared" si="10"/>
        <v>-10000000</v>
      </c>
      <c r="D86" s="98">
        <v>0</v>
      </c>
      <c r="E86" s="98">
        <f t="shared" si="6"/>
        <v>-4362966.8761085728</v>
      </c>
      <c r="H86" s="3">
        <v>17</v>
      </c>
      <c r="I86" s="5">
        <f t="shared" si="11"/>
        <v>-10000000</v>
      </c>
      <c r="J86" s="98">
        <f t="shared" si="5"/>
        <v>-4362966.8761085728</v>
      </c>
    </row>
    <row r="87" spans="2:10" hidden="1" x14ac:dyDescent="0.25">
      <c r="B87" s="3">
        <v>18</v>
      </c>
      <c r="C87" s="5">
        <f t="shared" si="10"/>
        <v>-10000000</v>
      </c>
      <c r="D87" s="4">
        <v>0</v>
      </c>
      <c r="E87" s="4">
        <f t="shared" si="6"/>
        <v>-4155206.5486748312</v>
      </c>
      <c r="H87" s="3">
        <v>18</v>
      </c>
      <c r="I87" s="5">
        <f t="shared" si="11"/>
        <v>-10000000</v>
      </c>
      <c r="J87" s="4">
        <f t="shared" si="5"/>
        <v>-4155206.5486748312</v>
      </c>
    </row>
    <row r="88" spans="2:10" hidden="1" x14ac:dyDescent="0.25">
      <c r="B88" s="3">
        <v>19</v>
      </c>
      <c r="C88" s="5">
        <f t="shared" si="10"/>
        <v>-10000000</v>
      </c>
      <c r="D88" s="4">
        <v>0</v>
      </c>
      <c r="E88" s="4">
        <f t="shared" si="6"/>
        <v>-3957339.5701665059</v>
      </c>
      <c r="H88" s="3">
        <v>19</v>
      </c>
      <c r="I88" s="5">
        <f t="shared" si="11"/>
        <v>-10000000</v>
      </c>
      <c r="J88" s="4">
        <f t="shared" si="5"/>
        <v>-3957339.5701665059</v>
      </c>
    </row>
    <row r="89" spans="2:10" hidden="1" x14ac:dyDescent="0.25">
      <c r="B89" s="3">
        <v>20</v>
      </c>
      <c r="C89" s="5">
        <f t="shared" si="10"/>
        <v>-10000000</v>
      </c>
      <c r="D89" s="4">
        <v>0</v>
      </c>
      <c r="E89" s="4">
        <f t="shared" si="6"/>
        <v>-3768894.8287300062</v>
      </c>
      <c r="H89" s="3">
        <v>20</v>
      </c>
      <c r="I89" s="5">
        <f t="shared" si="11"/>
        <v>-10000000</v>
      </c>
      <c r="J89" s="4">
        <f t="shared" si="5"/>
        <v>-3768894.8287300062</v>
      </c>
    </row>
    <row r="90" spans="2:10" hidden="1" x14ac:dyDescent="0.25">
      <c r="B90" s="3">
        <v>21</v>
      </c>
      <c r="C90" s="5">
        <f t="shared" si="10"/>
        <v>-10000000</v>
      </c>
      <c r="D90" s="4">
        <v>0</v>
      </c>
      <c r="E90" s="4">
        <f t="shared" si="6"/>
        <v>-3589423.6464095297</v>
      </c>
      <c r="H90" s="3">
        <v>21</v>
      </c>
      <c r="I90" s="5">
        <f t="shared" si="11"/>
        <v>-10000000</v>
      </c>
      <c r="J90" s="4">
        <f t="shared" si="5"/>
        <v>-3589423.6464095297</v>
      </c>
    </row>
    <row r="91" spans="2:10" hidden="1" x14ac:dyDescent="0.25">
      <c r="B91" s="3">
        <v>22</v>
      </c>
      <c r="C91" s="5">
        <f t="shared" si="10"/>
        <v>-10000000</v>
      </c>
      <c r="D91" s="4">
        <v>0</v>
      </c>
      <c r="E91" s="4">
        <f t="shared" si="6"/>
        <v>-3418498.7108662189</v>
      </c>
      <c r="H91" s="3">
        <v>22</v>
      </c>
      <c r="I91" s="5">
        <f t="shared" si="11"/>
        <v>-10000000</v>
      </c>
      <c r="J91" s="4">
        <f t="shared" si="5"/>
        <v>-3418498.7108662189</v>
      </c>
    </row>
    <row r="92" spans="2:10" hidden="1" x14ac:dyDescent="0.25">
      <c r="B92" s="3">
        <v>23</v>
      </c>
      <c r="C92" s="5">
        <f t="shared" si="10"/>
        <v>-10000000</v>
      </c>
      <c r="D92" s="4">
        <v>0</v>
      </c>
      <c r="E92" s="4">
        <f t="shared" si="6"/>
        <v>-3255713.0579678267</v>
      </c>
      <c r="H92" s="3">
        <v>23</v>
      </c>
      <c r="I92" s="5">
        <f t="shared" si="11"/>
        <v>-10000000</v>
      </c>
      <c r="J92" s="4">
        <f t="shared" si="5"/>
        <v>-3255713.0579678267</v>
      </c>
    </row>
    <row r="93" spans="2:10" hidden="1" x14ac:dyDescent="0.25">
      <c r="B93" s="3">
        <v>24</v>
      </c>
      <c r="C93" s="5">
        <f t="shared" si="10"/>
        <v>-10000000</v>
      </c>
      <c r="D93" s="4">
        <v>0</v>
      </c>
      <c r="E93" s="4">
        <f t="shared" si="6"/>
        <v>-3100679.1028265022</v>
      </c>
      <c r="H93" s="3">
        <v>24</v>
      </c>
      <c r="I93" s="5">
        <f t="shared" si="11"/>
        <v>-10000000</v>
      </c>
      <c r="J93" s="4">
        <f t="shared" si="5"/>
        <v>-3100679.1028265022</v>
      </c>
    </row>
    <row r="94" spans="2:10" hidden="1" x14ac:dyDescent="0.25">
      <c r="B94" s="3">
        <v>25</v>
      </c>
      <c r="C94" s="5">
        <f t="shared" si="10"/>
        <v>-10000000</v>
      </c>
      <c r="D94" s="4">
        <v>0</v>
      </c>
      <c r="E94" s="4">
        <f t="shared" si="6"/>
        <v>-2953027.716977621</v>
      </c>
      <c r="H94" s="3">
        <v>25</v>
      </c>
      <c r="I94" s="5">
        <f t="shared" si="11"/>
        <v>-10000000</v>
      </c>
      <c r="J94" s="4">
        <f t="shared" si="5"/>
        <v>-2953027.716977621</v>
      </c>
    </row>
    <row r="95" spans="2:10" hidden="1" x14ac:dyDescent="0.25">
      <c r="B95" s="3">
        <v>26</v>
      </c>
      <c r="C95" s="5">
        <f t="shared" si="10"/>
        <v>-10000000</v>
      </c>
      <c r="D95" s="4">
        <v>0</v>
      </c>
      <c r="E95" s="4">
        <f t="shared" si="6"/>
        <v>-2812407.349502496</v>
      </c>
      <c r="H95" s="3">
        <v>26</v>
      </c>
      <c r="I95" s="5">
        <f t="shared" si="11"/>
        <v>-10000000</v>
      </c>
      <c r="J95" s="4">
        <f t="shared" si="5"/>
        <v>-2812407.349502496</v>
      </c>
    </row>
    <row r="96" spans="2:10" hidden="1" x14ac:dyDescent="0.25">
      <c r="B96" s="3">
        <v>27</v>
      </c>
      <c r="C96" s="5">
        <f t="shared" si="10"/>
        <v>-10000000</v>
      </c>
      <c r="D96" s="4">
        <v>0</v>
      </c>
      <c r="E96" s="4">
        <f t="shared" si="6"/>
        <v>-2678483.1900023771</v>
      </c>
      <c r="H96" s="3">
        <v>27</v>
      </c>
      <c r="I96" s="5">
        <f t="shared" si="11"/>
        <v>-10000000</v>
      </c>
      <c r="J96" s="4">
        <f t="shared" si="5"/>
        <v>-2678483.1900023771</v>
      </c>
    </row>
    <row r="97" spans="2:10" hidden="1" x14ac:dyDescent="0.25">
      <c r="B97" s="3">
        <v>28</v>
      </c>
      <c r="C97" s="5">
        <f t="shared" si="10"/>
        <v>-10000000</v>
      </c>
      <c r="D97" s="4">
        <v>0</v>
      </c>
      <c r="E97" s="4">
        <f t="shared" si="6"/>
        <v>-2550936.3714308357</v>
      </c>
      <c r="H97" s="3">
        <v>28</v>
      </c>
      <c r="I97" s="5">
        <f t="shared" si="11"/>
        <v>-10000000</v>
      </c>
      <c r="J97" s="4">
        <f t="shared" si="5"/>
        <v>-2550936.3714308357</v>
      </c>
    </row>
    <row r="98" spans="2:10" hidden="1" x14ac:dyDescent="0.25">
      <c r="B98" s="3">
        <v>29</v>
      </c>
      <c r="C98" s="5">
        <f t="shared" si="10"/>
        <v>-10000000</v>
      </c>
      <c r="D98" s="4">
        <v>0</v>
      </c>
      <c r="E98" s="4">
        <f t="shared" si="6"/>
        <v>-2429463.2108865096</v>
      </c>
      <c r="H98" s="3">
        <v>29</v>
      </c>
      <c r="I98" s="5">
        <f t="shared" si="11"/>
        <v>-10000000</v>
      </c>
      <c r="J98" s="4">
        <f t="shared" si="5"/>
        <v>-2429463.2108865096</v>
      </c>
    </row>
    <row r="99" spans="2:10" hidden="1" x14ac:dyDescent="0.25">
      <c r="B99" s="3">
        <v>30</v>
      </c>
      <c r="C99" s="5">
        <f t="shared" si="10"/>
        <v>-10000000</v>
      </c>
      <c r="D99" s="4">
        <v>0</v>
      </c>
      <c r="E99" s="4">
        <f t="shared" si="6"/>
        <v>-2313774.4865585812</v>
      </c>
      <c r="H99" s="3">
        <v>30</v>
      </c>
      <c r="I99" s="5">
        <f t="shared" si="11"/>
        <v>-10000000</v>
      </c>
      <c r="J99" s="4">
        <f t="shared" si="5"/>
        <v>-2313774.4865585812</v>
      </c>
    </row>
    <row r="100" spans="2:10" hidden="1" x14ac:dyDescent="0.25">
      <c r="B100" s="3">
        <v>31</v>
      </c>
      <c r="C100" s="5">
        <f t="shared" si="10"/>
        <v>-10000000</v>
      </c>
      <c r="D100" s="4">
        <v>0</v>
      </c>
      <c r="E100" s="4">
        <f t="shared" si="6"/>
        <v>-2203594.7491034102</v>
      </c>
      <c r="H100" s="3">
        <v>31</v>
      </c>
      <c r="I100" s="5">
        <f t="shared" si="11"/>
        <v>-10000000</v>
      </c>
      <c r="J100" s="4">
        <f t="shared" si="5"/>
        <v>-2203594.7491034102</v>
      </c>
    </row>
    <row r="101" spans="2:10" hidden="1" x14ac:dyDescent="0.25">
      <c r="B101" s="3">
        <v>32</v>
      </c>
      <c r="C101" s="5">
        <f t="shared" si="10"/>
        <v>-10000000</v>
      </c>
      <c r="D101" s="4">
        <v>0</v>
      </c>
      <c r="E101" s="4">
        <f t="shared" si="6"/>
        <v>-2098661.6658127718</v>
      </c>
      <c r="H101" s="3">
        <v>32</v>
      </c>
      <c r="I101" s="5">
        <f t="shared" si="11"/>
        <v>-10000000</v>
      </c>
      <c r="J101" s="4">
        <f t="shared" si="5"/>
        <v>-2098661.6658127718</v>
      </c>
    </row>
    <row r="102" spans="2:10" hidden="1" x14ac:dyDescent="0.25">
      <c r="B102" s="3">
        <v>33</v>
      </c>
      <c r="C102" s="5">
        <f t="shared" si="10"/>
        <v>-10000000</v>
      </c>
      <c r="D102" s="4">
        <v>0</v>
      </c>
      <c r="E102" s="4">
        <f t="shared" si="6"/>
        <v>-1998725.3960121635</v>
      </c>
      <c r="H102" s="3">
        <v>33</v>
      </c>
      <c r="I102" s="5">
        <f t="shared" si="11"/>
        <v>-10000000</v>
      </c>
      <c r="J102" s="4">
        <f t="shared" si="5"/>
        <v>-1998725.3960121635</v>
      </c>
    </row>
    <row r="103" spans="2:10" hidden="1" x14ac:dyDescent="0.25">
      <c r="B103" s="3">
        <v>34</v>
      </c>
      <c r="C103" s="5">
        <f t="shared" si="10"/>
        <v>-10000000</v>
      </c>
      <c r="D103" s="4">
        <v>0</v>
      </c>
      <c r="E103" s="4">
        <f t="shared" si="6"/>
        <v>-1903547.9962020605</v>
      </c>
      <c r="H103" s="3">
        <v>34</v>
      </c>
      <c r="I103" s="5">
        <f t="shared" si="11"/>
        <v>-10000000</v>
      </c>
      <c r="J103" s="4">
        <f t="shared" si="5"/>
        <v>-1903547.9962020605</v>
      </c>
    </row>
    <row r="104" spans="2:10" hidden="1" x14ac:dyDescent="0.25">
      <c r="B104" s="3">
        <v>35</v>
      </c>
      <c r="C104" s="5">
        <f t="shared" si="10"/>
        <v>-10000000</v>
      </c>
      <c r="D104" s="4">
        <v>0</v>
      </c>
      <c r="E104" s="4">
        <f t="shared" si="6"/>
        <v>-1812902.8535257715</v>
      </c>
      <c r="H104" s="3">
        <v>35</v>
      </c>
      <c r="I104" s="5">
        <f t="shared" si="11"/>
        <v>-10000000</v>
      </c>
      <c r="J104" s="4">
        <f t="shared" si="5"/>
        <v>-1812902.8535257715</v>
      </c>
    </row>
    <row r="105" spans="2:10" hidden="1" x14ac:dyDescent="0.25">
      <c r="B105" s="3">
        <v>36</v>
      </c>
      <c r="C105" s="5">
        <f t="shared" si="10"/>
        <v>-10000000</v>
      </c>
      <c r="D105" s="4">
        <v>0</v>
      </c>
      <c r="E105" s="4">
        <f t="shared" si="6"/>
        <v>-1726574.1462150209</v>
      </c>
      <c r="H105" s="3">
        <v>36</v>
      </c>
      <c r="I105" s="5">
        <f t="shared" si="11"/>
        <v>-10000000</v>
      </c>
      <c r="J105" s="4">
        <f t="shared" si="5"/>
        <v>-1726574.1462150209</v>
      </c>
    </row>
    <row r="106" spans="2:10" hidden="1" x14ac:dyDescent="0.25">
      <c r="B106" s="3">
        <v>37</v>
      </c>
      <c r="C106" s="5">
        <f t="shared" si="10"/>
        <v>-10000000</v>
      </c>
      <c r="D106" s="4">
        <v>0</v>
      </c>
      <c r="E106" s="4">
        <f t="shared" si="6"/>
        <v>-1644356.329728591</v>
      </c>
      <c r="H106" s="3">
        <v>37</v>
      </c>
      <c r="I106" s="5">
        <f t="shared" si="11"/>
        <v>-10000000</v>
      </c>
      <c r="J106" s="4">
        <f t="shared" si="5"/>
        <v>-1644356.329728591</v>
      </c>
    </row>
    <row r="107" spans="2:10" hidden="1" x14ac:dyDescent="0.25">
      <c r="B107" s="3">
        <v>38</v>
      </c>
      <c r="C107" s="5">
        <f t="shared" si="10"/>
        <v>-10000000</v>
      </c>
      <c r="D107" s="4">
        <v>0</v>
      </c>
      <c r="E107" s="4">
        <f t="shared" si="6"/>
        <v>-1566053.6473605633</v>
      </c>
      <c r="H107" s="3">
        <v>38</v>
      </c>
      <c r="I107" s="5">
        <f t="shared" si="11"/>
        <v>-10000000</v>
      </c>
      <c r="J107" s="4">
        <f t="shared" si="5"/>
        <v>-1566053.6473605633</v>
      </c>
    </row>
    <row r="108" spans="2:10" hidden="1" x14ac:dyDescent="0.25">
      <c r="B108" s="3">
        <v>39</v>
      </c>
      <c r="C108" s="5">
        <f t="shared" si="10"/>
        <v>-10000000</v>
      </c>
      <c r="D108" s="4">
        <v>0</v>
      </c>
      <c r="E108" s="4">
        <f t="shared" si="6"/>
        <v>-1491479.6641529172</v>
      </c>
      <c r="H108" s="3">
        <v>39</v>
      </c>
      <c r="I108" s="5">
        <f t="shared" si="11"/>
        <v>-10000000</v>
      </c>
      <c r="J108" s="4">
        <f t="shared" si="5"/>
        <v>-1491479.6641529172</v>
      </c>
    </row>
    <row r="109" spans="2:10" hidden="1" x14ac:dyDescent="0.25">
      <c r="B109" s="3">
        <v>40</v>
      </c>
      <c r="C109" s="5">
        <f t="shared" si="10"/>
        <v>-10000000</v>
      </c>
      <c r="D109" s="4">
        <v>0</v>
      </c>
      <c r="E109" s="4">
        <f t="shared" si="6"/>
        <v>-1420456.8230027785</v>
      </c>
      <c r="H109" s="3">
        <v>40</v>
      </c>
      <c r="I109" s="5">
        <f t="shared" si="11"/>
        <v>-10000000</v>
      </c>
      <c r="J109" s="4">
        <f t="shared" si="5"/>
        <v>-1420456.8230027785</v>
      </c>
    </row>
    <row r="110" spans="2:10" hidden="1" x14ac:dyDescent="0.25">
      <c r="B110" s="3">
        <v>41</v>
      </c>
      <c r="C110" s="5">
        <f t="shared" si="10"/>
        <v>-10000000</v>
      </c>
      <c r="D110" s="4">
        <v>0</v>
      </c>
      <c r="E110" s="4">
        <f t="shared" si="6"/>
        <v>-1352816.0219074078</v>
      </c>
      <c r="H110" s="3">
        <v>41</v>
      </c>
      <c r="I110" s="5">
        <f t="shared" si="11"/>
        <v>-10000000</v>
      </c>
      <c r="J110" s="4">
        <f t="shared" si="5"/>
        <v>-1352816.0219074078</v>
      </c>
    </row>
    <row r="111" spans="2:10" hidden="1" x14ac:dyDescent="0.25">
      <c r="B111" s="3">
        <v>42</v>
      </c>
      <c r="C111" s="5">
        <f t="shared" si="10"/>
        <v>-10000000</v>
      </c>
      <c r="D111" s="4">
        <v>0</v>
      </c>
      <c r="E111" s="4">
        <f t="shared" si="6"/>
        <v>-1288396.2113403885</v>
      </c>
      <c r="H111" s="3">
        <v>42</v>
      </c>
      <c r="I111" s="5">
        <f t="shared" si="11"/>
        <v>-10000000</v>
      </c>
      <c r="J111" s="4">
        <f t="shared" si="5"/>
        <v>-1288396.2113403885</v>
      </c>
    </row>
    <row r="112" spans="2:10" hidden="1" x14ac:dyDescent="0.25">
      <c r="B112" s="3">
        <v>43</v>
      </c>
      <c r="C112" s="5">
        <f t="shared" si="10"/>
        <v>-10000000</v>
      </c>
      <c r="D112" s="4">
        <v>0</v>
      </c>
      <c r="E112" s="4">
        <f t="shared" si="6"/>
        <v>-1227044.0108003698</v>
      </c>
      <c r="H112" s="3">
        <v>43</v>
      </c>
      <c r="I112" s="5">
        <f t="shared" si="11"/>
        <v>-10000000</v>
      </c>
      <c r="J112" s="4">
        <f t="shared" si="5"/>
        <v>-1227044.0108003698</v>
      </c>
    </row>
    <row r="113" spans="2:10" hidden="1" x14ac:dyDescent="0.25">
      <c r="B113" s="3">
        <v>44</v>
      </c>
      <c r="C113" s="5">
        <f t="shared" si="10"/>
        <v>-10000000</v>
      </c>
      <c r="D113" s="4">
        <v>0</v>
      </c>
      <c r="E113" s="4">
        <f t="shared" si="6"/>
        <v>-1168613.3436193999</v>
      </c>
      <c r="H113" s="3">
        <v>44</v>
      </c>
      <c r="I113" s="5">
        <f t="shared" si="11"/>
        <v>-10000000</v>
      </c>
      <c r="J113" s="4">
        <f t="shared" si="5"/>
        <v>-1168613.3436193999</v>
      </c>
    </row>
    <row r="114" spans="2:10" hidden="1" x14ac:dyDescent="0.25">
      <c r="B114" s="3">
        <v>45</v>
      </c>
      <c r="C114" s="5">
        <f t="shared" si="10"/>
        <v>-10000000</v>
      </c>
      <c r="D114" s="4">
        <v>0</v>
      </c>
      <c r="E114" s="4">
        <f t="shared" si="6"/>
        <v>-1112965.0891613329</v>
      </c>
      <c r="H114" s="3">
        <v>45</v>
      </c>
      <c r="I114" s="5">
        <f t="shared" si="11"/>
        <v>-10000000</v>
      </c>
      <c r="J114" s="4">
        <f t="shared" si="5"/>
        <v>-1112965.0891613329</v>
      </c>
    </row>
    <row r="115" spans="2:10" hidden="1" x14ac:dyDescent="0.25">
      <c r="B115" s="3">
        <v>46</v>
      </c>
      <c r="C115" s="5">
        <f t="shared" si="10"/>
        <v>-10000000</v>
      </c>
      <c r="D115" s="4">
        <v>0</v>
      </c>
      <c r="E115" s="4">
        <f t="shared" si="6"/>
        <v>-1059966.7515822221</v>
      </c>
      <c r="H115" s="3">
        <v>46</v>
      </c>
      <c r="I115" s="5">
        <f t="shared" si="11"/>
        <v>-10000000</v>
      </c>
      <c r="J115" s="4">
        <f t="shared" si="5"/>
        <v>-1059966.7515822221</v>
      </c>
    </row>
    <row r="116" spans="2:10" hidden="1" x14ac:dyDescent="0.25">
      <c r="B116" s="3">
        <v>47</v>
      </c>
      <c r="C116" s="5">
        <f t="shared" si="10"/>
        <v>-10000000</v>
      </c>
      <c r="D116" s="4">
        <v>0</v>
      </c>
      <c r="E116" s="4">
        <f t="shared" si="6"/>
        <v>-1009492.1443640208</v>
      </c>
      <c r="H116" s="3">
        <v>47</v>
      </c>
      <c r="I116" s="5">
        <f t="shared" si="11"/>
        <v>-10000000</v>
      </c>
      <c r="J116" s="4">
        <f t="shared" si="5"/>
        <v>-1009492.1443640208</v>
      </c>
    </row>
    <row r="117" spans="2:10" x14ac:dyDescent="0.25">
      <c r="B117" s="3">
        <v>48</v>
      </c>
      <c r="C117" s="5">
        <f t="shared" si="10"/>
        <v>-10000000</v>
      </c>
      <c r="D117" s="4">
        <v>0</v>
      </c>
      <c r="E117" s="4">
        <f t="shared" si="6"/>
        <v>-961421.08987049607</v>
      </c>
      <c r="H117" s="3">
        <v>48</v>
      </c>
      <c r="I117" s="5">
        <f t="shared" si="11"/>
        <v>-10000000</v>
      </c>
      <c r="J117" s="4">
        <f t="shared" si="5"/>
        <v>-961421.08987049607</v>
      </c>
    </row>
    <row r="118" spans="2:10" x14ac:dyDescent="0.25">
      <c r="B118" s="3">
        <v>49</v>
      </c>
      <c r="C118" s="5">
        <f t="shared" si="10"/>
        <v>-10000000</v>
      </c>
      <c r="D118" s="4">
        <v>0</v>
      </c>
      <c r="E118" s="4">
        <f t="shared" si="6"/>
        <v>-915639.13320999627</v>
      </c>
      <c r="H118" s="3">
        <v>49</v>
      </c>
      <c r="I118" s="5">
        <f t="shared" si="11"/>
        <v>-10000000</v>
      </c>
      <c r="J118" s="4">
        <f t="shared" si="5"/>
        <v>-915639.13320999627</v>
      </c>
    </row>
    <row r="119" spans="2:10" x14ac:dyDescent="0.25">
      <c r="B119" s="3">
        <v>50</v>
      </c>
      <c r="C119" s="5">
        <f t="shared" si="10"/>
        <v>-10000000</v>
      </c>
      <c r="D119" s="4">
        <v>0</v>
      </c>
      <c r="E119" s="4">
        <f t="shared" si="6"/>
        <v>-872037.26972380583</v>
      </c>
      <c r="H119" s="3">
        <v>50</v>
      </c>
      <c r="I119" s="5">
        <f t="shared" si="11"/>
        <v>-10000000</v>
      </c>
      <c r="J119" s="4">
        <f t="shared" si="5"/>
        <v>-872037.26972380583</v>
      </c>
    </row>
    <row r="120" spans="2:10" x14ac:dyDescent="0.25">
      <c r="C120" s="8"/>
      <c r="E120" s="25">
        <f>SUM(E69:E119)</f>
        <v>-286888731.27615464</v>
      </c>
      <c r="I120" s="8"/>
      <c r="J120" s="25">
        <f>SUM(J69:J119)</f>
        <v>-342559254.60552377</v>
      </c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P120"/>
  <sheetViews>
    <sheetView zoomScale="110" zoomScaleNormal="110" workbookViewId="0"/>
  </sheetViews>
  <sheetFormatPr defaultColWidth="11.42578125" defaultRowHeight="15" x14ac:dyDescent="0.25"/>
  <cols>
    <col min="2" max="2" width="23.28515625" bestFit="1" customWidth="1"/>
    <col min="3" max="3" width="15.85546875" bestFit="1" customWidth="1"/>
    <col min="4" max="5" width="16.140625" bestFit="1" customWidth="1"/>
    <col min="6" max="6" width="14.85546875" bestFit="1" customWidth="1"/>
    <col min="7" max="7" width="13.42578125" bestFit="1" customWidth="1"/>
    <col min="8" max="8" width="15.85546875" bestFit="1" customWidth="1"/>
    <col min="9" max="9" width="16.140625" bestFit="1" customWidth="1"/>
    <col min="10" max="10" width="15" bestFit="1" customWidth="1"/>
    <col min="11" max="13" width="16.140625" bestFit="1" customWidth="1"/>
    <col min="14" max="14" width="13.140625" bestFit="1" customWidth="1"/>
    <col min="15" max="16" width="16.140625" bestFit="1" customWidth="1"/>
  </cols>
  <sheetData>
    <row r="2" spans="2:9" x14ac:dyDescent="0.25">
      <c r="B2" s="34" t="s">
        <v>22</v>
      </c>
      <c r="C2" s="24" t="s">
        <v>54</v>
      </c>
      <c r="D2" s="24" t="s">
        <v>25</v>
      </c>
    </row>
    <row r="3" spans="2:9" x14ac:dyDescent="0.25">
      <c r="B3" s="34" t="s">
        <v>24</v>
      </c>
      <c r="C3" s="4">
        <v>60000000</v>
      </c>
      <c r="D3" s="4">
        <v>100000000</v>
      </c>
    </row>
    <row r="4" spans="2:9" x14ac:dyDescent="0.25">
      <c r="B4" s="34" t="s">
        <v>23</v>
      </c>
      <c r="C4" s="4">
        <v>15000000</v>
      </c>
      <c r="D4" s="4">
        <v>20000000</v>
      </c>
    </row>
    <row r="6" spans="2:9" x14ac:dyDescent="0.25">
      <c r="B6" s="10" t="s">
        <v>8</v>
      </c>
      <c r="C6" s="9">
        <v>0.05</v>
      </c>
    </row>
    <row r="7" spans="2:9" x14ac:dyDescent="0.25">
      <c r="C7" s="8"/>
    </row>
    <row r="8" spans="2:9" x14ac:dyDescent="0.25">
      <c r="C8" s="8"/>
    </row>
    <row r="9" spans="2:9" x14ac:dyDescent="0.25">
      <c r="B9" s="18" t="s">
        <v>19</v>
      </c>
    </row>
    <row r="10" spans="2:9" x14ac:dyDescent="0.25">
      <c r="B10" s="18" t="s">
        <v>26</v>
      </c>
      <c r="G10" s="18" t="s">
        <v>27</v>
      </c>
    </row>
    <row r="11" spans="2:9" x14ac:dyDescent="0.25">
      <c r="B11" s="6" t="s">
        <v>4</v>
      </c>
      <c r="C11" s="121" t="s">
        <v>0</v>
      </c>
      <c r="D11" s="11" t="s">
        <v>9</v>
      </c>
      <c r="G11" s="6" t="s">
        <v>4</v>
      </c>
      <c r="H11" s="121" t="s">
        <v>0</v>
      </c>
      <c r="I11" s="11" t="s">
        <v>9</v>
      </c>
    </row>
    <row r="12" spans="2:9" x14ac:dyDescent="0.25">
      <c r="B12" s="3">
        <v>0</v>
      </c>
      <c r="C12" s="122">
        <f>-C3</f>
        <v>-60000000</v>
      </c>
      <c r="D12" s="4">
        <f>C12*((1+$C$6)^(-B12))</f>
        <v>-60000000</v>
      </c>
      <c r="G12" s="3">
        <v>0</v>
      </c>
      <c r="H12" s="122">
        <f>-D3</f>
        <v>-100000000</v>
      </c>
      <c r="I12" s="4">
        <f>H12*((1+$C$6)^(-G12))</f>
        <v>-100000000</v>
      </c>
    </row>
    <row r="13" spans="2:9" x14ac:dyDescent="0.25">
      <c r="B13" s="3">
        <v>1</v>
      </c>
      <c r="C13" s="123">
        <f>-$C$4</f>
        <v>-15000000</v>
      </c>
      <c r="D13" s="4">
        <f>C13*((1+$C$6)^(-B13))</f>
        <v>-14285714.285714285</v>
      </c>
      <c r="G13" s="3">
        <v>1</v>
      </c>
      <c r="H13" s="123">
        <f>-D4</f>
        <v>-20000000</v>
      </c>
      <c r="I13" s="4">
        <f t="shared" ref="I13:I62" si="0">H13*((1+$C$6)^(-G13))</f>
        <v>-19047619.047619045</v>
      </c>
    </row>
    <row r="14" spans="2:9" x14ac:dyDescent="0.25">
      <c r="B14" s="3">
        <v>2</v>
      </c>
      <c r="C14" s="123">
        <f t="shared" ref="C14:C62" si="1">-$C$4</f>
        <v>-15000000</v>
      </c>
      <c r="D14" s="4">
        <f t="shared" ref="D14:D62" si="2">C14*((1+$C$6)^(-B14))</f>
        <v>-13605442.176870747</v>
      </c>
      <c r="G14" s="3">
        <v>2</v>
      </c>
      <c r="H14" s="123">
        <f>H13+2000000</f>
        <v>-18000000</v>
      </c>
      <c r="I14" s="4">
        <f t="shared" si="0"/>
        <v>-16326530.612244897</v>
      </c>
    </row>
    <row r="15" spans="2:9" x14ac:dyDescent="0.25">
      <c r="B15" s="3">
        <v>3</v>
      </c>
      <c r="C15" s="123">
        <f t="shared" si="1"/>
        <v>-15000000</v>
      </c>
      <c r="D15" s="4">
        <f>C15*((1+$C$6)^(-B15))</f>
        <v>-12957563.977972141</v>
      </c>
      <c r="G15" s="3">
        <v>3</v>
      </c>
      <c r="H15" s="123">
        <f>H14+2000000</f>
        <v>-16000000</v>
      </c>
      <c r="I15" s="4">
        <f t="shared" si="0"/>
        <v>-13821401.576503616</v>
      </c>
    </row>
    <row r="16" spans="2:9" x14ac:dyDescent="0.25">
      <c r="B16" s="3">
        <v>4</v>
      </c>
      <c r="C16" s="123">
        <f t="shared" si="1"/>
        <v>-15000000</v>
      </c>
      <c r="D16" s="4">
        <f t="shared" si="2"/>
        <v>-12340537.121878229</v>
      </c>
      <c r="G16" s="3">
        <v>4</v>
      </c>
      <c r="H16" s="123">
        <f t="shared" ref="H16:H18" si="3">H15+2000000</f>
        <v>-14000000</v>
      </c>
      <c r="I16" s="4">
        <f t="shared" si="0"/>
        <v>-11517834.647086348</v>
      </c>
    </row>
    <row r="17" spans="2:9" x14ac:dyDescent="0.25">
      <c r="B17" s="3">
        <v>5</v>
      </c>
      <c r="C17" s="123">
        <f t="shared" si="1"/>
        <v>-15000000</v>
      </c>
      <c r="D17" s="4">
        <f t="shared" si="2"/>
        <v>-11752892.497026885</v>
      </c>
      <c r="G17" s="3">
        <v>5</v>
      </c>
      <c r="H17" s="123">
        <f t="shared" si="3"/>
        <v>-12000000</v>
      </c>
      <c r="I17" s="4">
        <f t="shared" si="0"/>
        <v>-9402313.9976215083</v>
      </c>
    </row>
    <row r="18" spans="2:9" x14ac:dyDescent="0.25">
      <c r="B18" s="3">
        <v>6</v>
      </c>
      <c r="C18" s="123">
        <f t="shared" si="1"/>
        <v>-15000000</v>
      </c>
      <c r="D18" s="4">
        <f t="shared" si="2"/>
        <v>-11193230.949549414</v>
      </c>
      <c r="G18" s="3">
        <v>6</v>
      </c>
      <c r="H18" s="123">
        <f t="shared" si="3"/>
        <v>-10000000</v>
      </c>
      <c r="I18" s="4">
        <f t="shared" si="0"/>
        <v>-7462153.9663662761</v>
      </c>
    </row>
    <row r="19" spans="2:9" x14ac:dyDescent="0.25">
      <c r="B19" s="3">
        <v>7</v>
      </c>
      <c r="C19" s="123">
        <f t="shared" si="1"/>
        <v>-15000000</v>
      </c>
      <c r="D19" s="4">
        <f t="shared" si="2"/>
        <v>-10660219.951951822</v>
      </c>
      <c r="G19" s="3">
        <v>7</v>
      </c>
      <c r="H19" s="123">
        <f>$H$18</f>
        <v>-10000000</v>
      </c>
      <c r="I19" s="4">
        <f t="shared" si="0"/>
        <v>-7106813.3013012148</v>
      </c>
    </row>
    <row r="20" spans="2:9" x14ac:dyDescent="0.25">
      <c r="B20" s="3">
        <v>8</v>
      </c>
      <c r="C20" s="123">
        <f t="shared" si="1"/>
        <v>-15000000</v>
      </c>
      <c r="D20" s="4">
        <f t="shared" si="2"/>
        <v>-10152590.430430308</v>
      </c>
      <c r="G20" s="3">
        <v>8</v>
      </c>
      <c r="H20" s="123">
        <f t="shared" ref="H20:H62" si="4">$H$18</f>
        <v>-10000000</v>
      </c>
      <c r="I20" s="4">
        <f t="shared" si="0"/>
        <v>-6768393.6202868726</v>
      </c>
    </row>
    <row r="21" spans="2:9" hidden="1" x14ac:dyDescent="0.25">
      <c r="B21" s="3">
        <v>9</v>
      </c>
      <c r="C21" s="123">
        <f t="shared" si="1"/>
        <v>-15000000</v>
      </c>
      <c r="D21" s="4">
        <f t="shared" si="2"/>
        <v>-9669133.7432669587</v>
      </c>
      <c r="G21" s="3">
        <v>9</v>
      </c>
      <c r="H21" s="123">
        <f t="shared" si="4"/>
        <v>-10000000</v>
      </c>
      <c r="I21" s="4">
        <f t="shared" si="0"/>
        <v>-6446089.1621779725</v>
      </c>
    </row>
    <row r="22" spans="2:9" hidden="1" x14ac:dyDescent="0.25">
      <c r="B22" s="3">
        <v>10</v>
      </c>
      <c r="C22" s="123">
        <f t="shared" si="1"/>
        <v>-15000000</v>
      </c>
      <c r="D22" s="4">
        <f t="shared" si="2"/>
        <v>-9208698.8031113893</v>
      </c>
      <c r="G22" s="3">
        <v>10</v>
      </c>
      <c r="H22" s="123">
        <f t="shared" si="4"/>
        <v>-10000000</v>
      </c>
      <c r="I22" s="4">
        <f t="shared" si="0"/>
        <v>-6139132.5354075935</v>
      </c>
    </row>
    <row r="23" spans="2:9" hidden="1" x14ac:dyDescent="0.25">
      <c r="B23" s="3">
        <v>11</v>
      </c>
      <c r="C23" s="123">
        <f t="shared" si="1"/>
        <v>-15000000</v>
      </c>
      <c r="D23" s="4">
        <f t="shared" si="2"/>
        <v>-8770189.3362965602</v>
      </c>
      <c r="G23" s="3">
        <v>11</v>
      </c>
      <c r="H23" s="123">
        <f t="shared" si="4"/>
        <v>-10000000</v>
      </c>
      <c r="I23" s="4">
        <f t="shared" si="0"/>
        <v>-5846792.8908643741</v>
      </c>
    </row>
    <row r="24" spans="2:9" hidden="1" x14ac:dyDescent="0.25">
      <c r="B24" s="3">
        <v>12</v>
      </c>
      <c r="C24" s="123">
        <f t="shared" si="1"/>
        <v>-15000000</v>
      </c>
      <c r="D24" s="4">
        <f t="shared" si="2"/>
        <v>-8352561.2726633921</v>
      </c>
      <c r="G24" s="3">
        <v>12</v>
      </c>
      <c r="H24" s="123">
        <f t="shared" si="4"/>
        <v>-10000000</v>
      </c>
      <c r="I24" s="4">
        <f t="shared" si="0"/>
        <v>-5568374.1817755951</v>
      </c>
    </row>
    <row r="25" spans="2:9" hidden="1" x14ac:dyDescent="0.25">
      <c r="B25" s="3">
        <v>13</v>
      </c>
      <c r="C25" s="123">
        <f t="shared" si="1"/>
        <v>-15000000</v>
      </c>
      <c r="D25" s="4">
        <f t="shared" si="2"/>
        <v>-7954820.259679419</v>
      </c>
      <c r="G25" s="3">
        <v>13</v>
      </c>
      <c r="H25" s="123">
        <f t="shared" si="4"/>
        <v>-10000000</v>
      </c>
      <c r="I25" s="4">
        <f t="shared" si="0"/>
        <v>-5303213.506452946</v>
      </c>
    </row>
    <row r="26" spans="2:9" hidden="1" x14ac:dyDescent="0.25">
      <c r="B26" s="3">
        <v>14</v>
      </c>
      <c r="C26" s="123">
        <f t="shared" si="1"/>
        <v>-15000000</v>
      </c>
      <c r="D26" s="4">
        <f t="shared" si="2"/>
        <v>-7576019.2949327836</v>
      </c>
      <c r="G26" s="3">
        <v>14</v>
      </c>
      <c r="H26" s="123">
        <f t="shared" si="4"/>
        <v>-10000000</v>
      </c>
      <c r="I26" s="4">
        <f t="shared" si="0"/>
        <v>-5050679.5299551887</v>
      </c>
    </row>
    <row r="27" spans="2:9" hidden="1" x14ac:dyDescent="0.25">
      <c r="B27" s="3">
        <v>15</v>
      </c>
      <c r="C27" s="123">
        <f t="shared" si="1"/>
        <v>-15000000</v>
      </c>
      <c r="D27" s="4">
        <f t="shared" si="2"/>
        <v>-7215256.4713645531</v>
      </c>
      <c r="G27" s="3">
        <v>15</v>
      </c>
      <c r="H27" s="123">
        <f t="shared" si="4"/>
        <v>-10000000</v>
      </c>
      <c r="I27" s="4">
        <f t="shared" si="0"/>
        <v>-4810170.9809097024</v>
      </c>
    </row>
    <row r="28" spans="2:9" hidden="1" x14ac:dyDescent="0.25">
      <c r="B28" s="3">
        <v>16</v>
      </c>
      <c r="C28" s="123">
        <f t="shared" si="1"/>
        <v>-15000000</v>
      </c>
      <c r="D28" s="4">
        <f t="shared" si="2"/>
        <v>-6871672.8298710035</v>
      </c>
      <c r="G28" s="3">
        <v>16</v>
      </c>
      <c r="H28" s="123">
        <f t="shared" si="4"/>
        <v>-10000000</v>
      </c>
      <c r="I28" s="4">
        <f t="shared" si="0"/>
        <v>-4581115.2199140023</v>
      </c>
    </row>
    <row r="29" spans="2:9" hidden="1" x14ac:dyDescent="0.25">
      <c r="B29" s="3">
        <v>17</v>
      </c>
      <c r="C29" s="123">
        <f t="shared" si="1"/>
        <v>-15000000</v>
      </c>
      <c r="D29" s="4">
        <f t="shared" si="2"/>
        <v>-6544450.3141628588</v>
      </c>
      <c r="G29" s="3">
        <v>17</v>
      </c>
      <c r="H29" s="123">
        <f t="shared" si="4"/>
        <v>-10000000</v>
      </c>
      <c r="I29" s="4">
        <f t="shared" si="0"/>
        <v>-4362966.8761085728</v>
      </c>
    </row>
    <row r="30" spans="2:9" hidden="1" x14ac:dyDescent="0.25">
      <c r="B30" s="3">
        <v>18</v>
      </c>
      <c r="C30" s="123">
        <f t="shared" si="1"/>
        <v>-15000000</v>
      </c>
      <c r="D30" s="4">
        <f t="shared" si="2"/>
        <v>-6232809.8230122468</v>
      </c>
      <c r="G30" s="3">
        <v>18</v>
      </c>
      <c r="H30" s="123">
        <f t="shared" si="4"/>
        <v>-10000000</v>
      </c>
      <c r="I30" s="4">
        <f t="shared" si="0"/>
        <v>-4155206.5486748312</v>
      </c>
    </row>
    <row r="31" spans="2:9" hidden="1" x14ac:dyDescent="0.25">
      <c r="B31" s="3">
        <v>19</v>
      </c>
      <c r="C31" s="123">
        <f t="shared" si="1"/>
        <v>-15000000</v>
      </c>
      <c r="D31" s="4">
        <f t="shared" si="2"/>
        <v>-5936009.3552497588</v>
      </c>
      <c r="G31" s="3">
        <v>19</v>
      </c>
      <c r="H31" s="123">
        <f t="shared" si="4"/>
        <v>-10000000</v>
      </c>
      <c r="I31" s="4">
        <f t="shared" si="0"/>
        <v>-3957339.5701665059</v>
      </c>
    </row>
    <row r="32" spans="2:9" hidden="1" x14ac:dyDescent="0.25">
      <c r="B32" s="3">
        <v>20</v>
      </c>
      <c r="C32" s="123">
        <f t="shared" si="1"/>
        <v>-15000000</v>
      </c>
      <c r="D32" s="4">
        <f t="shared" si="2"/>
        <v>-5653342.2430950096</v>
      </c>
      <c r="G32" s="3">
        <v>20</v>
      </c>
      <c r="H32" s="123">
        <f t="shared" si="4"/>
        <v>-10000000</v>
      </c>
      <c r="I32" s="4">
        <f t="shared" si="0"/>
        <v>-3768894.8287300062</v>
      </c>
    </row>
    <row r="33" spans="2:9" hidden="1" x14ac:dyDescent="0.25">
      <c r="B33" s="3">
        <v>21</v>
      </c>
      <c r="C33" s="123">
        <f t="shared" si="1"/>
        <v>-15000000</v>
      </c>
      <c r="D33" s="4">
        <f t="shared" si="2"/>
        <v>-5384135.4696142944</v>
      </c>
      <c r="G33" s="3">
        <v>21</v>
      </c>
      <c r="H33" s="123">
        <f t="shared" si="4"/>
        <v>-10000000</v>
      </c>
      <c r="I33" s="4">
        <f t="shared" si="0"/>
        <v>-3589423.6464095297</v>
      </c>
    </row>
    <row r="34" spans="2:9" hidden="1" x14ac:dyDescent="0.25">
      <c r="B34" s="3">
        <v>22</v>
      </c>
      <c r="C34" s="123">
        <f t="shared" si="1"/>
        <v>-15000000</v>
      </c>
      <c r="D34" s="4">
        <f t="shared" si="2"/>
        <v>-5127748.0662993286</v>
      </c>
      <c r="G34" s="3">
        <v>22</v>
      </c>
      <c r="H34" s="123">
        <f t="shared" si="4"/>
        <v>-10000000</v>
      </c>
      <c r="I34" s="4">
        <f t="shared" si="0"/>
        <v>-3418498.7108662189</v>
      </c>
    </row>
    <row r="35" spans="2:9" hidden="1" x14ac:dyDescent="0.25">
      <c r="B35" s="3">
        <v>23</v>
      </c>
      <c r="C35" s="123">
        <f t="shared" si="1"/>
        <v>-15000000</v>
      </c>
      <c r="D35" s="4">
        <f t="shared" si="2"/>
        <v>-4883569.5869517401</v>
      </c>
      <c r="G35" s="3">
        <v>23</v>
      </c>
      <c r="H35" s="123">
        <f t="shared" si="4"/>
        <v>-10000000</v>
      </c>
      <c r="I35" s="4">
        <f t="shared" si="0"/>
        <v>-3255713.0579678267</v>
      </c>
    </row>
    <row r="36" spans="2:9" hidden="1" x14ac:dyDescent="0.25">
      <c r="B36" s="3">
        <v>24</v>
      </c>
      <c r="C36" s="123">
        <f t="shared" si="1"/>
        <v>-15000000</v>
      </c>
      <c r="D36" s="4">
        <f t="shared" si="2"/>
        <v>-4651018.6542397533</v>
      </c>
      <c r="G36" s="3">
        <v>24</v>
      </c>
      <c r="H36" s="123">
        <f t="shared" si="4"/>
        <v>-10000000</v>
      </c>
      <c r="I36" s="4">
        <f t="shared" si="0"/>
        <v>-3100679.1028265022</v>
      </c>
    </row>
    <row r="37" spans="2:9" hidden="1" x14ac:dyDescent="0.25">
      <c r="B37" s="3">
        <v>25</v>
      </c>
      <c r="C37" s="123">
        <f t="shared" si="1"/>
        <v>-15000000</v>
      </c>
      <c r="D37" s="4">
        <f t="shared" si="2"/>
        <v>-4429541.5754664317</v>
      </c>
      <c r="G37" s="3">
        <v>25</v>
      </c>
      <c r="H37" s="123">
        <f t="shared" si="4"/>
        <v>-10000000</v>
      </c>
      <c r="I37" s="4">
        <f t="shared" si="0"/>
        <v>-2953027.716977621</v>
      </c>
    </row>
    <row r="38" spans="2:9" hidden="1" x14ac:dyDescent="0.25">
      <c r="B38" s="3">
        <v>26</v>
      </c>
      <c r="C38" s="123">
        <f t="shared" si="1"/>
        <v>-15000000</v>
      </c>
      <c r="D38" s="4">
        <f t="shared" si="2"/>
        <v>-4218611.0242537437</v>
      </c>
      <c r="G38" s="3">
        <v>26</v>
      </c>
      <c r="H38" s="123">
        <f t="shared" si="4"/>
        <v>-10000000</v>
      </c>
      <c r="I38" s="4">
        <f t="shared" si="0"/>
        <v>-2812407.349502496</v>
      </c>
    </row>
    <row r="39" spans="2:9" hidden="1" x14ac:dyDescent="0.25">
      <c r="B39" s="3">
        <v>27</v>
      </c>
      <c r="C39" s="123">
        <f t="shared" si="1"/>
        <v>-15000000</v>
      </c>
      <c r="D39" s="4">
        <f t="shared" si="2"/>
        <v>-4017724.7850035657</v>
      </c>
      <c r="G39" s="3">
        <v>27</v>
      </c>
      <c r="H39" s="123">
        <f t="shared" si="4"/>
        <v>-10000000</v>
      </c>
      <c r="I39" s="4">
        <f t="shared" si="0"/>
        <v>-2678483.1900023771</v>
      </c>
    </row>
    <row r="40" spans="2:9" hidden="1" x14ac:dyDescent="0.25">
      <c r="B40" s="3">
        <v>28</v>
      </c>
      <c r="C40" s="123">
        <f t="shared" si="1"/>
        <v>-15000000</v>
      </c>
      <c r="D40" s="4">
        <f t="shared" si="2"/>
        <v>-3826404.557146254</v>
      </c>
      <c r="G40" s="3">
        <v>28</v>
      </c>
      <c r="H40" s="123">
        <f t="shared" si="4"/>
        <v>-10000000</v>
      </c>
      <c r="I40" s="4">
        <f t="shared" si="0"/>
        <v>-2550936.3714308357</v>
      </c>
    </row>
    <row r="41" spans="2:9" hidden="1" x14ac:dyDescent="0.25">
      <c r="B41" s="3">
        <v>29</v>
      </c>
      <c r="C41" s="123">
        <f t="shared" si="1"/>
        <v>-15000000</v>
      </c>
      <c r="D41" s="4">
        <f t="shared" si="2"/>
        <v>-3644194.8163297647</v>
      </c>
      <c r="G41" s="3">
        <v>29</v>
      </c>
      <c r="H41" s="123">
        <f t="shared" si="4"/>
        <v>-10000000</v>
      </c>
      <c r="I41" s="4">
        <f t="shared" si="0"/>
        <v>-2429463.2108865096</v>
      </c>
    </row>
    <row r="42" spans="2:9" hidden="1" x14ac:dyDescent="0.25">
      <c r="B42" s="3">
        <v>30</v>
      </c>
      <c r="C42" s="123">
        <f t="shared" si="1"/>
        <v>-15000000</v>
      </c>
      <c r="D42" s="4">
        <f t="shared" si="2"/>
        <v>-3470661.7298378721</v>
      </c>
      <c r="G42" s="3">
        <v>30</v>
      </c>
      <c r="H42" s="123">
        <f t="shared" si="4"/>
        <v>-10000000</v>
      </c>
      <c r="I42" s="4">
        <f t="shared" si="0"/>
        <v>-2313774.4865585812</v>
      </c>
    </row>
    <row r="43" spans="2:9" hidden="1" x14ac:dyDescent="0.25">
      <c r="B43" s="3">
        <v>31</v>
      </c>
      <c r="C43" s="123">
        <f t="shared" si="1"/>
        <v>-15000000</v>
      </c>
      <c r="D43" s="4">
        <f t="shared" si="2"/>
        <v>-3305392.1236551148</v>
      </c>
      <c r="G43" s="3">
        <v>31</v>
      </c>
      <c r="H43" s="123">
        <f t="shared" si="4"/>
        <v>-10000000</v>
      </c>
      <c r="I43" s="4">
        <f t="shared" si="0"/>
        <v>-2203594.7491034102</v>
      </c>
    </row>
    <row r="44" spans="2:9" hidden="1" x14ac:dyDescent="0.25">
      <c r="B44" s="3">
        <v>32</v>
      </c>
      <c r="C44" s="123">
        <f t="shared" si="1"/>
        <v>-15000000</v>
      </c>
      <c r="D44" s="4">
        <f t="shared" si="2"/>
        <v>-3147992.4987191572</v>
      </c>
      <c r="G44" s="3">
        <v>32</v>
      </c>
      <c r="H44" s="123">
        <f t="shared" si="4"/>
        <v>-10000000</v>
      </c>
      <c r="I44" s="4">
        <f t="shared" si="0"/>
        <v>-2098661.6658127718</v>
      </c>
    </row>
    <row r="45" spans="2:9" hidden="1" x14ac:dyDescent="0.25">
      <c r="B45" s="3">
        <v>33</v>
      </c>
      <c r="C45" s="123">
        <f t="shared" si="1"/>
        <v>-15000000</v>
      </c>
      <c r="D45" s="4">
        <f t="shared" si="2"/>
        <v>-2998088.0940182451</v>
      </c>
      <c r="G45" s="3">
        <v>33</v>
      </c>
      <c r="H45" s="123">
        <f t="shared" si="4"/>
        <v>-10000000</v>
      </c>
      <c r="I45" s="4">
        <f t="shared" si="0"/>
        <v>-1998725.3960121635</v>
      </c>
    </row>
    <row r="46" spans="2:9" hidden="1" x14ac:dyDescent="0.25">
      <c r="B46" s="3">
        <v>34</v>
      </c>
      <c r="C46" s="123">
        <f t="shared" si="1"/>
        <v>-15000000</v>
      </c>
      <c r="D46" s="4">
        <f t="shared" si="2"/>
        <v>-2855321.9943030905</v>
      </c>
      <c r="G46" s="3">
        <v>34</v>
      </c>
      <c r="H46" s="123">
        <f t="shared" si="4"/>
        <v>-10000000</v>
      </c>
      <c r="I46" s="4">
        <f t="shared" si="0"/>
        <v>-1903547.9962020605</v>
      </c>
    </row>
    <row r="47" spans="2:9" hidden="1" x14ac:dyDescent="0.25">
      <c r="B47" s="3">
        <v>35</v>
      </c>
      <c r="C47" s="123">
        <f t="shared" si="1"/>
        <v>-15000000</v>
      </c>
      <c r="D47" s="4">
        <f t="shared" si="2"/>
        <v>-2719354.2802886572</v>
      </c>
      <c r="G47" s="3">
        <v>35</v>
      </c>
      <c r="H47" s="123">
        <f t="shared" si="4"/>
        <v>-10000000</v>
      </c>
      <c r="I47" s="4">
        <f t="shared" si="0"/>
        <v>-1812902.8535257715</v>
      </c>
    </row>
    <row r="48" spans="2:9" hidden="1" x14ac:dyDescent="0.25">
      <c r="B48" s="3">
        <v>36</v>
      </c>
      <c r="C48" s="123">
        <f t="shared" si="1"/>
        <v>-15000000</v>
      </c>
      <c r="D48" s="4">
        <f t="shared" si="2"/>
        <v>-2589861.219322531</v>
      </c>
      <c r="G48" s="3">
        <v>36</v>
      </c>
      <c r="H48" s="123">
        <f t="shared" si="4"/>
        <v>-10000000</v>
      </c>
      <c r="I48" s="4">
        <f t="shared" si="0"/>
        <v>-1726574.1462150209</v>
      </c>
    </row>
    <row r="49" spans="2:10" hidden="1" x14ac:dyDescent="0.25">
      <c r="B49" s="3">
        <v>37</v>
      </c>
      <c r="C49" s="123">
        <f t="shared" si="1"/>
        <v>-15000000</v>
      </c>
      <c r="D49" s="4">
        <f t="shared" si="2"/>
        <v>-2466534.4945928864</v>
      </c>
      <c r="G49" s="3">
        <v>37</v>
      </c>
      <c r="H49" s="123">
        <f t="shared" si="4"/>
        <v>-10000000</v>
      </c>
      <c r="I49" s="4">
        <f t="shared" si="0"/>
        <v>-1644356.329728591</v>
      </c>
    </row>
    <row r="50" spans="2:10" hidden="1" x14ac:dyDescent="0.25">
      <c r="B50" s="3">
        <v>38</v>
      </c>
      <c r="C50" s="123">
        <f t="shared" si="1"/>
        <v>-15000000</v>
      </c>
      <c r="D50" s="4">
        <f t="shared" si="2"/>
        <v>-2349080.4710408449</v>
      </c>
      <c r="G50" s="3">
        <v>38</v>
      </c>
      <c r="H50" s="123">
        <f t="shared" si="4"/>
        <v>-10000000</v>
      </c>
      <c r="I50" s="4">
        <f t="shared" si="0"/>
        <v>-1566053.6473605633</v>
      </c>
    </row>
    <row r="51" spans="2:10" hidden="1" x14ac:dyDescent="0.25">
      <c r="B51" s="3">
        <v>39</v>
      </c>
      <c r="C51" s="123">
        <f t="shared" si="1"/>
        <v>-15000000</v>
      </c>
      <c r="D51" s="4">
        <f t="shared" si="2"/>
        <v>-2237219.4962293757</v>
      </c>
      <c r="G51" s="3">
        <v>39</v>
      </c>
      <c r="H51" s="123">
        <f t="shared" si="4"/>
        <v>-10000000</v>
      </c>
      <c r="I51" s="4">
        <f t="shared" si="0"/>
        <v>-1491479.6641529172</v>
      </c>
    </row>
    <row r="52" spans="2:10" hidden="1" x14ac:dyDescent="0.25">
      <c r="B52" s="3">
        <v>40</v>
      </c>
      <c r="C52" s="123">
        <f t="shared" si="1"/>
        <v>-15000000</v>
      </c>
      <c r="D52" s="4">
        <f t="shared" si="2"/>
        <v>-2130685.2345041675</v>
      </c>
      <c r="G52" s="3">
        <v>40</v>
      </c>
      <c r="H52" s="123">
        <f t="shared" si="4"/>
        <v>-10000000</v>
      </c>
      <c r="I52" s="4">
        <f t="shared" si="0"/>
        <v>-1420456.8230027785</v>
      </c>
    </row>
    <row r="53" spans="2:10" hidden="1" x14ac:dyDescent="0.25">
      <c r="B53" s="3">
        <v>41</v>
      </c>
      <c r="C53" s="123">
        <f t="shared" si="1"/>
        <v>-15000000</v>
      </c>
      <c r="D53" s="4">
        <f t="shared" si="2"/>
        <v>-2029224.0328611117</v>
      </c>
      <c r="G53" s="3">
        <v>41</v>
      </c>
      <c r="H53" s="123">
        <f t="shared" si="4"/>
        <v>-10000000</v>
      </c>
      <c r="I53" s="4">
        <f t="shared" si="0"/>
        <v>-1352816.0219074078</v>
      </c>
    </row>
    <row r="54" spans="2:10" x14ac:dyDescent="0.25">
      <c r="B54" s="3">
        <v>42</v>
      </c>
      <c r="C54" s="123">
        <f t="shared" si="1"/>
        <v>-15000000</v>
      </c>
      <c r="D54" s="4">
        <f t="shared" si="2"/>
        <v>-1932594.3170105827</v>
      </c>
      <c r="G54" s="3">
        <v>42</v>
      </c>
      <c r="H54" s="123">
        <f t="shared" si="4"/>
        <v>-10000000</v>
      </c>
      <c r="I54" s="4">
        <f t="shared" si="0"/>
        <v>-1288396.2113403885</v>
      </c>
    </row>
    <row r="55" spans="2:10" x14ac:dyDescent="0.25">
      <c r="B55" s="3">
        <v>43</v>
      </c>
      <c r="C55" s="123">
        <f t="shared" si="1"/>
        <v>-15000000</v>
      </c>
      <c r="D55" s="4">
        <f t="shared" si="2"/>
        <v>-1840566.0162005548</v>
      </c>
      <c r="G55" s="3">
        <v>43</v>
      </c>
      <c r="H55" s="123">
        <f t="shared" si="4"/>
        <v>-10000000</v>
      </c>
      <c r="I55" s="4">
        <f t="shared" si="0"/>
        <v>-1227044.0108003698</v>
      </c>
    </row>
    <row r="56" spans="2:10" x14ac:dyDescent="0.25">
      <c r="B56" s="3">
        <v>44</v>
      </c>
      <c r="C56" s="123">
        <f t="shared" si="1"/>
        <v>-15000000</v>
      </c>
      <c r="D56" s="4">
        <f t="shared" si="2"/>
        <v>-1752920.0154290998</v>
      </c>
      <c r="G56" s="3">
        <v>44</v>
      </c>
      <c r="H56" s="123">
        <f t="shared" si="4"/>
        <v>-10000000</v>
      </c>
      <c r="I56" s="4">
        <f t="shared" si="0"/>
        <v>-1168613.3436193999</v>
      </c>
    </row>
    <row r="57" spans="2:10" x14ac:dyDescent="0.25">
      <c r="B57" s="3">
        <v>45</v>
      </c>
      <c r="C57" s="123">
        <f t="shared" si="1"/>
        <v>-15000000</v>
      </c>
      <c r="D57" s="4">
        <f t="shared" si="2"/>
        <v>-1669447.6337419995</v>
      </c>
      <c r="G57" s="3">
        <v>45</v>
      </c>
      <c r="H57" s="123">
        <f t="shared" si="4"/>
        <v>-10000000</v>
      </c>
      <c r="I57" s="4">
        <f t="shared" si="0"/>
        <v>-1112965.0891613329</v>
      </c>
    </row>
    <row r="58" spans="2:10" x14ac:dyDescent="0.25">
      <c r="B58" s="3">
        <v>46</v>
      </c>
      <c r="C58" s="123">
        <f t="shared" si="1"/>
        <v>-15000000</v>
      </c>
      <c r="D58" s="4">
        <f t="shared" si="2"/>
        <v>-1589950.1273733331</v>
      </c>
      <c r="G58" s="3">
        <v>46</v>
      </c>
      <c r="H58" s="123">
        <f t="shared" si="4"/>
        <v>-10000000</v>
      </c>
      <c r="I58" s="4">
        <f t="shared" si="0"/>
        <v>-1059966.7515822221</v>
      </c>
    </row>
    <row r="59" spans="2:10" x14ac:dyDescent="0.25">
      <c r="B59" s="3">
        <v>47</v>
      </c>
      <c r="C59" s="123">
        <f t="shared" si="1"/>
        <v>-15000000</v>
      </c>
      <c r="D59" s="4">
        <f t="shared" si="2"/>
        <v>-1514238.2165460312</v>
      </c>
      <c r="G59" s="3">
        <v>47</v>
      </c>
      <c r="H59" s="123">
        <f t="shared" si="4"/>
        <v>-10000000</v>
      </c>
      <c r="I59" s="4">
        <f t="shared" si="0"/>
        <v>-1009492.1443640208</v>
      </c>
    </row>
    <row r="60" spans="2:10" x14ac:dyDescent="0.25">
      <c r="B60" s="3">
        <v>48</v>
      </c>
      <c r="C60" s="123">
        <f t="shared" si="1"/>
        <v>-15000000</v>
      </c>
      <c r="D60" s="4">
        <f t="shared" si="2"/>
        <v>-1442131.6348057443</v>
      </c>
      <c r="G60" s="3">
        <v>48</v>
      </c>
      <c r="H60" s="123">
        <f t="shared" si="4"/>
        <v>-10000000</v>
      </c>
      <c r="I60" s="4">
        <f t="shared" si="0"/>
        <v>-961421.08987049607</v>
      </c>
    </row>
    <row r="61" spans="2:10" x14ac:dyDescent="0.25">
      <c r="B61" s="3">
        <v>49</v>
      </c>
      <c r="C61" s="123">
        <f t="shared" si="1"/>
        <v>-15000000</v>
      </c>
      <c r="D61" s="4">
        <f t="shared" si="2"/>
        <v>-1373458.6998149944</v>
      </c>
      <c r="G61" s="3">
        <v>49</v>
      </c>
      <c r="H61" s="123">
        <f t="shared" si="4"/>
        <v>-10000000</v>
      </c>
      <c r="I61" s="4">
        <f t="shared" si="0"/>
        <v>-915639.13320999627</v>
      </c>
    </row>
    <row r="62" spans="2:10" x14ac:dyDescent="0.25">
      <c r="B62" s="3">
        <v>50</v>
      </c>
      <c r="C62" s="123">
        <f t="shared" si="1"/>
        <v>-15000000</v>
      </c>
      <c r="D62" s="4">
        <f t="shared" si="2"/>
        <v>-1308055.9045857089</v>
      </c>
      <c r="G62" s="3">
        <v>50</v>
      </c>
      <c r="H62" s="123">
        <f t="shared" si="4"/>
        <v>-10000000</v>
      </c>
      <c r="I62" s="4">
        <f t="shared" si="0"/>
        <v>-872037.26972380583</v>
      </c>
    </row>
    <row r="63" spans="2:10" x14ac:dyDescent="0.25">
      <c r="C63" s="8"/>
      <c r="D63" s="12">
        <f>SUM(D12:D62)</f>
        <v>-333838881.90828562</v>
      </c>
      <c r="H63" s="8"/>
      <c r="I63" s="25">
        <f>SUM(I12:I62)</f>
        <v>-309380187.78029108</v>
      </c>
      <c r="J63" s="12">
        <f>D63-I63</f>
        <v>-24458694.127994537</v>
      </c>
    </row>
    <row r="66" spans="2:16" x14ac:dyDescent="0.25">
      <c r="B66" s="18" t="s">
        <v>20</v>
      </c>
      <c r="H66" s="18" t="s">
        <v>21</v>
      </c>
    </row>
    <row r="67" spans="2:16" x14ac:dyDescent="0.25">
      <c r="B67" s="18" t="s">
        <v>27</v>
      </c>
      <c r="H67" s="18" t="s">
        <v>27</v>
      </c>
      <c r="N67" s="18" t="s">
        <v>26</v>
      </c>
    </row>
    <row r="68" spans="2:16" x14ac:dyDescent="0.25">
      <c r="B68" s="3" t="s">
        <v>4</v>
      </c>
      <c r="C68" s="3" t="s">
        <v>0</v>
      </c>
      <c r="D68" s="3" t="s">
        <v>28</v>
      </c>
      <c r="E68" s="3" t="s">
        <v>9</v>
      </c>
      <c r="H68" s="3" t="s">
        <v>4</v>
      </c>
      <c r="I68" s="3" t="s">
        <v>0</v>
      </c>
      <c r="J68" s="3" t="s">
        <v>28</v>
      </c>
      <c r="K68" s="3" t="s">
        <v>9</v>
      </c>
      <c r="N68" s="3" t="s">
        <v>4</v>
      </c>
      <c r="O68" s="3" t="s">
        <v>0</v>
      </c>
      <c r="P68" s="3" t="s">
        <v>79</v>
      </c>
    </row>
    <row r="69" spans="2:16" x14ac:dyDescent="0.25">
      <c r="B69" s="3">
        <v>0</v>
      </c>
      <c r="C69" s="97">
        <v>0</v>
      </c>
      <c r="D69" s="98">
        <v>0</v>
      </c>
      <c r="E69" s="98">
        <f>(C69+D69)*((1+$C$6)^(-B69))</f>
        <v>0</v>
      </c>
      <c r="H69" s="3">
        <v>0</v>
      </c>
      <c r="I69" s="97">
        <v>0</v>
      </c>
      <c r="J69" s="98">
        <v>0</v>
      </c>
      <c r="K69" s="98">
        <f>(I69+J69)*((1+$C$6)^(-H69))</f>
        <v>0</v>
      </c>
      <c r="N69" s="3">
        <v>0</v>
      </c>
      <c r="O69" s="98">
        <f>-C3</f>
        <v>-60000000</v>
      </c>
      <c r="P69" s="98">
        <f>O69*((1+$C$6)^(-N69))</f>
        <v>-60000000</v>
      </c>
    </row>
    <row r="70" spans="2:16" x14ac:dyDescent="0.25">
      <c r="B70" s="3">
        <v>1</v>
      </c>
      <c r="C70" s="5">
        <v>0</v>
      </c>
      <c r="D70" s="98">
        <v>-16000000</v>
      </c>
      <c r="E70" s="98">
        <f>(C70+D70)*((1+$C$6)^(-B70))</f>
        <v>-15238095.238095237</v>
      </c>
      <c r="H70" s="3">
        <v>1</v>
      </c>
      <c r="I70" s="5">
        <v>0</v>
      </c>
      <c r="J70" s="98">
        <v>-16000000</v>
      </c>
      <c r="K70" s="98">
        <f>(I70+J70)*((1+$C$6)^(-H70))</f>
        <v>-15238095.238095237</v>
      </c>
      <c r="N70" s="3">
        <v>1</v>
      </c>
      <c r="O70" s="5">
        <f>-$C$4</f>
        <v>-15000000</v>
      </c>
      <c r="P70" s="98">
        <f t="shared" ref="P70:P119" si="5">O70*((1+$C$6)^(-N70))</f>
        <v>-14285714.285714285</v>
      </c>
    </row>
    <row r="71" spans="2:16" x14ac:dyDescent="0.25">
      <c r="B71" s="3">
        <v>2</v>
      </c>
      <c r="C71" s="5">
        <v>0</v>
      </c>
      <c r="D71" s="98">
        <v>-16000000</v>
      </c>
      <c r="E71" s="98">
        <f>(C71+D71)*((1+$C$6)^(-B71))</f>
        <v>-14512471.655328797</v>
      </c>
      <c r="H71" s="3">
        <v>2</v>
      </c>
      <c r="I71" s="5">
        <v>0</v>
      </c>
      <c r="J71" s="98">
        <v>-16000000</v>
      </c>
      <c r="K71" s="98">
        <f>(I71+J71)*((1+$C$6)^(-H71))</f>
        <v>-14512471.655328797</v>
      </c>
      <c r="N71" s="3">
        <v>2</v>
      </c>
      <c r="O71" s="5">
        <f t="shared" ref="O71:O73" si="6">-$C$4</f>
        <v>-15000000</v>
      </c>
      <c r="P71" s="98">
        <f t="shared" si="5"/>
        <v>-13605442.176870747</v>
      </c>
    </row>
    <row r="72" spans="2:16" x14ac:dyDescent="0.25">
      <c r="B72" s="3">
        <v>3</v>
      </c>
      <c r="C72" s="5">
        <v>0</v>
      </c>
      <c r="D72" s="98">
        <v>-16000000</v>
      </c>
      <c r="E72" s="98">
        <f t="shared" ref="E72:E119" si="7">(C72+D72)*((1+$C$6)^(-B72))</f>
        <v>-13821401.576503616</v>
      </c>
      <c r="H72" s="3">
        <v>3</v>
      </c>
      <c r="I72" s="5">
        <v>0</v>
      </c>
      <c r="J72" s="98">
        <v>-16000000</v>
      </c>
      <c r="K72" s="98">
        <f t="shared" ref="K72:K73" si="8">(I72+J72)*((1+$C$6)^(-H72))</f>
        <v>-13821401.576503616</v>
      </c>
      <c r="N72" s="3">
        <v>3</v>
      </c>
      <c r="O72" s="5">
        <f t="shared" si="6"/>
        <v>-15000000</v>
      </c>
      <c r="P72" s="98">
        <f t="shared" si="5"/>
        <v>-12957563.977972141</v>
      </c>
    </row>
    <row r="73" spans="2:16" x14ac:dyDescent="0.25">
      <c r="B73" s="3">
        <v>4</v>
      </c>
      <c r="C73" s="5">
        <v>0</v>
      </c>
      <c r="D73" s="98">
        <v>-16000000</v>
      </c>
      <c r="E73" s="98">
        <f t="shared" si="7"/>
        <v>-13163239.596670112</v>
      </c>
      <c r="H73" s="3">
        <v>4</v>
      </c>
      <c r="I73" s="5">
        <v>0</v>
      </c>
      <c r="J73" s="98">
        <v>-16000000</v>
      </c>
      <c r="K73" s="98">
        <f t="shared" si="8"/>
        <v>-13163239.596670112</v>
      </c>
      <c r="N73" s="3">
        <v>4</v>
      </c>
      <c r="O73" s="5">
        <f t="shared" si="6"/>
        <v>-15000000</v>
      </c>
      <c r="P73" s="98">
        <f t="shared" si="5"/>
        <v>-12340537.121878229</v>
      </c>
    </row>
    <row r="74" spans="2:16" x14ac:dyDescent="0.25">
      <c r="B74" s="3">
        <v>5</v>
      </c>
      <c r="C74" s="98">
        <f>-D3</f>
        <v>-100000000</v>
      </c>
      <c r="D74" s="98">
        <v>-16000000</v>
      </c>
      <c r="E74" s="98">
        <f>(C74+D74)*((1+$C$6)^(-B74))</f>
        <v>-90889035.310341239</v>
      </c>
      <c r="H74" s="3">
        <v>5</v>
      </c>
      <c r="I74" s="98">
        <f>-D3</f>
        <v>-100000000</v>
      </c>
      <c r="J74" s="98">
        <v>-16000000</v>
      </c>
      <c r="K74" s="98">
        <f>(I74+J74)*((1+$C$6)^(-H74))</f>
        <v>-90889035.310341239</v>
      </c>
      <c r="N74" s="99">
        <v>5</v>
      </c>
      <c r="O74" s="56">
        <f>-15000000-100000000</f>
        <v>-115000000</v>
      </c>
      <c r="P74" s="100">
        <f>O74*((1+$C$6)^(-N74))</f>
        <v>-90105509.143872783</v>
      </c>
    </row>
    <row r="75" spans="2:16" x14ac:dyDescent="0.25">
      <c r="B75" s="3">
        <v>6</v>
      </c>
      <c r="C75" s="5">
        <v>-10000000</v>
      </c>
      <c r="D75" s="98">
        <v>0</v>
      </c>
      <c r="E75" s="98">
        <f t="shared" si="7"/>
        <v>-7462153.9663662761</v>
      </c>
      <c r="H75" s="3">
        <v>6</v>
      </c>
      <c r="I75" s="5">
        <v>-20000000</v>
      </c>
      <c r="J75" s="98">
        <v>0</v>
      </c>
      <c r="K75" s="98">
        <f t="shared" ref="K75:K119" si="9">(I75+J75)*((1+$C$6)^(-H75))</f>
        <v>-14924307.932732552</v>
      </c>
      <c r="N75" s="3">
        <v>6</v>
      </c>
      <c r="O75" s="5">
        <f>$H$18</f>
        <v>-10000000</v>
      </c>
      <c r="P75" s="98">
        <f t="shared" si="5"/>
        <v>-7462153.9663662761</v>
      </c>
    </row>
    <row r="76" spans="2:16" x14ac:dyDescent="0.25">
      <c r="B76" s="3">
        <v>7</v>
      </c>
      <c r="C76" s="5">
        <f>$H$18</f>
        <v>-10000000</v>
      </c>
      <c r="D76" s="98">
        <v>0</v>
      </c>
      <c r="E76" s="98">
        <f t="shared" si="7"/>
        <v>-7106813.3013012148</v>
      </c>
      <c r="H76" s="3">
        <v>7</v>
      </c>
      <c r="I76" s="5">
        <v>-18000000</v>
      </c>
      <c r="J76" s="98">
        <v>0</v>
      </c>
      <c r="K76" s="98">
        <f t="shared" si="9"/>
        <v>-12792263.942342186</v>
      </c>
      <c r="N76" s="3">
        <v>7</v>
      </c>
      <c r="O76" s="5">
        <f>$H$18</f>
        <v>-10000000</v>
      </c>
      <c r="P76" s="98">
        <f t="shared" si="5"/>
        <v>-7106813.3013012148</v>
      </c>
    </row>
    <row r="77" spans="2:16" x14ac:dyDescent="0.25">
      <c r="B77" s="3">
        <v>8</v>
      </c>
      <c r="C77" s="5">
        <f t="shared" ref="C77:C119" si="10">$H$18</f>
        <v>-10000000</v>
      </c>
      <c r="D77" s="98">
        <v>0</v>
      </c>
      <c r="E77" s="98">
        <f t="shared" si="7"/>
        <v>-6768393.6202868726</v>
      </c>
      <c r="H77" s="3">
        <v>8</v>
      </c>
      <c r="I77" s="5">
        <v>-16000000</v>
      </c>
      <c r="J77" s="98">
        <v>0</v>
      </c>
      <c r="K77" s="98">
        <f t="shared" si="9"/>
        <v>-10829429.792458996</v>
      </c>
      <c r="N77" s="3">
        <v>8</v>
      </c>
      <c r="O77" s="5">
        <f t="shared" ref="O77:O119" si="11">$H$18</f>
        <v>-10000000</v>
      </c>
      <c r="P77" s="98">
        <f t="shared" si="5"/>
        <v>-6768393.6202868726</v>
      </c>
    </row>
    <row r="78" spans="2:16" x14ac:dyDescent="0.25">
      <c r="B78" s="3">
        <v>9</v>
      </c>
      <c r="C78" s="5">
        <f t="shared" si="10"/>
        <v>-10000000</v>
      </c>
      <c r="D78" s="98">
        <v>0</v>
      </c>
      <c r="E78" s="98">
        <f t="shared" si="7"/>
        <v>-6446089.1621779725</v>
      </c>
      <c r="H78" s="3">
        <v>9</v>
      </c>
      <c r="I78" s="5">
        <v>-14000000</v>
      </c>
      <c r="J78" s="98">
        <v>0</v>
      </c>
      <c r="K78" s="98">
        <f t="shared" si="9"/>
        <v>-9024524.8270491622</v>
      </c>
      <c r="N78" s="3">
        <v>9</v>
      </c>
      <c r="O78" s="5">
        <f t="shared" si="11"/>
        <v>-10000000</v>
      </c>
      <c r="P78" s="98">
        <f t="shared" si="5"/>
        <v>-6446089.1621779725</v>
      </c>
    </row>
    <row r="79" spans="2:16" x14ac:dyDescent="0.25">
      <c r="B79" s="3">
        <v>10</v>
      </c>
      <c r="C79" s="5">
        <f t="shared" si="10"/>
        <v>-10000000</v>
      </c>
      <c r="D79" s="98">
        <v>0</v>
      </c>
      <c r="E79" s="98">
        <f t="shared" si="7"/>
        <v>-6139132.5354075935</v>
      </c>
      <c r="H79" s="3">
        <v>10</v>
      </c>
      <c r="I79" s="5">
        <v>-12000000</v>
      </c>
      <c r="J79" s="98">
        <v>0</v>
      </c>
      <c r="K79" s="98">
        <f t="shared" si="9"/>
        <v>-7366959.0424891114</v>
      </c>
      <c r="N79" s="3">
        <v>10</v>
      </c>
      <c r="O79" s="5">
        <f t="shared" si="11"/>
        <v>-10000000</v>
      </c>
      <c r="P79" s="98">
        <f t="shared" si="5"/>
        <v>-6139132.5354075935</v>
      </c>
    </row>
    <row r="80" spans="2:16" x14ac:dyDescent="0.25">
      <c r="B80" s="3">
        <v>11</v>
      </c>
      <c r="C80" s="5">
        <f t="shared" si="10"/>
        <v>-10000000</v>
      </c>
      <c r="D80" s="98">
        <v>0</v>
      </c>
      <c r="E80" s="98">
        <f t="shared" si="7"/>
        <v>-5846792.8908643741</v>
      </c>
      <c r="H80" s="3">
        <v>11</v>
      </c>
      <c r="I80" s="5">
        <f t="shared" ref="I80:I119" si="12">$H$18</f>
        <v>-10000000</v>
      </c>
      <c r="J80" s="98">
        <v>0</v>
      </c>
      <c r="K80" s="98">
        <f t="shared" si="9"/>
        <v>-5846792.8908643741</v>
      </c>
      <c r="N80" s="3">
        <v>11</v>
      </c>
      <c r="O80" s="5">
        <f t="shared" si="11"/>
        <v>-10000000</v>
      </c>
      <c r="P80" s="98">
        <f t="shared" si="5"/>
        <v>-5846792.8908643741</v>
      </c>
    </row>
    <row r="81" spans="2:16" x14ac:dyDescent="0.25">
      <c r="B81" s="3">
        <v>12</v>
      </c>
      <c r="C81" s="5">
        <f t="shared" si="10"/>
        <v>-10000000</v>
      </c>
      <c r="D81" s="98">
        <v>0</v>
      </c>
      <c r="E81" s="98">
        <f t="shared" si="7"/>
        <v>-5568374.1817755951</v>
      </c>
      <c r="H81" s="3">
        <v>12</v>
      </c>
      <c r="I81" s="5">
        <f t="shared" si="12"/>
        <v>-10000000</v>
      </c>
      <c r="J81" s="98">
        <v>0</v>
      </c>
      <c r="K81" s="98">
        <f t="shared" si="9"/>
        <v>-5568374.1817755951</v>
      </c>
      <c r="N81" s="3">
        <v>12</v>
      </c>
      <c r="O81" s="5">
        <f t="shared" si="11"/>
        <v>-10000000</v>
      </c>
      <c r="P81" s="98">
        <f t="shared" si="5"/>
        <v>-5568374.1817755951</v>
      </c>
    </row>
    <row r="82" spans="2:16" x14ac:dyDescent="0.25">
      <c r="B82" s="3">
        <v>13</v>
      </c>
      <c r="C82" s="5">
        <f t="shared" si="10"/>
        <v>-10000000</v>
      </c>
      <c r="D82" s="98">
        <v>0</v>
      </c>
      <c r="E82" s="98">
        <f t="shared" si="7"/>
        <v>-5303213.506452946</v>
      </c>
      <c r="H82" s="3">
        <v>13</v>
      </c>
      <c r="I82" s="5">
        <f t="shared" si="12"/>
        <v>-10000000</v>
      </c>
      <c r="J82" s="98">
        <v>0</v>
      </c>
      <c r="K82" s="98">
        <f t="shared" si="9"/>
        <v>-5303213.506452946</v>
      </c>
      <c r="N82" s="3">
        <v>13</v>
      </c>
      <c r="O82" s="5">
        <f t="shared" si="11"/>
        <v>-10000000</v>
      </c>
      <c r="P82" s="98">
        <f>O82*((1+$C$6)^(-N82))</f>
        <v>-5303213.506452946</v>
      </c>
    </row>
    <row r="83" spans="2:16" x14ac:dyDescent="0.25">
      <c r="B83" s="3">
        <v>14</v>
      </c>
      <c r="C83" s="5">
        <f t="shared" si="10"/>
        <v>-10000000</v>
      </c>
      <c r="D83" s="98">
        <v>0</v>
      </c>
      <c r="E83" s="98">
        <f t="shared" si="7"/>
        <v>-5050679.5299551887</v>
      </c>
      <c r="H83" s="3">
        <v>14</v>
      </c>
      <c r="I83" s="5">
        <f t="shared" si="12"/>
        <v>-10000000</v>
      </c>
      <c r="J83" s="98">
        <v>0</v>
      </c>
      <c r="K83" s="98">
        <f t="shared" si="9"/>
        <v>-5050679.5299551887</v>
      </c>
      <c r="N83" s="3">
        <v>14</v>
      </c>
      <c r="O83" s="5">
        <f t="shared" si="11"/>
        <v>-10000000</v>
      </c>
      <c r="P83" s="98">
        <f t="shared" si="5"/>
        <v>-5050679.5299551887</v>
      </c>
    </row>
    <row r="84" spans="2:16" x14ac:dyDescent="0.25">
      <c r="B84" s="3">
        <v>15</v>
      </c>
      <c r="C84" s="5">
        <f t="shared" si="10"/>
        <v>-10000000</v>
      </c>
      <c r="D84" s="98">
        <v>0</v>
      </c>
      <c r="E84" s="98">
        <f t="shared" si="7"/>
        <v>-4810170.9809097024</v>
      </c>
      <c r="H84" s="3">
        <v>15</v>
      </c>
      <c r="I84" s="5">
        <f t="shared" si="12"/>
        <v>-10000000</v>
      </c>
      <c r="J84" s="98">
        <v>0</v>
      </c>
      <c r="K84" s="98">
        <f t="shared" si="9"/>
        <v>-4810170.9809097024</v>
      </c>
      <c r="N84" s="3">
        <v>15</v>
      </c>
      <c r="O84" s="5">
        <f t="shared" si="11"/>
        <v>-10000000</v>
      </c>
      <c r="P84" s="98">
        <f t="shared" si="5"/>
        <v>-4810170.9809097024</v>
      </c>
    </row>
    <row r="85" spans="2:16" hidden="1" x14ac:dyDescent="0.25">
      <c r="B85" s="3">
        <v>16</v>
      </c>
      <c r="C85" s="5">
        <f t="shared" si="10"/>
        <v>-10000000</v>
      </c>
      <c r="D85" s="98">
        <v>0</v>
      </c>
      <c r="E85" s="98">
        <f t="shared" si="7"/>
        <v>-4581115.2199140023</v>
      </c>
      <c r="H85" s="3">
        <v>16</v>
      </c>
      <c r="I85" s="5">
        <f t="shared" si="12"/>
        <v>-10000000</v>
      </c>
      <c r="J85" s="98">
        <v>0</v>
      </c>
      <c r="K85" s="98">
        <f t="shared" si="9"/>
        <v>-4581115.2199140023</v>
      </c>
      <c r="N85" s="3">
        <v>16</v>
      </c>
      <c r="O85" s="5">
        <f t="shared" si="11"/>
        <v>-10000000</v>
      </c>
      <c r="P85" s="98">
        <f t="shared" si="5"/>
        <v>-4581115.2199140023</v>
      </c>
    </row>
    <row r="86" spans="2:16" hidden="1" x14ac:dyDescent="0.25">
      <c r="B86" s="3">
        <v>17</v>
      </c>
      <c r="C86" s="5">
        <f t="shared" si="10"/>
        <v>-10000000</v>
      </c>
      <c r="D86" s="98">
        <v>0</v>
      </c>
      <c r="E86" s="98">
        <f t="shared" si="7"/>
        <v>-4362966.8761085728</v>
      </c>
      <c r="H86" s="3">
        <v>17</v>
      </c>
      <c r="I86" s="5">
        <f t="shared" si="12"/>
        <v>-10000000</v>
      </c>
      <c r="J86" s="98">
        <v>0</v>
      </c>
      <c r="K86" s="98">
        <f t="shared" si="9"/>
        <v>-4362966.8761085728</v>
      </c>
      <c r="N86" s="3">
        <v>17</v>
      </c>
      <c r="O86" s="5">
        <f t="shared" si="11"/>
        <v>-10000000</v>
      </c>
      <c r="P86" s="98">
        <f t="shared" si="5"/>
        <v>-4362966.8761085728</v>
      </c>
    </row>
    <row r="87" spans="2:16" hidden="1" x14ac:dyDescent="0.25">
      <c r="B87" s="3">
        <v>18</v>
      </c>
      <c r="C87" s="5">
        <f t="shared" si="10"/>
        <v>-10000000</v>
      </c>
      <c r="D87" s="98">
        <v>0</v>
      </c>
      <c r="E87" s="98">
        <f t="shared" si="7"/>
        <v>-4155206.5486748312</v>
      </c>
      <c r="H87" s="3">
        <v>18</v>
      </c>
      <c r="I87" s="5">
        <f t="shared" si="12"/>
        <v>-10000000</v>
      </c>
      <c r="J87" s="98">
        <v>0</v>
      </c>
      <c r="K87" s="98">
        <f t="shared" si="9"/>
        <v>-4155206.5486748312</v>
      </c>
      <c r="N87" s="3">
        <v>18</v>
      </c>
      <c r="O87" s="5">
        <f t="shared" si="11"/>
        <v>-10000000</v>
      </c>
      <c r="P87" s="4">
        <f t="shared" si="5"/>
        <v>-4155206.5486748312</v>
      </c>
    </row>
    <row r="88" spans="2:16" hidden="1" x14ac:dyDescent="0.25">
      <c r="B88" s="3">
        <v>19</v>
      </c>
      <c r="C88" s="5">
        <f t="shared" si="10"/>
        <v>-10000000</v>
      </c>
      <c r="D88" s="98">
        <v>0</v>
      </c>
      <c r="E88" s="98">
        <f t="shared" si="7"/>
        <v>-3957339.5701665059</v>
      </c>
      <c r="H88" s="3">
        <v>19</v>
      </c>
      <c r="I88" s="5">
        <f t="shared" si="12"/>
        <v>-10000000</v>
      </c>
      <c r="J88" s="98">
        <v>0</v>
      </c>
      <c r="K88" s="98">
        <f t="shared" si="9"/>
        <v>-3957339.5701665059</v>
      </c>
      <c r="N88" s="3">
        <v>19</v>
      </c>
      <c r="O88" s="5">
        <f t="shared" si="11"/>
        <v>-10000000</v>
      </c>
      <c r="P88" s="4">
        <f t="shared" si="5"/>
        <v>-3957339.5701665059</v>
      </c>
    </row>
    <row r="89" spans="2:16" hidden="1" x14ac:dyDescent="0.25">
      <c r="B89" s="3">
        <v>20</v>
      </c>
      <c r="C89" s="5">
        <f t="shared" si="10"/>
        <v>-10000000</v>
      </c>
      <c r="D89" s="98">
        <v>0</v>
      </c>
      <c r="E89" s="98">
        <f t="shared" si="7"/>
        <v>-3768894.8287300062</v>
      </c>
      <c r="H89" s="3">
        <v>20</v>
      </c>
      <c r="I89" s="5">
        <f t="shared" si="12"/>
        <v>-10000000</v>
      </c>
      <c r="J89" s="98">
        <v>0</v>
      </c>
      <c r="K89" s="98">
        <f t="shared" si="9"/>
        <v>-3768894.8287300062</v>
      </c>
      <c r="N89" s="3">
        <v>20</v>
      </c>
      <c r="O89" s="5">
        <f t="shared" si="11"/>
        <v>-10000000</v>
      </c>
      <c r="P89" s="4">
        <f t="shared" si="5"/>
        <v>-3768894.8287300062</v>
      </c>
    </row>
    <row r="90" spans="2:16" hidden="1" x14ac:dyDescent="0.25">
      <c r="B90" s="3">
        <v>21</v>
      </c>
      <c r="C90" s="5">
        <f t="shared" si="10"/>
        <v>-10000000</v>
      </c>
      <c r="D90" s="98">
        <v>0</v>
      </c>
      <c r="E90" s="98">
        <f t="shared" si="7"/>
        <v>-3589423.6464095297</v>
      </c>
      <c r="H90" s="3">
        <v>21</v>
      </c>
      <c r="I90" s="5">
        <f t="shared" si="12"/>
        <v>-10000000</v>
      </c>
      <c r="J90" s="98">
        <v>0</v>
      </c>
      <c r="K90" s="98">
        <f t="shared" si="9"/>
        <v>-3589423.6464095297</v>
      </c>
      <c r="N90" s="3">
        <v>21</v>
      </c>
      <c r="O90" s="5">
        <f t="shared" si="11"/>
        <v>-10000000</v>
      </c>
      <c r="P90" s="4">
        <f t="shared" si="5"/>
        <v>-3589423.6464095297</v>
      </c>
    </row>
    <row r="91" spans="2:16" hidden="1" x14ac:dyDescent="0.25">
      <c r="B91" s="3">
        <v>22</v>
      </c>
      <c r="C91" s="5">
        <f t="shared" si="10"/>
        <v>-10000000</v>
      </c>
      <c r="D91" s="98">
        <v>0</v>
      </c>
      <c r="E91" s="98">
        <f t="shared" si="7"/>
        <v>-3418498.7108662189</v>
      </c>
      <c r="H91" s="3">
        <v>22</v>
      </c>
      <c r="I91" s="5">
        <f t="shared" si="12"/>
        <v>-10000000</v>
      </c>
      <c r="J91" s="98">
        <v>0</v>
      </c>
      <c r="K91" s="98">
        <f t="shared" si="9"/>
        <v>-3418498.7108662189</v>
      </c>
      <c r="N91" s="3">
        <v>22</v>
      </c>
      <c r="O91" s="5">
        <f t="shared" si="11"/>
        <v>-10000000</v>
      </c>
      <c r="P91" s="4">
        <f t="shared" si="5"/>
        <v>-3418498.7108662189</v>
      </c>
    </row>
    <row r="92" spans="2:16" hidden="1" x14ac:dyDescent="0.25">
      <c r="B92" s="3">
        <v>23</v>
      </c>
      <c r="C92" s="5">
        <f t="shared" si="10"/>
        <v>-10000000</v>
      </c>
      <c r="D92" s="98">
        <v>0</v>
      </c>
      <c r="E92" s="98">
        <f t="shared" si="7"/>
        <v>-3255713.0579678267</v>
      </c>
      <c r="H92" s="3">
        <v>23</v>
      </c>
      <c r="I92" s="5">
        <f t="shared" si="12"/>
        <v>-10000000</v>
      </c>
      <c r="J92" s="98">
        <v>0</v>
      </c>
      <c r="K92" s="98">
        <f t="shared" si="9"/>
        <v>-3255713.0579678267</v>
      </c>
      <c r="N92" s="3">
        <v>23</v>
      </c>
      <c r="O92" s="5">
        <f t="shared" si="11"/>
        <v>-10000000</v>
      </c>
      <c r="P92" s="4">
        <f t="shared" si="5"/>
        <v>-3255713.0579678267</v>
      </c>
    </row>
    <row r="93" spans="2:16" hidden="1" x14ac:dyDescent="0.25">
      <c r="B93" s="3">
        <v>24</v>
      </c>
      <c r="C93" s="5">
        <f t="shared" si="10"/>
        <v>-10000000</v>
      </c>
      <c r="D93" s="98">
        <v>0</v>
      </c>
      <c r="E93" s="98">
        <f t="shared" si="7"/>
        <v>-3100679.1028265022</v>
      </c>
      <c r="H93" s="3">
        <v>24</v>
      </c>
      <c r="I93" s="5">
        <f t="shared" si="12"/>
        <v>-10000000</v>
      </c>
      <c r="J93" s="98">
        <v>0</v>
      </c>
      <c r="K93" s="98">
        <f t="shared" si="9"/>
        <v>-3100679.1028265022</v>
      </c>
      <c r="N93" s="3">
        <v>24</v>
      </c>
      <c r="O93" s="5">
        <f t="shared" si="11"/>
        <v>-10000000</v>
      </c>
      <c r="P93" s="4">
        <f t="shared" si="5"/>
        <v>-3100679.1028265022</v>
      </c>
    </row>
    <row r="94" spans="2:16" hidden="1" x14ac:dyDescent="0.25">
      <c r="B94" s="3">
        <v>25</v>
      </c>
      <c r="C94" s="5">
        <f t="shared" si="10"/>
        <v>-10000000</v>
      </c>
      <c r="D94" s="98">
        <v>0</v>
      </c>
      <c r="E94" s="98">
        <f t="shared" si="7"/>
        <v>-2953027.716977621</v>
      </c>
      <c r="H94" s="3">
        <v>25</v>
      </c>
      <c r="I94" s="5">
        <f t="shared" si="12"/>
        <v>-10000000</v>
      </c>
      <c r="J94" s="98">
        <v>0</v>
      </c>
      <c r="K94" s="98">
        <f t="shared" si="9"/>
        <v>-2953027.716977621</v>
      </c>
      <c r="N94" s="3">
        <v>25</v>
      </c>
      <c r="O94" s="5">
        <f t="shared" si="11"/>
        <v>-10000000</v>
      </c>
      <c r="P94" s="4">
        <f t="shared" si="5"/>
        <v>-2953027.716977621</v>
      </c>
    </row>
    <row r="95" spans="2:16" hidden="1" x14ac:dyDescent="0.25">
      <c r="B95" s="3">
        <v>26</v>
      </c>
      <c r="C95" s="5">
        <f t="shared" si="10"/>
        <v>-10000000</v>
      </c>
      <c r="D95" s="98">
        <v>0</v>
      </c>
      <c r="E95" s="98">
        <f t="shared" si="7"/>
        <v>-2812407.349502496</v>
      </c>
      <c r="H95" s="3">
        <v>26</v>
      </c>
      <c r="I95" s="5">
        <f t="shared" si="12"/>
        <v>-10000000</v>
      </c>
      <c r="J95" s="98">
        <v>0</v>
      </c>
      <c r="K95" s="98">
        <f t="shared" si="9"/>
        <v>-2812407.349502496</v>
      </c>
      <c r="N95" s="3">
        <v>26</v>
      </c>
      <c r="O95" s="5">
        <f t="shared" si="11"/>
        <v>-10000000</v>
      </c>
      <c r="P95" s="4">
        <f t="shared" si="5"/>
        <v>-2812407.349502496</v>
      </c>
    </row>
    <row r="96" spans="2:16" hidden="1" x14ac:dyDescent="0.25">
      <c r="B96" s="3">
        <v>27</v>
      </c>
      <c r="C96" s="5">
        <f t="shared" si="10"/>
        <v>-10000000</v>
      </c>
      <c r="D96" s="98">
        <v>0</v>
      </c>
      <c r="E96" s="98">
        <f t="shared" si="7"/>
        <v>-2678483.1900023771</v>
      </c>
      <c r="H96" s="3">
        <v>27</v>
      </c>
      <c r="I96" s="5">
        <f t="shared" si="12"/>
        <v>-10000000</v>
      </c>
      <c r="J96" s="98">
        <v>0</v>
      </c>
      <c r="K96" s="98">
        <f t="shared" si="9"/>
        <v>-2678483.1900023771</v>
      </c>
      <c r="N96" s="3">
        <v>27</v>
      </c>
      <c r="O96" s="5">
        <f t="shared" si="11"/>
        <v>-10000000</v>
      </c>
      <c r="P96" s="4">
        <f t="shared" si="5"/>
        <v>-2678483.1900023771</v>
      </c>
    </row>
    <row r="97" spans="2:16" hidden="1" x14ac:dyDescent="0.25">
      <c r="B97" s="3">
        <v>28</v>
      </c>
      <c r="C97" s="5">
        <f t="shared" si="10"/>
        <v>-10000000</v>
      </c>
      <c r="D97" s="98">
        <v>0</v>
      </c>
      <c r="E97" s="98">
        <f t="shared" si="7"/>
        <v>-2550936.3714308357</v>
      </c>
      <c r="H97" s="3">
        <v>28</v>
      </c>
      <c r="I97" s="5">
        <f t="shared" si="12"/>
        <v>-10000000</v>
      </c>
      <c r="J97" s="98">
        <v>0</v>
      </c>
      <c r="K97" s="98">
        <f t="shared" si="9"/>
        <v>-2550936.3714308357</v>
      </c>
      <c r="N97" s="3">
        <v>28</v>
      </c>
      <c r="O97" s="5">
        <f t="shared" si="11"/>
        <v>-10000000</v>
      </c>
      <c r="P97" s="4">
        <f t="shared" si="5"/>
        <v>-2550936.3714308357</v>
      </c>
    </row>
    <row r="98" spans="2:16" hidden="1" x14ac:dyDescent="0.25">
      <c r="B98" s="3">
        <v>29</v>
      </c>
      <c r="C98" s="5">
        <f t="shared" si="10"/>
        <v>-10000000</v>
      </c>
      <c r="D98" s="98">
        <v>0</v>
      </c>
      <c r="E98" s="98">
        <f t="shared" si="7"/>
        <v>-2429463.2108865096</v>
      </c>
      <c r="H98" s="3">
        <v>29</v>
      </c>
      <c r="I98" s="5">
        <f t="shared" si="12"/>
        <v>-10000000</v>
      </c>
      <c r="J98" s="98">
        <v>0</v>
      </c>
      <c r="K98" s="98">
        <f t="shared" si="9"/>
        <v>-2429463.2108865096</v>
      </c>
      <c r="N98" s="3">
        <v>29</v>
      </c>
      <c r="O98" s="5">
        <f t="shared" si="11"/>
        <v>-10000000</v>
      </c>
      <c r="P98" s="4">
        <f t="shared" si="5"/>
        <v>-2429463.2108865096</v>
      </c>
    </row>
    <row r="99" spans="2:16" hidden="1" x14ac:dyDescent="0.25">
      <c r="B99" s="3">
        <v>30</v>
      </c>
      <c r="C99" s="5">
        <f t="shared" si="10"/>
        <v>-10000000</v>
      </c>
      <c r="D99" s="98">
        <v>0</v>
      </c>
      <c r="E99" s="98">
        <f t="shared" si="7"/>
        <v>-2313774.4865585812</v>
      </c>
      <c r="H99" s="3">
        <v>30</v>
      </c>
      <c r="I99" s="5">
        <f t="shared" si="12"/>
        <v>-10000000</v>
      </c>
      <c r="J99" s="98">
        <v>0</v>
      </c>
      <c r="K99" s="98">
        <f t="shared" si="9"/>
        <v>-2313774.4865585812</v>
      </c>
      <c r="N99" s="3">
        <v>30</v>
      </c>
      <c r="O99" s="5">
        <f t="shared" si="11"/>
        <v>-10000000</v>
      </c>
      <c r="P99" s="4">
        <f t="shared" si="5"/>
        <v>-2313774.4865585812</v>
      </c>
    </row>
    <row r="100" spans="2:16" hidden="1" x14ac:dyDescent="0.25">
      <c r="B100" s="3">
        <v>31</v>
      </c>
      <c r="C100" s="5">
        <f t="shared" si="10"/>
        <v>-10000000</v>
      </c>
      <c r="D100" s="98">
        <v>0</v>
      </c>
      <c r="E100" s="98">
        <f t="shared" si="7"/>
        <v>-2203594.7491034102</v>
      </c>
      <c r="H100" s="3">
        <v>31</v>
      </c>
      <c r="I100" s="5">
        <f t="shared" si="12"/>
        <v>-10000000</v>
      </c>
      <c r="J100" s="98">
        <v>0</v>
      </c>
      <c r="K100" s="98">
        <f t="shared" si="9"/>
        <v>-2203594.7491034102</v>
      </c>
      <c r="N100" s="3">
        <v>31</v>
      </c>
      <c r="O100" s="5">
        <f t="shared" si="11"/>
        <v>-10000000</v>
      </c>
      <c r="P100" s="4">
        <f t="shared" si="5"/>
        <v>-2203594.7491034102</v>
      </c>
    </row>
    <row r="101" spans="2:16" hidden="1" x14ac:dyDescent="0.25">
      <c r="B101" s="3">
        <v>32</v>
      </c>
      <c r="C101" s="5">
        <f t="shared" si="10"/>
        <v>-10000000</v>
      </c>
      <c r="D101" s="98">
        <v>0</v>
      </c>
      <c r="E101" s="98">
        <f t="shared" si="7"/>
        <v>-2098661.6658127718</v>
      </c>
      <c r="H101" s="3">
        <v>32</v>
      </c>
      <c r="I101" s="5">
        <f t="shared" si="12"/>
        <v>-10000000</v>
      </c>
      <c r="J101" s="98">
        <v>0</v>
      </c>
      <c r="K101" s="98">
        <f t="shared" si="9"/>
        <v>-2098661.6658127718</v>
      </c>
      <c r="N101" s="3">
        <v>32</v>
      </c>
      <c r="O101" s="5">
        <f t="shared" si="11"/>
        <v>-10000000</v>
      </c>
      <c r="P101" s="4">
        <f t="shared" si="5"/>
        <v>-2098661.6658127718</v>
      </c>
    </row>
    <row r="102" spans="2:16" hidden="1" x14ac:dyDescent="0.25">
      <c r="B102" s="3">
        <v>33</v>
      </c>
      <c r="C102" s="5">
        <f t="shared" si="10"/>
        <v>-10000000</v>
      </c>
      <c r="D102" s="98">
        <v>0</v>
      </c>
      <c r="E102" s="98">
        <f t="shared" si="7"/>
        <v>-1998725.3960121635</v>
      </c>
      <c r="H102" s="3">
        <v>33</v>
      </c>
      <c r="I102" s="5">
        <f t="shared" si="12"/>
        <v>-10000000</v>
      </c>
      <c r="J102" s="98">
        <v>0</v>
      </c>
      <c r="K102" s="98">
        <f t="shared" si="9"/>
        <v>-1998725.3960121635</v>
      </c>
      <c r="N102" s="3">
        <v>33</v>
      </c>
      <c r="O102" s="5">
        <f t="shared" si="11"/>
        <v>-10000000</v>
      </c>
      <c r="P102" s="4">
        <f t="shared" si="5"/>
        <v>-1998725.3960121635</v>
      </c>
    </row>
    <row r="103" spans="2:16" hidden="1" x14ac:dyDescent="0.25">
      <c r="B103" s="3">
        <v>34</v>
      </c>
      <c r="C103" s="5">
        <f t="shared" si="10"/>
        <v>-10000000</v>
      </c>
      <c r="D103" s="98">
        <v>0</v>
      </c>
      <c r="E103" s="98">
        <f t="shared" si="7"/>
        <v>-1903547.9962020605</v>
      </c>
      <c r="H103" s="3">
        <v>34</v>
      </c>
      <c r="I103" s="5">
        <f t="shared" si="12"/>
        <v>-10000000</v>
      </c>
      <c r="J103" s="98">
        <v>0</v>
      </c>
      <c r="K103" s="98">
        <f t="shared" si="9"/>
        <v>-1903547.9962020605</v>
      </c>
      <c r="N103" s="3">
        <v>34</v>
      </c>
      <c r="O103" s="5">
        <f t="shared" si="11"/>
        <v>-10000000</v>
      </c>
      <c r="P103" s="4">
        <f t="shared" si="5"/>
        <v>-1903547.9962020605</v>
      </c>
    </row>
    <row r="104" spans="2:16" hidden="1" x14ac:dyDescent="0.25">
      <c r="B104" s="3">
        <v>35</v>
      </c>
      <c r="C104" s="5">
        <f t="shared" si="10"/>
        <v>-10000000</v>
      </c>
      <c r="D104" s="98">
        <v>0</v>
      </c>
      <c r="E104" s="98">
        <f t="shared" si="7"/>
        <v>-1812902.8535257715</v>
      </c>
      <c r="H104" s="3">
        <v>35</v>
      </c>
      <c r="I104" s="5">
        <f t="shared" si="12"/>
        <v>-10000000</v>
      </c>
      <c r="J104" s="98">
        <v>0</v>
      </c>
      <c r="K104" s="98">
        <f t="shared" si="9"/>
        <v>-1812902.8535257715</v>
      </c>
      <c r="N104" s="3">
        <v>35</v>
      </c>
      <c r="O104" s="5">
        <f t="shared" si="11"/>
        <v>-10000000</v>
      </c>
      <c r="P104" s="4">
        <f t="shared" si="5"/>
        <v>-1812902.8535257715</v>
      </c>
    </row>
    <row r="105" spans="2:16" hidden="1" x14ac:dyDescent="0.25">
      <c r="B105" s="3">
        <v>36</v>
      </c>
      <c r="C105" s="5">
        <f t="shared" si="10"/>
        <v>-10000000</v>
      </c>
      <c r="D105" s="98">
        <v>0</v>
      </c>
      <c r="E105" s="98">
        <f t="shared" si="7"/>
        <v>-1726574.1462150209</v>
      </c>
      <c r="H105" s="3">
        <v>36</v>
      </c>
      <c r="I105" s="5">
        <f t="shared" si="12"/>
        <v>-10000000</v>
      </c>
      <c r="J105" s="98">
        <v>0</v>
      </c>
      <c r="K105" s="98">
        <f t="shared" si="9"/>
        <v>-1726574.1462150209</v>
      </c>
      <c r="N105" s="3">
        <v>36</v>
      </c>
      <c r="O105" s="5">
        <f t="shared" si="11"/>
        <v>-10000000</v>
      </c>
      <c r="P105" s="4">
        <f t="shared" si="5"/>
        <v>-1726574.1462150209</v>
      </c>
    </row>
    <row r="106" spans="2:16" hidden="1" x14ac:dyDescent="0.25">
      <c r="B106" s="3">
        <v>37</v>
      </c>
      <c r="C106" s="5">
        <f t="shared" si="10"/>
        <v>-10000000</v>
      </c>
      <c r="D106" s="98">
        <v>0</v>
      </c>
      <c r="E106" s="98">
        <f t="shared" si="7"/>
        <v>-1644356.329728591</v>
      </c>
      <c r="H106" s="3">
        <v>37</v>
      </c>
      <c r="I106" s="5">
        <f t="shared" si="12"/>
        <v>-10000000</v>
      </c>
      <c r="J106" s="98">
        <v>0</v>
      </c>
      <c r="K106" s="98">
        <f t="shared" si="9"/>
        <v>-1644356.329728591</v>
      </c>
      <c r="N106" s="3">
        <v>37</v>
      </c>
      <c r="O106" s="5">
        <f t="shared" si="11"/>
        <v>-10000000</v>
      </c>
      <c r="P106" s="4">
        <f t="shared" si="5"/>
        <v>-1644356.329728591</v>
      </c>
    </row>
    <row r="107" spans="2:16" hidden="1" x14ac:dyDescent="0.25">
      <c r="B107" s="3">
        <v>38</v>
      </c>
      <c r="C107" s="5">
        <f t="shared" si="10"/>
        <v>-10000000</v>
      </c>
      <c r="D107" s="98">
        <v>0</v>
      </c>
      <c r="E107" s="98">
        <f t="shared" si="7"/>
        <v>-1566053.6473605633</v>
      </c>
      <c r="H107" s="3">
        <v>38</v>
      </c>
      <c r="I107" s="5">
        <f t="shared" si="12"/>
        <v>-10000000</v>
      </c>
      <c r="J107" s="98">
        <v>0</v>
      </c>
      <c r="K107" s="98">
        <f t="shared" si="9"/>
        <v>-1566053.6473605633</v>
      </c>
      <c r="N107" s="3">
        <v>38</v>
      </c>
      <c r="O107" s="5">
        <f t="shared" si="11"/>
        <v>-10000000</v>
      </c>
      <c r="P107" s="4">
        <f t="shared" si="5"/>
        <v>-1566053.6473605633</v>
      </c>
    </row>
    <row r="108" spans="2:16" hidden="1" x14ac:dyDescent="0.25">
      <c r="B108" s="3">
        <v>39</v>
      </c>
      <c r="C108" s="5">
        <f t="shared" si="10"/>
        <v>-10000000</v>
      </c>
      <c r="D108" s="98">
        <v>0</v>
      </c>
      <c r="E108" s="98">
        <f t="shared" si="7"/>
        <v>-1491479.6641529172</v>
      </c>
      <c r="H108" s="3">
        <v>39</v>
      </c>
      <c r="I108" s="5">
        <f t="shared" si="12"/>
        <v>-10000000</v>
      </c>
      <c r="J108" s="98">
        <v>0</v>
      </c>
      <c r="K108" s="98">
        <f t="shared" si="9"/>
        <v>-1491479.6641529172</v>
      </c>
      <c r="N108" s="3">
        <v>39</v>
      </c>
      <c r="O108" s="5">
        <f t="shared" si="11"/>
        <v>-10000000</v>
      </c>
      <c r="P108" s="4">
        <f t="shared" si="5"/>
        <v>-1491479.6641529172</v>
      </c>
    </row>
    <row r="109" spans="2:16" hidden="1" x14ac:dyDescent="0.25">
      <c r="B109" s="3">
        <v>40</v>
      </c>
      <c r="C109" s="5">
        <f t="shared" si="10"/>
        <v>-10000000</v>
      </c>
      <c r="D109" s="98">
        <v>0</v>
      </c>
      <c r="E109" s="98">
        <f t="shared" si="7"/>
        <v>-1420456.8230027785</v>
      </c>
      <c r="H109" s="3">
        <v>40</v>
      </c>
      <c r="I109" s="5">
        <f t="shared" si="12"/>
        <v>-10000000</v>
      </c>
      <c r="J109" s="98">
        <v>0</v>
      </c>
      <c r="K109" s="98">
        <f t="shared" si="9"/>
        <v>-1420456.8230027785</v>
      </c>
      <c r="N109" s="3">
        <v>40</v>
      </c>
      <c r="O109" s="5">
        <f t="shared" si="11"/>
        <v>-10000000</v>
      </c>
      <c r="P109" s="4">
        <f t="shared" si="5"/>
        <v>-1420456.8230027785</v>
      </c>
    </row>
    <row r="110" spans="2:16" hidden="1" x14ac:dyDescent="0.25">
      <c r="B110" s="3">
        <v>41</v>
      </c>
      <c r="C110" s="5">
        <f t="shared" si="10"/>
        <v>-10000000</v>
      </c>
      <c r="D110" s="98">
        <v>0</v>
      </c>
      <c r="E110" s="98">
        <f t="shared" si="7"/>
        <v>-1352816.0219074078</v>
      </c>
      <c r="H110" s="3">
        <v>41</v>
      </c>
      <c r="I110" s="5">
        <f t="shared" si="12"/>
        <v>-10000000</v>
      </c>
      <c r="J110" s="98">
        <v>0</v>
      </c>
      <c r="K110" s="98">
        <f t="shared" si="9"/>
        <v>-1352816.0219074078</v>
      </c>
      <c r="N110" s="3">
        <v>41</v>
      </c>
      <c r="O110" s="5">
        <f t="shared" si="11"/>
        <v>-10000000</v>
      </c>
      <c r="P110" s="4">
        <f t="shared" si="5"/>
        <v>-1352816.0219074078</v>
      </c>
    </row>
    <row r="111" spans="2:16" hidden="1" x14ac:dyDescent="0.25">
      <c r="B111" s="3">
        <v>42</v>
      </c>
      <c r="C111" s="5">
        <f t="shared" si="10"/>
        <v>-10000000</v>
      </c>
      <c r="D111" s="98">
        <v>0</v>
      </c>
      <c r="E111" s="98">
        <f t="shared" si="7"/>
        <v>-1288396.2113403885</v>
      </c>
      <c r="H111" s="3">
        <v>42</v>
      </c>
      <c r="I111" s="5">
        <f t="shared" si="12"/>
        <v>-10000000</v>
      </c>
      <c r="J111" s="98">
        <v>0</v>
      </c>
      <c r="K111" s="98">
        <f t="shared" si="9"/>
        <v>-1288396.2113403885</v>
      </c>
      <c r="N111" s="3">
        <v>42</v>
      </c>
      <c r="O111" s="5">
        <f t="shared" si="11"/>
        <v>-10000000</v>
      </c>
      <c r="P111" s="4">
        <f t="shared" si="5"/>
        <v>-1288396.2113403885</v>
      </c>
    </row>
    <row r="112" spans="2:16" hidden="1" x14ac:dyDescent="0.25">
      <c r="B112" s="3">
        <v>43</v>
      </c>
      <c r="C112" s="5">
        <f t="shared" si="10"/>
        <v>-10000000</v>
      </c>
      <c r="D112" s="98">
        <v>0</v>
      </c>
      <c r="E112" s="98">
        <f t="shared" si="7"/>
        <v>-1227044.0108003698</v>
      </c>
      <c r="H112" s="3">
        <v>43</v>
      </c>
      <c r="I112" s="5">
        <f t="shared" si="12"/>
        <v>-10000000</v>
      </c>
      <c r="J112" s="98">
        <v>0</v>
      </c>
      <c r="K112" s="98">
        <f t="shared" si="9"/>
        <v>-1227044.0108003698</v>
      </c>
      <c r="N112" s="3">
        <v>43</v>
      </c>
      <c r="O112" s="5">
        <f t="shared" si="11"/>
        <v>-10000000</v>
      </c>
      <c r="P112" s="4">
        <f t="shared" si="5"/>
        <v>-1227044.0108003698</v>
      </c>
    </row>
    <row r="113" spans="2:16" hidden="1" x14ac:dyDescent="0.25">
      <c r="B113" s="3">
        <v>44</v>
      </c>
      <c r="C113" s="5">
        <f t="shared" si="10"/>
        <v>-10000000</v>
      </c>
      <c r="D113" s="98">
        <v>0</v>
      </c>
      <c r="E113" s="98">
        <f t="shared" si="7"/>
        <v>-1168613.3436193999</v>
      </c>
      <c r="H113" s="3">
        <v>44</v>
      </c>
      <c r="I113" s="5">
        <f t="shared" si="12"/>
        <v>-10000000</v>
      </c>
      <c r="J113" s="98">
        <v>0</v>
      </c>
      <c r="K113" s="98">
        <f t="shared" si="9"/>
        <v>-1168613.3436193999</v>
      </c>
      <c r="N113" s="3">
        <v>44</v>
      </c>
      <c r="O113" s="5">
        <f t="shared" si="11"/>
        <v>-10000000</v>
      </c>
      <c r="P113" s="4">
        <f t="shared" si="5"/>
        <v>-1168613.3436193999</v>
      </c>
    </row>
    <row r="114" spans="2:16" hidden="1" x14ac:dyDescent="0.25">
      <c r="B114" s="3">
        <v>45</v>
      </c>
      <c r="C114" s="5">
        <f t="shared" si="10"/>
        <v>-10000000</v>
      </c>
      <c r="D114" s="98">
        <v>0</v>
      </c>
      <c r="E114" s="98">
        <f t="shared" si="7"/>
        <v>-1112965.0891613329</v>
      </c>
      <c r="H114" s="3">
        <v>45</v>
      </c>
      <c r="I114" s="5">
        <f t="shared" si="12"/>
        <v>-10000000</v>
      </c>
      <c r="J114" s="98">
        <v>0</v>
      </c>
      <c r="K114" s="98">
        <f t="shared" si="9"/>
        <v>-1112965.0891613329</v>
      </c>
      <c r="N114" s="3">
        <v>45</v>
      </c>
      <c r="O114" s="5">
        <f t="shared" si="11"/>
        <v>-10000000</v>
      </c>
      <c r="P114" s="4">
        <f t="shared" si="5"/>
        <v>-1112965.0891613329</v>
      </c>
    </row>
    <row r="115" spans="2:16" x14ac:dyDescent="0.25">
      <c r="B115" s="3">
        <v>46</v>
      </c>
      <c r="C115" s="5">
        <f t="shared" si="10"/>
        <v>-10000000</v>
      </c>
      <c r="D115" s="98">
        <v>0</v>
      </c>
      <c r="E115" s="98">
        <f t="shared" si="7"/>
        <v>-1059966.7515822221</v>
      </c>
      <c r="H115" s="3">
        <v>46</v>
      </c>
      <c r="I115" s="5">
        <f t="shared" si="12"/>
        <v>-10000000</v>
      </c>
      <c r="J115" s="98">
        <v>0</v>
      </c>
      <c r="K115" s="98">
        <f t="shared" si="9"/>
        <v>-1059966.7515822221</v>
      </c>
      <c r="N115" s="3">
        <v>46</v>
      </c>
      <c r="O115" s="5">
        <f t="shared" si="11"/>
        <v>-10000000</v>
      </c>
      <c r="P115" s="4">
        <f t="shared" si="5"/>
        <v>-1059966.7515822221</v>
      </c>
    </row>
    <row r="116" spans="2:16" x14ac:dyDescent="0.25">
      <c r="B116" s="3">
        <v>47</v>
      </c>
      <c r="C116" s="5">
        <f t="shared" si="10"/>
        <v>-10000000</v>
      </c>
      <c r="D116" s="98">
        <v>0</v>
      </c>
      <c r="E116" s="98">
        <f t="shared" si="7"/>
        <v>-1009492.1443640208</v>
      </c>
      <c r="H116" s="3">
        <v>47</v>
      </c>
      <c r="I116" s="5">
        <f t="shared" si="12"/>
        <v>-10000000</v>
      </c>
      <c r="J116" s="98">
        <v>0</v>
      </c>
      <c r="K116" s="98">
        <f t="shared" si="9"/>
        <v>-1009492.1443640208</v>
      </c>
      <c r="N116" s="3">
        <v>47</v>
      </c>
      <c r="O116" s="5">
        <f t="shared" si="11"/>
        <v>-10000000</v>
      </c>
      <c r="P116" s="4">
        <f t="shared" si="5"/>
        <v>-1009492.1443640208</v>
      </c>
    </row>
    <row r="117" spans="2:16" x14ac:dyDescent="0.25">
      <c r="B117" s="3">
        <v>48</v>
      </c>
      <c r="C117" s="5">
        <f t="shared" si="10"/>
        <v>-10000000</v>
      </c>
      <c r="D117" s="98">
        <v>0</v>
      </c>
      <c r="E117" s="98">
        <f t="shared" si="7"/>
        <v>-961421.08987049607</v>
      </c>
      <c r="H117" s="3">
        <v>48</v>
      </c>
      <c r="I117" s="5">
        <f t="shared" si="12"/>
        <v>-10000000</v>
      </c>
      <c r="J117" s="98">
        <v>0</v>
      </c>
      <c r="K117" s="98">
        <f t="shared" si="9"/>
        <v>-961421.08987049607</v>
      </c>
      <c r="N117" s="3">
        <v>48</v>
      </c>
      <c r="O117" s="5">
        <f t="shared" si="11"/>
        <v>-10000000</v>
      </c>
      <c r="P117" s="4">
        <f t="shared" si="5"/>
        <v>-961421.08987049607</v>
      </c>
    </row>
    <row r="118" spans="2:16" x14ac:dyDescent="0.25">
      <c r="B118" s="3">
        <v>49</v>
      </c>
      <c r="C118" s="5">
        <f t="shared" si="10"/>
        <v>-10000000</v>
      </c>
      <c r="D118" s="4">
        <v>0</v>
      </c>
      <c r="E118" s="4">
        <f t="shared" si="7"/>
        <v>-915639.13320999627</v>
      </c>
      <c r="H118" s="3">
        <v>49</v>
      </c>
      <c r="I118" s="5">
        <f t="shared" si="12"/>
        <v>-10000000</v>
      </c>
      <c r="J118" s="4">
        <v>0</v>
      </c>
      <c r="K118" s="4">
        <f t="shared" si="9"/>
        <v>-915639.13320999627</v>
      </c>
      <c r="N118" s="3">
        <v>49</v>
      </c>
      <c r="O118" s="5">
        <f t="shared" si="11"/>
        <v>-10000000</v>
      </c>
      <c r="P118" s="4">
        <f t="shared" si="5"/>
        <v>-915639.13320999627</v>
      </c>
    </row>
    <row r="119" spans="2:16" x14ac:dyDescent="0.25">
      <c r="B119" s="3">
        <v>50</v>
      </c>
      <c r="C119" s="5">
        <f t="shared" si="10"/>
        <v>-10000000</v>
      </c>
      <c r="D119" s="4">
        <v>0</v>
      </c>
      <c r="E119" s="4">
        <f t="shared" si="7"/>
        <v>-872037.26972380583</v>
      </c>
      <c r="H119" s="3">
        <v>50</v>
      </c>
      <c r="I119" s="5">
        <f t="shared" si="12"/>
        <v>-10000000</v>
      </c>
      <c r="J119" s="4">
        <v>0</v>
      </c>
      <c r="K119" s="4">
        <f t="shared" si="9"/>
        <v>-872037.26972380583</v>
      </c>
      <c r="N119" s="3">
        <v>50</v>
      </c>
      <c r="O119" s="5">
        <f t="shared" si="11"/>
        <v>-10000000</v>
      </c>
      <c r="P119" s="4">
        <f t="shared" si="5"/>
        <v>-872037.26972380583</v>
      </c>
    </row>
    <row r="120" spans="2:16" x14ac:dyDescent="0.25">
      <c r="C120" s="8"/>
      <c r="E120" s="25">
        <f>SUM(E69:E119)</f>
        <v>-286888731.27615464</v>
      </c>
      <c r="F120" s="35">
        <f>E120-I63</f>
        <v>22491456.504136443</v>
      </c>
      <c r="I120" s="8"/>
      <c r="K120" s="25">
        <f>SUM(K69:K119)</f>
        <v>-307903634.22768676</v>
      </c>
      <c r="O120" s="8" t="s">
        <v>80</v>
      </c>
      <c r="P120" s="25">
        <f>SUM(P69:P119)</f>
        <v>-342559254.60552377</v>
      </c>
    </row>
  </sheetData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/>
  </sheetPr>
  <dimension ref="B2:L25"/>
  <sheetViews>
    <sheetView zoomScale="110" zoomScaleNormal="110" workbookViewId="0">
      <selection activeCell="F21" sqref="F21"/>
    </sheetView>
  </sheetViews>
  <sheetFormatPr defaultColWidth="11.42578125" defaultRowHeight="15" x14ac:dyDescent="0.25"/>
  <cols>
    <col min="2" max="2" width="14" bestFit="1" customWidth="1"/>
    <col min="3" max="3" width="12.42578125" bestFit="1" customWidth="1"/>
    <col min="4" max="8" width="12.28515625" bestFit="1" customWidth="1"/>
    <col min="9" max="9" width="12.42578125" bestFit="1" customWidth="1"/>
    <col min="10" max="10" width="8.42578125" bestFit="1" customWidth="1"/>
    <col min="11" max="11" width="12.42578125" bestFit="1" customWidth="1"/>
  </cols>
  <sheetData>
    <row r="2" spans="2:12" ht="18.75" x14ac:dyDescent="0.3">
      <c r="B2" s="160" t="s">
        <v>65</v>
      </c>
      <c r="C2" s="160"/>
      <c r="D2" s="160"/>
    </row>
    <row r="3" spans="2:12" ht="15.75" thickBot="1" x14ac:dyDescent="0.3"/>
    <row r="4" spans="2:12" x14ac:dyDescent="0.25">
      <c r="B4" s="69" t="s">
        <v>8</v>
      </c>
      <c r="C4" s="77">
        <v>0.1</v>
      </c>
      <c r="D4" s="71"/>
      <c r="E4" s="71"/>
      <c r="F4" s="71"/>
      <c r="G4" s="71"/>
      <c r="H4" s="71"/>
      <c r="I4" s="71"/>
      <c r="J4" s="71"/>
      <c r="K4" s="71"/>
      <c r="L4" s="72"/>
    </row>
    <row r="5" spans="2:12" x14ac:dyDescent="0.25">
      <c r="B5" s="161" t="s">
        <v>0</v>
      </c>
      <c r="C5" s="151" t="s">
        <v>4</v>
      </c>
      <c r="D5" s="152"/>
      <c r="E5" s="152"/>
      <c r="F5" s="22"/>
      <c r="L5" s="74"/>
    </row>
    <row r="6" spans="2:12" x14ac:dyDescent="0.25">
      <c r="B6" s="161"/>
      <c r="C6" s="6">
        <v>0</v>
      </c>
      <c r="D6" s="6">
        <v>1</v>
      </c>
      <c r="E6" s="21">
        <v>2</v>
      </c>
      <c r="F6" s="6">
        <v>3</v>
      </c>
      <c r="G6" s="21">
        <v>4</v>
      </c>
      <c r="H6" s="6">
        <v>5</v>
      </c>
      <c r="L6" s="74"/>
    </row>
    <row r="7" spans="2:12" x14ac:dyDescent="0.25">
      <c r="B7" s="75" t="s">
        <v>30</v>
      </c>
      <c r="C7" s="4">
        <v>-343000</v>
      </c>
      <c r="D7" s="4">
        <v>100000</v>
      </c>
      <c r="E7" s="4">
        <v>100000</v>
      </c>
      <c r="F7" s="4">
        <v>100000</v>
      </c>
      <c r="G7" s="4">
        <v>100000</v>
      </c>
      <c r="H7" s="4">
        <v>100000</v>
      </c>
      <c r="L7" s="74"/>
    </row>
    <row r="8" spans="2:12" x14ac:dyDescent="0.25">
      <c r="B8" s="75" t="s">
        <v>29</v>
      </c>
      <c r="C8" s="4"/>
      <c r="D8" s="4">
        <v>10000</v>
      </c>
      <c r="E8" s="4">
        <v>10000</v>
      </c>
      <c r="F8" s="4">
        <v>10000</v>
      </c>
      <c r="G8" s="4">
        <v>10000</v>
      </c>
      <c r="H8" s="4">
        <v>10000</v>
      </c>
      <c r="J8" s="50"/>
      <c r="L8" s="74"/>
    </row>
    <row r="9" spans="2:12" x14ac:dyDescent="0.25">
      <c r="B9" s="76"/>
      <c r="I9" t="s">
        <v>9</v>
      </c>
      <c r="J9" s="15" t="s">
        <v>59</v>
      </c>
      <c r="L9" s="74"/>
    </row>
    <row r="10" spans="2:12" x14ac:dyDescent="0.25">
      <c r="B10" s="73" t="s">
        <v>31</v>
      </c>
      <c r="C10" s="4">
        <f t="shared" ref="C10:H10" si="0">C7*((1+$C$4)^(-C6))</f>
        <v>-343000</v>
      </c>
      <c r="D10" s="4">
        <f>D7*((1+$C$4)^(-D6))</f>
        <v>90909.090909090912</v>
      </c>
      <c r="E10" s="4">
        <f t="shared" si="0"/>
        <v>82644.62809917354</v>
      </c>
      <c r="F10" s="4">
        <f t="shared" si="0"/>
        <v>75131.480090157755</v>
      </c>
      <c r="G10" s="4">
        <f t="shared" si="0"/>
        <v>68301.345536507055</v>
      </c>
      <c r="H10" s="4">
        <f t="shared" si="0"/>
        <v>62092.132305915489</v>
      </c>
      <c r="I10" s="12">
        <f>SUM(C10:H10)</f>
        <v>36078.676940844751</v>
      </c>
      <c r="J10" s="51">
        <v>5</v>
      </c>
      <c r="K10" s="12">
        <f>I10*J10</f>
        <v>180393.38470422375</v>
      </c>
      <c r="L10" s="74"/>
    </row>
    <row r="11" spans="2:12" x14ac:dyDescent="0.25">
      <c r="B11" s="73" t="s">
        <v>32</v>
      </c>
      <c r="C11" s="4">
        <f>C8*((1+$C$4)^(-C6))</f>
        <v>0</v>
      </c>
      <c r="D11" s="4">
        <f>D8*((1+$C$4)^(-D6))</f>
        <v>9090.9090909090901</v>
      </c>
      <c r="E11" s="4">
        <f t="shared" ref="E11:H11" si="1">E8*((1+$C$4)^(-E6))</f>
        <v>8264.4628099173551</v>
      </c>
      <c r="F11" s="4">
        <f t="shared" si="1"/>
        <v>7513.1480090157756</v>
      </c>
      <c r="G11" s="4">
        <f t="shared" si="1"/>
        <v>6830.1345536507051</v>
      </c>
      <c r="H11" s="4">
        <f t="shared" si="1"/>
        <v>6209.2132305915493</v>
      </c>
      <c r="I11" s="12">
        <f>SUM(C11:H11)</f>
        <v>37907.867694084474</v>
      </c>
      <c r="J11" s="51">
        <v>10</v>
      </c>
      <c r="K11" s="12">
        <f>I11*J11</f>
        <v>379078.67694084474</v>
      </c>
      <c r="L11" s="74"/>
    </row>
    <row r="12" spans="2:12" x14ac:dyDescent="0.25">
      <c r="B12" s="76"/>
      <c r="L12" s="74"/>
    </row>
    <row r="13" spans="2:12" ht="15.75" thickBot="1" x14ac:dyDescent="0.3">
      <c r="B13" s="157" t="s">
        <v>81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9"/>
    </row>
    <row r="14" spans="2:12" ht="15.75" thickBot="1" x14ac:dyDescent="0.3"/>
    <row r="15" spans="2:12" x14ac:dyDescent="0.25">
      <c r="B15" s="69" t="s">
        <v>29</v>
      </c>
      <c r="C15" s="70">
        <v>80000</v>
      </c>
      <c r="D15" s="71"/>
      <c r="E15" s="71"/>
      <c r="F15" s="71"/>
      <c r="G15" s="71"/>
      <c r="H15" s="71"/>
      <c r="I15" s="71"/>
      <c r="J15" s="71"/>
      <c r="K15" s="71"/>
      <c r="L15" s="72"/>
    </row>
    <row r="16" spans="2:12" x14ac:dyDescent="0.25">
      <c r="B16" s="73" t="s">
        <v>8</v>
      </c>
      <c r="C16" s="9">
        <v>0.1</v>
      </c>
      <c r="L16" s="74"/>
    </row>
    <row r="17" spans="2:12" x14ac:dyDescent="0.25">
      <c r="B17" s="161" t="s">
        <v>0</v>
      </c>
      <c r="C17" s="151" t="s">
        <v>4</v>
      </c>
      <c r="D17" s="152"/>
      <c r="E17" s="152"/>
      <c r="F17" s="22"/>
      <c r="L17" s="74"/>
    </row>
    <row r="18" spans="2:12" x14ac:dyDescent="0.25">
      <c r="B18" s="161"/>
      <c r="C18" s="6">
        <v>0</v>
      </c>
      <c r="D18" s="6">
        <v>1</v>
      </c>
      <c r="E18" s="21">
        <v>2</v>
      </c>
      <c r="F18" s="6">
        <v>3</v>
      </c>
      <c r="G18" s="21">
        <v>4</v>
      </c>
      <c r="H18" s="6">
        <v>5</v>
      </c>
      <c r="L18" s="74"/>
    </row>
    <row r="19" spans="2:12" x14ac:dyDescent="0.25">
      <c r="B19" s="75" t="s">
        <v>30</v>
      </c>
      <c r="C19" s="68">
        <f>-343000+C15</f>
        <v>-263000</v>
      </c>
      <c r="D19" s="4">
        <v>100000</v>
      </c>
      <c r="E19" s="4">
        <v>100000</v>
      </c>
      <c r="F19" s="4">
        <v>100000</v>
      </c>
      <c r="G19" s="4">
        <v>100000</v>
      </c>
      <c r="H19" s="4">
        <f>100000</f>
        <v>100000</v>
      </c>
      <c r="L19" s="74"/>
    </row>
    <row r="20" spans="2:12" x14ac:dyDescent="0.25">
      <c r="B20" s="75" t="s">
        <v>29</v>
      </c>
      <c r="C20" s="4"/>
      <c r="D20" s="4">
        <v>10000</v>
      </c>
      <c r="E20" s="4">
        <v>10000</v>
      </c>
      <c r="F20" s="4">
        <v>10000</v>
      </c>
      <c r="G20" s="4">
        <v>10000</v>
      </c>
      <c r="H20" s="4">
        <v>10000</v>
      </c>
      <c r="J20" s="50"/>
      <c r="L20" s="74"/>
    </row>
    <row r="21" spans="2:12" x14ac:dyDescent="0.25">
      <c r="B21" s="76"/>
      <c r="J21" s="15" t="s">
        <v>59</v>
      </c>
      <c r="L21" s="74"/>
    </row>
    <row r="22" spans="2:12" x14ac:dyDescent="0.25">
      <c r="B22" s="73" t="s">
        <v>31</v>
      </c>
      <c r="C22" s="4">
        <f t="shared" ref="C22" si="2">C19*((1+$C$4)^(-C18))</f>
        <v>-263000</v>
      </c>
      <c r="D22" s="4">
        <f>D19*((1+$C$4)^(-D18))</f>
        <v>90909.090909090912</v>
      </c>
      <c r="E22" s="4">
        <f t="shared" ref="E22:H22" si="3">E19*((1+$C$4)^(-E18))</f>
        <v>82644.62809917354</v>
      </c>
      <c r="F22" s="4">
        <f t="shared" si="3"/>
        <v>75131.480090157755</v>
      </c>
      <c r="G22" s="4">
        <f t="shared" si="3"/>
        <v>68301.345536507055</v>
      </c>
      <c r="H22" s="4">
        <f t="shared" si="3"/>
        <v>62092.132305915489</v>
      </c>
      <c r="I22" s="12">
        <f>SUM(C22:H22)</f>
        <v>116078.67694084474</v>
      </c>
      <c r="J22" s="51">
        <v>5</v>
      </c>
      <c r="K22" s="12">
        <f>I22*J22</f>
        <v>580393.38470422372</v>
      </c>
      <c r="L22" s="74"/>
    </row>
    <row r="23" spans="2:12" x14ac:dyDescent="0.25">
      <c r="B23" s="73" t="s">
        <v>32</v>
      </c>
      <c r="C23" s="4">
        <f>C20*((1+$C$4)^(-C18))</f>
        <v>0</v>
      </c>
      <c r="D23" s="4">
        <f>D20*((1+$C$4)^(-D18))</f>
        <v>9090.9090909090901</v>
      </c>
      <c r="E23" s="4">
        <f t="shared" ref="E23:H23" si="4">E20*((1+$C$4)^(-E18))</f>
        <v>8264.4628099173551</v>
      </c>
      <c r="F23" s="4">
        <f t="shared" si="4"/>
        <v>7513.1480090157756</v>
      </c>
      <c r="G23" s="4">
        <f t="shared" si="4"/>
        <v>6830.1345536507051</v>
      </c>
      <c r="H23" s="4">
        <f t="shared" si="4"/>
        <v>6209.2132305915493</v>
      </c>
      <c r="I23" s="12">
        <f>SUM(C23:H23)</f>
        <v>37907.867694084474</v>
      </c>
      <c r="J23" s="51">
        <v>10</v>
      </c>
      <c r="K23" s="12">
        <f>I23*J23</f>
        <v>379078.67694084474</v>
      </c>
      <c r="L23" s="74"/>
    </row>
    <row r="24" spans="2:12" x14ac:dyDescent="0.25">
      <c r="B24" s="76"/>
      <c r="L24" s="74"/>
    </row>
    <row r="25" spans="2:12" ht="15.75" thickBot="1" x14ac:dyDescent="0.3">
      <c r="B25" s="157" t="s">
        <v>66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9"/>
    </row>
  </sheetData>
  <mergeCells count="7">
    <mergeCell ref="B25:L25"/>
    <mergeCell ref="B2:D2"/>
    <mergeCell ref="B5:B6"/>
    <mergeCell ref="C5:E5"/>
    <mergeCell ref="B13:L13"/>
    <mergeCell ref="B17:B18"/>
    <mergeCell ref="C17:E1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F336-7167-4B9D-8C2C-FB4BCCCB63A4}">
  <sheetPr>
    <tabColor theme="7"/>
  </sheetPr>
  <dimension ref="B2:L25"/>
  <sheetViews>
    <sheetView zoomScale="110" zoomScaleNormal="110" workbookViewId="0"/>
  </sheetViews>
  <sheetFormatPr defaultColWidth="11.42578125" defaultRowHeight="15" x14ac:dyDescent="0.25"/>
  <cols>
    <col min="2" max="2" width="32" bestFit="1" customWidth="1"/>
    <col min="3" max="9" width="13.42578125" bestFit="1" customWidth="1"/>
    <col min="10" max="10" width="10" bestFit="1" customWidth="1"/>
    <col min="11" max="11" width="15" bestFit="1" customWidth="1"/>
  </cols>
  <sheetData>
    <row r="2" spans="2:12" ht="18.75" x14ac:dyDescent="0.3">
      <c r="B2" s="160" t="s">
        <v>65</v>
      </c>
      <c r="C2" s="160"/>
      <c r="D2" s="160"/>
    </row>
    <row r="3" spans="2:12" ht="15.75" thickBot="1" x14ac:dyDescent="0.3"/>
    <row r="4" spans="2:12" x14ac:dyDescent="0.25">
      <c r="B4" s="69" t="s">
        <v>8</v>
      </c>
      <c r="C4" s="77">
        <v>0.1</v>
      </c>
      <c r="D4" s="71"/>
      <c r="E4" s="71"/>
      <c r="F4" s="71"/>
      <c r="G4" s="71"/>
      <c r="H4" s="71"/>
      <c r="I4" s="71"/>
      <c r="J4" s="71"/>
      <c r="K4" s="71"/>
      <c r="L4" s="72"/>
    </row>
    <row r="5" spans="2:12" x14ac:dyDescent="0.25">
      <c r="B5" s="161" t="s">
        <v>0</v>
      </c>
      <c r="C5" s="151" t="s">
        <v>4</v>
      </c>
      <c r="D5" s="152"/>
      <c r="E5" s="152"/>
      <c r="F5" s="22"/>
      <c r="L5" s="74"/>
    </row>
    <row r="6" spans="2:12" x14ac:dyDescent="0.25">
      <c r="B6" s="161"/>
      <c r="C6" s="6">
        <v>0</v>
      </c>
      <c r="D6" s="6">
        <v>1</v>
      </c>
      <c r="E6" s="21">
        <v>2</v>
      </c>
      <c r="F6" s="6">
        <v>3</v>
      </c>
      <c r="G6" s="21">
        <v>4</v>
      </c>
      <c r="H6" s="6">
        <v>5</v>
      </c>
      <c r="L6" s="74"/>
    </row>
    <row r="7" spans="2:12" x14ac:dyDescent="0.25">
      <c r="B7" s="75" t="s">
        <v>30</v>
      </c>
      <c r="C7" s="4">
        <v>-343000</v>
      </c>
      <c r="D7" s="4">
        <v>100000</v>
      </c>
      <c r="E7" s="4">
        <v>100000</v>
      </c>
      <c r="F7" s="4">
        <v>100000</v>
      </c>
      <c r="G7" s="4">
        <v>100000</v>
      </c>
      <c r="H7" s="4">
        <v>100000</v>
      </c>
      <c r="L7" s="74"/>
    </row>
    <row r="8" spans="2:12" x14ac:dyDescent="0.25">
      <c r="B8" s="75" t="s">
        <v>29</v>
      </c>
      <c r="C8" s="4"/>
      <c r="D8" s="4">
        <v>10000</v>
      </c>
      <c r="E8" s="4">
        <v>10000</v>
      </c>
      <c r="F8" s="4">
        <v>10000</v>
      </c>
      <c r="G8" s="4">
        <v>10000</v>
      </c>
      <c r="H8" s="4">
        <v>10000</v>
      </c>
      <c r="J8" s="50"/>
      <c r="L8" s="74"/>
    </row>
    <row r="9" spans="2:12" x14ac:dyDescent="0.25">
      <c r="B9" s="76"/>
      <c r="J9" s="15" t="s">
        <v>59</v>
      </c>
      <c r="L9" s="74"/>
    </row>
    <row r="10" spans="2:12" x14ac:dyDescent="0.25">
      <c r="B10" s="73" t="s">
        <v>31</v>
      </c>
      <c r="C10" s="4">
        <f t="shared" ref="C10:H10" si="0">C7*((1+$C$4)^(-C6))</f>
        <v>-343000</v>
      </c>
      <c r="D10" s="4">
        <f>D7*((1+$C$4)^(-D6))</f>
        <v>90909.090909090912</v>
      </c>
      <c r="E10" s="4">
        <f t="shared" si="0"/>
        <v>82644.62809917354</v>
      </c>
      <c r="F10" s="4">
        <f t="shared" si="0"/>
        <v>75131.480090157755</v>
      </c>
      <c r="G10" s="4">
        <f t="shared" si="0"/>
        <v>68301.345536507055</v>
      </c>
      <c r="H10" s="4">
        <f t="shared" si="0"/>
        <v>62092.132305915489</v>
      </c>
      <c r="I10" s="12">
        <f>SUM(C10:H10)</f>
        <v>36078.676940844751</v>
      </c>
      <c r="J10" s="51">
        <v>5</v>
      </c>
      <c r="K10" s="12">
        <f>I10*J10</f>
        <v>180393.38470422375</v>
      </c>
      <c r="L10" s="74"/>
    </row>
    <row r="11" spans="2:12" x14ac:dyDescent="0.25">
      <c r="B11" s="73" t="s">
        <v>32</v>
      </c>
      <c r="C11" s="4">
        <f>C8*((1+$C$4)^(-C6))</f>
        <v>0</v>
      </c>
      <c r="D11" s="4">
        <f>D8*((1+$C$4)^(-D6))</f>
        <v>9090.9090909090901</v>
      </c>
      <c r="E11" s="4">
        <f t="shared" ref="E11:H11" si="1">E8*((1+$C$4)^(-E6))</f>
        <v>8264.4628099173551</v>
      </c>
      <c r="F11" s="4">
        <f t="shared" si="1"/>
        <v>7513.1480090157756</v>
      </c>
      <c r="G11" s="4">
        <f t="shared" si="1"/>
        <v>6830.1345536507051</v>
      </c>
      <c r="H11" s="4">
        <f t="shared" si="1"/>
        <v>6209.2132305915493</v>
      </c>
      <c r="I11" s="12">
        <f>SUM(C11:H11)</f>
        <v>37907.867694084474</v>
      </c>
      <c r="J11" s="51">
        <v>10</v>
      </c>
      <c r="K11" s="12">
        <f>I11*J11</f>
        <v>379078.67694084474</v>
      </c>
      <c r="L11" s="74"/>
    </row>
    <row r="12" spans="2:12" x14ac:dyDescent="0.25">
      <c r="B12" s="76"/>
      <c r="L12" s="74"/>
    </row>
    <row r="13" spans="2:12" ht="15.75" thickBot="1" x14ac:dyDescent="0.3">
      <c r="B13" s="157" t="s">
        <v>81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9"/>
    </row>
    <row r="14" spans="2:12" ht="15.75" thickBot="1" x14ac:dyDescent="0.3"/>
    <row r="15" spans="2:12" x14ac:dyDescent="0.25">
      <c r="B15" s="69" t="s">
        <v>29</v>
      </c>
      <c r="C15" s="70">
        <v>80000</v>
      </c>
      <c r="D15" s="71"/>
      <c r="E15" s="71"/>
      <c r="F15" s="71"/>
      <c r="G15" s="71"/>
      <c r="H15" s="71"/>
      <c r="I15" s="71"/>
      <c r="J15" s="71"/>
      <c r="K15" s="71"/>
      <c r="L15" s="72"/>
    </row>
    <row r="16" spans="2:12" x14ac:dyDescent="0.25">
      <c r="B16" s="73" t="s">
        <v>8</v>
      </c>
      <c r="C16" s="9">
        <v>0.1</v>
      </c>
      <c r="L16" s="74"/>
    </row>
    <row r="17" spans="2:12" x14ac:dyDescent="0.25">
      <c r="B17" s="161" t="s">
        <v>0</v>
      </c>
      <c r="C17" s="151" t="s">
        <v>4</v>
      </c>
      <c r="D17" s="152"/>
      <c r="E17" s="152"/>
      <c r="F17" s="22"/>
      <c r="L17" s="74"/>
    </row>
    <row r="18" spans="2:12" ht="15.75" thickBot="1" x14ac:dyDescent="0.3">
      <c r="B18" s="161"/>
      <c r="C18" s="6">
        <v>0</v>
      </c>
      <c r="D18" s="6">
        <v>1</v>
      </c>
      <c r="E18" s="21">
        <v>2</v>
      </c>
      <c r="F18" s="6">
        <v>3</v>
      </c>
      <c r="G18" s="21">
        <v>4</v>
      </c>
      <c r="H18" s="6">
        <v>5</v>
      </c>
      <c r="L18" s="74"/>
    </row>
    <row r="19" spans="2:12" x14ac:dyDescent="0.25">
      <c r="B19" s="75" t="s">
        <v>30</v>
      </c>
      <c r="C19" s="4">
        <f>-343000</f>
        <v>-343000</v>
      </c>
      <c r="D19" s="4">
        <v>100000</v>
      </c>
      <c r="E19" s="4">
        <v>100000</v>
      </c>
      <c r="F19" s="4">
        <v>100000</v>
      </c>
      <c r="G19" s="4">
        <v>100000</v>
      </c>
      <c r="H19" s="70">
        <f>100000+C15</f>
        <v>180000</v>
      </c>
      <c r="L19" s="74"/>
    </row>
    <row r="20" spans="2:12" x14ac:dyDescent="0.25">
      <c r="B20" s="75" t="s">
        <v>29</v>
      </c>
      <c r="C20" s="4"/>
      <c r="D20" s="4">
        <v>10000</v>
      </c>
      <c r="E20" s="4">
        <v>10000</v>
      </c>
      <c r="F20" s="4">
        <v>10000</v>
      </c>
      <c r="G20" s="4">
        <v>10000</v>
      </c>
      <c r="H20" s="4">
        <v>10000</v>
      </c>
      <c r="J20" s="50"/>
      <c r="L20" s="74"/>
    </row>
    <row r="21" spans="2:12" x14ac:dyDescent="0.25">
      <c r="B21" s="76"/>
      <c r="J21" s="15" t="s">
        <v>59</v>
      </c>
      <c r="L21" s="74"/>
    </row>
    <row r="22" spans="2:12" x14ac:dyDescent="0.25">
      <c r="B22" s="73" t="s">
        <v>31</v>
      </c>
      <c r="C22" s="4">
        <f t="shared" ref="C22" si="2">C19*((1+$C$4)^(-C18))</f>
        <v>-343000</v>
      </c>
      <c r="D22" s="4">
        <f>D19*((1+$C$4)^(-D18))</f>
        <v>90909.090909090912</v>
      </c>
      <c r="E22" s="4">
        <f t="shared" ref="E22:H22" si="3">E19*((1+$C$4)^(-E18))</f>
        <v>82644.62809917354</v>
      </c>
      <c r="F22" s="4">
        <f t="shared" si="3"/>
        <v>75131.480090157755</v>
      </c>
      <c r="G22" s="4">
        <f t="shared" si="3"/>
        <v>68301.345536507055</v>
      </c>
      <c r="H22" s="4">
        <f t="shared" si="3"/>
        <v>111765.83815064789</v>
      </c>
      <c r="I22" s="12">
        <f>SUM(C22:H22)</f>
        <v>85752.382785577152</v>
      </c>
      <c r="J22" s="51">
        <v>5</v>
      </c>
      <c r="K22" s="12">
        <f>I22*J22</f>
        <v>428761.91392788576</v>
      </c>
      <c r="L22" s="74"/>
    </row>
    <row r="23" spans="2:12" x14ac:dyDescent="0.25">
      <c r="B23" s="73" t="s">
        <v>32</v>
      </c>
      <c r="C23" s="4">
        <f>C20*((1+$C$4)^(-C18))</f>
        <v>0</v>
      </c>
      <c r="D23" s="4">
        <f>D20*((1+$C$4)^(-D18))</f>
        <v>9090.9090909090901</v>
      </c>
      <c r="E23" s="4">
        <f t="shared" ref="E23:H23" si="4">E20*((1+$C$4)^(-E18))</f>
        <v>8264.4628099173551</v>
      </c>
      <c r="F23" s="4">
        <f t="shared" si="4"/>
        <v>7513.1480090157756</v>
      </c>
      <c r="G23" s="4">
        <f t="shared" si="4"/>
        <v>6830.1345536507051</v>
      </c>
      <c r="H23" s="4">
        <f t="shared" si="4"/>
        <v>6209.2132305915493</v>
      </c>
      <c r="I23" s="12">
        <f>SUM(C23:H23)</f>
        <v>37907.867694084474</v>
      </c>
      <c r="J23" s="51">
        <v>10</v>
      </c>
      <c r="K23" s="12">
        <f>I23*J23</f>
        <v>379078.67694084474</v>
      </c>
      <c r="L23" s="74"/>
    </row>
    <row r="24" spans="2:12" x14ac:dyDescent="0.25">
      <c r="B24" s="76"/>
      <c r="L24" s="74"/>
    </row>
    <row r="25" spans="2:12" ht="15.75" thickBot="1" x14ac:dyDescent="0.3">
      <c r="B25" s="157" t="s">
        <v>66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9"/>
    </row>
  </sheetData>
  <mergeCells count="7">
    <mergeCell ref="B25:L25"/>
    <mergeCell ref="B2:D2"/>
    <mergeCell ref="B5:B6"/>
    <mergeCell ref="C5:E5"/>
    <mergeCell ref="B13:L13"/>
    <mergeCell ref="B17:B18"/>
    <mergeCell ref="C17:E1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N36"/>
  <sheetViews>
    <sheetView zoomScale="95" zoomScaleNormal="95" workbookViewId="0"/>
  </sheetViews>
  <sheetFormatPr defaultColWidth="11.42578125" defaultRowHeight="15" x14ac:dyDescent="0.25"/>
  <cols>
    <col min="2" max="2" width="5.140625" bestFit="1" customWidth="1"/>
    <col min="3" max="3" width="5.140625" customWidth="1"/>
    <col min="4" max="4" width="8.28515625" bestFit="1" customWidth="1"/>
    <col min="5" max="5" width="15.7109375" bestFit="1" customWidth="1"/>
    <col min="6" max="6" width="14.85546875" bestFit="1" customWidth="1"/>
    <col min="7" max="7" width="21.85546875" bestFit="1" customWidth="1"/>
    <col min="8" max="8" width="20.85546875" bestFit="1" customWidth="1"/>
    <col min="9" max="9" width="19.28515625" customWidth="1"/>
    <col min="10" max="10" width="14" bestFit="1" customWidth="1"/>
    <col min="11" max="11" width="13.28515625" bestFit="1" customWidth="1"/>
    <col min="12" max="12" width="7.42578125" customWidth="1"/>
    <col min="14" max="14" width="14.28515625" customWidth="1"/>
  </cols>
  <sheetData>
    <row r="2" spans="2:14" x14ac:dyDescent="0.25">
      <c r="D2" s="10" t="s">
        <v>8</v>
      </c>
      <c r="E2" s="20">
        <v>0.125</v>
      </c>
      <c r="G2" s="10" t="s">
        <v>34</v>
      </c>
      <c r="H2" s="4">
        <v>25000</v>
      </c>
    </row>
    <row r="4" spans="2:14" ht="45" x14ac:dyDescent="0.25">
      <c r="B4" s="107" t="s">
        <v>60</v>
      </c>
      <c r="C4" s="107" t="s">
        <v>60</v>
      </c>
      <c r="D4" s="108" t="s">
        <v>96</v>
      </c>
      <c r="E4" s="109" t="s">
        <v>85</v>
      </c>
      <c r="F4" s="110" t="s">
        <v>84</v>
      </c>
      <c r="G4" s="109" t="s">
        <v>86</v>
      </c>
      <c r="H4" s="110" t="s">
        <v>87</v>
      </c>
      <c r="N4" s="105" t="s">
        <v>88</v>
      </c>
    </row>
    <row r="5" spans="2:14" x14ac:dyDescent="0.25">
      <c r="B5" s="15">
        <v>29</v>
      </c>
      <c r="C5" s="15">
        <v>39</v>
      </c>
      <c r="D5" s="3">
        <v>0</v>
      </c>
      <c r="E5" s="79">
        <v>-25000</v>
      </c>
      <c r="F5" s="52"/>
      <c r="G5" s="79">
        <f>E5*((1+$E$2)^(-D5))</f>
        <v>-25000</v>
      </c>
      <c r="H5" s="52">
        <f>F5*((1+$E$2)^(-D5))</f>
        <v>0</v>
      </c>
      <c r="N5" s="35">
        <f>E5-F5</f>
        <v>-25000</v>
      </c>
    </row>
    <row r="6" spans="2:14" x14ac:dyDescent="0.25">
      <c r="B6" s="15">
        <f>B5+1</f>
        <v>30</v>
      </c>
      <c r="C6" s="15">
        <f>C5+1</f>
        <v>40</v>
      </c>
      <c r="D6" s="3">
        <v>1</v>
      </c>
      <c r="E6" s="80">
        <v>0</v>
      </c>
      <c r="F6" s="52">
        <f>100000</f>
        <v>100000</v>
      </c>
      <c r="G6" s="80">
        <f>E6*((1+$E$2)^(-D6))</f>
        <v>0</v>
      </c>
      <c r="H6" s="52">
        <f>F6*((1+$E$2)^(-D6))</f>
        <v>88888.888888888891</v>
      </c>
      <c r="N6" s="35">
        <f t="shared" ref="N6:N36" si="0">E6-F6</f>
        <v>-100000</v>
      </c>
    </row>
    <row r="7" spans="2:14" x14ac:dyDescent="0.25">
      <c r="B7" s="15">
        <f t="shared" ref="B7:C36" si="1">B6+1</f>
        <v>31</v>
      </c>
      <c r="C7" s="15">
        <f t="shared" si="1"/>
        <v>41</v>
      </c>
      <c r="D7" s="3">
        <v>2</v>
      </c>
      <c r="E7" s="79">
        <v>130000</v>
      </c>
      <c r="F7" s="53">
        <f t="shared" ref="F7:F36" si="2">F6+5000</f>
        <v>105000</v>
      </c>
      <c r="G7" s="79">
        <f>E7*((1+$E$2)^(-D7))</f>
        <v>102716.04938271604</v>
      </c>
      <c r="H7" s="52">
        <f>F7*((1+$E$2)^(-D7))</f>
        <v>82962.962962962964</v>
      </c>
      <c r="N7" s="35">
        <f t="shared" si="0"/>
        <v>25000</v>
      </c>
    </row>
    <row r="8" spans="2:14" x14ac:dyDescent="0.25">
      <c r="B8" s="15">
        <f t="shared" si="1"/>
        <v>32</v>
      </c>
      <c r="C8" s="15">
        <f t="shared" si="1"/>
        <v>42</v>
      </c>
      <c r="D8" s="3">
        <v>3</v>
      </c>
      <c r="E8" s="81">
        <f>E7+5000</f>
        <v>135000</v>
      </c>
      <c r="F8" s="53">
        <f t="shared" si="2"/>
        <v>110000</v>
      </c>
      <c r="G8" s="81">
        <f t="shared" ref="G8:G36" si="3">E8*((1+$E$2)^(-D8))</f>
        <v>94814.814814814803</v>
      </c>
      <c r="H8" s="52">
        <f>F8*((1+$E$2)^(-D8))</f>
        <v>77256.515775034291</v>
      </c>
      <c r="N8" s="35">
        <f t="shared" si="0"/>
        <v>25000</v>
      </c>
    </row>
    <row r="9" spans="2:14" x14ac:dyDescent="0.25">
      <c r="B9" s="15">
        <f t="shared" si="1"/>
        <v>33</v>
      </c>
      <c r="C9" s="15">
        <f t="shared" si="1"/>
        <v>43</v>
      </c>
      <c r="D9" s="3">
        <v>4</v>
      </c>
      <c r="E9" s="81">
        <f t="shared" ref="E9:E36" si="4">E8+5000</f>
        <v>140000</v>
      </c>
      <c r="F9" s="53">
        <f t="shared" si="2"/>
        <v>115000</v>
      </c>
      <c r="G9" s="81">
        <f t="shared" si="3"/>
        <v>87401.310775796373</v>
      </c>
      <c r="H9" s="52">
        <f t="shared" ref="H9:H36" si="5">F9*((1+$E$2)^(-D9))</f>
        <v>71793.933851547015</v>
      </c>
      <c r="N9" s="35">
        <f t="shared" si="0"/>
        <v>25000</v>
      </c>
    </row>
    <row r="10" spans="2:14" x14ac:dyDescent="0.25">
      <c r="B10" s="15">
        <f t="shared" si="1"/>
        <v>34</v>
      </c>
      <c r="C10" s="15">
        <f t="shared" si="1"/>
        <v>44</v>
      </c>
      <c r="D10" s="3">
        <v>5</v>
      </c>
      <c r="E10" s="81">
        <f>E9+5000</f>
        <v>145000</v>
      </c>
      <c r="F10" s="53">
        <f t="shared" si="2"/>
        <v>120000</v>
      </c>
      <c r="G10" s="81">
        <f t="shared" si="3"/>
        <v>80464.698809463327</v>
      </c>
      <c r="H10" s="52">
        <f t="shared" si="5"/>
        <v>66591.474876797234</v>
      </c>
      <c r="N10" s="35">
        <f t="shared" si="0"/>
        <v>25000</v>
      </c>
    </row>
    <row r="11" spans="2:14" x14ac:dyDescent="0.25">
      <c r="B11" s="15">
        <f t="shared" si="1"/>
        <v>35</v>
      </c>
      <c r="C11" s="15">
        <f t="shared" si="1"/>
        <v>45</v>
      </c>
      <c r="D11" s="3">
        <v>6</v>
      </c>
      <c r="E11" s="81">
        <f t="shared" si="4"/>
        <v>150000</v>
      </c>
      <c r="F11" s="53">
        <f t="shared" si="2"/>
        <v>125000</v>
      </c>
      <c r="G11" s="81">
        <f t="shared" si="3"/>
        <v>73990.527640885819</v>
      </c>
      <c r="H11" s="52">
        <f t="shared" si="5"/>
        <v>61658.773034071513</v>
      </c>
      <c r="N11" s="35">
        <f t="shared" si="0"/>
        <v>25000</v>
      </c>
    </row>
    <row r="12" spans="2:14" x14ac:dyDescent="0.25">
      <c r="B12" s="15">
        <f t="shared" si="1"/>
        <v>36</v>
      </c>
      <c r="C12" s="15">
        <f t="shared" si="1"/>
        <v>46</v>
      </c>
      <c r="D12" s="3">
        <v>7</v>
      </c>
      <c r="E12" s="81">
        <f t="shared" si="4"/>
        <v>155000</v>
      </c>
      <c r="F12" s="53">
        <f t="shared" si="2"/>
        <v>130000</v>
      </c>
      <c r="G12" s="81">
        <f t="shared" si="3"/>
        <v>67961.669833109932</v>
      </c>
      <c r="H12" s="52">
        <f t="shared" si="5"/>
        <v>57000.110182608332</v>
      </c>
      <c r="N12" s="35">
        <f t="shared" si="0"/>
        <v>25000</v>
      </c>
    </row>
    <row r="13" spans="2:14" x14ac:dyDescent="0.25">
      <c r="B13" s="15">
        <f t="shared" si="1"/>
        <v>37</v>
      </c>
      <c r="C13" s="15">
        <f t="shared" si="1"/>
        <v>47</v>
      </c>
      <c r="D13" s="3">
        <v>8</v>
      </c>
      <c r="E13" s="81">
        <f t="shared" si="4"/>
        <v>160000</v>
      </c>
      <c r="F13" s="53">
        <f t="shared" si="2"/>
        <v>135000</v>
      </c>
      <c r="G13" s="81">
        <f t="shared" si="3"/>
        <v>62359.094900631339</v>
      </c>
      <c r="H13" s="52">
        <f t="shared" si="5"/>
        <v>52615.486322407691</v>
      </c>
      <c r="N13" s="35">
        <f t="shared" si="0"/>
        <v>25000</v>
      </c>
    </row>
    <row r="14" spans="2:14" x14ac:dyDescent="0.25">
      <c r="B14" s="15">
        <f t="shared" si="1"/>
        <v>38</v>
      </c>
      <c r="C14" s="15">
        <f t="shared" si="1"/>
        <v>48</v>
      </c>
      <c r="D14" s="3">
        <v>9</v>
      </c>
      <c r="E14" s="81">
        <f t="shared" si="4"/>
        <v>165000</v>
      </c>
      <c r="F14" s="53">
        <f t="shared" si="2"/>
        <v>140000</v>
      </c>
      <c r="G14" s="81">
        <f t="shared" si="3"/>
        <v>57162.503658912057</v>
      </c>
      <c r="H14" s="52">
        <f t="shared" si="5"/>
        <v>48501.518256046598</v>
      </c>
      <c r="N14" s="35">
        <f t="shared" si="0"/>
        <v>25000</v>
      </c>
    </row>
    <row r="15" spans="2:14" x14ac:dyDescent="0.25">
      <c r="B15" s="15">
        <f t="shared" si="1"/>
        <v>39</v>
      </c>
      <c r="C15" s="15">
        <f t="shared" si="1"/>
        <v>49</v>
      </c>
      <c r="D15" s="3">
        <v>10</v>
      </c>
      <c r="E15" s="81">
        <f t="shared" si="4"/>
        <v>170000</v>
      </c>
      <c r="F15" s="53">
        <f t="shared" si="2"/>
        <v>145000</v>
      </c>
      <c r="G15" s="81">
        <f t="shared" si="3"/>
        <v>52350.845101764578</v>
      </c>
      <c r="H15" s="52">
        <f t="shared" si="5"/>
        <v>44652.191410328611</v>
      </c>
      <c r="N15" s="35">
        <f t="shared" si="0"/>
        <v>25000</v>
      </c>
    </row>
    <row r="16" spans="2:14" x14ac:dyDescent="0.25">
      <c r="B16" s="15">
        <f t="shared" si="1"/>
        <v>40</v>
      </c>
      <c r="C16" s="15">
        <f t="shared" si="1"/>
        <v>50</v>
      </c>
      <c r="D16" s="3">
        <v>11</v>
      </c>
      <c r="E16" s="81">
        <f t="shared" si="4"/>
        <v>175000</v>
      </c>
      <c r="F16" s="53">
        <f t="shared" si="2"/>
        <v>150000</v>
      </c>
      <c r="G16" s="81">
        <f t="shared" si="3"/>
        <v>47902.734080046022</v>
      </c>
      <c r="H16" s="52">
        <f t="shared" si="5"/>
        <v>41059.486354325163</v>
      </c>
      <c r="N16" s="35">
        <f t="shared" si="0"/>
        <v>25000</v>
      </c>
    </row>
    <row r="17" spans="2:14" x14ac:dyDescent="0.25">
      <c r="B17" s="15">
        <f t="shared" si="1"/>
        <v>41</v>
      </c>
      <c r="C17" s="15">
        <f t="shared" si="1"/>
        <v>51</v>
      </c>
      <c r="D17" s="3">
        <v>12</v>
      </c>
      <c r="E17" s="81">
        <f t="shared" si="4"/>
        <v>180000</v>
      </c>
      <c r="F17" s="53">
        <f t="shared" si="2"/>
        <v>155000</v>
      </c>
      <c r="G17" s="81">
        <f t="shared" si="3"/>
        <v>43796.785444613502</v>
      </c>
      <c r="H17" s="52">
        <f t="shared" si="5"/>
        <v>37713.89857730607</v>
      </c>
      <c r="N17" s="35">
        <f t="shared" si="0"/>
        <v>25000</v>
      </c>
    </row>
    <row r="18" spans="2:14" x14ac:dyDescent="0.25">
      <c r="B18" s="15">
        <f t="shared" si="1"/>
        <v>42</v>
      </c>
      <c r="C18" s="15">
        <f t="shared" si="1"/>
        <v>52</v>
      </c>
      <c r="D18" s="3">
        <v>13</v>
      </c>
      <c r="E18" s="81">
        <f t="shared" si="4"/>
        <v>185000</v>
      </c>
      <c r="F18" s="53">
        <f t="shared" si="2"/>
        <v>160000</v>
      </c>
      <c r="G18" s="81">
        <f t="shared" si="3"/>
        <v>40011.878060511102</v>
      </c>
      <c r="H18" s="52">
        <f t="shared" si="5"/>
        <v>34604.867511793389</v>
      </c>
      <c r="N18" s="35">
        <f t="shared" si="0"/>
        <v>25000</v>
      </c>
    </row>
    <row r="19" spans="2:14" x14ac:dyDescent="0.25">
      <c r="B19" s="15">
        <f t="shared" si="1"/>
        <v>43</v>
      </c>
      <c r="C19" s="15">
        <f t="shared" si="1"/>
        <v>53</v>
      </c>
      <c r="D19" s="3">
        <v>14</v>
      </c>
      <c r="E19" s="81">
        <f t="shared" si="4"/>
        <v>190000</v>
      </c>
      <c r="F19" s="53">
        <f t="shared" si="2"/>
        <v>165000</v>
      </c>
      <c r="G19" s="81">
        <f t="shared" si="3"/>
        <v>36527.36015133746</v>
      </c>
      <c r="H19" s="52">
        <f t="shared" si="5"/>
        <v>31721.128552477268</v>
      </c>
      <c r="N19" s="35">
        <f t="shared" si="0"/>
        <v>25000</v>
      </c>
    </row>
    <row r="20" spans="2:14" x14ac:dyDescent="0.25">
      <c r="B20" s="15">
        <f t="shared" si="1"/>
        <v>44</v>
      </c>
      <c r="C20" s="15">
        <f t="shared" si="1"/>
        <v>54</v>
      </c>
      <c r="D20" s="3">
        <v>15</v>
      </c>
      <c r="E20" s="81">
        <f t="shared" si="4"/>
        <v>195000</v>
      </c>
      <c r="F20" s="53">
        <f t="shared" si="2"/>
        <v>170000</v>
      </c>
      <c r="G20" s="81">
        <f t="shared" si="3"/>
        <v>33323.205752097339</v>
      </c>
      <c r="H20" s="52">
        <f t="shared" si="5"/>
        <v>29050.999886443835</v>
      </c>
      <c r="N20" s="35">
        <f t="shared" si="0"/>
        <v>25000</v>
      </c>
    </row>
    <row r="21" spans="2:14" x14ac:dyDescent="0.25">
      <c r="B21" s="15">
        <f t="shared" si="1"/>
        <v>45</v>
      </c>
      <c r="C21" s="15">
        <f t="shared" si="1"/>
        <v>55</v>
      </c>
      <c r="D21" s="3">
        <v>16</v>
      </c>
      <c r="E21" s="81">
        <f t="shared" si="4"/>
        <v>200000</v>
      </c>
      <c r="F21" s="53">
        <f t="shared" si="2"/>
        <v>175000</v>
      </c>
      <c r="G21" s="81">
        <f t="shared" si="3"/>
        <v>30380.130600202698</v>
      </c>
      <c r="H21" s="52">
        <f t="shared" si="5"/>
        <v>26582.614275177362</v>
      </c>
      <c r="N21" s="35">
        <f t="shared" si="0"/>
        <v>25000</v>
      </c>
    </row>
    <row r="22" spans="2:14" x14ac:dyDescent="0.25">
      <c r="B22" s="15">
        <f t="shared" si="1"/>
        <v>46</v>
      </c>
      <c r="C22" s="15">
        <f t="shared" si="1"/>
        <v>56</v>
      </c>
      <c r="D22" s="3">
        <v>17</v>
      </c>
      <c r="E22" s="81">
        <f t="shared" si="4"/>
        <v>205000</v>
      </c>
      <c r="F22" s="53">
        <f t="shared" si="2"/>
        <v>180000</v>
      </c>
      <c r="G22" s="81">
        <f t="shared" si="3"/>
        <v>27679.674546851347</v>
      </c>
      <c r="H22" s="52">
        <f t="shared" si="5"/>
        <v>24304.104480162161</v>
      </c>
      <c r="N22" s="35">
        <f t="shared" si="0"/>
        <v>25000</v>
      </c>
    </row>
    <row r="23" spans="2:14" x14ac:dyDescent="0.25">
      <c r="B23" s="15">
        <f t="shared" si="1"/>
        <v>47</v>
      </c>
      <c r="C23" s="15">
        <f t="shared" si="1"/>
        <v>57</v>
      </c>
      <c r="D23" s="3">
        <v>18</v>
      </c>
      <c r="E23" s="81">
        <f t="shared" si="4"/>
        <v>210000</v>
      </c>
      <c r="F23" s="53">
        <f t="shared" si="2"/>
        <v>185000</v>
      </c>
      <c r="G23" s="81">
        <f t="shared" si="3"/>
        <v>25204.256497945942</v>
      </c>
      <c r="H23" s="52">
        <f t="shared" si="5"/>
        <v>22203.749771999996</v>
      </c>
      <c r="N23" s="35">
        <f t="shared" si="0"/>
        <v>25000</v>
      </c>
    </row>
    <row r="24" spans="2:14" x14ac:dyDescent="0.25">
      <c r="B24" s="15">
        <f t="shared" si="1"/>
        <v>48</v>
      </c>
      <c r="C24" s="15">
        <f t="shared" si="1"/>
        <v>58</v>
      </c>
      <c r="D24" s="3">
        <v>19</v>
      </c>
      <c r="E24" s="81">
        <f t="shared" si="4"/>
        <v>215000</v>
      </c>
      <c r="F24" s="53">
        <f t="shared" si="2"/>
        <v>190000</v>
      </c>
      <c r="G24" s="81">
        <f t="shared" si="3"/>
        <v>22937.206971675674</v>
      </c>
      <c r="H24" s="52">
        <f t="shared" si="5"/>
        <v>20270.089881945947</v>
      </c>
      <c r="I24" s="78" t="s">
        <v>52</v>
      </c>
      <c r="J24" s="78" t="s">
        <v>53</v>
      </c>
      <c r="K24" s="78" t="s">
        <v>89</v>
      </c>
      <c r="L24" s="83" t="s">
        <v>10</v>
      </c>
      <c r="N24" s="35">
        <f t="shared" si="0"/>
        <v>25000</v>
      </c>
    </row>
    <row r="25" spans="2:14" x14ac:dyDescent="0.25">
      <c r="B25" s="15">
        <f t="shared" si="1"/>
        <v>49</v>
      </c>
      <c r="C25" s="15">
        <f t="shared" si="1"/>
        <v>59</v>
      </c>
      <c r="D25" s="3">
        <v>20</v>
      </c>
      <c r="E25" s="81">
        <f t="shared" si="4"/>
        <v>220000</v>
      </c>
      <c r="F25" s="53">
        <f t="shared" si="2"/>
        <v>195000</v>
      </c>
      <c r="G25" s="81">
        <f t="shared" si="3"/>
        <v>20862.782568552549</v>
      </c>
      <c r="H25" s="52">
        <f t="shared" si="5"/>
        <v>18492.011822126122</v>
      </c>
      <c r="I25" s="162" t="s">
        <v>50</v>
      </c>
      <c r="J25" s="163"/>
      <c r="K25" s="101" t="s">
        <v>67</v>
      </c>
      <c r="L25" s="106"/>
      <c r="N25" s="35">
        <f t="shared" si="0"/>
        <v>25000</v>
      </c>
    </row>
    <row r="26" spans="2:14" x14ac:dyDescent="0.25">
      <c r="B26" s="15">
        <f t="shared" si="1"/>
        <v>50</v>
      </c>
      <c r="C26" s="15">
        <f t="shared" si="1"/>
        <v>60</v>
      </c>
      <c r="D26" s="6">
        <v>21</v>
      </c>
      <c r="E26" s="81">
        <f t="shared" si="4"/>
        <v>225000</v>
      </c>
      <c r="F26" s="53">
        <f t="shared" si="2"/>
        <v>200000</v>
      </c>
      <c r="G26" s="81">
        <f>E26*((1+$E$2)^(-D26))</f>
        <v>18966.165971411407</v>
      </c>
      <c r="H26" s="52">
        <f>F26*((1+$E$2)^(-D26))</f>
        <v>16858.814196810141</v>
      </c>
      <c r="I26" s="82">
        <f>SUM(G5:G26)</f>
        <v>1001813.6955633392</v>
      </c>
      <c r="J26" s="54">
        <f>SUM(H5:H26)</f>
        <v>954783.62087126065</v>
      </c>
      <c r="K26" s="102">
        <f>I26-J26</f>
        <v>47030.074692078517</v>
      </c>
      <c r="L26" s="126">
        <f>IRR(N5:N26)</f>
        <v>0.18650216019176025</v>
      </c>
      <c r="N26" s="35">
        <f t="shared" si="0"/>
        <v>25000</v>
      </c>
    </row>
    <row r="27" spans="2:14" x14ac:dyDescent="0.25">
      <c r="B27" s="15">
        <f t="shared" si="1"/>
        <v>51</v>
      </c>
      <c r="C27" s="15"/>
      <c r="D27" s="3">
        <v>22</v>
      </c>
      <c r="E27" s="81">
        <f t="shared" si="4"/>
        <v>230000</v>
      </c>
      <c r="F27" s="53">
        <f t="shared" si="2"/>
        <v>205000</v>
      </c>
      <c r="G27" s="81">
        <f>E27*((1+$E$2)^(-D27))</f>
        <v>17233.454512294811</v>
      </c>
      <c r="H27" s="52">
        <f t="shared" si="5"/>
        <v>15360.252934871463</v>
      </c>
      <c r="N27" s="35">
        <f t="shared" si="0"/>
        <v>25000</v>
      </c>
    </row>
    <row r="28" spans="2:14" x14ac:dyDescent="0.25">
      <c r="B28" s="15">
        <f t="shared" si="1"/>
        <v>52</v>
      </c>
      <c r="C28" s="15"/>
      <c r="D28" s="3">
        <v>23</v>
      </c>
      <c r="E28" s="81">
        <f t="shared" si="4"/>
        <v>235000</v>
      </c>
      <c r="F28" s="53">
        <f t="shared" si="2"/>
        <v>210000</v>
      </c>
      <c r="G28" s="81">
        <f t="shared" si="3"/>
        <v>15651.639846915095</v>
      </c>
      <c r="H28" s="52">
        <f t="shared" si="5"/>
        <v>13986.57177809434</v>
      </c>
      <c r="N28" s="35">
        <f t="shared" si="0"/>
        <v>25000</v>
      </c>
    </row>
    <row r="29" spans="2:14" x14ac:dyDescent="0.25">
      <c r="B29" s="15">
        <f t="shared" si="1"/>
        <v>53</v>
      </c>
      <c r="C29" s="15"/>
      <c r="D29" s="3">
        <v>24</v>
      </c>
      <c r="E29" s="81">
        <f t="shared" si="4"/>
        <v>240000</v>
      </c>
      <c r="F29" s="53">
        <f t="shared" si="2"/>
        <v>215000</v>
      </c>
      <c r="G29" s="81">
        <f t="shared" si="3"/>
        <v>14208.580853937106</v>
      </c>
      <c r="H29" s="52">
        <f t="shared" si="5"/>
        <v>12728.520348318658</v>
      </c>
      <c r="N29" s="35">
        <f t="shared" si="0"/>
        <v>25000</v>
      </c>
    </row>
    <row r="30" spans="2:14" x14ac:dyDescent="0.25">
      <c r="B30" s="15">
        <f t="shared" si="1"/>
        <v>54</v>
      </c>
      <c r="C30" s="15"/>
      <c r="D30" s="3">
        <v>25</v>
      </c>
      <c r="E30" s="81">
        <f t="shared" si="4"/>
        <v>245000</v>
      </c>
      <c r="F30" s="53">
        <f t="shared" si="2"/>
        <v>220000</v>
      </c>
      <c r="G30" s="81">
        <f t="shared" si="3"/>
        <v>12892.971515609597</v>
      </c>
      <c r="H30" s="52">
        <f t="shared" si="5"/>
        <v>11577.362177282088</v>
      </c>
      <c r="N30" s="35">
        <f t="shared" si="0"/>
        <v>25000</v>
      </c>
    </row>
    <row r="31" spans="2:14" x14ac:dyDescent="0.25">
      <c r="B31" s="15">
        <f t="shared" si="1"/>
        <v>55</v>
      </c>
      <c r="C31" s="15"/>
      <c r="D31" s="3">
        <v>26</v>
      </c>
      <c r="E31" s="81">
        <f t="shared" si="4"/>
        <v>250000</v>
      </c>
      <c r="F31" s="53">
        <f t="shared" si="2"/>
        <v>225000</v>
      </c>
      <c r="G31" s="81">
        <f t="shared" si="3"/>
        <v>11694.305229577865</v>
      </c>
      <c r="H31" s="52">
        <f t="shared" si="5"/>
        <v>10524.874706620079</v>
      </c>
      <c r="N31" s="35">
        <f t="shared" si="0"/>
        <v>25000</v>
      </c>
    </row>
    <row r="32" spans="2:14" x14ac:dyDescent="0.25">
      <c r="B32" s="15">
        <f t="shared" si="1"/>
        <v>56</v>
      </c>
      <c r="C32" s="15"/>
      <c r="D32" s="3">
        <v>27</v>
      </c>
      <c r="E32" s="81">
        <f t="shared" si="4"/>
        <v>255000</v>
      </c>
      <c r="F32" s="53">
        <f t="shared" si="2"/>
        <v>230000</v>
      </c>
      <c r="G32" s="81">
        <f t="shared" si="3"/>
        <v>10602.83674148393</v>
      </c>
      <c r="H32" s="52">
        <f t="shared" si="5"/>
        <v>9563.3429432992307</v>
      </c>
      <c r="N32" s="35">
        <f t="shared" si="0"/>
        <v>25000</v>
      </c>
    </row>
    <row r="33" spans="2:14" x14ac:dyDescent="0.25">
      <c r="B33" s="15">
        <f t="shared" si="1"/>
        <v>57</v>
      </c>
      <c r="C33" s="15"/>
      <c r="D33" s="3">
        <v>28</v>
      </c>
      <c r="E33" s="81">
        <f t="shared" si="4"/>
        <v>260000</v>
      </c>
      <c r="F33" s="53">
        <f t="shared" si="2"/>
        <v>235000</v>
      </c>
      <c r="G33" s="81">
        <f t="shared" si="3"/>
        <v>9609.5426676629977</v>
      </c>
      <c r="H33" s="52">
        <f t="shared" si="5"/>
        <v>8685.5481803877083</v>
      </c>
      <c r="N33" s="35">
        <f t="shared" si="0"/>
        <v>25000</v>
      </c>
    </row>
    <row r="34" spans="2:14" x14ac:dyDescent="0.25">
      <c r="B34" s="15">
        <f t="shared" si="1"/>
        <v>58</v>
      </c>
      <c r="C34" s="15"/>
      <c r="D34" s="3">
        <v>29</v>
      </c>
      <c r="E34" s="81">
        <f t="shared" si="4"/>
        <v>265000</v>
      </c>
      <c r="F34" s="53">
        <f t="shared" si="2"/>
        <v>240000</v>
      </c>
      <c r="G34" s="81">
        <f t="shared" si="3"/>
        <v>8706.0813912160484</v>
      </c>
      <c r="H34" s="52">
        <f t="shared" si="5"/>
        <v>7884.7529580824585</v>
      </c>
      <c r="K34" s="78" t="s">
        <v>89</v>
      </c>
      <c r="L34" s="103" t="s">
        <v>10</v>
      </c>
      <c r="N34" s="35">
        <f t="shared" si="0"/>
        <v>25000</v>
      </c>
    </row>
    <row r="35" spans="2:14" x14ac:dyDescent="0.25">
      <c r="B35" s="15">
        <f t="shared" si="1"/>
        <v>59</v>
      </c>
      <c r="C35" s="15"/>
      <c r="D35" s="3">
        <v>30</v>
      </c>
      <c r="E35" s="81">
        <f t="shared" si="4"/>
        <v>270000</v>
      </c>
      <c r="F35" s="53">
        <f t="shared" si="2"/>
        <v>245000</v>
      </c>
      <c r="G35" s="81">
        <f t="shared" si="3"/>
        <v>7884.7529580824594</v>
      </c>
      <c r="H35" s="52">
        <f t="shared" si="5"/>
        <v>7154.683239741491</v>
      </c>
      <c r="I35" s="162" t="s">
        <v>51</v>
      </c>
      <c r="J35" s="163"/>
      <c r="K35" s="83" t="s">
        <v>67</v>
      </c>
      <c r="L35" s="104"/>
      <c r="N35" s="35">
        <f t="shared" si="0"/>
        <v>25000</v>
      </c>
    </row>
    <row r="36" spans="2:14" x14ac:dyDescent="0.25">
      <c r="B36" s="15">
        <f t="shared" si="1"/>
        <v>60</v>
      </c>
      <c r="C36" s="15"/>
      <c r="D36" s="6">
        <v>31</v>
      </c>
      <c r="E36" s="81">
        <f t="shared" si="4"/>
        <v>275000</v>
      </c>
      <c r="F36" s="53">
        <f t="shared" si="2"/>
        <v>250000</v>
      </c>
      <c r="G36" s="81">
        <f t="shared" si="3"/>
        <v>7138.4594682228026</v>
      </c>
      <c r="H36" s="52">
        <f t="shared" si="5"/>
        <v>6489.5086074752744</v>
      </c>
      <c r="I36" s="82">
        <f>SUM(G5:G36)</f>
        <v>1117436.320748342</v>
      </c>
      <c r="J36" s="54">
        <f>SUM(H5:H36)</f>
        <v>1058739.0387454336</v>
      </c>
      <c r="K36" s="40">
        <f>I36-J36</f>
        <v>58697.282002908411</v>
      </c>
      <c r="L36" s="126">
        <f>IRR(N5:N36)</f>
        <v>0.19161684217671127</v>
      </c>
      <c r="N36" s="35">
        <f t="shared" si="0"/>
        <v>25000</v>
      </c>
    </row>
  </sheetData>
  <mergeCells count="2">
    <mergeCell ref="I25:J25"/>
    <mergeCell ref="I35:J35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22"/>
  <sheetViews>
    <sheetView zoomScale="120" zoomScaleNormal="120" workbookViewId="0">
      <selection activeCell="I22" sqref="I22"/>
    </sheetView>
  </sheetViews>
  <sheetFormatPr defaultColWidth="11.42578125" defaultRowHeight="15" x14ac:dyDescent="0.25"/>
  <cols>
    <col min="2" max="2" width="14.42578125" bestFit="1" customWidth="1"/>
    <col min="3" max="15" width="7.85546875" bestFit="1" customWidth="1"/>
  </cols>
  <sheetData>
    <row r="2" spans="2:16" x14ac:dyDescent="0.25">
      <c r="B2" s="10" t="s">
        <v>8</v>
      </c>
      <c r="C2" s="9">
        <v>0.1</v>
      </c>
    </row>
    <row r="3" spans="2:16" x14ac:dyDescent="0.25">
      <c r="B3" s="146" t="s">
        <v>0</v>
      </c>
      <c r="C3" s="151" t="s">
        <v>4</v>
      </c>
      <c r="D3" s="152"/>
      <c r="E3" s="152"/>
      <c r="F3" s="22"/>
    </row>
    <row r="4" spans="2:16" x14ac:dyDescent="0.25">
      <c r="B4" s="146"/>
      <c r="C4" s="6">
        <v>0</v>
      </c>
      <c r="D4" s="6">
        <v>1</v>
      </c>
      <c r="E4" s="21">
        <v>2</v>
      </c>
      <c r="F4" s="6">
        <v>3</v>
      </c>
      <c r="G4" s="21">
        <v>4</v>
      </c>
      <c r="H4" s="6">
        <v>5</v>
      </c>
      <c r="J4" s="128">
        <v>0</v>
      </c>
      <c r="K4" s="128">
        <v>1</v>
      </c>
      <c r="L4" s="128">
        <v>2</v>
      </c>
      <c r="M4" s="128">
        <v>3</v>
      </c>
      <c r="N4" s="128">
        <v>4</v>
      </c>
      <c r="O4" s="128">
        <v>5</v>
      </c>
    </row>
    <row r="5" spans="2:16" x14ac:dyDescent="0.25">
      <c r="B5" s="6" t="s">
        <v>35</v>
      </c>
      <c r="C5" s="129">
        <v>0</v>
      </c>
      <c r="D5" s="129">
        <v>-1100</v>
      </c>
      <c r="E5" s="129">
        <v>-1100</v>
      </c>
      <c r="F5" s="129">
        <v>-1100</v>
      </c>
      <c r="G5" s="130"/>
      <c r="H5" s="130"/>
    </row>
    <row r="6" spans="2:16" x14ac:dyDescent="0.25">
      <c r="B6" s="155" t="s">
        <v>36</v>
      </c>
      <c r="C6" s="131">
        <v>-2500</v>
      </c>
      <c r="D6" s="131">
        <v>1100</v>
      </c>
      <c r="E6" s="131">
        <v>1100</v>
      </c>
      <c r="F6" s="131">
        <v>1100</v>
      </c>
      <c r="G6" s="131">
        <v>1100</v>
      </c>
      <c r="H6" s="132">
        <v>1100</v>
      </c>
      <c r="J6" s="137">
        <f>C6/(1+$C$2)^C4</f>
        <v>-2500</v>
      </c>
      <c r="K6" s="137">
        <f t="shared" ref="K6:O6" si="0">D6/(1+$C$2)^D4</f>
        <v>999.99999999999989</v>
      </c>
      <c r="L6" s="137">
        <f t="shared" si="0"/>
        <v>909.09090909090889</v>
      </c>
      <c r="M6" s="137">
        <f t="shared" si="0"/>
        <v>826.44628099173531</v>
      </c>
      <c r="N6" s="137">
        <f t="shared" si="0"/>
        <v>751.31480090157754</v>
      </c>
      <c r="O6" s="137">
        <f t="shared" si="0"/>
        <v>683.01345536507051</v>
      </c>
      <c r="P6" s="130">
        <f>SUM(J6:O6)</f>
        <v>1669.8654463492921</v>
      </c>
    </row>
    <row r="7" spans="2:16" x14ac:dyDescent="0.25">
      <c r="B7" s="156"/>
      <c r="C7" s="133">
        <f>C6</f>
        <v>-2500</v>
      </c>
      <c r="D7" s="133">
        <f>D5+D6</f>
        <v>0</v>
      </c>
      <c r="E7" s="133">
        <f>E5+E6</f>
        <v>0</v>
      </c>
      <c r="F7" s="133">
        <f>F5+F6</f>
        <v>0</v>
      </c>
      <c r="G7" s="133">
        <f t="shared" ref="G7:H7" si="1">G5+G6</f>
        <v>1100</v>
      </c>
      <c r="H7" s="134">
        <f t="shared" si="1"/>
        <v>1100</v>
      </c>
      <c r="I7" t="s">
        <v>98</v>
      </c>
    </row>
    <row r="9" spans="2:16" x14ac:dyDescent="0.25">
      <c r="I9" s="19" t="s">
        <v>9</v>
      </c>
    </row>
    <row r="10" spans="2:16" x14ac:dyDescent="0.25">
      <c r="B10" s="6" t="s">
        <v>37</v>
      </c>
      <c r="C10" s="129">
        <f>C5*((1+$C$2)^(-C4))</f>
        <v>0</v>
      </c>
      <c r="D10" s="129">
        <f>D5*((1+$C$2)^(-D4))</f>
        <v>-1000</v>
      </c>
      <c r="E10" s="129">
        <f>E5*((1+$C$2)^(-E4))</f>
        <v>-909.09090909090901</v>
      </c>
      <c r="F10" s="129">
        <f>F5*((1+$C$2)^(-F4))</f>
        <v>-826.44628099173531</v>
      </c>
      <c r="G10" s="129"/>
      <c r="H10" s="129"/>
      <c r="I10" s="135">
        <f>SUM(C10:H10)</f>
        <v>-2735.5371900826444</v>
      </c>
    </row>
    <row r="11" spans="2:16" x14ac:dyDescent="0.25">
      <c r="B11" s="6" t="s">
        <v>38</v>
      </c>
      <c r="C11" s="129">
        <f t="shared" ref="C11:H11" si="2">C7*((1+$C$2)^(-C4))</f>
        <v>-2500</v>
      </c>
      <c r="D11" s="129">
        <f t="shared" si="2"/>
        <v>0</v>
      </c>
      <c r="E11" s="129">
        <f t="shared" si="2"/>
        <v>0</v>
      </c>
      <c r="F11" s="129">
        <f t="shared" si="2"/>
        <v>0</v>
      </c>
      <c r="G11" s="129">
        <f t="shared" si="2"/>
        <v>751.31480090157754</v>
      </c>
      <c r="H11" s="129">
        <f t="shared" si="2"/>
        <v>683.0134553650704</v>
      </c>
      <c r="I11" s="136">
        <f>SUM(C11:H11)</f>
        <v>-1065.6717437333518</v>
      </c>
    </row>
    <row r="13" spans="2:16" x14ac:dyDescent="0.25">
      <c r="B13" s="10" t="s">
        <v>8</v>
      </c>
      <c r="C13" s="9">
        <v>0.1</v>
      </c>
    </row>
    <row r="14" spans="2:16" x14ac:dyDescent="0.25">
      <c r="B14" s="146" t="s">
        <v>0</v>
      </c>
      <c r="C14" s="151" t="s">
        <v>4</v>
      </c>
      <c r="D14" s="152"/>
      <c r="E14" s="152"/>
      <c r="F14" s="22"/>
    </row>
    <row r="15" spans="2:16" x14ac:dyDescent="0.25">
      <c r="B15" s="146"/>
      <c r="C15" s="6">
        <v>0</v>
      </c>
      <c r="D15" s="6">
        <v>1</v>
      </c>
      <c r="E15" s="21">
        <v>2</v>
      </c>
      <c r="F15" s="6">
        <v>3</v>
      </c>
      <c r="G15" s="21">
        <v>4</v>
      </c>
      <c r="H15" s="6">
        <v>5</v>
      </c>
    </row>
    <row r="16" spans="2:16" x14ac:dyDescent="0.25">
      <c r="B16" s="6" t="s">
        <v>35</v>
      </c>
      <c r="C16" s="129">
        <v>-1100</v>
      </c>
      <c r="D16" s="129">
        <v>-1100</v>
      </c>
      <c r="E16" s="129">
        <v>-1100</v>
      </c>
      <c r="F16" s="129"/>
      <c r="G16" s="130"/>
      <c r="H16" s="130"/>
    </row>
    <row r="17" spans="2:9" x14ac:dyDescent="0.25">
      <c r="B17" s="155" t="s">
        <v>36</v>
      </c>
      <c r="C17" s="131">
        <v>-2500</v>
      </c>
      <c r="D17" s="131">
        <v>1100</v>
      </c>
      <c r="E17" s="131">
        <v>1100</v>
      </c>
      <c r="F17" s="131">
        <v>1100</v>
      </c>
      <c r="G17" s="131">
        <v>1100</v>
      </c>
      <c r="H17" s="132">
        <v>1100</v>
      </c>
    </row>
    <row r="18" spans="2:9" x14ac:dyDescent="0.25">
      <c r="B18" s="156"/>
      <c r="C18" s="133">
        <f>C17</f>
        <v>-2500</v>
      </c>
      <c r="D18" s="133">
        <f>D16+D17</f>
        <v>0</v>
      </c>
      <c r="E18" s="133">
        <f>E16+E17</f>
        <v>0</v>
      </c>
      <c r="F18" s="133">
        <f>F16+F17</f>
        <v>1100</v>
      </c>
      <c r="G18" s="133">
        <f t="shared" ref="G18:H18" si="3">G16+G17</f>
        <v>1100</v>
      </c>
      <c r="H18" s="134">
        <f t="shared" si="3"/>
        <v>1100</v>
      </c>
    </row>
    <row r="20" spans="2:9" x14ac:dyDescent="0.25">
      <c r="I20" s="19" t="s">
        <v>9</v>
      </c>
    </row>
    <row r="21" spans="2:9" x14ac:dyDescent="0.25">
      <c r="B21" s="6" t="s">
        <v>37</v>
      </c>
      <c r="C21" s="129">
        <f>C16*((1+$C$2)^(-C15))</f>
        <v>-1100</v>
      </c>
      <c r="D21" s="129">
        <f>D16*((1+$C$2)^(-D15))</f>
        <v>-1000</v>
      </c>
      <c r="E21" s="129">
        <f>E16*((1+$C$2)^(-E15))</f>
        <v>-909.09090909090901</v>
      </c>
      <c r="F21" s="129">
        <f>F16*((1+$C$2)^(-F15))</f>
        <v>0</v>
      </c>
      <c r="G21" s="129"/>
      <c r="H21" s="129"/>
      <c r="I21" s="135">
        <f>SUM(C21:H21)</f>
        <v>-3009.090909090909</v>
      </c>
    </row>
    <row r="22" spans="2:9" x14ac:dyDescent="0.25">
      <c r="B22" s="6" t="s">
        <v>38</v>
      </c>
      <c r="C22" s="129">
        <f t="shared" ref="C22:H22" si="4">C18*((1+$C$2)^(-C15))</f>
        <v>-2500</v>
      </c>
      <c r="D22" s="129">
        <f t="shared" si="4"/>
        <v>0</v>
      </c>
      <c r="E22" s="129">
        <f t="shared" si="4"/>
        <v>0</v>
      </c>
      <c r="F22" s="129">
        <f t="shared" si="4"/>
        <v>826.44628099173531</v>
      </c>
      <c r="G22" s="129">
        <f t="shared" si="4"/>
        <v>751.31480090157754</v>
      </c>
      <c r="H22" s="129">
        <f t="shared" si="4"/>
        <v>683.0134553650704</v>
      </c>
      <c r="I22" s="136">
        <f>SUM(C22:H22)</f>
        <v>-239.22546274161664</v>
      </c>
    </row>
  </sheetData>
  <mergeCells count="6">
    <mergeCell ref="B17:B18"/>
    <mergeCell ref="B3:B4"/>
    <mergeCell ref="C3:E3"/>
    <mergeCell ref="B6:B7"/>
    <mergeCell ref="B14:B15"/>
    <mergeCell ref="C14:E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99DB-019B-450B-9584-FBF5F33ADE77}">
  <dimension ref="B2:K10"/>
  <sheetViews>
    <sheetView zoomScale="130" zoomScaleNormal="130" workbookViewId="0"/>
  </sheetViews>
  <sheetFormatPr defaultColWidth="11.42578125" defaultRowHeight="15" x14ac:dyDescent="0.25"/>
  <sheetData>
    <row r="2" spans="2:11" x14ac:dyDescent="0.25">
      <c r="C2" t="s">
        <v>97</v>
      </c>
      <c r="D2" s="127">
        <v>0.11</v>
      </c>
    </row>
    <row r="3" spans="2:11" x14ac:dyDescent="0.25">
      <c r="C3">
        <v>0</v>
      </c>
      <c r="D3">
        <f>C3+1</f>
        <v>1</v>
      </c>
      <c r="E3">
        <f t="shared" ref="E3:J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>J3+1</f>
        <v>8</v>
      </c>
    </row>
    <row r="4" spans="2:11" x14ac:dyDescent="0.25">
      <c r="C4" s="2">
        <v>-7</v>
      </c>
      <c r="D4" s="2">
        <v>0.51700000000000002</v>
      </c>
      <c r="E4" s="2">
        <v>0.51700000000000002</v>
      </c>
      <c r="F4" s="2">
        <v>0.51700000000000002</v>
      </c>
      <c r="G4" s="2">
        <v>0.51700000000000002</v>
      </c>
      <c r="H4" s="2">
        <v>0.51700000000000002</v>
      </c>
      <c r="I4" s="2">
        <v>0.51700000000000002</v>
      </c>
      <c r="J4" s="2">
        <v>0.51700000000000002</v>
      </c>
      <c r="K4" s="2">
        <f>0.517+9</f>
        <v>9.5169999999999995</v>
      </c>
    </row>
    <row r="5" spans="2:11" x14ac:dyDescent="0.25">
      <c r="C5" s="2">
        <f>C4/(1+$D$2)^C3</f>
        <v>-7</v>
      </c>
      <c r="D5" s="2">
        <f t="shared" ref="D5:K5" si="1">D4/(1+$D$2)^D3</f>
        <v>0.46576576576576573</v>
      </c>
      <c r="E5" s="2">
        <f t="shared" si="1"/>
        <v>0.41960879798717632</v>
      </c>
      <c r="F5" s="2">
        <f t="shared" si="1"/>
        <v>0.37802594413259127</v>
      </c>
      <c r="G5" s="2">
        <f t="shared" si="1"/>
        <v>0.34056391363296507</v>
      </c>
      <c r="H5" s="2">
        <f t="shared" si="1"/>
        <v>0.30681433660627483</v>
      </c>
      <c r="I5" s="2">
        <f t="shared" si="1"/>
        <v>0.27640931225790522</v>
      </c>
      <c r="J5" s="2">
        <f t="shared" si="1"/>
        <v>0.24901739843054524</v>
      </c>
      <c r="K5" s="2">
        <f t="shared" si="1"/>
        <v>4.1296784652682632</v>
      </c>
    </row>
    <row r="6" spans="2:11" x14ac:dyDescent="0.25">
      <c r="B6" t="s">
        <v>9</v>
      </c>
      <c r="C6" s="35">
        <f>SUM(C5:K5)</f>
        <v>-0.4341160659185137</v>
      </c>
    </row>
    <row r="10" spans="2:11" x14ac:dyDescent="0.25">
      <c r="C10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G2:K26"/>
  <sheetViews>
    <sheetView tabSelected="1" zoomScale="130" zoomScaleNormal="130" workbookViewId="0">
      <selection activeCell="I8" sqref="I8"/>
    </sheetView>
  </sheetViews>
  <sheetFormatPr defaultColWidth="11.42578125" defaultRowHeight="15" x14ac:dyDescent="0.25"/>
  <cols>
    <col min="7" max="7" width="24.140625" bestFit="1" customWidth="1"/>
    <col min="8" max="8" width="12.140625" bestFit="1" customWidth="1"/>
    <col min="9" max="9" width="11.140625" bestFit="1" customWidth="1"/>
    <col min="10" max="11" width="12.140625" bestFit="1" customWidth="1"/>
    <col min="12" max="12" width="11.42578125" bestFit="1" customWidth="1"/>
  </cols>
  <sheetData>
    <row r="2" spans="7:11" x14ac:dyDescent="0.25">
      <c r="G2" s="10" t="s">
        <v>44</v>
      </c>
      <c r="H2" s="139">
        <v>0.1</v>
      </c>
    </row>
    <row r="3" spans="7:11" x14ac:dyDescent="0.25">
      <c r="G3" s="10" t="s">
        <v>39</v>
      </c>
      <c r="H3" s="85">
        <v>0.08</v>
      </c>
    </row>
    <row r="4" spans="7:11" x14ac:dyDescent="0.25">
      <c r="G4" s="10" t="s">
        <v>45</v>
      </c>
      <c r="H4" s="85">
        <f>((1+H3)*(1+H2))-1</f>
        <v>0.18800000000000017</v>
      </c>
    </row>
    <row r="5" spans="7:11" x14ac:dyDescent="0.25">
      <c r="K5" s="32"/>
    </row>
    <row r="6" spans="7:11" x14ac:dyDescent="0.25">
      <c r="G6" s="10" t="s">
        <v>46</v>
      </c>
      <c r="H6" s="4">
        <v>25000</v>
      </c>
      <c r="K6" s="32"/>
    </row>
    <row r="7" spans="7:11" x14ac:dyDescent="0.25">
      <c r="G7" s="94" t="s">
        <v>40</v>
      </c>
      <c r="H7" s="37">
        <v>350</v>
      </c>
      <c r="K7" s="32"/>
    </row>
    <row r="8" spans="7:11" x14ac:dyDescent="0.25">
      <c r="G8" s="94" t="s">
        <v>70</v>
      </c>
      <c r="H8" s="37">
        <v>50</v>
      </c>
      <c r="K8" s="32"/>
    </row>
    <row r="9" spans="7:11" x14ac:dyDescent="0.25">
      <c r="G9" s="10" t="s">
        <v>42</v>
      </c>
      <c r="H9" s="4">
        <v>250</v>
      </c>
    </row>
    <row r="11" spans="7:11" x14ac:dyDescent="0.25">
      <c r="G11" s="34" t="s">
        <v>68</v>
      </c>
      <c r="H11" s="138">
        <v>1</v>
      </c>
      <c r="I11" s="138">
        <f>H11*(1+$H$2)</f>
        <v>1.1000000000000001</v>
      </c>
      <c r="J11" s="138">
        <f>I11*(1+$H$2)</f>
        <v>1.2100000000000002</v>
      </c>
      <c r="K11" s="138">
        <f>J11*(1+$H$2)</f>
        <v>1.3310000000000004</v>
      </c>
    </row>
    <row r="12" spans="7:11" x14ac:dyDescent="0.25">
      <c r="G12" s="34" t="s">
        <v>33</v>
      </c>
      <c r="H12" s="24">
        <v>0</v>
      </c>
      <c r="I12" s="24">
        <v>1</v>
      </c>
      <c r="J12" s="24">
        <v>2</v>
      </c>
      <c r="K12" s="24">
        <v>3</v>
      </c>
    </row>
    <row r="13" spans="7:11" x14ac:dyDescent="0.25">
      <c r="G13" s="34" t="s">
        <v>43</v>
      </c>
      <c r="H13" s="1"/>
      <c r="I13" s="1">
        <v>20</v>
      </c>
      <c r="J13" s="1">
        <v>40</v>
      </c>
      <c r="K13" s="33">
        <v>50</v>
      </c>
    </row>
    <row r="14" spans="7:11" x14ac:dyDescent="0.25">
      <c r="G14" s="34" t="s">
        <v>46</v>
      </c>
      <c r="H14" s="12">
        <f>-H6</f>
        <v>-25000</v>
      </c>
      <c r="I14" s="28"/>
      <c r="J14" s="28"/>
      <c r="K14" s="112"/>
    </row>
    <row r="15" spans="7:11" x14ac:dyDescent="0.25">
      <c r="G15" s="34" t="s">
        <v>91</v>
      </c>
      <c r="H15" s="86"/>
      <c r="I15" s="140">
        <f>$H$7*I13*I11</f>
        <v>7700.0000000000009</v>
      </c>
      <c r="J15" s="140">
        <f>$H$7*J13*J11</f>
        <v>16940.000000000004</v>
      </c>
      <c r="K15" s="140">
        <f>$H$7*K13*K11</f>
        <v>23292.500000000007</v>
      </c>
    </row>
    <row r="16" spans="7:11" x14ac:dyDescent="0.25">
      <c r="G16" s="111" t="s">
        <v>90</v>
      </c>
      <c r="H16" s="113"/>
      <c r="I16" s="141">
        <f>I17+I18</f>
        <v>-1375</v>
      </c>
      <c r="J16" s="141">
        <f>J17+J18</f>
        <v>-2722.5000000000005</v>
      </c>
      <c r="K16" s="141">
        <f>K17+K18</f>
        <v>-3660.2500000000009</v>
      </c>
    </row>
    <row r="17" spans="7:11" x14ac:dyDescent="0.25">
      <c r="G17" s="34" t="s">
        <v>41</v>
      </c>
      <c r="H17" s="5"/>
      <c r="I17" s="5">
        <f>-$H$8*I13*I11</f>
        <v>-1100</v>
      </c>
      <c r="J17" s="5">
        <f>-$H$8*J13*J11</f>
        <v>-2420.0000000000005</v>
      </c>
      <c r="K17" s="5">
        <f>-$H$8*K13*K11</f>
        <v>-3327.5000000000009</v>
      </c>
    </row>
    <row r="18" spans="7:11" ht="15.75" thickBot="1" x14ac:dyDescent="0.3">
      <c r="G18" s="88" t="s">
        <v>42</v>
      </c>
      <c r="H18" s="89"/>
      <c r="I18" s="90">
        <f>-$H$9*I11</f>
        <v>-275</v>
      </c>
      <c r="J18" s="90">
        <f>-$H$9*J11</f>
        <v>-302.50000000000006</v>
      </c>
      <c r="K18" s="90">
        <f>-$H$9*K11</f>
        <v>-332.75000000000011</v>
      </c>
    </row>
    <row r="19" spans="7:11" x14ac:dyDescent="0.25">
      <c r="G19" s="87" t="s">
        <v>0</v>
      </c>
      <c r="H19" s="40">
        <f>H14+H15+H16</f>
        <v>-25000</v>
      </c>
      <c r="I19" s="142">
        <f t="shared" ref="I19:K19" si="0">I14+I15+I16</f>
        <v>6325.0000000000009</v>
      </c>
      <c r="J19" s="142">
        <f t="shared" si="0"/>
        <v>14217.500000000004</v>
      </c>
      <c r="K19" s="142">
        <f t="shared" si="0"/>
        <v>19632.250000000007</v>
      </c>
    </row>
    <row r="20" spans="7:11" x14ac:dyDescent="0.25">
      <c r="G20" s="18"/>
    </row>
    <row r="21" spans="7:11" x14ac:dyDescent="0.25">
      <c r="G21" s="34" t="s">
        <v>71</v>
      </c>
      <c r="H21" s="84">
        <f>1/(1+$H$4)^H12</f>
        <v>1</v>
      </c>
      <c r="I21" s="143">
        <f>1/(1+$H$4)^I12</f>
        <v>0.84175084175084158</v>
      </c>
      <c r="J21" s="143">
        <f>1/(1+$H$4)^J12</f>
        <v>0.7085444795882504</v>
      </c>
      <c r="K21" s="143">
        <f>1/(1+$H$4)^K12</f>
        <v>0.59641791211132189</v>
      </c>
    </row>
    <row r="22" spans="7:11" x14ac:dyDescent="0.25">
      <c r="G22" s="34" t="s">
        <v>69</v>
      </c>
      <c r="H22" s="86">
        <f>H19*H21</f>
        <v>-25000</v>
      </c>
      <c r="I22" s="86">
        <f>I19*I21</f>
        <v>5324.0740740740739</v>
      </c>
      <c r="J22" s="86">
        <f>J19*J21</f>
        <v>10073.731138545952</v>
      </c>
      <c r="K22" s="86">
        <f>K19*K21</f>
        <v>11709.025555047503</v>
      </c>
    </row>
    <row r="23" spans="7:11" x14ac:dyDescent="0.25">
      <c r="G23" s="91" t="s">
        <v>9</v>
      </c>
      <c r="H23" s="25">
        <f>SUM(H22:K22)</f>
        <v>2106.8307676675286</v>
      </c>
    </row>
    <row r="24" spans="7:11" x14ac:dyDescent="0.25">
      <c r="G24" s="92" t="s">
        <v>82</v>
      </c>
      <c r="H24" s="144">
        <f>IRR(H19:K19)</f>
        <v>0.23199366446570835</v>
      </c>
    </row>
    <row r="25" spans="7:11" x14ac:dyDescent="0.25">
      <c r="G25" s="92" t="s">
        <v>83</v>
      </c>
      <c r="H25" s="93">
        <f>((1+H24)/(1+H2))-1</f>
        <v>0.11999424042337115</v>
      </c>
    </row>
    <row r="26" spans="7:11" x14ac:dyDescent="0.25">
      <c r="G26" s="91" t="s">
        <v>92</v>
      </c>
      <c r="H26" s="25">
        <f>-H14+H23</f>
        <v>27106.830767667529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zoomScale="170" zoomScaleNormal="170" workbookViewId="0"/>
  </sheetViews>
  <sheetFormatPr defaultColWidth="11.42578125" defaultRowHeight="15" x14ac:dyDescent="0.25"/>
  <cols>
    <col min="2" max="2" width="14.7109375" bestFit="1" customWidth="1"/>
    <col min="3" max="3" width="14.140625" bestFit="1" customWidth="1"/>
    <col min="4" max="4" width="14.140625" customWidth="1"/>
    <col min="5" max="8" width="14.140625" bestFit="1" customWidth="1"/>
  </cols>
  <sheetData>
    <row r="2" spans="2:9" x14ac:dyDescent="0.25">
      <c r="B2" s="10" t="s">
        <v>8</v>
      </c>
      <c r="C2" s="9">
        <v>0.1</v>
      </c>
    </row>
    <row r="3" spans="2:9" x14ac:dyDescent="0.25">
      <c r="B3" s="146" t="s">
        <v>0</v>
      </c>
      <c r="C3" s="145" t="s">
        <v>4</v>
      </c>
      <c r="D3" s="145"/>
      <c r="E3" s="145"/>
      <c r="F3" s="145"/>
      <c r="G3" s="145"/>
      <c r="H3" s="145"/>
    </row>
    <row r="4" spans="2:9" x14ac:dyDescent="0.25">
      <c r="B4" s="146"/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</row>
    <row r="5" spans="2:9" x14ac:dyDescent="0.25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</row>
    <row r="6" spans="2:9" x14ac:dyDescent="0.25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</row>
    <row r="7" spans="2:9" x14ac:dyDescent="0.25">
      <c r="B7" s="6" t="s">
        <v>3</v>
      </c>
      <c r="C7" s="4">
        <v>-1000000</v>
      </c>
      <c r="D7" s="4">
        <v>0</v>
      </c>
      <c r="E7" s="4">
        <v>0</v>
      </c>
      <c r="F7" s="4">
        <v>0</v>
      </c>
      <c r="G7" s="4">
        <v>0</v>
      </c>
      <c r="H7" s="5">
        <v>1610510</v>
      </c>
    </row>
    <row r="8" spans="2:9" x14ac:dyDescent="0.25">
      <c r="I8" s="16"/>
    </row>
    <row r="9" spans="2:9" x14ac:dyDescent="0.25">
      <c r="B9" s="6" t="s">
        <v>11</v>
      </c>
      <c r="C9" s="4">
        <f>C5</f>
        <v>-1000000</v>
      </c>
      <c r="D9" s="4">
        <f t="shared" ref="D9:H10" si="0">C9+D5</f>
        <v>-900000</v>
      </c>
      <c r="E9" s="4">
        <f t="shared" si="0"/>
        <v>-800000</v>
      </c>
      <c r="F9" s="4">
        <f t="shared" si="0"/>
        <v>-700000</v>
      </c>
      <c r="G9" s="37">
        <f>F9+G5</f>
        <v>-600000</v>
      </c>
      <c r="H9" s="38">
        <f t="shared" si="0"/>
        <v>500000</v>
      </c>
      <c r="I9" s="17"/>
    </row>
    <row r="10" spans="2:9" x14ac:dyDescent="0.25">
      <c r="B10" s="6" t="s">
        <v>12</v>
      </c>
      <c r="C10" s="4">
        <f t="shared" ref="C10:C11" si="1">C6</f>
        <v>-1000000</v>
      </c>
      <c r="D10" s="4">
        <f>C10+D6</f>
        <v>-736203</v>
      </c>
      <c r="E10" s="4">
        <f t="shared" si="0"/>
        <v>-472406</v>
      </c>
      <c r="F10" s="37">
        <f t="shared" si="0"/>
        <v>-208609</v>
      </c>
      <c r="G10" s="37">
        <f>F10+G6</f>
        <v>55188</v>
      </c>
      <c r="H10" s="14">
        <f t="shared" si="0"/>
        <v>318985</v>
      </c>
      <c r="I10" s="17"/>
    </row>
    <row r="11" spans="2:9" x14ac:dyDescent="0.25">
      <c r="B11" s="6" t="s">
        <v>13</v>
      </c>
      <c r="C11" s="4">
        <f t="shared" si="1"/>
        <v>-1000000</v>
      </c>
      <c r="D11" s="4">
        <f>C11+D7</f>
        <v>-1000000</v>
      </c>
      <c r="E11" s="4">
        <f>D11+E7</f>
        <v>-1000000</v>
      </c>
      <c r="F11" s="4">
        <f t="shared" ref="F11" si="2">E11+F7</f>
        <v>-1000000</v>
      </c>
      <c r="G11" s="37">
        <f>F11+G7</f>
        <v>-1000000</v>
      </c>
      <c r="H11" s="38">
        <f>G11+H7</f>
        <v>610510</v>
      </c>
      <c r="I11" s="17"/>
    </row>
  </sheetData>
  <mergeCells count="2">
    <mergeCell ref="B3:B4"/>
    <mergeCell ref="C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1"/>
  <sheetViews>
    <sheetView zoomScale="180" zoomScaleNormal="180" workbookViewId="0"/>
  </sheetViews>
  <sheetFormatPr defaultColWidth="11.42578125" defaultRowHeight="15" x14ac:dyDescent="0.25"/>
  <cols>
    <col min="2" max="2" width="6.42578125" bestFit="1" customWidth="1"/>
    <col min="3" max="3" width="14.140625" bestFit="1" customWidth="1"/>
    <col min="4" max="7" width="12.42578125" bestFit="1" customWidth="1"/>
    <col min="8" max="8" width="14.140625" bestFit="1" customWidth="1"/>
    <col min="9" max="9" width="12.42578125" bestFit="1" customWidth="1"/>
  </cols>
  <sheetData>
    <row r="2" spans="2:9" x14ac:dyDescent="0.25">
      <c r="B2" s="10" t="s">
        <v>8</v>
      </c>
      <c r="C2" s="9">
        <v>0.05</v>
      </c>
    </row>
    <row r="3" spans="2:9" x14ac:dyDescent="0.25">
      <c r="B3" s="146" t="s">
        <v>0</v>
      </c>
      <c r="C3" s="145" t="s">
        <v>4</v>
      </c>
      <c r="D3" s="145"/>
      <c r="E3" s="145"/>
      <c r="F3" s="145"/>
      <c r="G3" s="145"/>
      <c r="H3" s="145"/>
    </row>
    <row r="4" spans="2:9" x14ac:dyDescent="0.25">
      <c r="B4" s="146"/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</row>
    <row r="5" spans="2:9" x14ac:dyDescent="0.25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</row>
    <row r="6" spans="2:9" x14ac:dyDescent="0.25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</row>
    <row r="7" spans="2:9" x14ac:dyDescent="0.25">
      <c r="B7" s="6" t="s">
        <v>3</v>
      </c>
      <c r="C7" s="4">
        <v>-1000000</v>
      </c>
      <c r="D7" s="1"/>
      <c r="E7" s="1"/>
      <c r="F7" s="1"/>
      <c r="G7" s="1"/>
      <c r="H7" s="5">
        <v>1610510</v>
      </c>
    </row>
    <row r="8" spans="2:9" x14ac:dyDescent="0.25">
      <c r="I8" s="39" t="s">
        <v>9</v>
      </c>
    </row>
    <row r="9" spans="2:9" x14ac:dyDescent="0.25">
      <c r="B9" s="6" t="s">
        <v>5</v>
      </c>
      <c r="C9" s="4">
        <f>C5*(1+$C$2)^(-C4)</f>
        <v>-1000000</v>
      </c>
      <c r="D9" s="4">
        <f>D5*(1+$C$2)^(-D4)</f>
        <v>95238.095238095237</v>
      </c>
      <c r="E9" s="4">
        <f t="shared" ref="E9:H9" si="0">E5*(1+$C$2)^(-E4)</f>
        <v>90702.947845804985</v>
      </c>
      <c r="F9" s="4">
        <f t="shared" si="0"/>
        <v>86383.759853147596</v>
      </c>
      <c r="G9" s="4">
        <f t="shared" si="0"/>
        <v>82270.247479188198</v>
      </c>
      <c r="H9" s="4">
        <f t="shared" si="0"/>
        <v>861878.78311530489</v>
      </c>
      <c r="I9" s="25">
        <f>SUM(C9:H9)</f>
        <v>216473.83353154093</v>
      </c>
    </row>
    <row r="10" spans="2:9" x14ac:dyDescent="0.25">
      <c r="B10" s="6" t="s">
        <v>6</v>
      </c>
      <c r="C10" s="4">
        <f>C6*(1+$C$2)^(-C4)</f>
        <v>-1000000</v>
      </c>
      <c r="D10" s="4">
        <f t="shared" ref="D10:H10" si="1">D6*(1+$C$2)^(-D4)</f>
        <v>251235.23809523808</v>
      </c>
      <c r="E10" s="4">
        <f t="shared" si="1"/>
        <v>239271.65532879817</v>
      </c>
      <c r="F10" s="4">
        <f t="shared" si="1"/>
        <v>227877.76697980778</v>
      </c>
      <c r="G10" s="4">
        <f t="shared" si="1"/>
        <v>217026.4447426741</v>
      </c>
      <c r="H10" s="4">
        <f t="shared" si="1"/>
        <v>206691.85213588006</v>
      </c>
      <c r="I10" s="25">
        <f t="shared" ref="I10:I11" si="2">SUM(C10:H10)</f>
        <v>142102.95728239825</v>
      </c>
    </row>
    <row r="11" spans="2:9" x14ac:dyDescent="0.25">
      <c r="B11" s="6" t="s">
        <v>7</v>
      </c>
      <c r="C11" s="4">
        <f>C7*(1+$C$2)^(-C4)</f>
        <v>-1000000</v>
      </c>
      <c r="D11" s="4">
        <f t="shared" ref="D11:G11" si="3">D7*(1+$C$2)^(-D4)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>H7*(1+$C$2)^(-H4)</f>
        <v>1261876.7263591178</v>
      </c>
      <c r="I11" s="25">
        <f t="shared" si="2"/>
        <v>261876.72635911778</v>
      </c>
    </row>
  </sheetData>
  <mergeCells count="2">
    <mergeCell ref="B3:B4"/>
    <mergeCell ref="C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1"/>
  <sheetViews>
    <sheetView zoomScale="140" zoomScaleNormal="140" workbookViewId="0"/>
  </sheetViews>
  <sheetFormatPr defaultColWidth="11.42578125" defaultRowHeight="15" x14ac:dyDescent="0.25"/>
  <cols>
    <col min="2" max="2" width="6.140625" bestFit="1" customWidth="1"/>
    <col min="3" max="3" width="14" bestFit="1" customWidth="1"/>
    <col min="4" max="7" width="12.42578125" bestFit="1" customWidth="1"/>
    <col min="8" max="8" width="14" bestFit="1" customWidth="1"/>
    <col min="9" max="10" width="16" bestFit="1" customWidth="1"/>
    <col min="11" max="11" width="15" bestFit="1" customWidth="1"/>
    <col min="13" max="13" width="4.42578125" bestFit="1" customWidth="1"/>
  </cols>
  <sheetData>
    <row r="2" spans="2:13" x14ac:dyDescent="0.25">
      <c r="B2" s="10" t="s">
        <v>8</v>
      </c>
      <c r="C2" s="9">
        <v>0.15</v>
      </c>
    </row>
    <row r="3" spans="2:13" x14ac:dyDescent="0.25">
      <c r="B3" s="146" t="s">
        <v>0</v>
      </c>
      <c r="C3" s="145" t="s">
        <v>4</v>
      </c>
      <c r="D3" s="145"/>
      <c r="E3" s="145"/>
      <c r="F3" s="145"/>
      <c r="G3" s="145"/>
      <c r="H3" s="145"/>
      <c r="M3" s="150" t="s">
        <v>10</v>
      </c>
    </row>
    <row r="4" spans="2:13" x14ac:dyDescent="0.25">
      <c r="B4" s="146"/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M4" s="150"/>
    </row>
    <row r="5" spans="2:13" x14ac:dyDescent="0.25">
      <c r="B5" s="6" t="s">
        <v>1</v>
      </c>
      <c r="C5" s="4">
        <v>-1000000</v>
      </c>
      <c r="D5" s="4">
        <v>100000</v>
      </c>
      <c r="E5" s="4">
        <v>100000</v>
      </c>
      <c r="F5" s="4">
        <v>100000</v>
      </c>
      <c r="G5" s="4">
        <v>100000</v>
      </c>
      <c r="H5" s="4">
        <v>1100000</v>
      </c>
      <c r="M5" s="57">
        <f>IRR(C5:H5)</f>
        <v>0.10000000000000009</v>
      </c>
    </row>
    <row r="6" spans="2:13" ht="15.75" thickBot="1" x14ac:dyDescent="0.3">
      <c r="B6" s="6" t="s">
        <v>2</v>
      </c>
      <c r="C6" s="4">
        <v>-1000000</v>
      </c>
      <c r="D6" s="4">
        <v>263797</v>
      </c>
      <c r="E6" s="4">
        <v>263797</v>
      </c>
      <c r="F6" s="4">
        <v>263797</v>
      </c>
      <c r="G6" s="4">
        <v>263797</v>
      </c>
      <c r="H6" s="4">
        <v>263797</v>
      </c>
      <c r="M6" s="57">
        <f t="shared" ref="M6:M7" si="0">IRR(C6:H6)</f>
        <v>9.9999286562188372E-2</v>
      </c>
    </row>
    <row r="7" spans="2:13" ht="15.75" thickBot="1" x14ac:dyDescent="0.3">
      <c r="B7" s="6" t="s">
        <v>3</v>
      </c>
      <c r="C7" s="4">
        <v>-1000000</v>
      </c>
      <c r="D7" s="1">
        <v>0</v>
      </c>
      <c r="E7" s="1">
        <v>0</v>
      </c>
      <c r="F7" s="1">
        <v>0</v>
      </c>
      <c r="G7" s="1">
        <v>0</v>
      </c>
      <c r="H7" s="5">
        <v>1610510</v>
      </c>
      <c r="I7" s="41" t="s">
        <v>57</v>
      </c>
      <c r="J7" s="43" t="s">
        <v>55</v>
      </c>
      <c r="K7" s="42" t="s">
        <v>56</v>
      </c>
      <c r="M7" s="57">
        <f t="shared" si="0"/>
        <v>0.10000000000000009</v>
      </c>
    </row>
    <row r="8" spans="2:13" ht="15.75" thickBot="1" x14ac:dyDescent="0.3">
      <c r="I8" s="147" t="s">
        <v>9</v>
      </c>
      <c r="J8" s="148"/>
      <c r="K8" s="149"/>
    </row>
    <row r="9" spans="2:13" x14ac:dyDescent="0.25">
      <c r="B9" s="6" t="s">
        <v>5</v>
      </c>
      <c r="C9" s="4">
        <f t="shared" ref="C9:H9" si="1">C5*((1+$C$2)^(-C4))</f>
        <v>-1000000</v>
      </c>
      <c r="D9" s="4">
        <f t="shared" si="1"/>
        <v>86956.521739130447</v>
      </c>
      <c r="E9" s="4">
        <f t="shared" si="1"/>
        <v>75614.366729678644</v>
      </c>
      <c r="F9" s="4">
        <f t="shared" si="1"/>
        <v>65751.623243198832</v>
      </c>
      <c r="G9" s="4">
        <f t="shared" si="1"/>
        <v>57175.324559303343</v>
      </c>
      <c r="H9" s="4">
        <f t="shared" si="1"/>
        <v>546894.40882811882</v>
      </c>
      <c r="I9" s="55">
        <f>SUM(C9:H9)</f>
        <v>-167607.75490056979</v>
      </c>
      <c r="J9" s="40">
        <f>'Ej. 1'!I10</f>
        <v>0</v>
      </c>
      <c r="K9" s="40">
        <f>'Ej. 4'!I9</f>
        <v>216473.83353154093</v>
      </c>
    </row>
    <row r="10" spans="2:13" x14ac:dyDescent="0.25">
      <c r="B10" s="6" t="s">
        <v>6</v>
      </c>
      <c r="C10" s="4">
        <f t="shared" ref="C10:H10" si="2">C6*((1+$C$2)^(-C4))</f>
        <v>-1000000</v>
      </c>
      <c r="D10" s="4">
        <f t="shared" si="2"/>
        <v>229388.69565217395</v>
      </c>
      <c r="E10" s="4">
        <f t="shared" si="2"/>
        <v>199468.43100189039</v>
      </c>
      <c r="F10" s="4">
        <f t="shared" si="2"/>
        <v>173450.80956686122</v>
      </c>
      <c r="G10" s="4">
        <f t="shared" si="2"/>
        <v>150826.79092770544</v>
      </c>
      <c r="H10" s="4">
        <f t="shared" si="2"/>
        <v>131153.73124148298</v>
      </c>
      <c r="I10" s="56">
        <f t="shared" ref="I10:I11" si="3">SUM(C10:H10)</f>
        <v>-115711.54160988604</v>
      </c>
      <c r="J10" s="12">
        <f>'Ej. 1'!I11</f>
        <v>-1.8225903596612625</v>
      </c>
      <c r="K10" s="12">
        <f>'Ej. 4'!I10</f>
        <v>142102.95728239825</v>
      </c>
    </row>
    <row r="11" spans="2:13" x14ac:dyDescent="0.25">
      <c r="B11" s="6" t="s">
        <v>7</v>
      </c>
      <c r="C11" s="4">
        <f t="shared" ref="C11:H11" si="4">C7*((1+$C$2)^(-C4))</f>
        <v>-1000000</v>
      </c>
      <c r="D11" s="4">
        <f t="shared" si="4"/>
        <v>0</v>
      </c>
      <c r="E11" s="4">
        <f t="shared" si="4"/>
        <v>0</v>
      </c>
      <c r="F11" s="4">
        <f t="shared" si="4"/>
        <v>0</v>
      </c>
      <c r="G11" s="4">
        <f t="shared" si="4"/>
        <v>0</v>
      </c>
      <c r="H11" s="4">
        <f t="shared" si="4"/>
        <v>800708.1039652488</v>
      </c>
      <c r="I11" s="56">
        <f t="shared" si="3"/>
        <v>-199291.8960347512</v>
      </c>
      <c r="J11" s="12">
        <f>'Ej. 1'!I12</f>
        <v>0</v>
      </c>
      <c r="K11" s="12">
        <f>'Ej. 4'!I11</f>
        <v>261876.72635911778</v>
      </c>
    </row>
  </sheetData>
  <mergeCells count="4">
    <mergeCell ref="B3:B4"/>
    <mergeCell ref="C3:H3"/>
    <mergeCell ref="I8:K8"/>
    <mergeCell ref="M3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8"/>
  <sheetViews>
    <sheetView zoomScale="180" zoomScaleNormal="180" workbookViewId="0"/>
  </sheetViews>
  <sheetFormatPr defaultColWidth="11.42578125" defaultRowHeight="15" x14ac:dyDescent="0.25"/>
  <sheetData>
    <row r="2" spans="2:3" x14ac:dyDescent="0.25">
      <c r="B2" s="6" t="s">
        <v>4</v>
      </c>
      <c r="C2" s="6" t="s">
        <v>0</v>
      </c>
    </row>
    <row r="3" spans="2:3" x14ac:dyDescent="0.25">
      <c r="B3" s="3">
        <v>0</v>
      </c>
      <c r="C3" s="4">
        <v>-9120</v>
      </c>
    </row>
    <row r="4" spans="2:3" x14ac:dyDescent="0.25">
      <c r="B4" s="3">
        <v>1</v>
      </c>
      <c r="C4" s="4">
        <v>1000</v>
      </c>
    </row>
    <row r="5" spans="2:3" x14ac:dyDescent="0.25">
      <c r="B5" s="3">
        <v>2</v>
      </c>
      <c r="C5" s="4">
        <v>5000</v>
      </c>
    </row>
    <row r="6" spans="2:3" x14ac:dyDescent="0.25">
      <c r="B6" s="3">
        <v>3</v>
      </c>
      <c r="C6" s="4">
        <v>10000</v>
      </c>
    </row>
    <row r="8" spans="2:3" x14ac:dyDescent="0.25">
      <c r="B8" s="19" t="s">
        <v>10</v>
      </c>
      <c r="C8" s="36">
        <f>IRR(C3:C6)</f>
        <v>0.24999999999972156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9"/>
  <sheetViews>
    <sheetView zoomScale="170" zoomScaleNormal="170" workbookViewId="0"/>
  </sheetViews>
  <sheetFormatPr defaultColWidth="11.42578125" defaultRowHeight="15" x14ac:dyDescent="0.25"/>
  <cols>
    <col min="2" max="2" width="7.42578125" bestFit="1" customWidth="1"/>
    <col min="3" max="4" width="11.42578125" bestFit="1" customWidth="1"/>
    <col min="5" max="5" width="0" hidden="1" customWidth="1"/>
    <col min="6" max="6" width="5.85546875" customWidth="1"/>
    <col min="7" max="7" width="7.42578125" bestFit="1" customWidth="1"/>
    <col min="8" max="8" width="11.42578125" bestFit="1" customWidth="1"/>
    <col min="9" max="9" width="5.7109375" hidden="1" customWidth="1"/>
    <col min="10" max="10" width="11.42578125" bestFit="1" customWidth="1"/>
    <col min="11" max="11" width="0" hidden="1" customWidth="1"/>
  </cols>
  <sheetData>
    <row r="2" spans="2:10" x14ac:dyDescent="0.25">
      <c r="B2" s="10" t="s">
        <v>8</v>
      </c>
      <c r="C2" s="9">
        <v>0.1</v>
      </c>
    </row>
    <row r="4" spans="2:10" x14ac:dyDescent="0.25">
      <c r="B4" s="6" t="s">
        <v>4</v>
      </c>
      <c r="C4" s="6" t="s">
        <v>0</v>
      </c>
      <c r="D4" s="11" t="s">
        <v>9</v>
      </c>
      <c r="G4" s="6" t="s">
        <v>4</v>
      </c>
      <c r="H4" s="6" t="s">
        <v>0</v>
      </c>
      <c r="J4" s="11" t="s">
        <v>9</v>
      </c>
    </row>
    <row r="5" spans="2:10" x14ac:dyDescent="0.25">
      <c r="B5" s="3">
        <v>0</v>
      </c>
      <c r="C5" s="4">
        <v>-9120</v>
      </c>
      <c r="D5" s="4">
        <f>C5*((1+$C$2)^(-B5))</f>
        <v>-9120</v>
      </c>
      <c r="G5" s="3">
        <v>0</v>
      </c>
      <c r="H5" s="4">
        <f>C5-D9</f>
        <v>-12554.470323065361</v>
      </c>
      <c r="J5" s="4">
        <f>H5*((1+$C$2)^(-G5))</f>
        <v>-12554.470323065361</v>
      </c>
    </row>
    <row r="6" spans="2:10" x14ac:dyDescent="0.25">
      <c r="B6" s="3">
        <v>1</v>
      </c>
      <c r="C6" s="4">
        <v>1000</v>
      </c>
      <c r="D6" s="4">
        <f>C6*((1+$C$2)^(-B6))</f>
        <v>909.09090909090901</v>
      </c>
      <c r="G6" s="3">
        <v>1</v>
      </c>
      <c r="H6" s="4">
        <v>1000</v>
      </c>
      <c r="J6" s="4">
        <f>H6*((1+$C$2)^(-G6))</f>
        <v>909.09090909090901</v>
      </c>
    </row>
    <row r="7" spans="2:10" x14ac:dyDescent="0.25">
      <c r="B7" s="3">
        <v>2</v>
      </c>
      <c r="C7" s="4">
        <v>5000</v>
      </c>
      <c r="D7" s="4">
        <f>C7*((1+$C$2)^(-B7))</f>
        <v>4132.2314049586776</v>
      </c>
      <c r="G7" s="3">
        <v>2</v>
      </c>
      <c r="H7" s="4">
        <v>5000</v>
      </c>
      <c r="J7" s="4">
        <f>H7*((1+$C$2)^(-G7))</f>
        <v>4132.2314049586776</v>
      </c>
    </row>
    <row r="8" spans="2:10" x14ac:dyDescent="0.25">
      <c r="B8" s="3">
        <v>3</v>
      </c>
      <c r="C8" s="4">
        <v>10000</v>
      </c>
      <c r="D8" s="4">
        <f>C8*((1+$C$2)^(-B8))</f>
        <v>7513.1480090157756</v>
      </c>
      <c r="G8" s="3">
        <v>3</v>
      </c>
      <c r="H8" s="4">
        <v>10000</v>
      </c>
      <c r="J8" s="4">
        <f t="shared" ref="J8" si="0">H8*((1+$C$2)^(-G8))</f>
        <v>7513.1480090157756</v>
      </c>
    </row>
    <row r="9" spans="2:10" x14ac:dyDescent="0.25">
      <c r="D9" s="25">
        <f>SUM(D5:D8)</f>
        <v>3434.4703230653613</v>
      </c>
      <c r="J9" s="25">
        <f>SUM(J5:J8)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26"/>
  <sheetViews>
    <sheetView zoomScale="130" zoomScaleNormal="130" workbookViewId="0"/>
  </sheetViews>
  <sheetFormatPr defaultColWidth="11.42578125" defaultRowHeight="15" x14ac:dyDescent="0.25"/>
  <cols>
    <col min="2" max="2" width="10.7109375" bestFit="1" customWidth="1"/>
    <col min="3" max="3" width="11.28515625" bestFit="1" customWidth="1"/>
    <col min="4" max="5" width="10.28515625" bestFit="1" customWidth="1"/>
    <col min="6" max="6" width="11.28515625" bestFit="1" customWidth="1"/>
    <col min="7" max="8" width="10.42578125" bestFit="1" customWidth="1"/>
  </cols>
  <sheetData>
    <row r="2" spans="2:7" x14ac:dyDescent="0.25">
      <c r="B2" s="10" t="s">
        <v>8</v>
      </c>
      <c r="C2" s="9">
        <v>0.1</v>
      </c>
    </row>
    <row r="3" spans="2:7" x14ac:dyDescent="0.25">
      <c r="B3" s="146" t="s">
        <v>0</v>
      </c>
      <c r="C3" s="145" t="s">
        <v>4</v>
      </c>
      <c r="D3" s="145"/>
      <c r="E3" s="145"/>
      <c r="F3" s="145"/>
    </row>
    <row r="4" spans="2:7" x14ac:dyDescent="0.25">
      <c r="B4" s="146"/>
      <c r="C4" s="6">
        <v>0</v>
      </c>
      <c r="D4" s="6">
        <v>1</v>
      </c>
      <c r="E4" s="6">
        <v>2</v>
      </c>
      <c r="F4" s="6">
        <v>3</v>
      </c>
      <c r="G4" s="44" t="s">
        <v>10</v>
      </c>
    </row>
    <row r="5" spans="2:7" x14ac:dyDescent="0.25">
      <c r="B5" s="6" t="s">
        <v>1</v>
      </c>
      <c r="C5" s="4">
        <v>-1000</v>
      </c>
      <c r="D5" s="4">
        <v>505</v>
      </c>
      <c r="E5" s="4">
        <v>505</v>
      </c>
      <c r="F5" s="4">
        <v>505</v>
      </c>
      <c r="G5" s="60">
        <f>IRR(C5:F5)</f>
        <v>0.24037247107804172</v>
      </c>
    </row>
    <row r="6" spans="2:7" x14ac:dyDescent="0.25">
      <c r="B6" s="6" t="s">
        <v>2</v>
      </c>
      <c r="C6" s="4">
        <v>-10000</v>
      </c>
      <c r="D6" s="4">
        <v>2000</v>
      </c>
      <c r="E6" s="4">
        <v>2000</v>
      </c>
      <c r="F6" s="4">
        <v>12000</v>
      </c>
      <c r="G6" s="60">
        <f t="shared" ref="G6:G7" si="0">IRR(C6:F6)</f>
        <v>0.19999999999999574</v>
      </c>
    </row>
    <row r="7" spans="2:7" x14ac:dyDescent="0.25">
      <c r="B7" s="6" t="s">
        <v>3</v>
      </c>
      <c r="C7" s="4">
        <v>-11000</v>
      </c>
      <c r="D7" s="4">
        <v>5304</v>
      </c>
      <c r="E7" s="4">
        <v>5304</v>
      </c>
      <c r="F7" s="4">
        <v>5304</v>
      </c>
      <c r="G7" s="60">
        <f t="shared" si="0"/>
        <v>0.21000846370412862</v>
      </c>
    </row>
    <row r="9" spans="2:7" x14ac:dyDescent="0.25">
      <c r="G9" s="44" t="s">
        <v>14</v>
      </c>
    </row>
    <row r="10" spans="2:7" x14ac:dyDescent="0.25">
      <c r="B10" s="6" t="s">
        <v>5</v>
      </c>
      <c r="C10" s="4">
        <f>C5*((1+$C$2)^(-C4))</f>
        <v>-1000</v>
      </c>
      <c r="D10" s="4">
        <f>D5*((1+$C$2)^(-D4))</f>
        <v>459.09090909090907</v>
      </c>
      <c r="E10" s="4">
        <f>E5*((1+$C$2)^(-E4))</f>
        <v>417.35537190082641</v>
      </c>
      <c r="F10" s="4">
        <f>F5*((1+$C$2)^(-F4))</f>
        <v>379.41397445529668</v>
      </c>
      <c r="G10" s="61">
        <f>SUM(C10:F10)</f>
        <v>255.8602554470321</v>
      </c>
    </row>
    <row r="11" spans="2:7" x14ac:dyDescent="0.25">
      <c r="B11" s="6" t="s">
        <v>6</v>
      </c>
      <c r="C11" s="4">
        <f>C6*((1+$C$2)^(-C4))</f>
        <v>-10000</v>
      </c>
      <c r="D11" s="4">
        <f>D6*((1+$C$2)^(-D4))</f>
        <v>1818.181818181818</v>
      </c>
      <c r="E11" s="4">
        <f>E6*((1+$C$2)^(-E4))</f>
        <v>1652.8925619834708</v>
      </c>
      <c r="F11" s="4">
        <f>F6*((1+$C$2)^(-F4))</f>
        <v>9015.77761081893</v>
      </c>
      <c r="G11" s="61">
        <f t="shared" ref="G11:G12" si="1">SUM(C11:F11)</f>
        <v>2486.8519909842189</v>
      </c>
    </row>
    <row r="12" spans="2:7" x14ac:dyDescent="0.25">
      <c r="B12" s="6" t="s">
        <v>7</v>
      </c>
      <c r="C12" s="4">
        <f>C7*((1+$C$2)^(-C4))</f>
        <v>-11000</v>
      </c>
      <c r="D12" s="4">
        <f>D7*((1+$C$2)^(-D4))</f>
        <v>4821.818181818182</v>
      </c>
      <c r="E12" s="4">
        <f>E7*((1+$C$2)^(-E4))</f>
        <v>4383.4710743801652</v>
      </c>
      <c r="F12" s="4">
        <f>F7*((1+$C$2)^(-F4))</f>
        <v>3984.9737039819674</v>
      </c>
      <c r="G12" s="61">
        <f t="shared" si="1"/>
        <v>2190.2629601803146</v>
      </c>
    </row>
    <row r="14" spans="2:7" x14ac:dyDescent="0.25">
      <c r="B14" s="119" t="s">
        <v>58</v>
      </c>
      <c r="C14" s="35">
        <f>C5+C6</f>
        <v>-11000</v>
      </c>
      <c r="D14" s="35">
        <f t="shared" ref="D14:F14" si="2">D5+D6</f>
        <v>2505</v>
      </c>
      <c r="E14" s="35">
        <f t="shared" si="2"/>
        <v>2505</v>
      </c>
      <c r="F14" s="35">
        <f t="shared" si="2"/>
        <v>12505</v>
      </c>
      <c r="G14" s="60">
        <f>IRR(C14:F14)</f>
        <v>0.20281786544654046</v>
      </c>
    </row>
    <row r="15" spans="2:7" x14ac:dyDescent="0.25">
      <c r="B15" s="6" t="s">
        <v>93</v>
      </c>
      <c r="C15" s="4">
        <f>C14*((1+$C$2)^(-C4))</f>
        <v>-11000</v>
      </c>
      <c r="D15" s="4">
        <f t="shared" ref="D15:F15" si="3">D14*((1+$C$2)^(-D4))</f>
        <v>2277.272727272727</v>
      </c>
      <c r="E15" s="4">
        <f t="shared" si="3"/>
        <v>2070.2479338842973</v>
      </c>
      <c r="F15" s="4">
        <f t="shared" si="3"/>
        <v>9395.1915852742277</v>
      </c>
      <c r="G15" s="61">
        <f>SUM(C15:F15)</f>
        <v>2742.7122464312524</v>
      </c>
    </row>
    <row r="17" spans="2:8" x14ac:dyDescent="0.25">
      <c r="B17" s="6" t="s">
        <v>15</v>
      </c>
      <c r="C17" s="27">
        <f>G10/-C5</f>
        <v>0.25586025544703211</v>
      </c>
    </row>
    <row r="18" spans="2:8" x14ac:dyDescent="0.25">
      <c r="B18" s="6" t="s">
        <v>16</v>
      </c>
      <c r="C18" s="27">
        <f>G11/-C6</f>
        <v>0.24868519909842188</v>
      </c>
    </row>
    <row r="19" spans="2:8" x14ac:dyDescent="0.25">
      <c r="B19" s="6" t="s">
        <v>17</v>
      </c>
      <c r="C19" s="27">
        <f>G12/-C7</f>
        <v>0.19911481456184679</v>
      </c>
    </row>
    <row r="20" spans="2:8" x14ac:dyDescent="0.25">
      <c r="B20" s="119" t="s">
        <v>61</v>
      </c>
      <c r="C20" s="27">
        <f>G15/-C14</f>
        <v>0.24933747694829567</v>
      </c>
    </row>
    <row r="22" spans="2:8" x14ac:dyDescent="0.25">
      <c r="G22" s="44" t="s">
        <v>10</v>
      </c>
      <c r="H22" s="44" t="s">
        <v>9</v>
      </c>
    </row>
    <row r="23" spans="2:8" ht="26.25" x14ac:dyDescent="0.25">
      <c r="B23" s="58" t="s">
        <v>58</v>
      </c>
      <c r="C23" s="59">
        <f>C6-C5</f>
        <v>-9000</v>
      </c>
      <c r="D23" s="59">
        <f t="shared" ref="D23:F23" si="4">D6-D5</f>
        <v>1495</v>
      </c>
      <c r="E23" s="59">
        <f t="shared" si="4"/>
        <v>1495</v>
      </c>
      <c r="F23" s="59">
        <f t="shared" si="4"/>
        <v>11495</v>
      </c>
      <c r="G23" s="60">
        <f>IRR(C23:F23)</f>
        <v>0.19672958448229627</v>
      </c>
      <c r="H23" s="61">
        <f>C23+NPV(C2,D23:F23)</f>
        <v>2230.991735537189</v>
      </c>
    </row>
    <row r="24" spans="2:8" x14ac:dyDescent="0.25">
      <c r="C24" s="4">
        <f>C23*((1+$C$2)^(-C4))</f>
        <v>-9000</v>
      </c>
      <c r="D24" s="4">
        <f t="shared" ref="D24:F24" si="5">D23*((1+$C$2)^(-D4))</f>
        <v>1359.090909090909</v>
      </c>
      <c r="E24" s="4">
        <f t="shared" si="5"/>
        <v>1235.5371900826444</v>
      </c>
      <c r="F24" s="4">
        <f t="shared" si="5"/>
        <v>8636.3636363636342</v>
      </c>
    </row>
    <row r="26" spans="2:8" x14ac:dyDescent="0.25">
      <c r="B26" s="62" t="s">
        <v>61</v>
      </c>
      <c r="C26" s="63">
        <f>H23/-C23</f>
        <v>0.24788797061524323</v>
      </c>
    </row>
  </sheetData>
  <mergeCells count="2">
    <mergeCell ref="B3:B4"/>
    <mergeCell ref="C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4"/>
  <sheetViews>
    <sheetView zoomScale="150" zoomScaleNormal="150" workbookViewId="0"/>
  </sheetViews>
  <sheetFormatPr defaultColWidth="11.42578125" defaultRowHeight="15" x14ac:dyDescent="0.25"/>
  <cols>
    <col min="2" max="2" width="9.85546875" bestFit="1" customWidth="1"/>
    <col min="3" max="3" width="12" bestFit="1" customWidth="1"/>
    <col min="4" max="5" width="10.42578125" bestFit="1" customWidth="1"/>
    <col min="6" max="6" width="11.42578125" bestFit="1" customWidth="1"/>
    <col min="7" max="7" width="10.42578125" bestFit="1" customWidth="1"/>
  </cols>
  <sheetData>
    <row r="2" spans="2:7" x14ac:dyDescent="0.25">
      <c r="B2" s="10" t="s">
        <v>8</v>
      </c>
      <c r="C2" s="9">
        <v>0.1</v>
      </c>
    </row>
    <row r="3" spans="2:7" x14ac:dyDescent="0.25">
      <c r="B3" s="146" t="s">
        <v>0</v>
      </c>
      <c r="C3" s="145" t="s">
        <v>4</v>
      </c>
      <c r="D3" s="145"/>
      <c r="E3" s="145"/>
      <c r="F3" s="145"/>
    </row>
    <row r="4" spans="2:7" x14ac:dyDescent="0.25">
      <c r="B4" s="146"/>
      <c r="C4" s="6">
        <v>0</v>
      </c>
      <c r="D4" s="6">
        <v>1</v>
      </c>
      <c r="E4" s="6">
        <v>2</v>
      </c>
      <c r="F4" s="6">
        <v>3</v>
      </c>
      <c r="G4" s="19" t="s">
        <v>10</v>
      </c>
    </row>
    <row r="5" spans="2:7" x14ac:dyDescent="0.25">
      <c r="B5" s="6" t="s">
        <v>1</v>
      </c>
      <c r="C5" s="4">
        <v>-1000</v>
      </c>
      <c r="D5" s="4">
        <v>505</v>
      </c>
      <c r="E5" s="4">
        <v>505</v>
      </c>
      <c r="F5" s="4">
        <v>505</v>
      </c>
      <c r="G5" s="13">
        <f>IRR(C5:F5)</f>
        <v>0.24037247107804172</v>
      </c>
    </row>
    <row r="6" spans="2:7" x14ac:dyDescent="0.25">
      <c r="B6" s="6" t="s">
        <v>2</v>
      </c>
      <c r="C6" s="4">
        <v>-10000</v>
      </c>
      <c r="D6" s="4">
        <v>2000</v>
      </c>
      <c r="E6" s="4">
        <v>2000</v>
      </c>
      <c r="F6" s="4">
        <v>12000</v>
      </c>
      <c r="G6" s="13">
        <f t="shared" ref="G6" si="0">IRR(C6:F6)</f>
        <v>0.19999999999999574</v>
      </c>
    </row>
    <row r="7" spans="2:7" x14ac:dyDescent="0.25">
      <c r="B7" s="6" t="s">
        <v>3</v>
      </c>
      <c r="C7" s="4">
        <v>-11000</v>
      </c>
      <c r="D7" s="4">
        <v>5304</v>
      </c>
      <c r="E7" s="4">
        <v>5304</v>
      </c>
      <c r="F7" s="4">
        <v>5304</v>
      </c>
      <c r="G7" s="13">
        <f>IRR(C7:F7)</f>
        <v>0.21000846370412862</v>
      </c>
    </row>
    <row r="8" spans="2:7" x14ac:dyDescent="0.25">
      <c r="B8" s="6" t="s">
        <v>7</v>
      </c>
      <c r="C8" s="4">
        <f>C7*((1+$C$2)^(-C4))</f>
        <v>-11000</v>
      </c>
      <c r="D8" s="4">
        <f t="shared" ref="D8:F8" si="1">D7*((1+$C$2)^(-D4))</f>
        <v>4821.818181818182</v>
      </c>
      <c r="E8" s="4">
        <f t="shared" si="1"/>
        <v>4383.4710743801652</v>
      </c>
      <c r="F8" s="4">
        <f t="shared" si="1"/>
        <v>3984.9737039819674</v>
      </c>
      <c r="G8" s="12">
        <f>SUM(C8:F8)</f>
        <v>2190.2629601803146</v>
      </c>
    </row>
    <row r="10" spans="2:7" x14ac:dyDescent="0.25">
      <c r="B10" s="46" t="s">
        <v>47</v>
      </c>
      <c r="C10" s="47">
        <f>C6-C5</f>
        <v>-9000</v>
      </c>
      <c r="D10" s="47">
        <f t="shared" ref="D10:F10" si="2">D6-D5</f>
        <v>1495</v>
      </c>
      <c r="E10" s="47">
        <f t="shared" si="2"/>
        <v>1495</v>
      </c>
      <c r="F10" s="47">
        <f t="shared" si="2"/>
        <v>11495</v>
      </c>
      <c r="G10" s="45">
        <f>IRR(C10:F10)</f>
        <v>0.19672958448229627</v>
      </c>
    </row>
    <row r="11" spans="2:7" x14ac:dyDescent="0.25">
      <c r="B11" s="6" t="s">
        <v>48</v>
      </c>
      <c r="C11" s="4">
        <f>C10*((1+$C$2)^(-C4))</f>
        <v>-9000</v>
      </c>
      <c r="D11" s="4">
        <f>D10*((1+$C$2)^(-D4))</f>
        <v>1359.090909090909</v>
      </c>
      <c r="E11" s="4">
        <f>E10*((1+$C$2)^(-E4))</f>
        <v>1235.5371900826444</v>
      </c>
      <c r="F11" s="4">
        <f>F10*((1+$C$2)^(-F4))</f>
        <v>8636.3636363636342</v>
      </c>
      <c r="G11" s="12">
        <f>SUM(C11:F11)</f>
        <v>2230.9917355371872</v>
      </c>
    </row>
    <row r="13" spans="2:7" x14ac:dyDescent="0.25">
      <c r="B13" s="15" t="s">
        <v>94</v>
      </c>
      <c r="C13" s="35">
        <f>C5-C6</f>
        <v>9000</v>
      </c>
      <c r="D13" s="35">
        <f t="shared" ref="D13:F13" si="3">D5-D6</f>
        <v>-1495</v>
      </c>
      <c r="E13" s="35">
        <f t="shared" si="3"/>
        <v>-1495</v>
      </c>
      <c r="F13" s="35">
        <f t="shared" si="3"/>
        <v>-11495</v>
      </c>
      <c r="G13" s="125">
        <f>IRR(C13:F13)</f>
        <v>0.19672958448229716</v>
      </c>
    </row>
    <row r="14" spans="2:7" x14ac:dyDescent="0.25">
      <c r="B14" s="15" t="s">
        <v>95</v>
      </c>
      <c r="C14" s="35">
        <f>C13*((1+$C$2)^(-C4))</f>
        <v>9000</v>
      </c>
      <c r="D14" s="35">
        <f t="shared" ref="D14:F14" si="4">D13*((1+$C$2)^(-D4))</f>
        <v>-1359.090909090909</v>
      </c>
      <c r="E14" s="35">
        <f t="shared" si="4"/>
        <v>-1235.5371900826444</v>
      </c>
      <c r="F14" s="35">
        <f t="shared" si="4"/>
        <v>-8636.3636363636342</v>
      </c>
      <c r="G14" s="12">
        <f>SUM(C14:F14)</f>
        <v>-2230.9917355371872</v>
      </c>
    </row>
  </sheetData>
  <mergeCells count="2">
    <mergeCell ref="B3:B4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Ej. 1</vt:lpstr>
      <vt:lpstr>Ej. 2</vt:lpstr>
      <vt:lpstr>Ej. 3</vt:lpstr>
      <vt:lpstr>Ej. 4</vt:lpstr>
      <vt:lpstr>Ej. 5</vt:lpstr>
      <vt:lpstr>Ej. 6</vt:lpstr>
      <vt:lpstr>Ej. 7</vt:lpstr>
      <vt:lpstr>Ej. 8</vt:lpstr>
      <vt:lpstr>Ej. 9</vt:lpstr>
      <vt:lpstr>Ej. 10</vt:lpstr>
      <vt:lpstr>Ej. 11</vt:lpstr>
      <vt:lpstr>Ej. 12</vt:lpstr>
      <vt:lpstr>Ej. 13</vt:lpstr>
      <vt:lpstr>Ej. 14</vt:lpstr>
      <vt:lpstr>Ej. 15</vt:lpstr>
      <vt:lpstr>Ej. 16</vt:lpstr>
      <vt:lpstr>Ej. 17</vt:lpstr>
      <vt:lpstr>Ej. 18</vt:lpstr>
      <vt:lpstr>Ej. 19</vt:lpstr>
      <vt:lpstr>Ej. 20</vt:lpstr>
      <vt:lpstr>Ej. 21</vt:lpstr>
      <vt:lpstr>Ej. 21(2)</vt:lpstr>
      <vt:lpstr>Ej. 22</vt:lpstr>
      <vt:lpstr>Ej. 22 (2)</vt:lpstr>
      <vt:lpstr>Ej. 23</vt:lpstr>
      <vt:lpstr>Ej. 24</vt:lpstr>
      <vt:lpstr>Hoja1</vt:lpstr>
      <vt:lpstr>Ej.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Osuna</dc:creator>
  <cp:lastModifiedBy>mariana</cp:lastModifiedBy>
  <dcterms:created xsi:type="dcterms:W3CDTF">2020-02-26T18:24:08Z</dcterms:created>
  <dcterms:modified xsi:type="dcterms:W3CDTF">2023-03-26T19:16:53Z</dcterms:modified>
</cp:coreProperties>
</file>