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AAE55949-B1AD-47CF-801A-2DA3A1136054}" xr6:coauthVersionLast="47" xr6:coauthVersionMax="47" xr10:uidLastSave="{00000000-0000-0000-0000-000000000000}"/>
  <bookViews>
    <workbookView xWindow="-120" yWindow="-120" windowWidth="29040" windowHeight="15840" firstSheet="13" activeTab="28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g" sheetId="11" r:id="rId11"/>
    <sheet name="ex12g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g" sheetId="19" r:id="rId19"/>
    <sheet name="ex20g" sheetId="20" r:id="rId20"/>
    <sheet name="ex21g" sheetId="21" r:id="rId21"/>
    <sheet name="ex22g" sheetId="22" r:id="rId22"/>
    <sheet name="ex23" sheetId="23" r:id="rId23"/>
    <sheet name="ex24" sheetId="24" r:id="rId24"/>
    <sheet name="ex25g" sheetId="25" r:id="rId25"/>
    <sheet name="ex26b" sheetId="26" r:id="rId26"/>
    <sheet name="ex27g" sheetId="27" r:id="rId27"/>
    <sheet name="ex28" sheetId="28" r:id="rId28"/>
    <sheet name="ex29g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9" l="1"/>
  <c r="B36" i="29" s="1"/>
  <c r="B26" i="29"/>
  <c r="D31" i="29"/>
  <c r="D32" i="29" s="1"/>
  <c r="E31" i="29"/>
  <c r="E32" i="29" s="1"/>
  <c r="F31" i="29"/>
  <c r="F32" i="29" s="1"/>
  <c r="G31" i="29"/>
  <c r="G32" i="29" s="1"/>
  <c r="H31" i="29"/>
  <c r="H32" i="29" s="1"/>
  <c r="I31" i="29"/>
  <c r="I32" i="29" s="1"/>
  <c r="J31" i="29"/>
  <c r="J32" i="29" s="1"/>
  <c r="K31" i="29"/>
  <c r="K32" i="29" s="1"/>
  <c r="L31" i="29"/>
  <c r="L32" i="29" s="1"/>
  <c r="M31" i="29"/>
  <c r="M32" i="29" s="1"/>
  <c r="N31" i="29"/>
  <c r="N32" i="29" s="1"/>
  <c r="O31" i="29"/>
  <c r="O32" i="29" s="1"/>
  <c r="P31" i="29"/>
  <c r="P32" i="29" s="1"/>
  <c r="Q31" i="29"/>
  <c r="Q32" i="29" s="1"/>
  <c r="R31" i="29"/>
  <c r="R32" i="29" s="1"/>
  <c r="S31" i="29"/>
  <c r="S32" i="29" s="1"/>
  <c r="T31" i="29"/>
  <c r="T32" i="29" s="1"/>
  <c r="U31" i="29"/>
  <c r="U32" i="29" s="1"/>
  <c r="V31" i="29"/>
  <c r="V32" i="29" s="1"/>
  <c r="W31" i="29"/>
  <c r="W32" i="29" s="1"/>
  <c r="X31" i="29"/>
  <c r="X32" i="29" s="1"/>
  <c r="Y31" i="29"/>
  <c r="Y32" i="29" s="1"/>
  <c r="Z31" i="29"/>
  <c r="Z32" i="29" s="1"/>
  <c r="AA31" i="29"/>
  <c r="AA32" i="29" s="1"/>
  <c r="AB31" i="29"/>
  <c r="AB32" i="29" s="1"/>
  <c r="AC31" i="29"/>
  <c r="AC32" i="29" s="1"/>
  <c r="AD31" i="29"/>
  <c r="AD32" i="29" s="1"/>
  <c r="AE31" i="29"/>
  <c r="AE32" i="29" s="1"/>
  <c r="AF31" i="29"/>
  <c r="AF32" i="29" s="1"/>
  <c r="AG31" i="29"/>
  <c r="AG32" i="29" s="1"/>
  <c r="AH31" i="29"/>
  <c r="AH32" i="29" s="1"/>
  <c r="AI31" i="29"/>
  <c r="AI32" i="29" s="1"/>
  <c r="AJ31" i="29"/>
  <c r="AJ32" i="29" s="1"/>
  <c r="AK31" i="29"/>
  <c r="AK32" i="29" s="1"/>
  <c r="AL31" i="29"/>
  <c r="AL32" i="29" s="1"/>
  <c r="AM31" i="29"/>
  <c r="AM32" i="29" s="1"/>
  <c r="AN31" i="29"/>
  <c r="AN32" i="29" s="1"/>
  <c r="AO31" i="29"/>
  <c r="AO32" i="29" s="1"/>
  <c r="AP31" i="29"/>
  <c r="AP32" i="29" s="1"/>
  <c r="AQ31" i="29"/>
  <c r="AQ32" i="29" s="1"/>
  <c r="AR31" i="29"/>
  <c r="AR32" i="29" s="1"/>
  <c r="AS31" i="29"/>
  <c r="AS32" i="29" s="1"/>
  <c r="AT31" i="29"/>
  <c r="AT32" i="29" s="1"/>
  <c r="AU31" i="29"/>
  <c r="AU32" i="29" s="1"/>
  <c r="AV31" i="29"/>
  <c r="AV32" i="29" s="1"/>
  <c r="AW31" i="29"/>
  <c r="AW32" i="29" s="1"/>
  <c r="AX31" i="29"/>
  <c r="AX32" i="29" s="1"/>
  <c r="AY31" i="29"/>
  <c r="AY32" i="29" s="1"/>
  <c r="AZ31" i="29"/>
  <c r="AZ32" i="29" s="1"/>
  <c r="BA31" i="29"/>
  <c r="BA32" i="29" s="1"/>
  <c r="BB31" i="29"/>
  <c r="BB32" i="29" s="1"/>
  <c r="BC31" i="29"/>
  <c r="BC32" i="29" s="1"/>
  <c r="BD31" i="29"/>
  <c r="BD32" i="29" s="1"/>
  <c r="BE31" i="29"/>
  <c r="BE32" i="29" s="1"/>
  <c r="BF31" i="29"/>
  <c r="BF32" i="29" s="1"/>
  <c r="BG31" i="29"/>
  <c r="BG32" i="29" s="1"/>
  <c r="BH31" i="29"/>
  <c r="BH32" i="29" s="1"/>
  <c r="BI31" i="29"/>
  <c r="BI32" i="29" s="1"/>
  <c r="BJ31" i="29"/>
  <c r="BJ32" i="29" s="1"/>
  <c r="BK31" i="29"/>
  <c r="BK32" i="29" s="1"/>
  <c r="BL31" i="29"/>
  <c r="BL32" i="29" s="1"/>
  <c r="BM31" i="29"/>
  <c r="BM32" i="29" s="1"/>
  <c r="BN31" i="29"/>
  <c r="BN32" i="29" s="1"/>
  <c r="BO31" i="29"/>
  <c r="BO32" i="29" s="1"/>
  <c r="BP31" i="29"/>
  <c r="BP32" i="29" s="1"/>
  <c r="BQ31" i="29"/>
  <c r="BQ32" i="29" s="1"/>
  <c r="BR31" i="29"/>
  <c r="BR32" i="29" s="1"/>
  <c r="BS31" i="29"/>
  <c r="BS32" i="29" s="1"/>
  <c r="BT31" i="29"/>
  <c r="BT32" i="29" s="1"/>
  <c r="BU31" i="29"/>
  <c r="BU32" i="29" s="1"/>
  <c r="C31" i="29"/>
  <c r="C32" i="29" s="1"/>
  <c r="B31" i="29"/>
  <c r="B32" i="29" s="1"/>
  <c r="D23" i="29"/>
  <c r="D24" i="29" s="1"/>
  <c r="E23" i="29"/>
  <c r="E24" i="29" s="1"/>
  <c r="F23" i="29"/>
  <c r="F24" i="29" s="1"/>
  <c r="G23" i="29"/>
  <c r="G24" i="29" s="1"/>
  <c r="H23" i="29"/>
  <c r="H24" i="29" s="1"/>
  <c r="I23" i="29"/>
  <c r="I24" i="29" s="1"/>
  <c r="J23" i="29"/>
  <c r="J24" i="29" s="1"/>
  <c r="K23" i="29"/>
  <c r="K24" i="29" s="1"/>
  <c r="L23" i="29"/>
  <c r="L24" i="29" s="1"/>
  <c r="M23" i="29"/>
  <c r="M24" i="29" s="1"/>
  <c r="N23" i="29"/>
  <c r="N24" i="29" s="1"/>
  <c r="O23" i="29"/>
  <c r="O24" i="29" s="1"/>
  <c r="P23" i="29"/>
  <c r="P24" i="29" s="1"/>
  <c r="Q23" i="29"/>
  <c r="Q24" i="29" s="1"/>
  <c r="R23" i="29"/>
  <c r="R24" i="29" s="1"/>
  <c r="S23" i="29"/>
  <c r="S24" i="29" s="1"/>
  <c r="T23" i="29"/>
  <c r="T24" i="29" s="1"/>
  <c r="U23" i="29"/>
  <c r="U24" i="29" s="1"/>
  <c r="V23" i="29"/>
  <c r="V24" i="29" s="1"/>
  <c r="W23" i="29"/>
  <c r="W24" i="29" s="1"/>
  <c r="X23" i="29"/>
  <c r="X24" i="29" s="1"/>
  <c r="Y23" i="29"/>
  <c r="Y24" i="29" s="1"/>
  <c r="Z23" i="29"/>
  <c r="Z24" i="29" s="1"/>
  <c r="AA23" i="29"/>
  <c r="AA24" i="29" s="1"/>
  <c r="AB23" i="29"/>
  <c r="AB24" i="29" s="1"/>
  <c r="AC23" i="29"/>
  <c r="AC24" i="29" s="1"/>
  <c r="AD23" i="29"/>
  <c r="AD24" i="29" s="1"/>
  <c r="AE23" i="29"/>
  <c r="AE24" i="29" s="1"/>
  <c r="AF23" i="29"/>
  <c r="AF24" i="29" s="1"/>
  <c r="AG23" i="29"/>
  <c r="AG24" i="29" s="1"/>
  <c r="AH23" i="29"/>
  <c r="AH24" i="29" s="1"/>
  <c r="AI23" i="29"/>
  <c r="AI24" i="29" s="1"/>
  <c r="AJ23" i="29"/>
  <c r="AJ24" i="29" s="1"/>
  <c r="AK23" i="29"/>
  <c r="AK24" i="29" s="1"/>
  <c r="AL23" i="29"/>
  <c r="AL24" i="29" s="1"/>
  <c r="AM23" i="29"/>
  <c r="AM24" i="29" s="1"/>
  <c r="AN23" i="29"/>
  <c r="AN24" i="29" s="1"/>
  <c r="AO23" i="29"/>
  <c r="AO24" i="29" s="1"/>
  <c r="AP23" i="29"/>
  <c r="AP24" i="29" s="1"/>
  <c r="AQ23" i="29"/>
  <c r="AQ24" i="29" s="1"/>
  <c r="AR23" i="29"/>
  <c r="AR24" i="29" s="1"/>
  <c r="AS23" i="29"/>
  <c r="AS24" i="29" s="1"/>
  <c r="AT23" i="29"/>
  <c r="AT24" i="29" s="1"/>
  <c r="AU23" i="29"/>
  <c r="AU24" i="29" s="1"/>
  <c r="AV23" i="29"/>
  <c r="AV24" i="29" s="1"/>
  <c r="AW23" i="29"/>
  <c r="AW24" i="29" s="1"/>
  <c r="AX23" i="29"/>
  <c r="AX24" i="29" s="1"/>
  <c r="AY23" i="29"/>
  <c r="AY24" i="29" s="1"/>
  <c r="AZ23" i="29"/>
  <c r="AZ24" i="29" s="1"/>
  <c r="BA23" i="29"/>
  <c r="BA24" i="29" s="1"/>
  <c r="BB23" i="29"/>
  <c r="BB24" i="29" s="1"/>
  <c r="BC23" i="29"/>
  <c r="BC24" i="29" s="1"/>
  <c r="BD23" i="29"/>
  <c r="BD24" i="29" s="1"/>
  <c r="BE23" i="29"/>
  <c r="BE24" i="29" s="1"/>
  <c r="BF23" i="29"/>
  <c r="BF24" i="29" s="1"/>
  <c r="BG23" i="29"/>
  <c r="BG24" i="29" s="1"/>
  <c r="BH23" i="29"/>
  <c r="BH24" i="29" s="1"/>
  <c r="BI23" i="29"/>
  <c r="BI24" i="29" s="1"/>
  <c r="BJ23" i="29"/>
  <c r="BJ24" i="29" s="1"/>
  <c r="BK23" i="29"/>
  <c r="BK24" i="29" s="1"/>
  <c r="BL23" i="29"/>
  <c r="BL24" i="29" s="1"/>
  <c r="BM23" i="29"/>
  <c r="BM24" i="29" s="1"/>
  <c r="BN23" i="29"/>
  <c r="BN24" i="29" s="1"/>
  <c r="BO23" i="29"/>
  <c r="BO24" i="29" s="1"/>
  <c r="BP23" i="29"/>
  <c r="BP24" i="29" s="1"/>
  <c r="BQ23" i="29"/>
  <c r="BQ24" i="29" s="1"/>
  <c r="BR23" i="29"/>
  <c r="BR24" i="29" s="1"/>
  <c r="BS23" i="29"/>
  <c r="BS24" i="29" s="1"/>
  <c r="BT23" i="29"/>
  <c r="BT24" i="29" s="1"/>
  <c r="BU23" i="29"/>
  <c r="BU24" i="29" s="1"/>
  <c r="BV23" i="29"/>
  <c r="BV24" i="29" s="1"/>
  <c r="C23" i="29"/>
  <c r="C24" i="29" s="1"/>
  <c r="C16" i="27"/>
  <c r="D25" i="27"/>
  <c r="B8" i="27"/>
  <c r="D20" i="27"/>
  <c r="D21" i="27" s="1"/>
  <c r="E20" i="27"/>
  <c r="E21" i="27" s="1"/>
  <c r="F20" i="27"/>
  <c r="F21" i="27" s="1"/>
  <c r="G20" i="27"/>
  <c r="G21" i="27" s="1"/>
  <c r="H20" i="27"/>
  <c r="H21" i="27" s="1"/>
  <c r="I20" i="27"/>
  <c r="I21" i="27" s="1"/>
  <c r="J20" i="27"/>
  <c r="J21" i="27" s="1"/>
  <c r="K20" i="27"/>
  <c r="K21" i="27" s="1"/>
  <c r="L20" i="27"/>
  <c r="L21" i="27" s="1"/>
  <c r="M20" i="27"/>
  <c r="M21" i="27" s="1"/>
  <c r="N20" i="27"/>
  <c r="N21" i="27" s="1"/>
  <c r="O20" i="27"/>
  <c r="O21" i="27" s="1"/>
  <c r="P20" i="27"/>
  <c r="P21" i="27" s="1"/>
  <c r="Q20" i="27"/>
  <c r="Q21" i="27" s="1"/>
  <c r="R20" i="27"/>
  <c r="R21" i="27" s="1"/>
  <c r="S20" i="27"/>
  <c r="S21" i="27" s="1"/>
  <c r="T20" i="27"/>
  <c r="T21" i="27" s="1"/>
  <c r="U20" i="27"/>
  <c r="U21" i="27" s="1"/>
  <c r="V20" i="27"/>
  <c r="V21" i="27" s="1"/>
  <c r="W20" i="27"/>
  <c r="W21" i="27" s="1"/>
  <c r="X20" i="27"/>
  <c r="X21" i="27" s="1"/>
  <c r="Y20" i="27"/>
  <c r="Y21" i="27" s="1"/>
  <c r="Z20" i="27"/>
  <c r="Z21" i="27" s="1"/>
  <c r="AA20" i="27"/>
  <c r="AA21" i="27" s="1"/>
  <c r="C20" i="27"/>
  <c r="C21" i="27" s="1"/>
  <c r="N10" i="21"/>
  <c r="J11" i="22"/>
  <c r="J12" i="22"/>
  <c r="J10" i="22"/>
  <c r="B34" i="29" l="1"/>
  <c r="C25" i="29"/>
  <c r="C22" i="27"/>
  <c r="E10" i="12"/>
  <c r="D10" i="12"/>
  <c r="C10" i="12"/>
  <c r="L12" i="5"/>
  <c r="K12" i="5"/>
  <c r="J12" i="5"/>
  <c r="I12" i="5"/>
  <c r="I15" i="25"/>
  <c r="H15" i="25"/>
  <c r="G15" i="25"/>
  <c r="F15" i="25"/>
  <c r="E15" i="25"/>
  <c r="AD42" i="21"/>
  <c r="AT41" i="21"/>
  <c r="AU41" i="21"/>
  <c r="AV41" i="21"/>
  <c r="AW41" i="21"/>
  <c r="AX41" i="21"/>
  <c r="AX42" i="21" s="1"/>
  <c r="AY41" i="21"/>
  <c r="AZ41" i="21"/>
  <c r="AZ42" i="21" s="1"/>
  <c r="BA41" i="21"/>
  <c r="BA42" i="21" s="1"/>
  <c r="BB41" i="21"/>
  <c r="BC41" i="21"/>
  <c r="BD41" i="21"/>
  <c r="BE41" i="21"/>
  <c r="BE42" i="21" s="1"/>
  <c r="BF41" i="21"/>
  <c r="BF42" i="21" s="1"/>
  <c r="BG41" i="21"/>
  <c r="BH41" i="21"/>
  <c r="BH42" i="21" s="1"/>
  <c r="BI41" i="21"/>
  <c r="BJ41" i="21"/>
  <c r="BK41" i="21"/>
  <c r="BL41" i="21"/>
  <c r="BM41" i="21"/>
  <c r="BN41" i="21"/>
  <c r="BO41" i="21"/>
  <c r="BP41" i="21"/>
  <c r="BQ41" i="21"/>
  <c r="BQ42" i="21" s="1"/>
  <c r="BR41" i="21"/>
  <c r="BS41" i="21"/>
  <c r="BT41" i="21"/>
  <c r="BU41" i="21"/>
  <c r="BU42" i="21" s="1"/>
  <c r="BV41" i="21"/>
  <c r="BV42" i="21" s="1"/>
  <c r="BW41" i="21"/>
  <c r="BX41" i="21"/>
  <c r="BY41" i="21"/>
  <c r="BZ41" i="21"/>
  <c r="CA41" i="21"/>
  <c r="CB41" i="21"/>
  <c r="CC41" i="21"/>
  <c r="CD41" i="21"/>
  <c r="CD42" i="21" s="1"/>
  <c r="CE41" i="21"/>
  <c r="CF41" i="21"/>
  <c r="CF42" i="21" s="1"/>
  <c r="AS41" i="21"/>
  <c r="BI42" i="21"/>
  <c r="BP42" i="21"/>
  <c r="BX42" i="21"/>
  <c r="BY42" i="21"/>
  <c r="E39" i="21"/>
  <c r="AS42" i="21"/>
  <c r="AC42" i="21"/>
  <c r="AD41" i="21"/>
  <c r="AE41" i="21"/>
  <c r="AE42" i="21" s="1"/>
  <c r="AF41" i="21"/>
  <c r="AF42" i="21" s="1"/>
  <c r="AG41" i="21"/>
  <c r="AG42" i="21" s="1"/>
  <c r="AH41" i="21"/>
  <c r="AH42" i="21" s="1"/>
  <c r="AI41" i="21"/>
  <c r="AI42" i="21" s="1"/>
  <c r="AJ41" i="21"/>
  <c r="AJ42" i="21" s="1"/>
  <c r="AK41" i="21"/>
  <c r="AK42" i="21" s="1"/>
  <c r="AL41" i="21"/>
  <c r="AL42" i="21" s="1"/>
  <c r="AM41" i="21"/>
  <c r="AM42" i="21" s="1"/>
  <c r="AN41" i="21"/>
  <c r="AN42" i="21" s="1"/>
  <c r="AO41" i="21"/>
  <c r="AO42" i="21" s="1"/>
  <c r="AP41" i="21"/>
  <c r="AP42" i="21" s="1"/>
  <c r="AQ41" i="21"/>
  <c r="AQ42" i="21" s="1"/>
  <c r="AR41" i="21"/>
  <c r="AR42" i="21" s="1"/>
  <c r="AT42" i="21"/>
  <c r="AU42" i="21"/>
  <c r="AV42" i="21"/>
  <c r="AW42" i="21"/>
  <c r="AY42" i="21"/>
  <c r="BB42" i="21"/>
  <c r="BC42" i="21"/>
  <c r="BD42" i="21"/>
  <c r="BG42" i="21"/>
  <c r="BJ42" i="21"/>
  <c r="BK42" i="21"/>
  <c r="BL42" i="21"/>
  <c r="BM42" i="21"/>
  <c r="BN42" i="21"/>
  <c r="BO42" i="21"/>
  <c r="BR42" i="21"/>
  <c r="BS42" i="21"/>
  <c r="BT42" i="21"/>
  <c r="BW42" i="21"/>
  <c r="BZ42" i="21"/>
  <c r="CA42" i="21"/>
  <c r="CB42" i="21"/>
  <c r="CC42" i="21"/>
  <c r="CE42" i="21"/>
  <c r="AR9" i="20"/>
  <c r="B15" i="20" s="1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X9" i="20"/>
  <c r="W8" i="20"/>
  <c r="C9" i="20"/>
  <c r="F17" i="19"/>
  <c r="F16" i="19"/>
  <c r="F15" i="19"/>
  <c r="B36" i="17"/>
  <c r="B35" i="17"/>
  <c r="B34" i="17"/>
  <c r="B31" i="17"/>
  <c r="C27" i="17"/>
  <c r="C24" i="17"/>
  <c r="C21" i="17"/>
  <c r="H11" i="17"/>
  <c r="H10" i="17"/>
  <c r="C8" i="16"/>
  <c r="D9" i="11"/>
  <c r="K11" i="5"/>
  <c r="J11" i="5"/>
  <c r="I11" i="5"/>
  <c r="L11" i="5"/>
  <c r="J6" i="4"/>
  <c r="N19" i="2"/>
  <c r="I25" i="1"/>
  <c r="C17" i="2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O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M14" i="29" s="1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U14" i="29" s="1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M14" i="29" s="1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A14" i="29" s="1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S14" i="29" s="1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N14" i="29"/>
  <c r="O14" i="29"/>
  <c r="V14" i="29"/>
  <c r="AD14" i="29"/>
  <c r="AE14" i="29"/>
  <c r="AK14" i="29"/>
  <c r="AL14" i="29"/>
  <c r="AT14" i="29"/>
  <c r="BB14" i="29"/>
  <c r="BJ14" i="29"/>
  <c r="BK14" i="29"/>
  <c r="BQ14" i="29"/>
  <c r="BR14" i="29"/>
  <c r="E18" i="29"/>
  <c r="E8" i="30"/>
  <c r="F8" i="30"/>
  <c r="G8" i="30"/>
  <c r="H8" i="30"/>
  <c r="I8" i="30"/>
  <c r="J8" i="30"/>
  <c r="D8" i="30"/>
  <c r="AS46" i="21" l="1"/>
  <c r="AS45" i="21"/>
  <c r="CG42" i="21"/>
  <c r="M18" i="2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3" i="22"/>
  <c r="K10" i="22"/>
  <c r="L10" i="22" s="1"/>
  <c r="E11" i="22" s="1"/>
  <c r="G11" i="22" s="1"/>
  <c r="H11" i="22" s="1"/>
  <c r="H10" i="22"/>
  <c r="E10" i="22"/>
  <c r="G10" i="22" s="1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C12" i="19"/>
  <c r="C6" i="18"/>
  <c r="D10" i="17"/>
  <c r="E10" i="17" s="1"/>
  <c r="D9" i="15"/>
  <c r="D9" i="14"/>
  <c r="F9" i="13"/>
  <c r="E9" i="13"/>
  <c r="D9" i="13"/>
  <c r="G10" i="11"/>
  <c r="F11" i="11"/>
  <c r="E10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3" i="5"/>
  <c r="J14" i="5" s="1"/>
  <c r="J15" i="5" s="1"/>
  <c r="K13" i="5"/>
  <c r="K14" i="5" s="1"/>
  <c r="K15" i="5" s="1"/>
  <c r="L13" i="5"/>
  <c r="L14" i="5" s="1"/>
  <c r="L15" i="5" s="1"/>
  <c r="I13" i="5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F24" i="1"/>
  <c r="G24" i="1"/>
  <c r="I24" i="1" s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<sst xmlns="http://schemas.openxmlformats.org/spreadsheetml/2006/main" count="319" uniqueCount="130">
  <si>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</si>
  <si>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</si>
  <si>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</si>
  <si>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</si>
  <si>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</si>
  <si>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</si>
  <si>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</si>
  <si>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</si>
  <si>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</si>
  <si>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</si>
  <si>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</si>
  <si>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</si>
  <si>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</si>
  <si>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</si>
  <si>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</si>
  <si>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</si>
  <si>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</si>
  <si>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</si>
  <si>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</si>
  <si>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</si>
  <si>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</si>
  <si>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</si>
  <si>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</si>
  <si>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</si>
  <si>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</si>
  <si>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</si>
  <si>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</si>
  <si>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</si>
  <si>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</si>
  <si>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</si>
  <si>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</si>
  <si>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</si>
  <si>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</si>
  <si>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</si>
  <si>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</si>
  <si>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</si>
  <si>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</si>
  <si>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</si>
  <si>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</si>
  <si>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</si>
  <si>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</si>
  <si>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</si>
  <si>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</si>
  <si>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</si>
  <si>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</si>
  <si>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</si>
  <si>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</si>
  <si>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</si>
  <si>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</si>
  <si>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</si>
  <si>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</si>
  <si>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</si>
  <si>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</si>
  <si>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</si>
  <si>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</si>
  <si>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</si>
  <si>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</si>
  <si>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</si>
  <si>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</si>
  <si>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</si>
  <si>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</si>
  <si>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</si>
  <si>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</si>
  <si>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</si>
  <si>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</si>
  <si>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</si>
  <si>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</si>
  <si>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</si>
  <si>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</si>
  <si>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</si>
  <si>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</si>
  <si>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</si>
  <si>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</si>
  <si>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</si>
  <si>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</si>
  <si>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</si>
  <si>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</si>
  <si>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</si>
  <si>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</si>
  <si>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flujo es toda la tabla, un flujo está compuesto de varios momentos</t>
  </si>
  <si>
    <t>valor f o p al 3 es valor equivalente al 3</t>
  </si>
  <si>
    <t>no pide la suma</t>
  </si>
  <si>
    <t>o Traerlo todo del 3 al 0</t>
  </si>
  <si>
    <t>del 0 al 1 es 10%</t>
  </si>
  <si>
    <t>INF</t>
  </si>
  <si>
    <t>((1+TN)/(1+TR))-1</t>
  </si>
  <si>
    <t>Índice de precios = factor de acumulación</t>
  </si>
  <si>
    <t>la tasa promedio daría 1.1686 al saltar 3</t>
  </si>
  <si>
    <t>el 1.1686 es igual a (1+r)^(3), la r es la tasa promedio de cómo creció ese</t>
  </si>
  <si>
    <t>para dar varios brincos en uno, necesitas tasas iguales</t>
  </si>
  <si>
    <t>del año 0 al 1 la inf es 5%</t>
  </si>
  <si>
    <t>el 0 vale 1, los siguientes es sacar cuanto vale ese peso en el futuro, o el factor</t>
  </si>
  <si>
    <t>correcto</t>
  </si>
  <si>
    <t>despejas r</t>
  </si>
  <si>
    <t>determinar el incremento en el precio cada año</t>
  </si>
  <si>
    <t>te podrían decir que ese incremento se dio en 5 años y saques el inc del p cada año</t>
  </si>
  <si>
    <t>es este</t>
  </si>
  <si>
    <t>del 2009 al 2010 es 6.5%</t>
  </si>
  <si>
    <t>traerlo al 2009</t>
  </si>
  <si>
    <t>indice de precios (tasas acumuladas)</t>
  </si>
  <si>
    <t>saca la tasa nominal</t>
  </si>
  <si>
    <t>Vf</t>
  </si>
  <si>
    <t>Vp</t>
  </si>
  <si>
    <t>n</t>
  </si>
  <si>
    <t>tasa promedio de la inflación</t>
  </si>
  <si>
    <t>tasa promedio del aumento de sueldo</t>
  </si>
  <si>
    <t>la tasa real</t>
  </si>
  <si>
    <t>comprobando</t>
  </si>
  <si>
    <t>empieza a recibir la lana a partir del 21, anualidades vencidas</t>
  </si>
  <si>
    <t>en el año 20 recibir es anualidades anticipadas, pero no recibes en 40 (20 pagos exactos)</t>
  </si>
  <si>
    <t>pagos vencidos</t>
  </si>
  <si>
    <t>VP = A / r</t>
  </si>
  <si>
    <t>200k para el año 11, y con solver</t>
  </si>
  <si>
    <t>ahorro desde hoy (anticipado) es 11408</t>
  </si>
  <si>
    <t>vencido (ahorras desde el 1) es 12549</t>
  </si>
  <si>
    <t>con 200, el primer mes genera 20, y asi perpetuamente</t>
  </si>
  <si>
    <t>Hoy tengo 25, si planeo vivir hasta los 80 años, y retirarme a los 40 años, cuanto debo de ahorrar para sacar 30 años cuando me retire (vencido)</t>
  </si>
  <si>
    <t>anual</t>
  </si>
  <si>
    <t>ahorro</t>
  </si>
  <si>
    <t>Disposición</t>
  </si>
  <si>
    <t>también puedes asumir gracia de capital y de interés</t>
  </si>
  <si>
    <t xml:space="preserve">despejando r: incremento de precio promedio por año </t>
  </si>
  <si>
    <t>me prestan 2000 hoy y lo puedo pagar en 2 años, pero con intereses</t>
  </si>
  <si>
    <t>en 2 años</t>
  </si>
  <si>
    <t>suponiendo mensualidades vencidas</t>
  </si>
  <si>
    <t>debo tener</t>
  </si>
  <si>
    <t>suponiendo mensualidades anticipadas</t>
  </si>
  <si>
    <t>2000 al f</t>
  </si>
  <si>
    <t>se lleva a la 72 no al 71, ya que el 71 es la última anualidad, pero al final de tus pagos es el 72</t>
  </si>
  <si>
    <t>se lleva al 72 - cell pq el 71 solo es hasta cuando pago, pero la meta la debo tener en el mes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</si>
</sst>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164" fontId="2" fillId="2" borderId="0" xfId="1" applyNumberFormat="1"/>
    <xf numFmtId="165" fontId="2" fillId="2" borderId="10" xfId="1" applyNumberFormat="1" applyBorder="1"/>
    <xf numFmtId="10" fontId="2" fillId="2" borderId="10" xfId="1" applyNumberFormat="1" applyBorder="1"/>
    <xf numFmtId="10" fontId="2" fillId="2" borderId="8" xfId="1" applyNumberFormat="1" applyBorder="1"/>
    <xf numFmtId="10" fontId="2" fillId="2" borderId="5" xfId="1" applyNumberFormat="1" applyBorder="1"/>
    <xf numFmtId="0" fontId="2" fillId="2" borderId="0" xfId="1" applyNumberFormat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ex21g!$N$12:$DN$12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7</xdr:col>
      <xdr:colOff>296002</xdr:colOff>
      <xdr:row>8</xdr:row>
      <xdr:rowOff>50006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5:K25"/>
  <sheetViews>
    <sheetView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5" spans="2:11" x14ac:dyDescent="0.25">
      <c r="K5" t="s">
        <v>79</v>
      </c>
    </row>
    <row r="12" spans="2:11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11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11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11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11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-750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-1012.5000000000001</v>
      </c>
      <c r="H24">
        <f t="shared" si="4"/>
        <v>1000</v>
      </c>
      <c r="I24">
        <f>SUM(D24:H24)</f>
        <v>-1577.571875000001</v>
      </c>
    </row>
    <row r="25" spans="2:9" x14ac:dyDescent="0.25">
      <c r="H25" t="s">
        <v>15</v>
      </c>
      <c r="I25">
        <f>SUM(I14:I24)</f>
        <v>-1517.0938549999998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I15" sqref="I15"/>
    </sheetView>
  </sheetViews>
  <sheetFormatPr defaultRowHeight="15" x14ac:dyDescent="0.25"/>
  <sheetData>
    <row r="7" spans="2:8" x14ac:dyDescent="0.25">
      <c r="B7" s="6" t="s">
        <v>24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19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18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 s="2">
        <f>C8/((1+C9)^(C7))</f>
        <v>10000</v>
      </c>
      <c r="D10" s="2">
        <f>D8/((1+D9)^(D7))</f>
        <v>8333.3333333333339</v>
      </c>
      <c r="E10" s="2">
        <f t="shared" ref="E10:G10" si="0">E8/((1+E9)^(E7))</f>
        <v>6944.4444444444443</v>
      </c>
      <c r="F10" s="2">
        <f t="shared" si="0"/>
        <v>5787.0370370370374</v>
      </c>
      <c r="G10" s="2">
        <f t="shared" si="0"/>
        <v>4822.5308641975307</v>
      </c>
      <c r="H10" s="2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4"/>
  <sheetViews>
    <sheetView zoomScale="205" zoomScaleNormal="205" workbookViewId="0">
      <selection activeCell="D9" sqref="D9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25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26</v>
      </c>
      <c r="C9" s="23">
        <v>0.15</v>
      </c>
      <c r="D9" s="38">
        <f>((D11+1)/(D10+1))-1</f>
        <v>8.6956521739130599E-2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27</v>
      </c>
      <c r="C10" s="25">
        <v>0.1</v>
      </c>
      <c r="D10" s="25">
        <v>0.15</v>
      </c>
      <c r="E10" s="29">
        <f>((1+E11)/(1+E9))-1</f>
        <v>8.6956521739130599E-2</v>
      </c>
      <c r="F10" s="25">
        <v>0.15</v>
      </c>
      <c r="G10" s="37">
        <f>((1+G11)/(1+G9))-1</f>
        <v>8.0000000000000071E-2</v>
      </c>
    </row>
    <row r="11" spans="2:7" x14ac:dyDescent="0.25">
      <c r="B11" s="19" t="s">
        <v>28</v>
      </c>
      <c r="C11" s="35">
        <f>(1+C10)*(1+C9)-1</f>
        <v>0.2649999999999999</v>
      </c>
      <c r="D11" s="26">
        <v>0.25</v>
      </c>
      <c r="E11" s="26">
        <v>0.25</v>
      </c>
      <c r="F11" s="36">
        <f>(1+F10)*(1+F9)-1</f>
        <v>0.55249999999999999</v>
      </c>
      <c r="G11" s="27">
        <v>0.35</v>
      </c>
    </row>
    <row r="14" spans="2:7" x14ac:dyDescent="0.25">
      <c r="C14" t="s">
        <v>84</v>
      </c>
      <c r="D14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K17"/>
  <sheetViews>
    <sheetView zoomScale="160" zoomScaleNormal="160" workbookViewId="0">
      <selection activeCell="D20" sqref="D20"/>
    </sheetView>
  </sheetViews>
  <sheetFormatPr defaultRowHeight="15" x14ac:dyDescent="0.25"/>
  <sheetData>
    <row r="6" spans="2:11" x14ac:dyDescent="0.25">
      <c r="B6" t="s">
        <v>21</v>
      </c>
      <c r="C6">
        <v>1</v>
      </c>
      <c r="D6">
        <v>2</v>
      </c>
      <c r="E6">
        <v>3</v>
      </c>
    </row>
    <row r="7" spans="2:11" x14ac:dyDescent="0.25">
      <c r="B7" t="s">
        <v>30</v>
      </c>
      <c r="C7" s="1">
        <v>0.05</v>
      </c>
      <c r="D7" s="28">
        <v>6.5000000000000002E-2</v>
      </c>
      <c r="E7" s="28">
        <v>4.4999999999999998E-2</v>
      </c>
    </row>
    <row r="8" spans="2:11" x14ac:dyDescent="0.25">
      <c r="B8" t="s">
        <v>31</v>
      </c>
      <c r="C8" s="2">
        <v>1.05</v>
      </c>
      <c r="D8" s="39">
        <v>1.1183000000000001</v>
      </c>
      <c r="E8" s="2">
        <v>1.1686000000000001</v>
      </c>
      <c r="G8" t="s">
        <v>90</v>
      </c>
    </row>
    <row r="9" spans="2:11" x14ac:dyDescent="0.25">
      <c r="C9">
        <v>1</v>
      </c>
    </row>
    <row r="10" spans="2:11" x14ac:dyDescent="0.25">
      <c r="C10">
        <f>1*(1+C7)</f>
        <v>1.05</v>
      </c>
      <c r="D10">
        <f>1*(1+C7)*(1+D7)</f>
        <v>1.11825</v>
      </c>
      <c r="E10">
        <f>1*(1+C7)*(1+D7)*(1+E7)</f>
        <v>1.1685712499999998</v>
      </c>
    </row>
    <row r="11" spans="2:11" x14ac:dyDescent="0.25">
      <c r="C11" t="s">
        <v>91</v>
      </c>
    </row>
    <row r="12" spans="2:11" x14ac:dyDescent="0.25">
      <c r="K12" t="s">
        <v>86</v>
      </c>
    </row>
    <row r="13" spans="2:11" x14ac:dyDescent="0.25">
      <c r="C13" t="s">
        <v>87</v>
      </c>
    </row>
    <row r="15" spans="2:11" x14ac:dyDescent="0.25">
      <c r="C15" t="s">
        <v>88</v>
      </c>
    </row>
    <row r="17" spans="3:3" x14ac:dyDescent="0.25">
      <c r="C17" t="s">
        <v>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G12" sqref="G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28"/>
      <c r="D8" s="1">
        <v>0.05</v>
      </c>
      <c r="E8" s="28">
        <v>6.5000000000000002E-2</v>
      </c>
      <c r="F8" s="28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G14"/>
  <sheetViews>
    <sheetView zoomScale="220" zoomScaleNormal="220" workbookViewId="0">
      <selection activeCell="G11" sqref="G11"/>
    </sheetView>
  </sheetViews>
  <sheetFormatPr defaultRowHeight="15" x14ac:dyDescent="0.25"/>
  <sheetData>
    <row r="6" spans="3:7" x14ac:dyDescent="0.25">
      <c r="C6">
        <v>0</v>
      </c>
      <c r="D6">
        <v>1</v>
      </c>
      <c r="G6" t="s">
        <v>94</v>
      </c>
    </row>
    <row r="7" spans="3:7" x14ac:dyDescent="0.25">
      <c r="C7">
        <v>3500</v>
      </c>
      <c r="D7">
        <v>4375</v>
      </c>
      <c r="G7" t="s">
        <v>95</v>
      </c>
    </row>
    <row r="8" spans="3:7" x14ac:dyDescent="0.25">
      <c r="G8" t="s">
        <v>121</v>
      </c>
    </row>
    <row r="9" spans="3:7" x14ac:dyDescent="0.25">
      <c r="C9" s="2" t="s">
        <v>1</v>
      </c>
      <c r="D9" s="3">
        <f>(D7-C7)/3500</f>
        <v>0.25</v>
      </c>
      <c r="F9" t="s">
        <v>92</v>
      </c>
    </row>
    <row r="12" spans="3:7" x14ac:dyDescent="0.25">
      <c r="C12" t="s">
        <v>3</v>
      </c>
      <c r="D12">
        <v>3500</v>
      </c>
    </row>
    <row r="13" spans="3:7" x14ac:dyDescent="0.25">
      <c r="C13" t="s">
        <v>13</v>
      </c>
      <c r="D13">
        <v>4375</v>
      </c>
    </row>
    <row r="14" spans="3:7" x14ac:dyDescent="0.25">
      <c r="C14" t="s">
        <v>93</v>
      </c>
      <c r="D14" s="1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E11" sqref="E11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30</v>
      </c>
      <c r="D6" s="1">
        <v>0.15</v>
      </c>
    </row>
    <row r="7" spans="3:4" x14ac:dyDescent="0.25">
      <c r="C7" t="s">
        <v>29</v>
      </c>
      <c r="D7" s="1">
        <v>0.25</v>
      </c>
    </row>
    <row r="9" spans="3:4" x14ac:dyDescent="0.25">
      <c r="C9" s="2" t="s">
        <v>32</v>
      </c>
      <c r="D9" s="29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C7" sqref="C7"/>
    </sheetView>
  </sheetViews>
  <sheetFormatPr defaultRowHeight="15" x14ac:dyDescent="0.25"/>
  <sheetData>
    <row r="6" spans="2:3" x14ac:dyDescent="0.25">
      <c r="B6" t="s">
        <v>33</v>
      </c>
      <c r="C6">
        <v>5500</v>
      </c>
    </row>
    <row r="7" spans="2:3" x14ac:dyDescent="0.25">
      <c r="B7" t="s">
        <v>30</v>
      </c>
      <c r="C7" s="1">
        <v>0.15</v>
      </c>
    </row>
    <row r="8" spans="2:3" x14ac:dyDescent="0.25">
      <c r="B8" s="2" t="s">
        <v>34</v>
      </c>
      <c r="C8" s="2">
        <f>5500/((1+C7))</f>
        <v>4782.608695652174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6:L36"/>
  <sheetViews>
    <sheetView zoomScale="205" zoomScaleNormal="205" workbookViewId="0">
      <selection activeCell="H15" sqref="H15"/>
    </sheetView>
  </sheetViews>
  <sheetFormatPr defaultRowHeight="15" x14ac:dyDescent="0.25"/>
  <sheetData>
    <row r="6" spans="2:12" x14ac:dyDescent="0.25">
      <c r="L6" t="s">
        <v>98</v>
      </c>
    </row>
    <row r="9" spans="2:12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35</v>
      </c>
    </row>
    <row r="10" spans="2:12" x14ac:dyDescent="0.25">
      <c r="B10" t="s">
        <v>33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 s="2">
        <f>F10/((1+D11)*(1+E11)*(1+F11))</f>
        <v>22389.446302489781</v>
      </c>
      <c r="I10" t="s">
        <v>96</v>
      </c>
    </row>
    <row r="11" spans="2:12" x14ac:dyDescent="0.25">
      <c r="B11" t="s">
        <v>30</v>
      </c>
      <c r="C11" s="30">
        <v>0</v>
      </c>
      <c r="D11" s="30">
        <v>6.5000000000000002E-2</v>
      </c>
      <c r="E11" s="30">
        <v>3.5000000000000003E-2</v>
      </c>
      <c r="F11" s="1">
        <v>0.04</v>
      </c>
      <c r="H11" s="2">
        <f>H10/C10</f>
        <v>1.8958522487861487</v>
      </c>
      <c r="I11" s="2" t="s">
        <v>36</v>
      </c>
    </row>
    <row r="12" spans="2:12" x14ac:dyDescent="0.25">
      <c r="D12" t="s">
        <v>97</v>
      </c>
    </row>
    <row r="14" spans="2:12" x14ac:dyDescent="0.25">
      <c r="B14" t="s">
        <v>99</v>
      </c>
      <c r="D14">
        <v>1.0649999999999999</v>
      </c>
      <c r="E14">
        <v>1.1023000000000001</v>
      </c>
      <c r="F14">
        <v>1.1464000000000001</v>
      </c>
    </row>
    <row r="17" spans="2:4" x14ac:dyDescent="0.25">
      <c r="B17" t="s">
        <v>100</v>
      </c>
    </row>
    <row r="18" spans="2:4" x14ac:dyDescent="0.25">
      <c r="B18" t="s">
        <v>101</v>
      </c>
      <c r="C18">
        <v>25666.5</v>
      </c>
    </row>
    <row r="19" spans="2:4" x14ac:dyDescent="0.25">
      <c r="B19" t="s">
        <v>102</v>
      </c>
      <c r="C19">
        <v>11809.7</v>
      </c>
    </row>
    <row r="20" spans="2:4" x14ac:dyDescent="0.25">
      <c r="B20" t="s">
        <v>103</v>
      </c>
      <c r="C20">
        <v>3</v>
      </c>
    </row>
    <row r="21" spans="2:4" x14ac:dyDescent="0.25">
      <c r="B21" t="s">
        <v>1</v>
      </c>
      <c r="C21" s="2">
        <f>(C18/C19)^(1/3)-1</f>
        <v>0.29531659130632826</v>
      </c>
      <c r="D21" t="s">
        <v>105</v>
      </c>
    </row>
    <row r="23" spans="2:4" x14ac:dyDescent="0.25">
      <c r="B23" t="s">
        <v>104</v>
      </c>
    </row>
    <row r="24" spans="2:4" x14ac:dyDescent="0.25">
      <c r="B24" t="s">
        <v>101</v>
      </c>
      <c r="C24">
        <f>E10*(1+F11)</f>
        <v>13538.2385502</v>
      </c>
    </row>
    <row r="25" spans="2:4" x14ac:dyDescent="0.25">
      <c r="B25" t="s">
        <v>102</v>
      </c>
      <c r="C25">
        <v>11809.7</v>
      </c>
    </row>
    <row r="26" spans="2:4" x14ac:dyDescent="0.25">
      <c r="B26" t="s">
        <v>103</v>
      </c>
      <c r="C26">
        <v>3</v>
      </c>
    </row>
    <row r="27" spans="2:4" x14ac:dyDescent="0.25">
      <c r="B27" t="s">
        <v>1</v>
      </c>
      <c r="C27" s="2">
        <f>(C24/C25)^(1/C26)-1</f>
        <v>4.6584822374098778E-2</v>
      </c>
    </row>
    <row r="30" spans="2:4" x14ac:dyDescent="0.25">
      <c r="B30" t="s">
        <v>106</v>
      </c>
    </row>
    <row r="31" spans="2:4" x14ac:dyDescent="0.25">
      <c r="B31" s="2">
        <f>(1+C21)/(1+C27)-1</f>
        <v>0.23766040134998345</v>
      </c>
    </row>
    <row r="33" spans="2:2" x14ac:dyDescent="0.25">
      <c r="B33" t="s">
        <v>107</v>
      </c>
    </row>
    <row r="34" spans="2:2" x14ac:dyDescent="0.25">
      <c r="B34" s="2">
        <f>C10*(1+C21)^(3)</f>
        <v>25666.5</v>
      </c>
    </row>
    <row r="35" spans="2:2" x14ac:dyDescent="0.25">
      <c r="B35" s="2">
        <f>C10*(1+C27)^(3)</f>
        <v>13538.238550200003</v>
      </c>
    </row>
    <row r="36" spans="2:2" x14ac:dyDescent="0.25">
      <c r="B36" s="2">
        <f>C10*(1+B31)^(3)</f>
        <v>22389.44630248977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D7" sqref="D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22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7"/>
  <sheetViews>
    <sheetView zoomScale="220" zoomScaleNormal="220" workbookViewId="0">
      <selection activeCell="G15" sqref="G15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37</v>
      </c>
      <c r="C11">
        <v>250</v>
      </c>
      <c r="F11" s="2">
        <v>150</v>
      </c>
    </row>
    <row r="12" spans="2:6" x14ac:dyDescent="0.25">
      <c r="B12" t="s">
        <v>22</v>
      </c>
      <c r="C12">
        <f>C9/C10-1</f>
        <v>0.25</v>
      </c>
    </row>
    <row r="15" spans="2:6" x14ac:dyDescent="0.25">
      <c r="C15" s="1">
        <v>0.25</v>
      </c>
      <c r="E15" t="s">
        <v>13</v>
      </c>
      <c r="F15">
        <f>C9/(1+C15)</f>
        <v>1000</v>
      </c>
    </row>
    <row r="16" spans="2:6" x14ac:dyDescent="0.25">
      <c r="C16" s="1">
        <v>0.3</v>
      </c>
      <c r="E16" t="s">
        <v>13</v>
      </c>
      <c r="F16">
        <f>C9/(1+C16)</f>
        <v>961.53846153846155</v>
      </c>
    </row>
    <row r="17" spans="3:6" x14ac:dyDescent="0.25">
      <c r="C17" s="1">
        <v>0.15</v>
      </c>
      <c r="E17" t="s">
        <v>13</v>
      </c>
      <c r="F17">
        <f>C9/(1+C17)</f>
        <v>1086.9565217391305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Q24"/>
  <sheetViews>
    <sheetView topLeftCell="D7" zoomScale="190" zoomScaleNormal="190" workbookViewId="0">
      <selection activeCell="Q19" sqref="Q19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34">
        <f>SUM(K16:O16)</f>
        <v>369.7070665000694</v>
      </c>
    </row>
    <row r="17" spans="2:17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34">
        <f>SUM(K17:O17)</f>
        <v>71.541339546385288</v>
      </c>
    </row>
    <row r="18" spans="2:17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34">
        <f t="shared" ref="P18:P24" si="3">SUM(K18:O18)</f>
        <v>303.80438494638338</v>
      </c>
    </row>
    <row r="19" spans="2:17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>N18/((1+$C$19)^(N15-$K$15))</f>
        <v>70.559241256722132</v>
      </c>
      <c r="O19" s="9">
        <f t="shared" si="4"/>
        <v>69.976107031459975</v>
      </c>
      <c r="P19" s="9">
        <f t="shared" si="3"/>
        <v>233.08367149014916</v>
      </c>
      <c r="Q19">
        <v>330</v>
      </c>
    </row>
    <row r="20" spans="2:17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34">
        <f t="shared" si="3"/>
        <v>-743.88592120016904</v>
      </c>
    </row>
    <row r="21" spans="2:17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34">
        <f t="shared" si="3"/>
        <v>-474.95676848417799</v>
      </c>
    </row>
    <row r="22" spans="2:17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34">
        <f t="shared" si="3"/>
        <v>-2554.8179099020208</v>
      </c>
    </row>
    <row r="23" spans="2:17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34">
        <f t="shared" si="3"/>
        <v>236.70763040440863</v>
      </c>
    </row>
    <row r="24" spans="2:17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34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6"/>
  <sheetViews>
    <sheetView zoomScaleNormal="100" workbookViewId="0">
      <selection activeCell="H20" sqref="H20"/>
    </sheetView>
  </sheetViews>
  <sheetFormatPr defaultRowHeight="15" x14ac:dyDescent="0.25"/>
  <sheetData>
    <row r="6" spans="2:44" x14ac:dyDescent="0.25">
      <c r="B6" t="s">
        <v>38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  <c r="W9">
        <v>0</v>
      </c>
      <c r="X9">
        <f>X7/((1+$B$8)^(X6-$W$6))</f>
        <v>9523.8095238095229</v>
      </c>
      <c r="Y9">
        <f t="shared" ref="Y9:AQ9" si="1">Y7/((1+$B$8)^(Y6-$W$6))</f>
        <v>9070.2947845804993</v>
      </c>
      <c r="Z9">
        <f t="shared" si="1"/>
        <v>8638.3759853147603</v>
      </c>
      <c r="AA9">
        <f t="shared" si="1"/>
        <v>8227.0247479188201</v>
      </c>
      <c r="AB9">
        <f t="shared" si="1"/>
        <v>7835.2616646845891</v>
      </c>
      <c r="AC9">
        <f t="shared" si="1"/>
        <v>7462.153966366277</v>
      </c>
      <c r="AD9">
        <f t="shared" si="1"/>
        <v>7106.8133013012148</v>
      </c>
      <c r="AE9">
        <f t="shared" si="1"/>
        <v>6768.3936202868717</v>
      </c>
      <c r="AF9">
        <f t="shared" si="1"/>
        <v>6446.0891621779729</v>
      </c>
      <c r="AG9">
        <f t="shared" si="1"/>
        <v>6139.1325354075934</v>
      </c>
      <c r="AH9">
        <f t="shared" si="1"/>
        <v>5846.7928908643744</v>
      </c>
      <c r="AI9">
        <f t="shared" si="1"/>
        <v>5568.3741817755954</v>
      </c>
      <c r="AJ9">
        <f t="shared" si="1"/>
        <v>5303.2135064529466</v>
      </c>
      <c r="AK9">
        <f t="shared" si="1"/>
        <v>5050.6795299551886</v>
      </c>
      <c r="AL9">
        <f t="shared" si="1"/>
        <v>4810.1709809097019</v>
      </c>
      <c r="AM9">
        <f t="shared" si="1"/>
        <v>4581.1152199140024</v>
      </c>
      <c r="AN9">
        <f t="shared" si="1"/>
        <v>4362.9668761085732</v>
      </c>
      <c r="AO9">
        <f t="shared" si="1"/>
        <v>4155.2065486748315</v>
      </c>
      <c r="AP9">
        <f t="shared" si="1"/>
        <v>3957.3395701665063</v>
      </c>
      <c r="AQ9">
        <f t="shared" si="1"/>
        <v>3768.8948287300059</v>
      </c>
      <c r="AR9">
        <f>SUM(W9:AQ9)</f>
        <v>124622.10342539985</v>
      </c>
    </row>
    <row r="12" spans="2:44" x14ac:dyDescent="0.25">
      <c r="B12" s="2" t="s">
        <v>71</v>
      </c>
    </row>
    <row r="15" spans="2:44" x14ac:dyDescent="0.25">
      <c r="B15" s="2">
        <f>AR9/((1+B8)^(20))</f>
        <v>46968.760114544544</v>
      </c>
      <c r="D15" t="s">
        <v>108</v>
      </c>
    </row>
    <row r="16" spans="2:44" x14ac:dyDescent="0.25">
      <c r="D16" t="s">
        <v>109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5:DN46"/>
  <sheetViews>
    <sheetView zoomScale="115" zoomScaleNormal="115" workbookViewId="0">
      <selection activeCell="N27" sqref="N27"/>
    </sheetView>
  </sheetViews>
  <sheetFormatPr defaultRowHeight="15" x14ac:dyDescent="0.25"/>
  <cols>
    <col min="1" max="1" width="11.85546875" customWidth="1"/>
    <col min="45" max="45" width="14" customWidth="1"/>
  </cols>
  <sheetData>
    <row r="5" spans="1:118" x14ac:dyDescent="0.25">
      <c r="L5" t="s">
        <v>110</v>
      </c>
    </row>
    <row r="7" spans="1:118" x14ac:dyDescent="0.25">
      <c r="C7" t="s">
        <v>39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3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77</v>
      </c>
      <c r="N11" t="s">
        <v>73</v>
      </c>
    </row>
    <row r="12" spans="1:118" x14ac:dyDescent="0.25">
      <c r="L12" t="s">
        <v>65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74</v>
      </c>
      <c r="L13" t="s">
        <v>66</v>
      </c>
      <c r="M13">
        <f>SUM(N10:DN10)</f>
        <v>199990.98847993463</v>
      </c>
      <c r="N13" t="s">
        <v>76</v>
      </c>
    </row>
    <row r="14" spans="1:118" x14ac:dyDescent="0.25">
      <c r="A14" t="s">
        <v>72</v>
      </c>
      <c r="B14" s="2">
        <v>10792.142736644701</v>
      </c>
    </row>
    <row r="16" spans="1:118" x14ac:dyDescent="0.25">
      <c r="A16" t="s">
        <v>75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8" x14ac:dyDescent="0.25">
      <c r="A17" t="s">
        <v>72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8" x14ac:dyDescent="0.25">
      <c r="L18" t="s">
        <v>65</v>
      </c>
      <c r="M18">
        <f>SUM(C17:M17)</f>
        <v>190765.00000000003</v>
      </c>
    </row>
    <row r="19" spans="1:18" x14ac:dyDescent="0.25">
      <c r="L19" t="s">
        <v>66</v>
      </c>
      <c r="M19">
        <v>190765</v>
      </c>
    </row>
    <row r="23" spans="1:18" x14ac:dyDescent="0.25">
      <c r="Q23" t="s">
        <v>115</v>
      </c>
    </row>
    <row r="24" spans="1:18" x14ac:dyDescent="0.25">
      <c r="Q24" t="s">
        <v>111</v>
      </c>
      <c r="R24" t="s">
        <v>112</v>
      </c>
    </row>
    <row r="25" spans="1:18" x14ac:dyDescent="0.25">
      <c r="Q25" t="s">
        <v>113</v>
      </c>
    </row>
    <row r="26" spans="1:18" x14ac:dyDescent="0.25">
      <c r="Q26" t="s">
        <v>114</v>
      </c>
    </row>
    <row r="36" spans="2:85" x14ac:dyDescent="0.25">
      <c r="B36" t="s">
        <v>116</v>
      </c>
    </row>
    <row r="38" spans="2:85" x14ac:dyDescent="0.25">
      <c r="B38" t="s">
        <v>117</v>
      </c>
      <c r="C38" s="1">
        <v>0.13</v>
      </c>
    </row>
    <row r="39" spans="2:85" x14ac:dyDescent="0.25">
      <c r="B39" t="s">
        <v>119</v>
      </c>
      <c r="C39">
        <v>300000</v>
      </c>
      <c r="D39">
        <v>12</v>
      </c>
      <c r="E39">
        <f>C39*D39</f>
        <v>3600000</v>
      </c>
    </row>
    <row r="40" spans="2:85" x14ac:dyDescent="0.25"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 s="17">
        <v>41</v>
      </c>
      <c r="AT40">
        <v>42</v>
      </c>
      <c r="AU40">
        <v>43</v>
      </c>
      <c r="AV40">
        <v>44</v>
      </c>
      <c r="AW40">
        <v>45</v>
      </c>
      <c r="AX40">
        <v>46</v>
      </c>
      <c r="AY40">
        <v>47</v>
      </c>
      <c r="AZ40">
        <v>48</v>
      </c>
      <c r="BA40">
        <v>49</v>
      </c>
      <c r="BB40">
        <v>50</v>
      </c>
      <c r="BC40">
        <v>51</v>
      </c>
      <c r="BD40">
        <v>52</v>
      </c>
      <c r="BE40">
        <v>53</v>
      </c>
      <c r="BF40">
        <v>54</v>
      </c>
      <c r="BG40">
        <v>55</v>
      </c>
      <c r="BH40">
        <v>56</v>
      </c>
      <c r="BI40">
        <v>57</v>
      </c>
      <c r="BJ40">
        <v>58</v>
      </c>
      <c r="BK40">
        <v>59</v>
      </c>
      <c r="BL40">
        <v>60</v>
      </c>
      <c r="BM40">
        <v>61</v>
      </c>
      <c r="BN40">
        <v>62</v>
      </c>
      <c r="BO40">
        <v>63</v>
      </c>
      <c r="BP40">
        <v>64</v>
      </c>
      <c r="BQ40">
        <v>65</v>
      </c>
      <c r="BR40">
        <v>66</v>
      </c>
      <c r="BS40">
        <v>67</v>
      </c>
      <c r="BT40">
        <v>68</v>
      </c>
      <c r="BU40">
        <v>69</v>
      </c>
      <c r="BV40">
        <v>70</v>
      </c>
      <c r="BW40">
        <v>71</v>
      </c>
      <c r="BX40">
        <v>72</v>
      </c>
      <c r="BY40">
        <v>73</v>
      </c>
      <c r="BZ40">
        <v>74</v>
      </c>
      <c r="CA40">
        <v>75</v>
      </c>
      <c r="CB40">
        <v>76</v>
      </c>
      <c r="CC40">
        <v>77</v>
      </c>
      <c r="CD40">
        <v>78</v>
      </c>
      <c r="CE40">
        <v>79</v>
      </c>
      <c r="CF40">
        <v>80</v>
      </c>
      <c r="CG40" t="s">
        <v>4</v>
      </c>
    </row>
    <row r="41" spans="2:85" x14ac:dyDescent="0.25">
      <c r="B41" t="s">
        <v>118</v>
      </c>
      <c r="C41">
        <v>679996.94409822964</v>
      </c>
      <c r="AC41">
        <v>0</v>
      </c>
      <c r="AD41">
        <f t="shared" ref="AD41:AR41" si="106">$C$41</f>
        <v>679996.94409822964</v>
      </c>
      <c r="AE41">
        <f t="shared" si="106"/>
        <v>679996.94409822964</v>
      </c>
      <c r="AF41">
        <f t="shared" si="106"/>
        <v>679996.94409822964</v>
      </c>
      <c r="AG41">
        <f t="shared" si="106"/>
        <v>679996.94409822964</v>
      </c>
      <c r="AH41">
        <f t="shared" si="106"/>
        <v>679996.94409822964</v>
      </c>
      <c r="AI41">
        <f t="shared" si="106"/>
        <v>679996.94409822964</v>
      </c>
      <c r="AJ41">
        <f t="shared" si="106"/>
        <v>679996.94409822964</v>
      </c>
      <c r="AK41">
        <f t="shared" si="106"/>
        <v>679996.94409822964</v>
      </c>
      <c r="AL41">
        <f t="shared" si="106"/>
        <v>679996.94409822964</v>
      </c>
      <c r="AM41">
        <f t="shared" si="106"/>
        <v>679996.94409822964</v>
      </c>
      <c r="AN41">
        <f t="shared" si="106"/>
        <v>679996.94409822964</v>
      </c>
      <c r="AO41">
        <f t="shared" si="106"/>
        <v>679996.94409822964</v>
      </c>
      <c r="AP41">
        <f t="shared" si="106"/>
        <v>679996.94409822964</v>
      </c>
      <c r="AQ41">
        <f t="shared" si="106"/>
        <v>679996.94409822964</v>
      </c>
      <c r="AR41">
        <f t="shared" si="106"/>
        <v>679996.94409822964</v>
      </c>
      <c r="AS41" s="17">
        <f>$E$39</f>
        <v>3600000</v>
      </c>
      <c r="AT41" s="17">
        <f t="shared" ref="AT41:CF41" si="107">$E$39</f>
        <v>3600000</v>
      </c>
      <c r="AU41" s="17">
        <f t="shared" si="107"/>
        <v>3600000</v>
      </c>
      <c r="AV41" s="17">
        <f t="shared" si="107"/>
        <v>3600000</v>
      </c>
      <c r="AW41" s="17">
        <f t="shared" si="107"/>
        <v>3600000</v>
      </c>
      <c r="AX41" s="17">
        <f t="shared" si="107"/>
        <v>3600000</v>
      </c>
      <c r="AY41" s="17">
        <f t="shared" si="107"/>
        <v>3600000</v>
      </c>
      <c r="AZ41" s="17">
        <f t="shared" si="107"/>
        <v>3600000</v>
      </c>
      <c r="BA41" s="17">
        <f t="shared" si="107"/>
        <v>3600000</v>
      </c>
      <c r="BB41" s="17">
        <f t="shared" si="107"/>
        <v>3600000</v>
      </c>
      <c r="BC41" s="17">
        <f t="shared" si="107"/>
        <v>3600000</v>
      </c>
      <c r="BD41" s="17">
        <f t="shared" si="107"/>
        <v>3600000</v>
      </c>
      <c r="BE41" s="17">
        <f t="shared" si="107"/>
        <v>3600000</v>
      </c>
      <c r="BF41" s="17">
        <f t="shared" si="107"/>
        <v>3600000</v>
      </c>
      <c r="BG41" s="17">
        <f t="shared" si="107"/>
        <v>3600000</v>
      </c>
      <c r="BH41" s="17">
        <f t="shared" si="107"/>
        <v>3600000</v>
      </c>
      <c r="BI41" s="17">
        <f t="shared" si="107"/>
        <v>3600000</v>
      </c>
      <c r="BJ41" s="17">
        <f t="shared" si="107"/>
        <v>3600000</v>
      </c>
      <c r="BK41" s="17">
        <f t="shared" si="107"/>
        <v>3600000</v>
      </c>
      <c r="BL41" s="17">
        <f t="shared" si="107"/>
        <v>3600000</v>
      </c>
      <c r="BM41" s="17">
        <f t="shared" si="107"/>
        <v>3600000</v>
      </c>
      <c r="BN41" s="17">
        <f t="shared" si="107"/>
        <v>3600000</v>
      </c>
      <c r="BO41" s="17">
        <f t="shared" si="107"/>
        <v>3600000</v>
      </c>
      <c r="BP41" s="17">
        <f t="shared" si="107"/>
        <v>3600000</v>
      </c>
      <c r="BQ41" s="17">
        <f t="shared" si="107"/>
        <v>3600000</v>
      </c>
      <c r="BR41" s="17">
        <f t="shared" si="107"/>
        <v>3600000</v>
      </c>
      <c r="BS41" s="17">
        <f t="shared" si="107"/>
        <v>3600000</v>
      </c>
      <c r="BT41" s="17">
        <f t="shared" si="107"/>
        <v>3600000</v>
      </c>
      <c r="BU41" s="17">
        <f t="shared" si="107"/>
        <v>3600000</v>
      </c>
      <c r="BV41" s="17">
        <f t="shared" si="107"/>
        <v>3600000</v>
      </c>
      <c r="BW41" s="17">
        <f t="shared" si="107"/>
        <v>3600000</v>
      </c>
      <c r="BX41" s="17">
        <f t="shared" si="107"/>
        <v>3600000</v>
      </c>
      <c r="BY41" s="17">
        <f t="shared" si="107"/>
        <v>3600000</v>
      </c>
      <c r="BZ41" s="17">
        <f t="shared" si="107"/>
        <v>3600000</v>
      </c>
      <c r="CA41" s="17">
        <f t="shared" si="107"/>
        <v>3600000</v>
      </c>
      <c r="CB41" s="17">
        <f t="shared" si="107"/>
        <v>3600000</v>
      </c>
      <c r="CC41" s="17">
        <f t="shared" si="107"/>
        <v>3600000</v>
      </c>
      <c r="CD41" s="17">
        <f t="shared" si="107"/>
        <v>3600000</v>
      </c>
      <c r="CE41" s="17">
        <f t="shared" si="107"/>
        <v>3600000</v>
      </c>
      <c r="CF41" s="17">
        <f t="shared" si="107"/>
        <v>3600000</v>
      </c>
    </row>
    <row r="42" spans="2:85" x14ac:dyDescent="0.25">
      <c r="AC42">
        <f>AC41*(1+$C$38)^(40-AC40)</f>
        <v>0</v>
      </c>
      <c r="AD42">
        <f>AD41*(1+$C$38)^(40-AD40)</f>
        <v>3763614.8180515277</v>
      </c>
      <c r="AE42">
        <f t="shared" ref="AE42:AR42" si="108">AE41*(1+$C$38)^(40-AE40)</f>
        <v>3330632.5823464859</v>
      </c>
      <c r="AF42">
        <f t="shared" si="108"/>
        <v>2947462.4622535273</v>
      </c>
      <c r="AG42">
        <f t="shared" si="108"/>
        <v>2608373.8604013519</v>
      </c>
      <c r="AH42">
        <f t="shared" si="108"/>
        <v>2308295.4516826128</v>
      </c>
      <c r="AI42">
        <f t="shared" si="108"/>
        <v>2042739.3377722239</v>
      </c>
      <c r="AJ42">
        <f t="shared" si="108"/>
        <v>1807733.9272320566</v>
      </c>
      <c r="AK42">
        <f t="shared" si="108"/>
        <v>1599764.5373735016</v>
      </c>
      <c r="AL42">
        <f t="shared" si="108"/>
        <v>1415720.8295340722</v>
      </c>
      <c r="AM42">
        <f t="shared" si="108"/>
        <v>1252850.2916230729</v>
      </c>
      <c r="AN42">
        <f t="shared" si="108"/>
        <v>1108717.0722328082</v>
      </c>
      <c r="AO42">
        <f t="shared" si="108"/>
        <v>981165.55064850289</v>
      </c>
      <c r="AP42">
        <f t="shared" si="108"/>
        <v>868288.09791902918</v>
      </c>
      <c r="AQ42">
        <f t="shared" si="108"/>
        <v>768396.54683099943</v>
      </c>
      <c r="AR42">
        <f t="shared" si="108"/>
        <v>679996.94409822964</v>
      </c>
      <c r="AS42" s="17">
        <f>AS41/(1+$C$38)^(AS40-$AR$40)</f>
        <v>3185840.7079646019</v>
      </c>
      <c r="AT42">
        <f>AT41/(1+$C$38)^(AT40-$AR$40)</f>
        <v>2819328.0601456659</v>
      </c>
      <c r="AU42">
        <f t="shared" ref="AU42:CF42" si="109">AU41/(1+$C$38)^(AU40-$AR$40)</f>
        <v>2494980.5841997047</v>
      </c>
      <c r="AV42">
        <f t="shared" si="109"/>
        <v>2207947.4196457565</v>
      </c>
      <c r="AW42">
        <f t="shared" si="109"/>
        <v>1953935.7695980149</v>
      </c>
      <c r="AX42">
        <f t="shared" si="109"/>
        <v>1729146.6987593055</v>
      </c>
      <c r="AY42">
        <f t="shared" si="109"/>
        <v>1530218.3174861113</v>
      </c>
      <c r="AZ42">
        <f t="shared" si="109"/>
        <v>1354175.5022000985</v>
      </c>
      <c r="BA42">
        <f t="shared" si="109"/>
        <v>1198385.4001770783</v>
      </c>
      <c r="BB42">
        <f t="shared" si="109"/>
        <v>1060518.0532540518</v>
      </c>
      <c r="BC42">
        <f t="shared" si="109"/>
        <v>938511.55155225843</v>
      </c>
      <c r="BD42">
        <f t="shared" si="109"/>
        <v>830541.19606394565</v>
      </c>
      <c r="BE42">
        <f t="shared" si="109"/>
        <v>734992.20890614658</v>
      </c>
      <c r="BF42">
        <f t="shared" si="109"/>
        <v>650435.58310278482</v>
      </c>
      <c r="BG42">
        <f t="shared" si="109"/>
        <v>575606.710710429</v>
      </c>
      <c r="BH42">
        <f t="shared" si="109"/>
        <v>509386.46965524694</v>
      </c>
      <c r="BI42">
        <f t="shared" si="109"/>
        <v>450784.48642057256</v>
      </c>
      <c r="BJ42">
        <f t="shared" si="109"/>
        <v>398924.32426599349</v>
      </c>
      <c r="BK42">
        <f t="shared" si="109"/>
        <v>353030.37545663147</v>
      </c>
      <c r="BL42">
        <f t="shared" si="109"/>
        <v>312416.26146604557</v>
      </c>
      <c r="BM42">
        <f t="shared" si="109"/>
        <v>276474.56766906689</v>
      </c>
      <c r="BN42">
        <f t="shared" si="109"/>
        <v>244667.75899917429</v>
      </c>
      <c r="BO42">
        <f t="shared" si="109"/>
        <v>216520.14070723389</v>
      </c>
      <c r="BP42">
        <f t="shared" si="109"/>
        <v>191610.74398870257</v>
      </c>
      <c r="BQ42">
        <f t="shared" si="109"/>
        <v>169567.03007849786</v>
      </c>
      <c r="BR42">
        <f t="shared" si="109"/>
        <v>150059.31865353795</v>
      </c>
      <c r="BS42">
        <f t="shared" si="109"/>
        <v>132795.85721552034</v>
      </c>
      <c r="BT42">
        <f t="shared" si="109"/>
        <v>117518.45771284986</v>
      </c>
      <c r="BU42">
        <f t="shared" si="109"/>
        <v>103998.63514411492</v>
      </c>
      <c r="BV42">
        <f t="shared" si="109"/>
        <v>92034.190393022087</v>
      </c>
      <c r="BW42">
        <f t="shared" si="109"/>
        <v>81446.186188515116</v>
      </c>
      <c r="BX42">
        <f t="shared" si="109"/>
        <v>72076.270963287723</v>
      </c>
      <c r="BY42">
        <f t="shared" si="109"/>
        <v>63784.310586980297</v>
      </c>
      <c r="BZ42">
        <f t="shared" si="109"/>
        <v>56446.292554849824</v>
      </c>
      <c r="CA42">
        <f t="shared" si="109"/>
        <v>49952.471287477725</v>
      </c>
      <c r="CB42">
        <f t="shared" si="109"/>
        <v>44205.726803077639</v>
      </c>
      <c r="CC42">
        <f t="shared" si="109"/>
        <v>39120.11221511296</v>
      </c>
      <c r="CD42">
        <f t="shared" si="109"/>
        <v>34619.568331958377</v>
      </c>
      <c r="CE42">
        <f t="shared" si="109"/>
        <v>30636.786134476442</v>
      </c>
      <c r="CF42">
        <f t="shared" si="109"/>
        <v>27112.200119005702</v>
      </c>
      <c r="CG42">
        <f>SUM(AS42:CF42)</f>
        <v>27483752.306776911</v>
      </c>
    </row>
    <row r="45" spans="2:85" x14ac:dyDescent="0.25">
      <c r="AR45" t="s">
        <v>66</v>
      </c>
      <c r="AS45" s="2">
        <f>SUM(AS42:CF42)</f>
        <v>27483752.306776911</v>
      </c>
    </row>
    <row r="46" spans="2:85" x14ac:dyDescent="0.25">
      <c r="AR46" t="s">
        <v>65</v>
      </c>
      <c r="AS46">
        <f>SUM(AD42:AR42)</f>
        <v>27483752.310000006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J12" sqref="J12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41</v>
      </c>
      <c r="B8">
        <v>1000</v>
      </c>
      <c r="D8" s="6" t="s">
        <v>42</v>
      </c>
      <c r="E8" s="6" t="s">
        <v>43</v>
      </c>
      <c r="F8" s="6" t="s">
        <v>49</v>
      </c>
      <c r="G8" s="31" t="s">
        <v>44</v>
      </c>
      <c r="H8" s="31" t="s">
        <v>45</v>
      </c>
      <c r="I8" s="31" t="s">
        <v>50</v>
      </c>
      <c r="J8" s="31" t="s">
        <v>46</v>
      </c>
      <c r="K8" s="31" t="s">
        <v>47</v>
      </c>
      <c r="L8" s="31" t="s">
        <v>48</v>
      </c>
    </row>
    <row r="9" spans="1:12" x14ac:dyDescent="0.25">
      <c r="A9" t="s">
        <v>40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L12" sqref="L12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51</v>
      </c>
      <c r="C6">
        <v>10000</v>
      </c>
      <c r="E6" s="31" t="s">
        <v>42</v>
      </c>
      <c r="F6" s="31" t="s">
        <v>43</v>
      </c>
      <c r="G6" s="31" t="s">
        <v>49</v>
      </c>
      <c r="H6" s="31" t="s">
        <v>44</v>
      </c>
      <c r="I6" s="31" t="s">
        <v>45</v>
      </c>
      <c r="J6" s="31" t="s">
        <v>46</v>
      </c>
      <c r="K6" s="31" t="s">
        <v>47</v>
      </c>
      <c r="L6" s="31" t="s">
        <v>48</v>
      </c>
    </row>
    <row r="7" spans="2:13" x14ac:dyDescent="0.25">
      <c r="B7" t="s">
        <v>40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52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G16" sqref="G1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1" t="s">
        <v>42</v>
      </c>
      <c r="E6" s="31" t="s">
        <v>43</v>
      </c>
      <c r="F6" s="31" t="s">
        <v>49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41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40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52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5"/>
  <sheetViews>
    <sheetView zoomScale="205" zoomScaleNormal="205" workbookViewId="0">
      <selection activeCell="K14" sqref="K14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55</v>
      </c>
    </row>
    <row r="5" spans="1:12" ht="29.25" customHeight="1" x14ac:dyDescent="0.25">
      <c r="A5" t="s">
        <v>41</v>
      </c>
      <c r="B5">
        <v>10000</v>
      </c>
      <c r="D5" s="31" t="s">
        <v>42</v>
      </c>
      <c r="E5" s="31" t="s">
        <v>43</v>
      </c>
      <c r="F5" s="31" t="s">
        <v>49</v>
      </c>
      <c r="G5" s="31" t="s">
        <v>44</v>
      </c>
      <c r="H5" s="31" t="s">
        <v>45</v>
      </c>
      <c r="I5" s="31" t="s">
        <v>46</v>
      </c>
      <c r="J5" s="31" t="s">
        <v>47</v>
      </c>
      <c r="K5" s="31" t="s">
        <v>48</v>
      </c>
    </row>
    <row r="6" spans="1:12" x14ac:dyDescent="0.25">
      <c r="A6" t="s">
        <v>40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54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2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56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  <row r="13" spans="1:12" x14ac:dyDescent="0.25">
      <c r="E13" t="s">
        <v>120</v>
      </c>
    </row>
    <row r="14" spans="1:12" x14ac:dyDescent="0.25">
      <c r="D14">
        <v>1</v>
      </c>
      <c r="E14">
        <v>10000</v>
      </c>
      <c r="F14">
        <v>1200</v>
      </c>
      <c r="J14">
        <v>11200</v>
      </c>
    </row>
    <row r="15" spans="1:12" x14ac:dyDescent="0.25">
      <c r="D15">
        <v>2</v>
      </c>
      <c r="E15">
        <f>J14</f>
        <v>11200</v>
      </c>
      <c r="F15">
        <f>E15*F7</f>
        <v>1344</v>
      </c>
      <c r="G15">
        <f>F15</f>
        <v>1344</v>
      </c>
      <c r="H15" s="2">
        <f>J14/4</f>
        <v>2800</v>
      </c>
      <c r="I15">
        <f>G15+H15</f>
        <v>4144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42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57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58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26</v>
      </c>
      <c r="D13" s="1">
        <v>0.06</v>
      </c>
      <c r="F13" s="3">
        <v>0.01</v>
      </c>
      <c r="H13" s="1">
        <v>0.11</v>
      </c>
    </row>
    <row r="14" spans="2:9" x14ac:dyDescent="0.25">
      <c r="B14" t="s">
        <v>59</v>
      </c>
      <c r="D14" s="29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60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25"/>
  <sheetViews>
    <sheetView zoomScale="115" zoomScaleNormal="115" workbookViewId="0">
      <selection activeCell="K23" sqref="K23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41</v>
      </c>
      <c r="B6">
        <v>2000</v>
      </c>
      <c r="E6" t="s">
        <v>69</v>
      </c>
    </row>
    <row r="7" spans="1:28" x14ac:dyDescent="0.25">
      <c r="A7" t="s">
        <v>54</v>
      </c>
      <c r="B7" s="1">
        <v>0.1</v>
      </c>
    </row>
    <row r="8" spans="1:28" x14ac:dyDescent="0.25">
      <c r="A8" t="s">
        <v>61</v>
      </c>
      <c r="B8">
        <f>B7/12</f>
        <v>8.3333333333333332E-3</v>
      </c>
      <c r="C8">
        <f>0.1/12</f>
        <v>8.3333333333333332E-3</v>
      </c>
    </row>
    <row r="9" spans="1:28" x14ac:dyDescent="0.25">
      <c r="B9" s="28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70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65</v>
      </c>
      <c r="C15">
        <f>SUM(D11:AB11)</f>
        <v>2440.7800000000011</v>
      </c>
    </row>
    <row r="16" spans="1:28" x14ac:dyDescent="0.25">
      <c r="B16" t="s">
        <v>66</v>
      </c>
      <c r="C16">
        <f>B6*(1+B8)^(24)</f>
        <v>2440.7819227511181</v>
      </c>
    </row>
    <row r="18" spans="2:27" x14ac:dyDescent="0.25">
      <c r="B18" t="s">
        <v>70</v>
      </c>
      <c r="C18" s="2">
        <v>88.149166790013567</v>
      </c>
    </row>
    <row r="19" spans="2:27" x14ac:dyDescent="0.25"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</row>
    <row r="20" spans="2:27" x14ac:dyDescent="0.25">
      <c r="B20" t="s">
        <v>13</v>
      </c>
      <c r="C20">
        <f>$C$18</f>
        <v>88.149166790013567</v>
      </c>
      <c r="D20">
        <f t="shared" ref="D20:AA20" si="2">$C$18</f>
        <v>88.149166790013567</v>
      </c>
      <c r="E20">
        <f t="shared" si="2"/>
        <v>88.149166790013567</v>
      </c>
      <c r="F20">
        <f t="shared" si="2"/>
        <v>88.149166790013567</v>
      </c>
      <c r="G20">
        <f t="shared" si="2"/>
        <v>88.149166790013567</v>
      </c>
      <c r="H20">
        <f t="shared" si="2"/>
        <v>88.149166790013567</v>
      </c>
      <c r="I20">
        <f t="shared" si="2"/>
        <v>88.149166790013567</v>
      </c>
      <c r="J20">
        <f t="shared" si="2"/>
        <v>88.149166790013567</v>
      </c>
      <c r="K20">
        <f t="shared" si="2"/>
        <v>88.149166790013567</v>
      </c>
      <c r="L20">
        <f t="shared" si="2"/>
        <v>88.149166790013567</v>
      </c>
      <c r="M20">
        <f t="shared" si="2"/>
        <v>88.149166790013567</v>
      </c>
      <c r="N20">
        <f t="shared" si="2"/>
        <v>88.149166790013567</v>
      </c>
      <c r="O20">
        <f t="shared" si="2"/>
        <v>88.149166790013567</v>
      </c>
      <c r="P20">
        <f t="shared" si="2"/>
        <v>88.149166790013567</v>
      </c>
      <c r="Q20">
        <f t="shared" si="2"/>
        <v>88.149166790013567</v>
      </c>
      <c r="R20">
        <f t="shared" si="2"/>
        <v>88.149166790013567</v>
      </c>
      <c r="S20">
        <f t="shared" si="2"/>
        <v>88.149166790013567</v>
      </c>
      <c r="T20">
        <f t="shared" si="2"/>
        <v>88.149166790013567</v>
      </c>
      <c r="U20">
        <f t="shared" si="2"/>
        <v>88.149166790013567</v>
      </c>
      <c r="V20">
        <f t="shared" si="2"/>
        <v>88.149166790013567</v>
      </c>
      <c r="W20">
        <f t="shared" si="2"/>
        <v>88.149166790013567</v>
      </c>
      <c r="X20">
        <f t="shared" si="2"/>
        <v>88.149166790013567</v>
      </c>
      <c r="Y20">
        <f t="shared" si="2"/>
        <v>88.149166790013567</v>
      </c>
      <c r="Z20">
        <f t="shared" si="2"/>
        <v>88.149166790013567</v>
      </c>
      <c r="AA20">
        <f t="shared" si="2"/>
        <v>88.149166790013567</v>
      </c>
    </row>
    <row r="21" spans="2:27" x14ac:dyDescent="0.25">
      <c r="B21" t="s">
        <v>3</v>
      </c>
      <c r="C21">
        <f>C20*(1+$B$8)^(24-C19)</f>
        <v>107.57644640331915</v>
      </c>
      <c r="D21">
        <f t="shared" ref="D21:AA21" si="3">D20*(1+$B$8)^(24-D19)</f>
        <v>106.68738486279587</v>
      </c>
      <c r="E21">
        <f t="shared" si="3"/>
        <v>105.80567093830996</v>
      </c>
      <c r="F21">
        <f t="shared" si="3"/>
        <v>104.93124390576192</v>
      </c>
      <c r="G21">
        <f t="shared" si="3"/>
        <v>104.0640435429044</v>
      </c>
      <c r="H21">
        <f t="shared" si="3"/>
        <v>103.20401012519446</v>
      </c>
      <c r="I21">
        <f t="shared" si="3"/>
        <v>102.35108442168047</v>
      </c>
      <c r="J21">
        <f t="shared" si="3"/>
        <v>101.50520769092276</v>
      </c>
      <c r="K21">
        <f t="shared" si="3"/>
        <v>100.6663216769482</v>
      </c>
      <c r="L21">
        <f t="shared" si="3"/>
        <v>99.834368605237898</v>
      </c>
      <c r="M21">
        <f t="shared" si="3"/>
        <v>99.009291178748327</v>
      </c>
      <c r="N21">
        <f t="shared" si="3"/>
        <v>98.191032573965273</v>
      </c>
      <c r="O21">
        <f t="shared" si="3"/>
        <v>97.379536436990378</v>
      </c>
      <c r="P21">
        <f t="shared" si="3"/>
        <v>96.57474687965987</v>
      </c>
      <c r="Q21">
        <f t="shared" si="3"/>
        <v>95.776608475695753</v>
      </c>
      <c r="R21">
        <f t="shared" si="3"/>
        <v>94.985066256888345</v>
      </c>
      <c r="S21">
        <f t="shared" si="3"/>
        <v>94.200065709310763</v>
      </c>
      <c r="T21">
        <f t="shared" si="3"/>
        <v>93.421552769564386</v>
      </c>
      <c r="U21">
        <f t="shared" si="3"/>
        <v>92.649473821055608</v>
      </c>
      <c r="V21">
        <f t="shared" si="3"/>
        <v>91.883775690303068</v>
      </c>
      <c r="W21">
        <f t="shared" si="3"/>
        <v>91.124405643275779</v>
      </c>
      <c r="X21">
        <f t="shared" si="3"/>
        <v>90.371311381761117</v>
      </c>
      <c r="Y21">
        <f t="shared" si="3"/>
        <v>89.624441039763099</v>
      </c>
      <c r="Z21">
        <f t="shared" si="3"/>
        <v>88.883743179930349</v>
      </c>
      <c r="AA21">
        <f t="shared" si="3"/>
        <v>88.149166790013567</v>
      </c>
    </row>
    <row r="22" spans="2:27" x14ac:dyDescent="0.25">
      <c r="B22" t="s">
        <v>4</v>
      </c>
      <c r="C22">
        <f>SUM(C21:AA21)</f>
        <v>2438.8500000000004</v>
      </c>
    </row>
    <row r="24" spans="2:27" x14ac:dyDescent="0.25">
      <c r="B24" t="s">
        <v>122</v>
      </c>
    </row>
    <row r="25" spans="2:27" x14ac:dyDescent="0.25">
      <c r="B25">
        <v>2000</v>
      </c>
      <c r="C25" t="s">
        <v>65</v>
      </c>
      <c r="D25">
        <f>B25*(1+0.0083)^(24)</f>
        <v>2438.8461706211951</v>
      </c>
      <c r="E25" t="s">
        <v>123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54</v>
      </c>
      <c r="B7" s="28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36"/>
  <sheetViews>
    <sheetView tabSelected="1" topLeftCell="A16" zoomScale="145" zoomScaleNormal="145" workbookViewId="0">
      <selection activeCell="L22" sqref="L22"/>
    </sheetView>
  </sheetViews>
  <sheetFormatPr defaultRowHeight="15" x14ac:dyDescent="0.25"/>
  <sheetData>
    <row r="7" spans="1:76" x14ac:dyDescent="0.25">
      <c r="A7" t="s">
        <v>41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54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62</v>
      </c>
      <c r="B9">
        <f>B8/12</f>
        <v>3.3333333333333335E-3</v>
      </c>
      <c r="C9" t="s">
        <v>3</v>
      </c>
      <c r="L9" t="s">
        <v>65</v>
      </c>
    </row>
    <row r="10" spans="1:76" x14ac:dyDescent="0.25">
      <c r="K10">
        <v>5000</v>
      </c>
      <c r="L10" t="s">
        <v>66</v>
      </c>
    </row>
    <row r="12" spans="1:76" x14ac:dyDescent="0.25">
      <c r="A12" t="s">
        <v>62</v>
      </c>
      <c r="B12" t="s">
        <v>67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28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68</v>
      </c>
      <c r="B16">
        <v>29.913456439437823</v>
      </c>
      <c r="E16" t="s">
        <v>4</v>
      </c>
    </row>
    <row r="17" spans="1:74" x14ac:dyDescent="0.25">
      <c r="D17" t="s">
        <v>65</v>
      </c>
      <c r="E17">
        <f>SUM(D14:BX14)</f>
        <v>2464.5899999999992</v>
      </c>
    </row>
    <row r="18" spans="1:74" x14ac:dyDescent="0.25">
      <c r="D18" t="s">
        <v>66</v>
      </c>
      <c r="E18">
        <f>5000-B7*(1+A13)^(B13)</f>
        <v>2464.5883741592515</v>
      </c>
    </row>
    <row r="20" spans="1:74" x14ac:dyDescent="0.25">
      <c r="B20" t="s">
        <v>124</v>
      </c>
    </row>
    <row r="21" spans="1:74" x14ac:dyDescent="0.25">
      <c r="B21" t="s">
        <v>70</v>
      </c>
      <c r="C21">
        <v>30.380912955443758</v>
      </c>
    </row>
    <row r="22" spans="1:74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  <c r="BA22">
        <v>51</v>
      </c>
      <c r="BB22">
        <v>52</v>
      </c>
      <c r="BC22">
        <v>53</v>
      </c>
      <c r="BD22">
        <v>54</v>
      </c>
      <c r="BE22">
        <v>55</v>
      </c>
      <c r="BF22">
        <v>56</v>
      </c>
      <c r="BG22">
        <v>57</v>
      </c>
      <c r="BH22">
        <v>58</v>
      </c>
      <c r="BI22">
        <v>59</v>
      </c>
      <c r="BJ22">
        <v>60</v>
      </c>
      <c r="BK22">
        <v>61</v>
      </c>
      <c r="BL22">
        <v>62</v>
      </c>
      <c r="BM22">
        <v>63</v>
      </c>
      <c r="BN22">
        <v>64</v>
      </c>
      <c r="BO22">
        <v>65</v>
      </c>
      <c r="BP22">
        <v>66</v>
      </c>
      <c r="BQ22">
        <v>67</v>
      </c>
      <c r="BR22">
        <v>68</v>
      </c>
      <c r="BS22">
        <v>69</v>
      </c>
      <c r="BT22">
        <v>70</v>
      </c>
      <c r="BU22">
        <v>71</v>
      </c>
      <c r="BV22">
        <v>72</v>
      </c>
    </row>
    <row r="23" spans="1:74" x14ac:dyDescent="0.25">
      <c r="A23" t="s">
        <v>13</v>
      </c>
      <c r="B23">
        <v>2000</v>
      </c>
      <c r="C23">
        <f>$C$21</f>
        <v>30.380912955443758</v>
      </c>
      <c r="D23">
        <f t="shared" ref="D23:BO23" si="4">$C$21</f>
        <v>30.380912955443758</v>
      </c>
      <c r="E23">
        <f t="shared" si="4"/>
        <v>30.380912955443758</v>
      </c>
      <c r="F23">
        <f t="shared" si="4"/>
        <v>30.380912955443758</v>
      </c>
      <c r="G23">
        <f t="shared" si="4"/>
        <v>30.380912955443758</v>
      </c>
      <c r="H23">
        <f t="shared" si="4"/>
        <v>30.380912955443758</v>
      </c>
      <c r="I23">
        <f t="shared" si="4"/>
        <v>30.380912955443758</v>
      </c>
      <c r="J23">
        <f t="shared" si="4"/>
        <v>30.380912955443758</v>
      </c>
      <c r="K23">
        <f t="shared" si="4"/>
        <v>30.380912955443758</v>
      </c>
      <c r="L23">
        <f t="shared" si="4"/>
        <v>30.380912955443758</v>
      </c>
      <c r="M23">
        <f t="shared" si="4"/>
        <v>30.380912955443758</v>
      </c>
      <c r="N23">
        <f t="shared" si="4"/>
        <v>30.380912955443758</v>
      </c>
      <c r="O23">
        <f t="shared" si="4"/>
        <v>30.380912955443758</v>
      </c>
      <c r="P23">
        <f t="shared" si="4"/>
        <v>30.380912955443758</v>
      </c>
      <c r="Q23">
        <f t="shared" si="4"/>
        <v>30.380912955443758</v>
      </c>
      <c r="R23">
        <f t="shared" si="4"/>
        <v>30.380912955443758</v>
      </c>
      <c r="S23">
        <f t="shared" si="4"/>
        <v>30.380912955443758</v>
      </c>
      <c r="T23">
        <f t="shared" si="4"/>
        <v>30.380912955443758</v>
      </c>
      <c r="U23">
        <f t="shared" si="4"/>
        <v>30.380912955443758</v>
      </c>
      <c r="V23">
        <f t="shared" si="4"/>
        <v>30.380912955443758</v>
      </c>
      <c r="W23">
        <f t="shared" si="4"/>
        <v>30.380912955443758</v>
      </c>
      <c r="X23">
        <f t="shared" si="4"/>
        <v>30.380912955443758</v>
      </c>
      <c r="Y23">
        <f t="shared" si="4"/>
        <v>30.380912955443758</v>
      </c>
      <c r="Z23">
        <f t="shared" si="4"/>
        <v>30.380912955443758</v>
      </c>
      <c r="AA23">
        <f t="shared" si="4"/>
        <v>30.380912955443758</v>
      </c>
      <c r="AB23">
        <f t="shared" si="4"/>
        <v>30.380912955443758</v>
      </c>
      <c r="AC23">
        <f t="shared" si="4"/>
        <v>30.380912955443758</v>
      </c>
      <c r="AD23">
        <f t="shared" si="4"/>
        <v>30.380912955443758</v>
      </c>
      <c r="AE23">
        <f t="shared" si="4"/>
        <v>30.380912955443758</v>
      </c>
      <c r="AF23">
        <f t="shared" si="4"/>
        <v>30.380912955443758</v>
      </c>
      <c r="AG23">
        <f t="shared" si="4"/>
        <v>30.380912955443758</v>
      </c>
      <c r="AH23">
        <f t="shared" si="4"/>
        <v>30.380912955443758</v>
      </c>
      <c r="AI23">
        <f t="shared" si="4"/>
        <v>30.380912955443758</v>
      </c>
      <c r="AJ23">
        <f t="shared" si="4"/>
        <v>30.380912955443758</v>
      </c>
      <c r="AK23">
        <f t="shared" si="4"/>
        <v>30.380912955443758</v>
      </c>
      <c r="AL23">
        <f t="shared" si="4"/>
        <v>30.380912955443758</v>
      </c>
      <c r="AM23">
        <f t="shared" si="4"/>
        <v>30.380912955443758</v>
      </c>
      <c r="AN23">
        <f t="shared" si="4"/>
        <v>30.380912955443758</v>
      </c>
      <c r="AO23">
        <f t="shared" si="4"/>
        <v>30.380912955443758</v>
      </c>
      <c r="AP23">
        <f t="shared" si="4"/>
        <v>30.380912955443758</v>
      </c>
      <c r="AQ23">
        <f t="shared" si="4"/>
        <v>30.380912955443758</v>
      </c>
      <c r="AR23">
        <f t="shared" si="4"/>
        <v>30.380912955443758</v>
      </c>
      <c r="AS23">
        <f t="shared" si="4"/>
        <v>30.380912955443758</v>
      </c>
      <c r="AT23">
        <f t="shared" si="4"/>
        <v>30.380912955443758</v>
      </c>
      <c r="AU23">
        <f t="shared" si="4"/>
        <v>30.380912955443758</v>
      </c>
      <c r="AV23">
        <f t="shared" si="4"/>
        <v>30.380912955443758</v>
      </c>
      <c r="AW23">
        <f t="shared" si="4"/>
        <v>30.380912955443758</v>
      </c>
      <c r="AX23">
        <f t="shared" si="4"/>
        <v>30.380912955443758</v>
      </c>
      <c r="AY23">
        <f t="shared" si="4"/>
        <v>30.380912955443758</v>
      </c>
      <c r="AZ23">
        <f t="shared" si="4"/>
        <v>30.380912955443758</v>
      </c>
      <c r="BA23">
        <f t="shared" si="4"/>
        <v>30.380912955443758</v>
      </c>
      <c r="BB23">
        <f t="shared" si="4"/>
        <v>30.380912955443758</v>
      </c>
      <c r="BC23">
        <f t="shared" si="4"/>
        <v>30.380912955443758</v>
      </c>
      <c r="BD23">
        <f t="shared" si="4"/>
        <v>30.380912955443758</v>
      </c>
      <c r="BE23">
        <f t="shared" si="4"/>
        <v>30.380912955443758</v>
      </c>
      <c r="BF23">
        <f t="shared" si="4"/>
        <v>30.380912955443758</v>
      </c>
      <c r="BG23">
        <f t="shared" si="4"/>
        <v>30.380912955443758</v>
      </c>
      <c r="BH23">
        <f t="shared" si="4"/>
        <v>30.380912955443758</v>
      </c>
      <c r="BI23">
        <f t="shared" si="4"/>
        <v>30.380912955443758</v>
      </c>
      <c r="BJ23">
        <f t="shared" si="4"/>
        <v>30.380912955443758</v>
      </c>
      <c r="BK23">
        <f t="shared" si="4"/>
        <v>30.380912955443758</v>
      </c>
      <c r="BL23">
        <f t="shared" si="4"/>
        <v>30.380912955443758</v>
      </c>
      <c r="BM23">
        <f t="shared" si="4"/>
        <v>30.380912955443758</v>
      </c>
      <c r="BN23">
        <f t="shared" si="4"/>
        <v>30.380912955443758</v>
      </c>
      <c r="BO23">
        <f t="shared" si="4"/>
        <v>30.380912955443758</v>
      </c>
      <c r="BP23">
        <f t="shared" ref="BP23:BV23" si="5">$C$21</f>
        <v>30.380912955443758</v>
      </c>
      <c r="BQ23">
        <f t="shared" si="5"/>
        <v>30.380912955443758</v>
      </c>
      <c r="BR23">
        <f t="shared" si="5"/>
        <v>30.380912955443758</v>
      </c>
      <c r="BS23">
        <f t="shared" si="5"/>
        <v>30.380912955443758</v>
      </c>
      <c r="BT23">
        <f t="shared" si="5"/>
        <v>30.380912955443758</v>
      </c>
      <c r="BU23">
        <f t="shared" si="5"/>
        <v>30.380912955443758</v>
      </c>
      <c r="BV23">
        <f t="shared" si="5"/>
        <v>30.380912955443758</v>
      </c>
    </row>
    <row r="24" spans="1:74" x14ac:dyDescent="0.25">
      <c r="A24" t="s">
        <v>3</v>
      </c>
      <c r="C24">
        <f t="shared" ref="C24:BN24" si="6">C23*(1+$A$13)^($BV$22-C22)</f>
        <v>38.387381596176574</v>
      </c>
      <c r="D24">
        <f t="shared" si="6"/>
        <v>38.261119900504895</v>
      </c>
      <c r="E24">
        <f t="shared" si="6"/>
        <v>38.13527349796162</v>
      </c>
      <c r="F24">
        <f t="shared" si="6"/>
        <v>38.009841022587089</v>
      </c>
      <c r="G24">
        <f t="shared" si="6"/>
        <v>37.884821112914466</v>
      </c>
      <c r="H24">
        <f t="shared" si="6"/>
        <v>37.76021241195501</v>
      </c>
      <c r="I24">
        <f t="shared" si="6"/>
        <v>37.636013567183298</v>
      </c>
      <c r="J24">
        <f t="shared" si="6"/>
        <v>37.512223230522572</v>
      </c>
      <c r="K24">
        <f t="shared" si="6"/>
        <v>37.388840058330082</v>
      </c>
      <c r="L24">
        <f t="shared" si="6"/>
        <v>37.265862711382503</v>
      </c>
      <c r="M24">
        <f t="shared" si="6"/>
        <v>37.143289854861465</v>
      </c>
      <c r="N24">
        <f t="shared" si="6"/>
        <v>37.021120158338945</v>
      </c>
      <c r="O24">
        <f t="shared" si="6"/>
        <v>36.899352295762924</v>
      </c>
      <c r="P24">
        <f t="shared" si="6"/>
        <v>36.777984945442959</v>
      </c>
      <c r="Q24">
        <f t="shared" si="6"/>
        <v>36.657016790035833</v>
      </c>
      <c r="R24">
        <f t="shared" si="6"/>
        <v>36.536446516531278</v>
      </c>
      <c r="S24">
        <f t="shared" si="6"/>
        <v>36.416272816237701</v>
      </c>
      <c r="T24">
        <f t="shared" si="6"/>
        <v>36.296494384767961</v>
      </c>
      <c r="U24">
        <f t="shared" si="6"/>
        <v>36.177109922025274</v>
      </c>
      <c r="V24">
        <f t="shared" si="6"/>
        <v>36.058118132189044</v>
      </c>
      <c r="W24">
        <f t="shared" si="6"/>
        <v>35.939517723700831</v>
      </c>
      <c r="X24">
        <f t="shared" si="6"/>
        <v>35.821307409250302</v>
      </c>
      <c r="Y24">
        <f t="shared" si="6"/>
        <v>35.703485905761283</v>
      </c>
      <c r="Z24">
        <f t="shared" si="6"/>
        <v>35.586051934377835</v>
      </c>
      <c r="AA24">
        <f t="shared" si="6"/>
        <v>35.469004220450351</v>
      </c>
      <c r="AB24">
        <f t="shared" si="6"/>
        <v>35.35234149352172</v>
      </c>
      <c r="AC24">
        <f t="shared" si="6"/>
        <v>35.236062487313589</v>
      </c>
      <c r="AD24">
        <f t="shared" si="6"/>
        <v>35.120165939712535</v>
      </c>
      <c r="AE24">
        <f t="shared" si="6"/>
        <v>35.004650592756434</v>
      </c>
      <c r="AF24">
        <f t="shared" si="6"/>
        <v>34.889515192620784</v>
      </c>
      <c r="AG24">
        <f t="shared" si="6"/>
        <v>34.774758489605077</v>
      </c>
      <c r="AH24">
        <f t="shared" si="6"/>
        <v>34.660379238119283</v>
      </c>
      <c r="AI24">
        <f t="shared" si="6"/>
        <v>34.546376196670273</v>
      </c>
      <c r="AJ24">
        <f t="shared" si="6"/>
        <v>34.43274812784837</v>
      </c>
      <c r="AK24">
        <f t="shared" si="6"/>
        <v>34.319493798313928</v>
      </c>
      <c r="AL24">
        <f t="shared" si="6"/>
        <v>34.20661197878394</v>
      </c>
      <c r="AM24">
        <f t="shared" si="6"/>
        <v>34.094101444018676</v>
      </c>
      <c r="AN24">
        <f t="shared" si="6"/>
        <v>33.981960972808402</v>
      </c>
      <c r="AO24">
        <f t="shared" si="6"/>
        <v>33.870189347960135</v>
      </c>
      <c r="AP24">
        <f t="shared" si="6"/>
        <v>33.758785356284392</v>
      </c>
      <c r="AQ24">
        <f t="shared" si="6"/>
        <v>33.647747788582073</v>
      </c>
      <c r="AR24">
        <f t="shared" si="6"/>
        <v>33.53707543963128</v>
      </c>
      <c r="AS24">
        <f t="shared" si="6"/>
        <v>33.426767108174303</v>
      </c>
      <c r="AT24">
        <f t="shared" si="6"/>
        <v>33.316821596904518</v>
      </c>
      <c r="AU24">
        <f t="shared" si="6"/>
        <v>33.20723771245342</v>
      </c>
      <c r="AV24">
        <f t="shared" si="6"/>
        <v>33.098014265377671</v>
      </c>
      <c r="AW24">
        <f t="shared" si="6"/>
        <v>32.989150070146181</v>
      </c>
      <c r="AX24">
        <f t="shared" si="6"/>
        <v>32.880643945127261</v>
      </c>
      <c r="AY24">
        <f t="shared" si="6"/>
        <v>32.772494712575757</v>
      </c>
      <c r="AZ24">
        <f t="shared" si="6"/>
        <v>32.664701198620307</v>
      </c>
      <c r="BA24">
        <f t="shared" si="6"/>
        <v>32.557262233250576</v>
      </c>
      <c r="BB24">
        <f t="shared" si="6"/>
        <v>32.45017665030457</v>
      </c>
      <c r="BC24">
        <f t="shared" si="6"/>
        <v>32.343443287455962</v>
      </c>
      <c r="BD24">
        <f t="shared" si="6"/>
        <v>32.237060986201492</v>
      </c>
      <c r="BE24">
        <f t="shared" si="6"/>
        <v>32.131028591848391</v>
      </c>
      <c r="BF24">
        <f t="shared" si="6"/>
        <v>32.025344953501836</v>
      </c>
      <c r="BG24">
        <f t="shared" si="6"/>
        <v>31.920008924052464</v>
      </c>
      <c r="BH24">
        <f t="shared" si="6"/>
        <v>31.815019360163916</v>
      </c>
      <c r="BI24">
        <f t="shared" si="6"/>
        <v>31.710375122260455</v>
      </c>
      <c r="BJ24">
        <f t="shared" si="6"/>
        <v>31.606075074514553</v>
      </c>
      <c r="BK24">
        <f t="shared" si="6"/>
        <v>31.502118084834599</v>
      </c>
      <c r="BL24">
        <f t="shared" si="6"/>
        <v>31.39850302485258</v>
      </c>
      <c r="BM24">
        <f t="shared" si="6"/>
        <v>31.295228769911869</v>
      </c>
      <c r="BN24">
        <f t="shared" si="6"/>
        <v>31.192294199054988</v>
      </c>
      <c r="BO24">
        <f t="shared" ref="BO24:BV24" si="7">BO23*(1+$A$13)^($BV$22-BO22)</f>
        <v>31.089698195011447</v>
      </c>
      <c r="BP24">
        <f t="shared" si="7"/>
        <v>30.987439644185631</v>
      </c>
      <c r="BQ24">
        <f t="shared" si="7"/>
        <v>30.885517436644701</v>
      </c>
      <c r="BR24">
        <f t="shared" si="7"/>
        <v>30.783930466106547</v>
      </c>
      <c r="BS24">
        <f t="shared" si="7"/>
        <v>30.682677629927781</v>
      </c>
      <c r="BT24">
        <f t="shared" si="7"/>
        <v>30.581757829091778</v>
      </c>
      <c r="BU24">
        <f t="shared" si="7"/>
        <v>30.481169968196724</v>
      </c>
      <c r="BV24">
        <f t="shared" si="7"/>
        <v>30.380912955443758</v>
      </c>
    </row>
    <row r="25" spans="1:74" x14ac:dyDescent="0.25">
      <c r="B25" t="s">
        <v>4</v>
      </c>
      <c r="C25">
        <f>SUM(C24:BV24)</f>
        <v>2464.5899999999988</v>
      </c>
    </row>
    <row r="26" spans="1:74" x14ac:dyDescent="0.25">
      <c r="A26" t="s">
        <v>125</v>
      </c>
      <c r="B26">
        <f>5000-B23*(1+A13)^(72)</f>
        <v>2464.5883741592515</v>
      </c>
    </row>
    <row r="28" spans="1:74" x14ac:dyDescent="0.25">
      <c r="B28" t="s">
        <v>126</v>
      </c>
    </row>
    <row r="29" spans="1:74" x14ac:dyDescent="0.25">
      <c r="B29" t="s">
        <v>70</v>
      </c>
      <c r="C29">
        <v>30.280985702625099</v>
      </c>
    </row>
    <row r="30" spans="1:74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</row>
    <row r="31" spans="1:74" x14ac:dyDescent="0.25">
      <c r="A31" t="s">
        <v>13</v>
      </c>
      <c r="B31">
        <f>$C$29</f>
        <v>30.280985702625099</v>
      </c>
      <c r="C31">
        <f>$C$29</f>
        <v>30.280985702625099</v>
      </c>
      <c r="D31">
        <f t="shared" ref="D31:BO31" si="8">$C$29</f>
        <v>30.280985702625099</v>
      </c>
      <c r="E31">
        <f t="shared" si="8"/>
        <v>30.280985702625099</v>
      </c>
      <c r="F31">
        <f t="shared" si="8"/>
        <v>30.280985702625099</v>
      </c>
      <c r="G31">
        <f t="shared" si="8"/>
        <v>30.280985702625099</v>
      </c>
      <c r="H31">
        <f t="shared" si="8"/>
        <v>30.280985702625099</v>
      </c>
      <c r="I31">
        <f t="shared" si="8"/>
        <v>30.280985702625099</v>
      </c>
      <c r="J31">
        <f t="shared" si="8"/>
        <v>30.280985702625099</v>
      </c>
      <c r="K31">
        <f t="shared" si="8"/>
        <v>30.280985702625099</v>
      </c>
      <c r="L31">
        <f t="shared" si="8"/>
        <v>30.280985702625099</v>
      </c>
      <c r="M31">
        <f t="shared" si="8"/>
        <v>30.280985702625099</v>
      </c>
      <c r="N31">
        <f t="shared" si="8"/>
        <v>30.280985702625099</v>
      </c>
      <c r="O31">
        <f t="shared" si="8"/>
        <v>30.280985702625099</v>
      </c>
      <c r="P31">
        <f t="shared" si="8"/>
        <v>30.280985702625099</v>
      </c>
      <c r="Q31">
        <f t="shared" si="8"/>
        <v>30.280985702625099</v>
      </c>
      <c r="R31">
        <f t="shared" si="8"/>
        <v>30.280985702625099</v>
      </c>
      <c r="S31">
        <f t="shared" si="8"/>
        <v>30.280985702625099</v>
      </c>
      <c r="T31">
        <f t="shared" si="8"/>
        <v>30.280985702625099</v>
      </c>
      <c r="U31">
        <f t="shared" si="8"/>
        <v>30.280985702625099</v>
      </c>
      <c r="V31">
        <f t="shared" si="8"/>
        <v>30.280985702625099</v>
      </c>
      <c r="W31">
        <f t="shared" si="8"/>
        <v>30.280985702625099</v>
      </c>
      <c r="X31">
        <f t="shared" si="8"/>
        <v>30.280985702625099</v>
      </c>
      <c r="Y31">
        <f t="shared" si="8"/>
        <v>30.280985702625099</v>
      </c>
      <c r="Z31">
        <f t="shared" si="8"/>
        <v>30.280985702625099</v>
      </c>
      <c r="AA31">
        <f t="shared" si="8"/>
        <v>30.280985702625099</v>
      </c>
      <c r="AB31">
        <f t="shared" si="8"/>
        <v>30.280985702625099</v>
      </c>
      <c r="AC31">
        <f t="shared" si="8"/>
        <v>30.280985702625099</v>
      </c>
      <c r="AD31">
        <f t="shared" si="8"/>
        <v>30.280985702625099</v>
      </c>
      <c r="AE31">
        <f t="shared" si="8"/>
        <v>30.280985702625099</v>
      </c>
      <c r="AF31">
        <f t="shared" si="8"/>
        <v>30.280985702625099</v>
      </c>
      <c r="AG31">
        <f t="shared" si="8"/>
        <v>30.280985702625099</v>
      </c>
      <c r="AH31">
        <f t="shared" si="8"/>
        <v>30.280985702625099</v>
      </c>
      <c r="AI31">
        <f t="shared" si="8"/>
        <v>30.280985702625099</v>
      </c>
      <c r="AJ31">
        <f t="shared" si="8"/>
        <v>30.280985702625099</v>
      </c>
      <c r="AK31">
        <f t="shared" si="8"/>
        <v>30.280985702625099</v>
      </c>
      <c r="AL31">
        <f t="shared" si="8"/>
        <v>30.280985702625099</v>
      </c>
      <c r="AM31">
        <f t="shared" si="8"/>
        <v>30.280985702625099</v>
      </c>
      <c r="AN31">
        <f t="shared" si="8"/>
        <v>30.280985702625099</v>
      </c>
      <c r="AO31">
        <f t="shared" si="8"/>
        <v>30.280985702625099</v>
      </c>
      <c r="AP31">
        <f t="shared" si="8"/>
        <v>30.280985702625099</v>
      </c>
      <c r="AQ31">
        <f t="shared" si="8"/>
        <v>30.280985702625099</v>
      </c>
      <c r="AR31">
        <f t="shared" si="8"/>
        <v>30.280985702625099</v>
      </c>
      <c r="AS31">
        <f t="shared" si="8"/>
        <v>30.280985702625099</v>
      </c>
      <c r="AT31">
        <f t="shared" si="8"/>
        <v>30.280985702625099</v>
      </c>
      <c r="AU31">
        <f t="shared" si="8"/>
        <v>30.280985702625099</v>
      </c>
      <c r="AV31">
        <f t="shared" si="8"/>
        <v>30.280985702625099</v>
      </c>
      <c r="AW31">
        <f t="shared" si="8"/>
        <v>30.280985702625099</v>
      </c>
      <c r="AX31">
        <f t="shared" si="8"/>
        <v>30.280985702625099</v>
      </c>
      <c r="AY31">
        <f t="shared" si="8"/>
        <v>30.280985702625099</v>
      </c>
      <c r="AZ31">
        <f t="shared" si="8"/>
        <v>30.280985702625099</v>
      </c>
      <c r="BA31">
        <f t="shared" si="8"/>
        <v>30.280985702625099</v>
      </c>
      <c r="BB31">
        <f t="shared" si="8"/>
        <v>30.280985702625099</v>
      </c>
      <c r="BC31">
        <f t="shared" si="8"/>
        <v>30.280985702625099</v>
      </c>
      <c r="BD31">
        <f t="shared" si="8"/>
        <v>30.280985702625099</v>
      </c>
      <c r="BE31">
        <f t="shared" si="8"/>
        <v>30.280985702625099</v>
      </c>
      <c r="BF31">
        <f t="shared" si="8"/>
        <v>30.280985702625099</v>
      </c>
      <c r="BG31">
        <f t="shared" si="8"/>
        <v>30.280985702625099</v>
      </c>
      <c r="BH31">
        <f t="shared" si="8"/>
        <v>30.280985702625099</v>
      </c>
      <c r="BI31">
        <f t="shared" si="8"/>
        <v>30.280985702625099</v>
      </c>
      <c r="BJ31">
        <f t="shared" si="8"/>
        <v>30.280985702625099</v>
      </c>
      <c r="BK31">
        <f t="shared" si="8"/>
        <v>30.280985702625099</v>
      </c>
      <c r="BL31">
        <f t="shared" si="8"/>
        <v>30.280985702625099</v>
      </c>
      <c r="BM31">
        <f t="shared" si="8"/>
        <v>30.280985702625099</v>
      </c>
      <c r="BN31">
        <f t="shared" si="8"/>
        <v>30.280985702625099</v>
      </c>
      <c r="BO31">
        <f t="shared" si="8"/>
        <v>30.280985702625099</v>
      </c>
      <c r="BP31">
        <f t="shared" ref="BP31:BU31" si="9">$C$29</f>
        <v>30.280985702625099</v>
      </c>
      <c r="BQ31">
        <f t="shared" si="9"/>
        <v>30.280985702625099</v>
      </c>
      <c r="BR31">
        <f t="shared" si="9"/>
        <v>30.280985702625099</v>
      </c>
      <c r="BS31">
        <f t="shared" si="9"/>
        <v>30.280985702625099</v>
      </c>
      <c r="BT31">
        <f t="shared" si="9"/>
        <v>30.280985702625099</v>
      </c>
      <c r="BU31">
        <f t="shared" si="9"/>
        <v>30.280985702625099</v>
      </c>
    </row>
    <row r="32" spans="1:74" x14ac:dyDescent="0.25">
      <c r="A32" t="s">
        <v>3</v>
      </c>
      <c r="B32">
        <f>B31*(1+$A$13)^($BV$30-B30)</f>
        <v>38.387381596176581</v>
      </c>
      <c r="C32">
        <f t="shared" ref="C32:BN32" si="10">C31*(1+$A$13)^($BV$30-C30)</f>
        <v>38.261119900504916</v>
      </c>
      <c r="D32">
        <f t="shared" si="10"/>
        <v>38.135273497961627</v>
      </c>
      <c r="E32">
        <f t="shared" si="10"/>
        <v>38.009841022587089</v>
      </c>
      <c r="F32">
        <f t="shared" si="10"/>
        <v>37.884821112914473</v>
      </c>
      <c r="G32">
        <f t="shared" si="10"/>
        <v>37.760212411955017</v>
      </c>
      <c r="H32">
        <f t="shared" si="10"/>
        <v>37.636013567183305</v>
      </c>
      <c r="I32">
        <f t="shared" si="10"/>
        <v>37.512223230522579</v>
      </c>
      <c r="J32">
        <f t="shared" si="10"/>
        <v>37.388840058330089</v>
      </c>
      <c r="K32">
        <f t="shared" si="10"/>
        <v>37.265862711382525</v>
      </c>
      <c r="L32">
        <f t="shared" si="10"/>
        <v>37.143289854861465</v>
      </c>
      <c r="M32">
        <f t="shared" si="10"/>
        <v>37.021120158338952</v>
      </c>
      <c r="N32">
        <f t="shared" si="10"/>
        <v>36.899352295762931</v>
      </c>
      <c r="O32">
        <f t="shared" si="10"/>
        <v>36.777984945442967</v>
      </c>
      <c r="P32">
        <f t="shared" si="10"/>
        <v>36.657016790035847</v>
      </c>
      <c r="Q32">
        <f t="shared" si="10"/>
        <v>36.536446516531285</v>
      </c>
      <c r="R32">
        <f t="shared" si="10"/>
        <v>36.416272816237701</v>
      </c>
      <c r="S32">
        <f t="shared" si="10"/>
        <v>36.296494384767968</v>
      </c>
      <c r="T32">
        <f t="shared" si="10"/>
        <v>36.177109922025281</v>
      </c>
      <c r="U32">
        <f t="shared" si="10"/>
        <v>36.058118132189051</v>
      </c>
      <c r="V32">
        <f t="shared" si="10"/>
        <v>35.939517723700838</v>
      </c>
      <c r="W32">
        <f t="shared" si="10"/>
        <v>35.821307409250309</v>
      </c>
      <c r="X32">
        <f t="shared" si="10"/>
        <v>35.703485905761291</v>
      </c>
      <c r="Y32">
        <f t="shared" si="10"/>
        <v>35.586051934377835</v>
      </c>
      <c r="Z32">
        <f t="shared" si="10"/>
        <v>35.469004220450351</v>
      </c>
      <c r="AA32">
        <f t="shared" si="10"/>
        <v>35.352341493521735</v>
      </c>
      <c r="AB32">
        <f t="shared" si="10"/>
        <v>35.236062487313589</v>
      </c>
      <c r="AC32">
        <f t="shared" si="10"/>
        <v>35.120165939712535</v>
      </c>
      <c r="AD32">
        <f t="shared" si="10"/>
        <v>35.004650592756441</v>
      </c>
      <c r="AE32">
        <f t="shared" si="10"/>
        <v>34.889515192620792</v>
      </c>
      <c r="AF32">
        <f t="shared" si="10"/>
        <v>34.774758489605091</v>
      </c>
      <c r="AG32">
        <f t="shared" si="10"/>
        <v>34.66037923811929</v>
      </c>
      <c r="AH32">
        <f t="shared" si="10"/>
        <v>34.54637619667028</v>
      </c>
      <c r="AI32">
        <f t="shared" si="10"/>
        <v>34.432748127848377</v>
      </c>
      <c r="AJ32">
        <f t="shared" si="10"/>
        <v>34.319493798313935</v>
      </c>
      <c r="AK32">
        <f t="shared" si="10"/>
        <v>34.20661197878394</v>
      </c>
      <c r="AL32">
        <f t="shared" si="10"/>
        <v>34.094101444018683</v>
      </c>
      <c r="AM32">
        <f t="shared" si="10"/>
        <v>33.981960972808416</v>
      </c>
      <c r="AN32">
        <f t="shared" si="10"/>
        <v>33.870189347960135</v>
      </c>
      <c r="AO32">
        <f t="shared" si="10"/>
        <v>33.758785356284399</v>
      </c>
      <c r="AP32">
        <f t="shared" si="10"/>
        <v>33.647747788582073</v>
      </c>
      <c r="AQ32">
        <f t="shared" si="10"/>
        <v>33.537075439631288</v>
      </c>
      <c r="AR32">
        <f t="shared" si="10"/>
        <v>33.426767108174303</v>
      </c>
      <c r="AS32">
        <f t="shared" si="10"/>
        <v>33.316821596904525</v>
      </c>
      <c r="AT32">
        <f t="shared" si="10"/>
        <v>33.207237712453427</v>
      </c>
      <c r="AU32">
        <f t="shared" si="10"/>
        <v>33.098014265377678</v>
      </c>
      <c r="AV32">
        <f t="shared" si="10"/>
        <v>32.989150070146188</v>
      </c>
      <c r="AW32">
        <f t="shared" si="10"/>
        <v>32.880643945127268</v>
      </c>
      <c r="AX32">
        <f t="shared" si="10"/>
        <v>32.772494712575764</v>
      </c>
      <c r="AY32">
        <f t="shared" si="10"/>
        <v>32.664701198620314</v>
      </c>
      <c r="AZ32">
        <f t="shared" si="10"/>
        <v>32.557262233250583</v>
      </c>
      <c r="BA32">
        <f t="shared" si="10"/>
        <v>32.450176650304577</v>
      </c>
      <c r="BB32">
        <f t="shared" si="10"/>
        <v>32.343443287455969</v>
      </c>
      <c r="BC32">
        <f t="shared" si="10"/>
        <v>32.237060986201506</v>
      </c>
      <c r="BD32">
        <f t="shared" si="10"/>
        <v>32.131028591848398</v>
      </c>
      <c r="BE32">
        <f t="shared" si="10"/>
        <v>32.025344953501836</v>
      </c>
      <c r="BF32">
        <f t="shared" si="10"/>
        <v>31.920008924052464</v>
      </c>
      <c r="BG32">
        <f t="shared" si="10"/>
        <v>31.815019360163927</v>
      </c>
      <c r="BH32">
        <f t="shared" si="10"/>
        <v>31.710375122260459</v>
      </c>
      <c r="BI32">
        <f t="shared" si="10"/>
        <v>31.60607507451456</v>
      </c>
      <c r="BJ32">
        <f t="shared" si="10"/>
        <v>31.502118084834603</v>
      </c>
      <c r="BK32">
        <f t="shared" si="10"/>
        <v>31.398503024852591</v>
      </c>
      <c r="BL32">
        <f t="shared" si="10"/>
        <v>31.295228769911876</v>
      </c>
      <c r="BM32">
        <f t="shared" si="10"/>
        <v>31.192294199054988</v>
      </c>
      <c r="BN32">
        <f t="shared" si="10"/>
        <v>31.089698195011451</v>
      </c>
      <c r="BO32">
        <f t="shared" ref="BO32:BU32" si="11">BO31*(1+$A$13)^($BV$30-BO30)</f>
        <v>30.987439644185638</v>
      </c>
      <c r="BP32">
        <f t="shared" si="11"/>
        <v>30.885517436644705</v>
      </c>
      <c r="BQ32">
        <f t="shared" si="11"/>
        <v>30.783930466106554</v>
      </c>
      <c r="BR32">
        <f t="shared" si="11"/>
        <v>30.682677629927788</v>
      </c>
      <c r="BS32">
        <f t="shared" si="11"/>
        <v>30.581757829091782</v>
      </c>
      <c r="BT32">
        <f t="shared" si="11"/>
        <v>30.481169968196731</v>
      </c>
      <c r="BU32">
        <f t="shared" si="11"/>
        <v>30.380912955443765</v>
      </c>
    </row>
    <row r="33" spans="1:3" x14ac:dyDescent="0.25">
      <c r="B33" t="s">
        <v>129</v>
      </c>
    </row>
    <row r="34" spans="1:3" x14ac:dyDescent="0.25">
      <c r="A34" t="s">
        <v>4</v>
      </c>
      <c r="B34">
        <f>SUM(B32:BU32)</f>
        <v>2464.5899999999992</v>
      </c>
    </row>
    <row r="35" spans="1:3" x14ac:dyDescent="0.25">
      <c r="A35" t="s">
        <v>127</v>
      </c>
      <c r="B35">
        <f>2000*(1+A13)^(72)</f>
        <v>2535.4116258407485</v>
      </c>
      <c r="C35" t="s">
        <v>128</v>
      </c>
    </row>
    <row r="36" spans="1:3" x14ac:dyDescent="0.25">
      <c r="A36" t="s">
        <v>125</v>
      </c>
      <c r="B36">
        <f>5000-B35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3:O19"/>
  <sheetViews>
    <sheetView zoomScale="220" zoomScaleNormal="220" workbookViewId="0">
      <selection activeCell="K8" sqref="K8"/>
    </sheetView>
  </sheetViews>
  <sheetFormatPr defaultRowHeight="15" x14ac:dyDescent="0.25"/>
  <sheetData>
    <row r="3" spans="2:15" x14ac:dyDescent="0.25">
      <c r="I3" t="s">
        <v>80</v>
      </c>
    </row>
    <row r="7" spans="2:15" x14ac:dyDescent="0.25">
      <c r="O7">
        <f>O11/((1+5%)^(3))</f>
        <v>369.7070665000694</v>
      </c>
    </row>
    <row r="8" spans="2:15" x14ac:dyDescent="0.25">
      <c r="L8" t="s">
        <v>81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 s="2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 s="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 s="2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 s="2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 s="2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 s="2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 s="2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 s="2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 s="2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63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E15" sqref="E15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s="2" t="s">
        <v>82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34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34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34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34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34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34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34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34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34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L13" sqref="L13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17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34">
        <f>1/((1+C11))</f>
        <v>0.86956521739130443</v>
      </c>
      <c r="J11" s="34">
        <f>1/((1+C11)*(1+D11))</f>
        <v>0.7561436672967865</v>
      </c>
      <c r="K11" s="34">
        <f>1/((1+E11)*(1+D11)*(1+C11))</f>
        <v>0.63011972274732209</v>
      </c>
      <c r="L11" s="34">
        <f>1/((1+F11)*(1+E11)*(1+D11)*(1+C11))</f>
        <v>0.52509976895610178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>1/((1+C12))</f>
        <v>0.8</v>
      </c>
      <c r="J12" s="9">
        <f>1/((1+D12)*(1+C12))</f>
        <v>0.66666666666666663</v>
      </c>
      <c r="K12" s="9">
        <f>1/((1+E12)*(1+D12)*(1+C12))</f>
        <v>0.57971014492753625</v>
      </c>
      <c r="L12" s="9">
        <f>1/((1+F12)*(1+E12)*(1+D12)*(1+C12))</f>
        <v>0.50409577819785767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ref="I13:I15" si="1">1/((1+C13)^(I12-$H$9))</f>
        <v>0.91332549698752696</v>
      </c>
      <c r="J13" s="9">
        <f t="shared" si="0"/>
        <v>0.9163543217739637</v>
      </c>
      <c r="K13" s="9">
        <f t="shared" ref="K13:K15" si="2">1/((1+E13)^(K12-$H$9))</f>
        <v>0.91755699354521736</v>
      </c>
      <c r="L13" s="9">
        <f t="shared" si="0"/>
        <v>0.92791244567469766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1"/>
        <v>0.89438005191194359</v>
      </c>
      <c r="J14" s="9">
        <f t="shared" si="0"/>
        <v>0.87979050714339813</v>
      </c>
      <c r="K14" s="9">
        <f t="shared" si="2"/>
        <v>0.87964263757080363</v>
      </c>
      <c r="L14" s="9">
        <f t="shared" si="0"/>
        <v>0.87837045328645402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1"/>
        <v>0.7401265777068925</v>
      </c>
      <c r="J15" s="9">
        <f t="shared" si="0"/>
        <v>0.74376877429102839</v>
      </c>
      <c r="K15" s="9">
        <f t="shared" si="2"/>
        <v>0.74380578068755321</v>
      </c>
      <c r="L15" s="9">
        <f t="shared" si="0"/>
        <v>0.74412423839537334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P20"/>
  <sheetViews>
    <sheetView zoomScale="175" zoomScaleNormal="175" workbookViewId="0">
      <selection activeCell="P8" sqref="P8"/>
    </sheetView>
  </sheetViews>
  <sheetFormatPr defaultRowHeight="15" x14ac:dyDescent="0.25"/>
  <sheetData>
    <row r="2" spans="9:16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6" x14ac:dyDescent="0.25">
      <c r="I3" s="13" t="s">
        <v>18</v>
      </c>
      <c r="J3" s="14"/>
      <c r="K3" s="15">
        <v>0.1</v>
      </c>
      <c r="L3" s="15">
        <v>0.15</v>
      </c>
      <c r="M3" s="15">
        <v>0.2</v>
      </c>
      <c r="N3" s="16">
        <v>0.25</v>
      </c>
      <c r="P3" t="s">
        <v>83</v>
      </c>
    </row>
    <row r="4" spans="9:16" x14ac:dyDescent="0.25">
      <c r="I4" s="17" t="s">
        <v>19</v>
      </c>
      <c r="K4">
        <v>1250</v>
      </c>
      <c r="L4">
        <v>1500</v>
      </c>
      <c r="M4">
        <v>1750</v>
      </c>
      <c r="N4" s="18">
        <v>2000</v>
      </c>
    </row>
    <row r="5" spans="9:16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 s="2">
        <f>SUM(K5:N5)</f>
        <v>4528.985507246377</v>
      </c>
    </row>
    <row r="7" spans="9:16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6" x14ac:dyDescent="0.25">
      <c r="I8" s="13" t="s">
        <v>18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6" x14ac:dyDescent="0.25">
      <c r="I9" s="17" t="s">
        <v>19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6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 s="2">
        <f>SUM(J10:N10)</f>
        <v>-131.48880105401827</v>
      </c>
    </row>
    <row r="12" spans="9:16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6" x14ac:dyDescent="0.25">
      <c r="I13" s="13" t="s">
        <v>18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6" x14ac:dyDescent="0.25">
      <c r="I14" s="17" t="s">
        <v>19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6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 s="2">
        <f>SUM(J15:N15)</f>
        <v>421.05007817348951</v>
      </c>
    </row>
    <row r="17" spans="2:15" x14ac:dyDescent="0.25">
      <c r="B17" s="2" t="s">
        <v>20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18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19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 s="2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H14" sqref="H14"/>
    </sheetView>
  </sheetViews>
  <sheetFormatPr defaultRowHeight="15" x14ac:dyDescent="0.25"/>
  <sheetData>
    <row r="8" spans="2:8" x14ac:dyDescent="0.25">
      <c r="B8" s="6" t="s">
        <v>21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23</v>
      </c>
      <c r="C11" s="2">
        <v>1</v>
      </c>
      <c r="D11" s="34">
        <f>1/((1+D10)^(D8))</f>
        <v>0.86956521739130443</v>
      </c>
      <c r="E11" s="34">
        <f>1/((1+E10)^(E8))</f>
        <v>0.7561436672967865</v>
      </c>
      <c r="F11" s="34">
        <f t="shared" ref="F11:G11" si="0">1/((1+F10)^(F8))</f>
        <v>0.65751623243198831</v>
      </c>
      <c r="G11" s="34">
        <f t="shared" si="0"/>
        <v>0.57175324559303342</v>
      </c>
    </row>
    <row r="12" spans="2:8" x14ac:dyDescent="0.25">
      <c r="B12" t="s">
        <v>13</v>
      </c>
      <c r="D12" s="2">
        <f>D9*D11</f>
        <v>2173.913043478261</v>
      </c>
      <c r="E12" s="2">
        <f>E9*E11</f>
        <v>1890.3591682419662</v>
      </c>
      <c r="F12" s="2">
        <f>F9*F11</f>
        <v>1643.7905810799707</v>
      </c>
      <c r="G12" s="2">
        <f t="shared" ref="G12" si="1">G9*G11</f>
        <v>1429.3831139825836</v>
      </c>
      <c r="H12" s="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J11" sqref="J11"/>
    </sheetView>
  </sheetViews>
  <sheetFormatPr defaultRowHeight="15" x14ac:dyDescent="0.25"/>
  <sheetData>
    <row r="7" spans="2:8" x14ac:dyDescent="0.25">
      <c r="B7" s="6" t="s">
        <v>21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22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23</v>
      </c>
      <c r="C10" s="2">
        <f>1/((1+0%)^(C7))</f>
        <v>1</v>
      </c>
      <c r="D10" s="2">
        <f>1/((1+D9)^(D7))</f>
        <v>0.83333333333333337</v>
      </c>
      <c r="E10" s="2">
        <f>1/((1+E9)^(E7))</f>
        <v>0.69444444444444442</v>
      </c>
      <c r="F10" s="2">
        <f t="shared" ref="F10" si="0">1/((1+F9)^(F7))</f>
        <v>0.57870370370370372</v>
      </c>
      <c r="G10" s="2">
        <f>1/((1+G9)^(G7))</f>
        <v>0.48225308641975312</v>
      </c>
    </row>
    <row r="11" spans="2:8" x14ac:dyDescent="0.25">
      <c r="B11" t="s">
        <v>13</v>
      </c>
      <c r="C11" s="2">
        <f>C8*C10</f>
        <v>10000</v>
      </c>
      <c r="D11" s="2">
        <f t="shared" ref="D11:G11" si="1">D8*D10</f>
        <v>8333.3333333333339</v>
      </c>
      <c r="E11" s="2">
        <f t="shared" si="1"/>
        <v>6944.4444444444443</v>
      </c>
      <c r="F11" s="2">
        <f t="shared" si="1"/>
        <v>5787.0370370370374</v>
      </c>
      <c r="G11" s="2">
        <f t="shared" si="1"/>
        <v>4822.5308641975316</v>
      </c>
      <c r="H11" s="2">
        <f>SUM(C11:G11)</f>
        <v>35887.345679012345</v>
      </c>
    </row>
    <row r="14" spans="2:8" x14ac:dyDescent="0.25">
      <c r="B14" s="2" t="s">
        <v>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H11" sqref="H11"/>
    </sheetView>
  </sheetViews>
  <sheetFormatPr defaultRowHeight="15" x14ac:dyDescent="0.25"/>
  <sheetData>
    <row r="8" spans="2:8" x14ac:dyDescent="0.25">
      <c r="B8" s="6" t="s">
        <v>24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 s="2">
        <f>D9/((1+D10)^(D8))</f>
        <v>2173.913043478261</v>
      </c>
      <c r="E11" s="2">
        <f>E9/((1+E10)^(E8))</f>
        <v>1890.3591682419662</v>
      </c>
      <c r="F11" s="2">
        <f t="shared" ref="F11:G11" si="0">F9/((1+F10)^(F8))</f>
        <v>1643.7905810799709</v>
      </c>
      <c r="G11" s="2">
        <f t="shared" si="0"/>
        <v>1429.3831139825834</v>
      </c>
      <c r="H11" s="2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ex11g</vt:lpstr>
      <vt:lpstr>ex12g</vt:lpstr>
      <vt:lpstr>ex13g</vt:lpstr>
      <vt:lpstr>ex14g</vt:lpstr>
      <vt:lpstr>ex15g</vt:lpstr>
      <vt:lpstr>ex16</vt:lpstr>
      <vt:lpstr>ex17g</vt:lpstr>
      <vt:lpstr>ex18</vt:lpstr>
      <vt:lpstr>ex19g</vt:lpstr>
      <vt:lpstr>ex20g</vt:lpstr>
      <vt:lpstr>ex21g</vt:lpstr>
      <vt:lpstr>ex22g</vt:lpstr>
      <vt:lpstr>ex23</vt:lpstr>
      <vt:lpstr>ex24</vt:lpstr>
      <vt:lpstr>ex25g</vt:lpstr>
      <vt:lpstr>ex26b</vt:lpstr>
      <vt:lpstr>ex27g</vt:lpstr>
      <vt:lpstr>ex28</vt:lpstr>
      <vt:lpstr>ex29g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2023-03-28T04:27:46Z</dcterms:modified>
</cp:coreProperties>
</file>