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4\"/>
    </mc:Choice>
  </mc:AlternateContent>
  <xr:revisionPtr revIDLastSave="0" documentId="13_ncr:1_{BC3991AB-1AB8-4E70-A856-218A4B216074}" xr6:coauthVersionLast="47" xr6:coauthVersionMax="47" xr10:uidLastSave="{00000000-0000-0000-0000-000000000000}"/>
  <bookViews>
    <workbookView xWindow="-120" yWindow="-120" windowWidth="29040" windowHeight="15840" activeTab="10" xr2:uid="{EF6A0CBE-8298-4B7B-ACCA-869545E000E7}"/>
  </bookViews>
  <sheets>
    <sheet name="ex1" sheetId="1" r:id="rId1"/>
    <sheet name="ex2g" sheetId="2" r:id="rId2"/>
    <sheet name="ex3" sheetId="3" r:id="rId3"/>
    <sheet name="ex4" sheetId="4" r:id="rId4"/>
    <sheet name="ex5g" sheetId="5" r:id="rId5"/>
    <sheet name="ex6g" sheetId="6" r:id="rId6"/>
    <sheet name="ex7g" sheetId="7" r:id="rId7"/>
    <sheet name="ex8" sheetId="8" r:id="rId8"/>
    <sheet name="ex9g" sheetId="9" r:id="rId9"/>
    <sheet name="trash" sheetId="10" r:id="rId10"/>
    <sheet name="pt2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3" i="11" l="1"/>
  <c r="D31" i="11"/>
  <c r="B202" i="11"/>
  <c r="H188" i="11"/>
  <c r="G188" i="11"/>
  <c r="F188" i="11"/>
  <c r="E188" i="11"/>
  <c r="E187" i="11"/>
  <c r="D188" i="11"/>
  <c r="C188" i="11"/>
  <c r="B200" i="11"/>
  <c r="B199" i="11"/>
  <c r="D197" i="11"/>
  <c r="E197" i="11"/>
  <c r="F197" i="11"/>
  <c r="G197" i="11"/>
  <c r="H197" i="11"/>
  <c r="C197" i="11"/>
  <c r="D194" i="11"/>
  <c r="E194" i="11"/>
  <c r="F194" i="11"/>
  <c r="G194" i="11"/>
  <c r="H194" i="11"/>
  <c r="C194" i="11"/>
  <c r="D193" i="11"/>
  <c r="E193" i="11"/>
  <c r="F193" i="11"/>
  <c r="G193" i="11"/>
  <c r="H193" i="11"/>
  <c r="C193" i="11"/>
  <c r="L184" i="11"/>
  <c r="L185" i="11"/>
  <c r="E192" i="11"/>
  <c r="F192" i="11" s="1"/>
  <c r="G192" i="11" s="1"/>
  <c r="H192" i="11" s="1"/>
  <c r="D192" i="11"/>
  <c r="C192" i="11"/>
  <c r="D191" i="11"/>
  <c r="C191" i="11"/>
  <c r="E190" i="11"/>
  <c r="F190" i="11" s="1"/>
  <c r="G190" i="11" s="1"/>
  <c r="H190" i="11" s="1"/>
  <c r="D190" i="11"/>
  <c r="C190" i="11"/>
  <c r="D187" i="11"/>
  <c r="C195" i="11" s="1"/>
  <c r="D186" i="11"/>
  <c r="E186" i="11"/>
  <c r="F186" i="11"/>
  <c r="G186" i="11"/>
  <c r="H186" i="11"/>
  <c r="C186" i="11"/>
  <c r="B183" i="11"/>
  <c r="D97" i="11"/>
  <c r="E97" i="11"/>
  <c r="F97" i="11"/>
  <c r="G97" i="11"/>
  <c r="C97" i="11"/>
  <c r="D96" i="11"/>
  <c r="E96" i="11"/>
  <c r="F96" i="11"/>
  <c r="G96" i="11"/>
  <c r="C96" i="11"/>
  <c r="D94" i="11"/>
  <c r="E94" i="11" s="1"/>
  <c r="F94" i="11" s="1"/>
  <c r="G94" i="11" s="1"/>
  <c r="C94" i="11"/>
  <c r="D95" i="11"/>
  <c r="E95" i="11"/>
  <c r="F95" i="11"/>
  <c r="G95" i="11"/>
  <c r="C95" i="11"/>
  <c r="C93" i="11"/>
  <c r="D93" i="11" s="1"/>
  <c r="E93" i="11" s="1"/>
  <c r="F93" i="11" s="1"/>
  <c r="G93" i="11" s="1"/>
  <c r="C88" i="11"/>
  <c r="D88" i="11" s="1"/>
  <c r="E88" i="11" s="1"/>
  <c r="C90" i="11"/>
  <c r="D90" i="11" s="1"/>
  <c r="E90" i="11" s="1"/>
  <c r="F90" i="11" s="1"/>
  <c r="G90" i="11" s="1"/>
  <c r="C91" i="11"/>
  <c r="D91" i="11"/>
  <c r="E91" i="11" s="1"/>
  <c r="F91" i="11" s="1"/>
  <c r="G91" i="11" s="1"/>
  <c r="C92" i="11"/>
  <c r="D92" i="11" s="1"/>
  <c r="E92" i="11" s="1"/>
  <c r="F92" i="11" s="1"/>
  <c r="G92" i="11" s="1"/>
  <c r="J6" i="11"/>
  <c r="G24" i="11" s="1"/>
  <c r="G25" i="11" s="1"/>
  <c r="B141" i="11"/>
  <c r="B142" i="11" s="1"/>
  <c r="C139" i="11"/>
  <c r="D139" i="11" s="1"/>
  <c r="E139" i="11" s="1"/>
  <c r="F139" i="11" s="1"/>
  <c r="G139" i="11" s="1"/>
  <c r="H139" i="11" s="1"/>
  <c r="I139" i="11" s="1"/>
  <c r="C138" i="11"/>
  <c r="D138" i="11" s="1"/>
  <c r="B123" i="11"/>
  <c r="B124" i="11" s="1"/>
  <c r="D113" i="11"/>
  <c r="E113" i="11"/>
  <c r="F113" i="11"/>
  <c r="G113" i="11"/>
  <c r="C113" i="11"/>
  <c r="K112" i="11"/>
  <c r="F117" i="11" s="1"/>
  <c r="F122" i="11" s="1"/>
  <c r="B83" i="11"/>
  <c r="C86" i="11"/>
  <c r="D86" i="11" s="1"/>
  <c r="E86" i="11" s="1"/>
  <c r="F86" i="11" s="1"/>
  <c r="G86" i="11" s="1"/>
  <c r="G85" i="11"/>
  <c r="F85" i="11"/>
  <c r="D85" i="11"/>
  <c r="E85" i="11"/>
  <c r="C85" i="11"/>
  <c r="L79" i="11"/>
  <c r="B49" i="11"/>
  <c r="C196" i="11" l="1"/>
  <c r="C198" i="11" s="1"/>
  <c r="C199" i="11" s="1"/>
  <c r="C200" i="11" s="1"/>
  <c r="E89" i="11"/>
  <c r="F88" i="11"/>
  <c r="G88" i="11" s="1"/>
  <c r="G30" i="11"/>
  <c r="F24" i="11"/>
  <c r="E24" i="11"/>
  <c r="D24" i="11"/>
  <c r="I24" i="11"/>
  <c r="H24" i="11"/>
  <c r="E138" i="11"/>
  <c r="D141" i="11"/>
  <c r="D142" i="11" s="1"/>
  <c r="E117" i="11"/>
  <c r="E122" i="11" s="1"/>
  <c r="F118" i="11"/>
  <c r="F119" i="11" s="1"/>
  <c r="D117" i="11"/>
  <c r="D122" i="11" s="1"/>
  <c r="C141" i="11"/>
  <c r="C142" i="11" s="1"/>
  <c r="H117" i="11"/>
  <c r="C117" i="11"/>
  <c r="G117" i="11"/>
  <c r="B50" i="11"/>
  <c r="F187" i="11" l="1"/>
  <c r="D195" i="11"/>
  <c r="I25" i="11"/>
  <c r="I30" i="11"/>
  <c r="H25" i="11"/>
  <c r="H30" i="11"/>
  <c r="D25" i="11"/>
  <c r="D30" i="11"/>
  <c r="F25" i="11"/>
  <c r="F30" i="11"/>
  <c r="E25" i="11"/>
  <c r="E30" i="11"/>
  <c r="F120" i="11"/>
  <c r="F121" i="11" s="1"/>
  <c r="F123" i="11" s="1"/>
  <c r="F124" i="11" s="1"/>
  <c r="D118" i="11"/>
  <c r="D119" i="11" s="1"/>
  <c r="E118" i="11"/>
  <c r="E119" i="11" s="1"/>
  <c r="F138" i="11"/>
  <c r="E141" i="11"/>
  <c r="E142" i="11" s="1"/>
  <c r="C118" i="11"/>
  <c r="C119" i="11" s="1"/>
  <c r="C122" i="11"/>
  <c r="G122" i="11"/>
  <c r="G118" i="11"/>
  <c r="G119" i="11" s="1"/>
  <c r="H118" i="11"/>
  <c r="H119" i="11" s="1"/>
  <c r="H122" i="11"/>
  <c r="D196" i="11" l="1"/>
  <c r="D198" i="11" s="1"/>
  <c r="D199" i="11" s="1"/>
  <c r="D200" i="11" s="1"/>
  <c r="G187" i="11"/>
  <c r="E195" i="11"/>
  <c r="C120" i="11"/>
  <c r="C121" i="11" s="1"/>
  <c r="C123" i="11" s="1"/>
  <c r="G138" i="11"/>
  <c r="F141" i="11"/>
  <c r="F142" i="11" s="1"/>
  <c r="D120" i="11"/>
  <c r="D121" i="11"/>
  <c r="D123" i="11" s="1"/>
  <c r="D124" i="11" s="1"/>
  <c r="G120" i="11"/>
  <c r="G121" i="11" s="1"/>
  <c r="G123" i="11" s="1"/>
  <c r="G124" i="11" s="1"/>
  <c r="H120" i="11"/>
  <c r="H121" i="11" s="1"/>
  <c r="H123" i="11" s="1"/>
  <c r="E120" i="11"/>
  <c r="E121" i="11" s="1"/>
  <c r="E123" i="11" s="1"/>
  <c r="E124" i="11" s="1"/>
  <c r="H124" i="11" l="1"/>
  <c r="B126" i="11"/>
  <c r="E196" i="11"/>
  <c r="E198" i="11" s="1"/>
  <c r="E199" i="11" s="1"/>
  <c r="E200" i="11" s="1"/>
  <c r="H187" i="11"/>
  <c r="F195" i="11"/>
  <c r="C124" i="11"/>
  <c r="H138" i="11"/>
  <c r="G141" i="11"/>
  <c r="G142" i="11" s="1"/>
  <c r="B125" i="11" l="1"/>
  <c r="H195" i="11"/>
  <c r="G195" i="11"/>
  <c r="F196" i="11"/>
  <c r="F198" i="11" s="1"/>
  <c r="F199" i="11" s="1"/>
  <c r="F200" i="11" s="1"/>
  <c r="I138" i="11"/>
  <c r="I141" i="11" s="1"/>
  <c r="I142" i="11" s="1"/>
  <c r="H141" i="11"/>
  <c r="H142" i="11" s="1"/>
  <c r="H196" i="11" l="1"/>
  <c r="H198" i="11" s="1"/>
  <c r="H199" i="11" s="1"/>
  <c r="H200" i="11" s="1"/>
  <c r="G196" i="11"/>
  <c r="G198" i="11"/>
  <c r="G199" i="11" s="1"/>
  <c r="G200" i="11" s="1"/>
  <c r="B143" i="11"/>
  <c r="B201" i="11" l="1"/>
  <c r="C48" i="11" l="1"/>
  <c r="D48" i="11" s="1"/>
  <c r="E48" i="11" s="1"/>
  <c r="F48" i="11" s="1"/>
  <c r="C46" i="11"/>
  <c r="C31" i="11"/>
  <c r="C32" i="11" s="1"/>
  <c r="I20" i="11"/>
  <c r="E20" i="11"/>
  <c r="F20" i="11"/>
  <c r="G20" i="11"/>
  <c r="H20" i="11"/>
  <c r="D20" i="11"/>
  <c r="B63" i="10"/>
  <c r="C62" i="10"/>
  <c r="D62" i="10"/>
  <c r="E62" i="10"/>
  <c r="B62" i="10"/>
  <c r="E61" i="10"/>
  <c r="B57" i="10"/>
  <c r="D56" i="10"/>
  <c r="E56" i="10"/>
  <c r="F56" i="10"/>
  <c r="G56" i="10"/>
  <c r="H56" i="10"/>
  <c r="C56" i="10"/>
  <c r="B56" i="10"/>
  <c r="H55" i="10"/>
  <c r="C49" i="11" l="1"/>
  <c r="H26" i="11"/>
  <c r="H28" i="11" s="1"/>
  <c r="F26" i="11"/>
  <c r="F28" i="11" s="1"/>
  <c r="E26" i="11"/>
  <c r="E28" i="11" s="1"/>
  <c r="E29" i="11" s="1"/>
  <c r="G26" i="11"/>
  <c r="G28" i="11" s="1"/>
  <c r="G29" i="11" s="1"/>
  <c r="D26" i="11"/>
  <c r="D28" i="11" s="1"/>
  <c r="D29" i="11" s="1"/>
  <c r="I26" i="11"/>
  <c r="I28" i="11" s="1"/>
  <c r="I29" i="11" s="1"/>
  <c r="G48" i="11"/>
  <c r="H48" i="11" s="1"/>
  <c r="I48" i="11" s="1"/>
  <c r="C50" i="11"/>
  <c r="D46" i="11"/>
  <c r="E31" i="11" l="1"/>
  <c r="E32" i="11" s="1"/>
  <c r="I31" i="11"/>
  <c r="I32" i="11" s="1"/>
  <c r="G31" i="11"/>
  <c r="G32" i="11" s="1"/>
  <c r="F29" i="11"/>
  <c r="H29" i="11"/>
  <c r="D32" i="11"/>
  <c r="D49" i="11"/>
  <c r="E46" i="11"/>
  <c r="H31" i="11" l="1"/>
  <c r="H32" i="11" s="1"/>
  <c r="F31" i="11"/>
  <c r="F32" i="11" s="1"/>
  <c r="C34" i="11"/>
  <c r="D50" i="11"/>
  <c r="F46" i="11"/>
  <c r="E49" i="11"/>
  <c r="E50" i="11" s="1"/>
  <c r="C33" i="11" l="1"/>
  <c r="G46" i="11"/>
  <c r="F49" i="11"/>
  <c r="F50" i="11" l="1"/>
  <c r="H46" i="11"/>
  <c r="G49" i="11"/>
  <c r="G50" i="11" s="1"/>
  <c r="H49" i="11" l="1"/>
  <c r="H50" i="11" s="1"/>
  <c r="I46" i="11"/>
  <c r="I49" i="11" s="1"/>
  <c r="I50" i="11" l="1"/>
  <c r="B51" i="11" s="1"/>
  <c r="B52" i="11"/>
  <c r="C39" i="10" l="1"/>
  <c r="B47" i="10"/>
  <c r="B40" i="10"/>
  <c r="B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F31" i="10"/>
  <c r="G31" i="10"/>
  <c r="B28" i="10"/>
  <c r="B31" i="10" s="1"/>
  <c r="B20" i="10"/>
  <c r="B24" i="10" s="1"/>
  <c r="B18" i="10"/>
  <c r="B17" i="10"/>
  <c r="B46" i="10" l="1"/>
  <c r="C31" i="10"/>
  <c r="E31" i="10"/>
  <c r="D31" i="10"/>
  <c r="H31" i="10"/>
  <c r="B32" i="10"/>
  <c r="B33" i="10" s="1"/>
  <c r="H24" i="10"/>
  <c r="G24" i="10"/>
  <c r="M24" i="10"/>
  <c r="E24" i="10"/>
  <c r="L24" i="10"/>
  <c r="D24" i="10"/>
  <c r="K24" i="10"/>
  <c r="C24" i="10"/>
  <c r="B25" i="10" s="1"/>
  <c r="J24" i="10"/>
  <c r="F24" i="10"/>
  <c r="I24" i="10"/>
  <c r="B48" i="10" l="1"/>
  <c r="B49" i="10" s="1"/>
  <c r="F10" i="3" l="1"/>
  <c r="D13" i="3"/>
  <c r="E8" i="10"/>
  <c r="E9" i="10" s="1"/>
  <c r="B10" i="10"/>
  <c r="B8" i="10"/>
  <c r="D5" i="10"/>
  <c r="B3" i="10"/>
  <c r="C3" i="10" s="1"/>
  <c r="C4" i="10" s="1"/>
  <c r="F17" i="2"/>
  <c r="F20" i="2"/>
  <c r="B12" i="10" l="1"/>
  <c r="F9" i="10"/>
  <c r="F10" i="10" s="1"/>
  <c r="D4" i="10"/>
  <c r="B6" i="10"/>
  <c r="D23" i="9"/>
  <c r="J32" i="7"/>
  <c r="J28" i="7"/>
  <c r="H30" i="7"/>
  <c r="F32" i="7"/>
  <c r="E32" i="7"/>
  <c r="G32" i="7"/>
  <c r="H32" i="7" s="1"/>
  <c r="D32" i="7"/>
  <c r="J20" i="9"/>
  <c r="H23" i="9"/>
  <c r="C21" i="9"/>
  <c r="E23" i="9"/>
  <c r="F23" i="9"/>
  <c r="G23" i="9"/>
  <c r="G22" i="9"/>
  <c r="F22" i="9"/>
  <c r="E22" i="9"/>
  <c r="D22" i="9"/>
  <c r="C15" i="9"/>
  <c r="E15" i="9" s="1"/>
  <c r="D15" i="9"/>
  <c r="G15" i="9"/>
  <c r="D16" i="9"/>
  <c r="G16" i="9"/>
  <c r="D17" i="9"/>
  <c r="G17" i="9"/>
  <c r="I14" i="9"/>
  <c r="H14" i="9"/>
  <c r="G14" i="9"/>
  <c r="L11" i="9"/>
  <c r="F14" i="9"/>
  <c r="E14" i="9"/>
  <c r="C14" i="9"/>
  <c r="I13" i="9"/>
  <c r="D14" i="9"/>
  <c r="D13" i="9"/>
  <c r="F22" i="8"/>
  <c r="J18" i="8"/>
  <c r="N17" i="8"/>
  <c r="L17" i="8"/>
  <c r="M17" i="8"/>
  <c r="D18" i="8"/>
  <c r="D22" i="8" s="1"/>
  <c r="G18" i="8"/>
  <c r="G22" i="8" s="1"/>
  <c r="F18" i="8"/>
  <c r="C17" i="8"/>
  <c r="C20" i="8" s="1"/>
  <c r="J14" i="7"/>
  <c r="H17" i="7"/>
  <c r="H15" i="7"/>
  <c r="F17" i="7"/>
  <c r="G17" i="7"/>
  <c r="E17" i="7"/>
  <c r="D15" i="7"/>
  <c r="C15" i="7"/>
  <c r="I13" i="6"/>
  <c r="E16" i="6"/>
  <c r="F16" i="6"/>
  <c r="G16" i="6"/>
  <c r="D16" i="6"/>
  <c r="C14" i="6"/>
  <c r="G14" i="5"/>
  <c r="F15" i="5"/>
  <c r="F14" i="5"/>
  <c r="E14" i="5"/>
  <c r="C14" i="5"/>
  <c r="D11" i="5"/>
  <c r="C11" i="5"/>
  <c r="D11" i="3"/>
  <c r="C11" i="3"/>
  <c r="H13" i="2"/>
  <c r="F18" i="2"/>
  <c r="D10" i="2"/>
  <c r="E10" i="2"/>
  <c r="F10" i="2"/>
  <c r="C10" i="2"/>
  <c r="H9" i="2" s="1"/>
  <c r="C13" i="1"/>
  <c r="E10" i="1"/>
  <c r="F10" i="1"/>
  <c r="G10" i="1"/>
  <c r="D10" i="1"/>
  <c r="C10" i="1"/>
  <c r="B13" i="10" l="1"/>
  <c r="B14" i="10" s="1"/>
  <c r="F15" i="9"/>
  <c r="H15" i="9" s="1"/>
  <c r="I15" i="9" s="1"/>
  <c r="C16" i="9" s="1"/>
  <c r="E16" i="9" l="1"/>
  <c r="F16" i="9" s="1"/>
  <c r="H16" i="9" s="1"/>
  <c r="I16" i="9" l="1"/>
  <c r="C17" i="9" s="1"/>
  <c r="E17" i="9" l="1"/>
  <c r="F17" i="9" s="1"/>
  <c r="H17" i="9" s="1"/>
  <c r="I17" i="9" l="1"/>
</calcChain>
</file>

<file path=xl/sharedStrings.xml><?xml version="1.0" encoding="utf-8"?>
<sst xmlns="http://schemas.openxmlformats.org/spreadsheetml/2006/main" count="273" uniqueCount="133">
  <si>
    <t>i</t>
  </si>
  <si>
    <t>VP</t>
  </si>
  <si>
    <t>tasa</t>
  </si>
  <si>
    <t>VPN</t>
  </si>
  <si>
    <t>al ser positivo, se realiza la inversión</t>
  </si>
  <si>
    <t>a)</t>
  </si>
  <si>
    <t>b)</t>
  </si>
  <si>
    <t>SUMA</t>
  </si>
  <si>
    <t>inv</t>
  </si>
  <si>
    <t>4 (vencim)</t>
  </si>
  <si>
    <t>flujo</t>
  </si>
  <si>
    <t>3000 al 5%</t>
  </si>
  <si>
    <t>1000 al 12%</t>
  </si>
  <si>
    <t>VP SUMA</t>
  </si>
  <si>
    <t>http://www.enciclopediafinanciera.com/ejercicios/ejercicio-de-VPN-y-TIR-1.htm</t>
  </si>
  <si>
    <t>leelo</t>
  </si>
  <si>
    <t>14% de interés que te lo acaban de pagar en 4 años</t>
  </si>
  <si>
    <t>1 pz</t>
  </si>
  <si>
    <t>saldo i</t>
  </si>
  <si>
    <t>interes</t>
  </si>
  <si>
    <t>pago cap</t>
  </si>
  <si>
    <t>saldo f</t>
  </si>
  <si>
    <t>https://es.scribd.com/document/410065870/Ejercicios-Valor-Presente-Neto-docx#</t>
  </si>
  <si>
    <t>pago int</t>
  </si>
  <si>
    <t>periodo</t>
  </si>
  <si>
    <t>Saldo inicial</t>
  </si>
  <si>
    <t>Intereses</t>
  </si>
  <si>
    <t>Tasa Interés</t>
  </si>
  <si>
    <t>Pago intereses</t>
  </si>
  <si>
    <t>Pago capital</t>
  </si>
  <si>
    <t>Pago total</t>
  </si>
  <si>
    <t>Saldo final</t>
  </si>
  <si>
    <t>A</t>
  </si>
  <si>
    <t>sí conviene la inv</t>
  </si>
  <si>
    <t>VPN 1</t>
  </si>
  <si>
    <t>VPN 2</t>
  </si>
  <si>
    <t>no conviene el bono</t>
  </si>
  <si>
    <t>asumo</t>
  </si>
  <si>
    <t>TIR</t>
  </si>
  <si>
    <t>VF</t>
  </si>
  <si>
    <t>valor al mes 6</t>
  </si>
  <si>
    <t>valor hoy</t>
  </si>
  <si>
    <t>deposito</t>
  </si>
  <si>
    <t>retiro</t>
  </si>
  <si>
    <t>fecha</t>
  </si>
  <si>
    <t>t</t>
  </si>
  <si>
    <t>depositos</t>
  </si>
  <si>
    <t>valor al mes 72 (1 feb 2019)</t>
  </si>
  <si>
    <t>retiros</t>
  </si>
  <si>
    <t>valor al 1 feb del 2019</t>
  </si>
  <si>
    <t>restante</t>
  </si>
  <si>
    <t>valor al 1 de feb del 2019</t>
  </si>
  <si>
    <t>valor al 1 de feb del 2023</t>
  </si>
  <si>
    <t>flujo desc</t>
  </si>
  <si>
    <t>B</t>
  </si>
  <si>
    <t>desc</t>
  </si>
  <si>
    <t>precio</t>
  </si>
  <si>
    <t>unidades</t>
  </si>
  <si>
    <t>ingreso</t>
  </si>
  <si>
    <t>egreso</t>
  </si>
  <si>
    <t>costo f</t>
  </si>
  <si>
    <t>costos op</t>
  </si>
  <si>
    <t>impuesto</t>
  </si>
  <si>
    <t>rescate</t>
  </si>
  <si>
    <t>total ingr</t>
  </si>
  <si>
    <t>total egr</t>
  </si>
  <si>
    <t>inversión</t>
  </si>
  <si>
    <t>utilidad adi</t>
  </si>
  <si>
    <t>isr</t>
  </si>
  <si>
    <t>utilidad ddi</t>
  </si>
  <si>
    <t>flujo neto</t>
  </si>
  <si>
    <t>inflación</t>
  </si>
  <si>
    <t>TN</t>
  </si>
  <si>
    <t>ingresos</t>
  </si>
  <si>
    <t>egresos:</t>
  </si>
  <si>
    <t>gasto de op</t>
  </si>
  <si>
    <t>no conviene</t>
  </si>
  <si>
    <t>años 1-3</t>
  </si>
  <si>
    <t>años 4,5</t>
  </si>
  <si>
    <t>1 unidad</t>
  </si>
  <si>
    <t>hrs</t>
  </si>
  <si>
    <t>$/hr</t>
  </si>
  <si>
    <t>empleados</t>
  </si>
  <si>
    <t>actuales</t>
  </si>
  <si>
    <t>fin de año 3</t>
  </si>
  <si>
    <t>liquidación</t>
  </si>
  <si>
    <t>1000 hrs</t>
  </si>
  <si>
    <t>por empl</t>
  </si>
  <si>
    <t>5 años</t>
  </si>
  <si>
    <t>no rescue</t>
  </si>
  <si>
    <t>mantenim</t>
  </si>
  <si>
    <t>año 1</t>
  </si>
  <si>
    <t>depr lineal</t>
  </si>
  <si>
    <t>inversión equipo</t>
  </si>
  <si>
    <t>cvu</t>
  </si>
  <si>
    <t>c admin/u</t>
  </si>
  <si>
    <t>infl costo lab</t>
  </si>
  <si>
    <t>depreciación lineal</t>
  </si>
  <si>
    <t>depreciación</t>
  </si>
  <si>
    <t>valor</t>
  </si>
  <si>
    <t>vida</t>
  </si>
  <si>
    <t>gasto</t>
  </si>
  <si>
    <t>cantidades</t>
  </si>
  <si>
    <t>ingreso:</t>
  </si>
  <si>
    <t>pvu</t>
  </si>
  <si>
    <t>c admin / u</t>
  </si>
  <si>
    <t>tot egr</t>
  </si>
  <si>
    <t>costo fijo</t>
  </si>
  <si>
    <t>costo op</t>
  </si>
  <si>
    <t>depre</t>
  </si>
  <si>
    <t>utilidad</t>
  </si>
  <si>
    <t>depr</t>
  </si>
  <si>
    <t>utilidad imp</t>
  </si>
  <si>
    <t>gastos</t>
  </si>
  <si>
    <t>rescate a 7 años, le pongo inflación a eso?</t>
  </si>
  <si>
    <t>dep</t>
  </si>
  <si>
    <t>si conviene</t>
  </si>
  <si>
    <t>materia pr</t>
  </si>
  <si>
    <t>mano de o</t>
  </si>
  <si>
    <t>capacidad</t>
  </si>
  <si>
    <t>prod</t>
  </si>
  <si>
    <t>1,2</t>
  </si>
  <si>
    <t>3,4</t>
  </si>
  <si>
    <t>5,6</t>
  </si>
  <si>
    <t>infl</t>
  </si>
  <si>
    <t>equipo</t>
  </si>
  <si>
    <t>infl mano</t>
  </si>
  <si>
    <t>3,4,5,6</t>
  </si>
  <si>
    <t>c admin</t>
  </si>
  <si>
    <t>infl c admin</t>
  </si>
  <si>
    <t>tot ingr</t>
  </si>
  <si>
    <t>manten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</si>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</sst>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/d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1" applyNumberForma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8">
    <xf numFmtId="0" fontId="0" fillId="0" borderId="0" xfId="0"/>
    <xf numFmtId="10" fontId="0" fillId="0" borderId="0" xfId="0" applyNumberFormat="1"/>
    <xf numFmtId="0" fontId="2" fillId="2" borderId="0" xfId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3" borderId="0" xfId="2"/>
    <xf numFmtId="0" fontId="3" fillId="0" borderId="0" xfId="3"/>
    <xf numFmtId="0" fontId="7" fillId="0" borderId="0" xfId="0" applyFont="1"/>
    <xf numFmtId="168" fontId="0" fillId="0" borderId="0" xfId="0" applyNumberFormat="1"/>
    <xf numFmtId="0" fontId="1" fillId="8" borderId="0" xfId="8"/>
    <xf numFmtId="0" fontId="5" fillId="5" borderId="0" xfId="5"/>
    <xf numFmtId="0" fontId="6" fillId="6" borderId="1" xfId="6"/>
    <xf numFmtId="9" fontId="2" fillId="2" borderId="0" xfId="1" applyNumberFormat="1"/>
    <xf numFmtId="0" fontId="4" fillId="4" borderId="0" xfId="4"/>
    <xf numFmtId="0" fontId="1" fillId="7" borderId="0" xfId="7"/>
    <xf numFmtId="0" fontId="0" fillId="0" borderId="0" xfId="0" applyNumberFormat="1"/>
    <xf numFmtId="0" fontId="2" fillId="2" borderId="1" xfId="1" applyBorder="1"/>
  </cellXfs>
  <cellStyles count="9">
    <cellStyle name="20% - Accent1" xfId="7" builtinId="30"/>
    <cellStyle name="20% - Accent3" xfId="8" builtinId="38"/>
    <cellStyle name="40% - Accent1" xfId="2" builtinId="31"/>
    <cellStyle name="Bad" xfId="4" builtinId="27"/>
    <cellStyle name="Calculation" xfId="6" builtinId="22"/>
    <cellStyle name="Good" xfId="1" builtinId="26"/>
    <cellStyle name="Hyperlink" xfId="3" builtinId="8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12" Type="http://schemas.openxmlformats.org/officeDocument/2006/relationships/image" Target="../media/image22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5" Type="http://schemas.openxmlformats.org/officeDocument/2006/relationships/image" Target="../media/image15.png"/><Relationship Id="rId10" Type="http://schemas.openxmlformats.org/officeDocument/2006/relationships/image" Target="../media/image20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283937</xdr:colOff>
      <xdr:row>0</xdr:row>
      <xdr:rowOff>137810</xdr:rowOff>
    </xdr:from>
    <xdr:to>
      <xdr:col>11</xdr:col>
      <xdr:colOff>40532</xdr:colOff>
      <xdr:row>6</xdr:row>
      <xdr:rowOff>21345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DFAB5A-3A4F-0A0E-C0F9-81786D00A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937" y="137810"/>
          <a:ext cx="6444361" cy="102653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424295</xdr:colOff>
      <xdr:row>0</xdr:row>
      <xdr:rowOff>103909</xdr:rowOff>
    </xdr:from>
    <xdr:to>
      <xdr:col>6</xdr:col>
      <xdr:colOff>177512</xdr:colOff>
      <xdr:row>2</xdr:row>
      <xdr:rowOff>115020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CB34E3-AE75-1123-5B38-B96AFA09E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295" y="103909"/>
          <a:ext cx="3416012" cy="392111"/>
        </a:xfrm>
        <a:prstGeom prst="rect">
          <a:avLst/>
        </a:prstGeom>
      </xdr:spPr>
    </xdr:pic>
    <xdr:clientData/>
  </xdr:twoCellAnchor>
  <xdr:twoCellAnchor editAs="oneCell">
    <xdr:from>
      <xdr:col>0</xdr:col>
      <xdr:colOff>425615</xdr:colOff>
      <xdr:row>2</xdr:row>
      <xdr:rowOff>51954</xdr:rowOff>
    </xdr:from>
    <xdr:to>
      <xdr:col>6</xdr:col>
      <xdr:colOff>168853</xdr:colOff>
      <xdr:row>12</xdr:row>
      <xdr:rowOff>13915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47D052-D4C2-D553-CBFD-9163ACA13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615" y="432954"/>
          <a:ext cx="3406033" cy="186696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35</xdr:row>
      <xdr:rowOff>1</xdr:rowOff>
    </xdr:from>
    <xdr:to>
      <xdr:col>6</xdr:col>
      <xdr:colOff>152401</xdr:colOff>
      <xdr:row>41</xdr:row>
      <xdr:rowOff>54049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A1E8FB-B40D-5B5B-E561-F93DADE8F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1" y="6286501"/>
          <a:ext cx="3200400" cy="1197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284559</xdr:colOff>
      <xdr:row>52</xdr:row>
      <xdr:rowOff>11227</xdr:rowOff>
    </xdr:from>
    <xdr:to>
      <xdr:col>7</xdr:col>
      <xdr:colOff>279116</xdr:colOff>
      <xdr:row>72</xdr:row>
      <xdr:rowOff>47685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AA9ADF-BECE-1717-14B1-8A700C9E0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4559" y="9536227"/>
          <a:ext cx="4245088" cy="3846458"/>
        </a:xfrm>
        <a:prstGeom prst="rect">
          <a:avLst/>
        </a:prstGeom>
      </xdr:spPr>
    </xdr:pic>
    <xdr:clientData/>
  </xdr:twoCellAnchor>
  <xdr:twoCellAnchor editAs="oneCell">
    <xdr:from>
      <xdr:col>7</xdr:col>
      <xdr:colOff>278095</xdr:colOff>
      <xdr:row>52</xdr:row>
      <xdr:rowOff>66208</xdr:rowOff>
    </xdr:from>
    <xdr:to>
      <xdr:col>14</xdr:col>
      <xdr:colOff>338517</xdr:colOff>
      <xdr:row>62</xdr:row>
      <xdr:rowOff>165883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63881-D82E-CFA3-9165-5AEFCF0A4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28626" y="9591208"/>
          <a:ext cx="4508023" cy="2004675"/>
        </a:xfrm>
        <a:prstGeom prst="rect">
          <a:avLst/>
        </a:prstGeom>
      </xdr:spPr>
    </xdr:pic>
    <xdr:clientData/>
  </xdr:twoCellAnchor>
  <xdr:twoCellAnchor editAs="oneCell">
    <xdr:from>
      <xdr:col>0</xdr:col>
      <xdr:colOff>279797</xdr:colOff>
      <xdr:row>74</xdr:row>
      <xdr:rowOff>23814</xdr:rowOff>
    </xdr:from>
    <xdr:to>
      <xdr:col>8</xdr:col>
      <xdr:colOff>568750</xdr:colOff>
      <xdr:row>79</xdr:row>
      <xdr:rowOff>83344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838460-06CF-F74D-6B9A-EA196F38B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9797" y="13739814"/>
          <a:ext cx="5146703" cy="1012030"/>
        </a:xfrm>
        <a:prstGeom prst="rect">
          <a:avLst/>
        </a:prstGeom>
      </xdr:spPr>
    </xdr:pic>
    <xdr:clientData/>
  </xdr:twoCellAnchor>
  <xdr:twoCellAnchor editAs="oneCell">
    <xdr:from>
      <xdr:col>0</xdr:col>
      <xdr:colOff>542502</xdr:colOff>
      <xdr:row>97</xdr:row>
      <xdr:rowOff>65484</xdr:rowOff>
    </xdr:from>
    <xdr:to>
      <xdr:col>9</xdr:col>
      <xdr:colOff>89775</xdr:colOff>
      <xdr:row>106</xdr:row>
      <xdr:rowOff>17859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0B500FC-A66F-5C88-BF65-AF3D4B7AC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2502" y="18734484"/>
          <a:ext cx="5012242" cy="1666875"/>
        </a:xfrm>
        <a:prstGeom prst="rect">
          <a:avLst/>
        </a:prstGeom>
      </xdr:spPr>
    </xdr:pic>
    <xdr:clientData/>
  </xdr:twoCellAnchor>
  <xdr:twoCellAnchor editAs="oneCell">
    <xdr:from>
      <xdr:col>0</xdr:col>
      <xdr:colOff>261938</xdr:colOff>
      <xdr:row>127</xdr:row>
      <xdr:rowOff>35720</xdr:rowOff>
    </xdr:from>
    <xdr:to>
      <xdr:col>8</xdr:col>
      <xdr:colOff>416719</xdr:colOff>
      <xdr:row>132</xdr:row>
      <xdr:rowOff>166134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BB80946-2BDC-6E7D-0C8E-3F5C5E58F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61938" y="24229220"/>
          <a:ext cx="5012531" cy="10829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8</xdr:col>
      <xdr:colOff>511969</xdr:colOff>
      <xdr:row>148</xdr:row>
      <xdr:rowOff>9686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3B74FB-A4AF-4385-4330-FC07867D9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7219" y="28003500"/>
          <a:ext cx="4762500" cy="581186"/>
        </a:xfrm>
        <a:prstGeom prst="rect">
          <a:avLst/>
        </a:prstGeom>
      </xdr:spPr>
    </xdr:pic>
    <xdr:clientData/>
  </xdr:twoCellAnchor>
  <xdr:twoCellAnchor editAs="oneCell">
    <xdr:from>
      <xdr:col>0</xdr:col>
      <xdr:colOff>577454</xdr:colOff>
      <xdr:row>151</xdr:row>
      <xdr:rowOff>47624</xdr:rowOff>
    </xdr:from>
    <xdr:to>
      <xdr:col>6</xdr:col>
      <xdr:colOff>559594</xdr:colOff>
      <xdr:row>156</xdr:row>
      <xdr:rowOff>18517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C12D39E-C616-4021-A7A5-64067564B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7454" y="29194124"/>
          <a:ext cx="3625453" cy="923393"/>
        </a:xfrm>
        <a:prstGeom prst="rect">
          <a:avLst/>
        </a:prstGeom>
      </xdr:spPr>
    </xdr:pic>
    <xdr:clientData/>
  </xdr:twoCellAnchor>
  <xdr:twoCellAnchor editAs="oneCell">
    <xdr:from>
      <xdr:col>0</xdr:col>
      <xdr:colOff>595313</xdr:colOff>
      <xdr:row>148</xdr:row>
      <xdr:rowOff>71438</xdr:rowOff>
    </xdr:from>
    <xdr:to>
      <xdr:col>7</xdr:col>
      <xdr:colOff>59532</xdr:colOff>
      <xdr:row>150</xdr:row>
      <xdr:rowOff>160467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9732233-38E3-E57C-F496-25572C3DA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95313" y="28646438"/>
          <a:ext cx="3714750" cy="470029"/>
        </a:xfrm>
        <a:prstGeom prst="rect">
          <a:avLst/>
        </a:prstGeom>
      </xdr:spPr>
    </xdr:pic>
    <xdr:clientData/>
  </xdr:twoCellAnchor>
  <xdr:twoCellAnchor editAs="oneCell">
    <xdr:from>
      <xdr:col>0</xdr:col>
      <xdr:colOff>367862</xdr:colOff>
      <xdr:row>156</xdr:row>
      <xdr:rowOff>98535</xdr:rowOff>
    </xdr:from>
    <xdr:to>
      <xdr:col>9</xdr:col>
      <xdr:colOff>357288</xdr:colOff>
      <xdr:row>179</xdr:row>
      <xdr:rowOff>92582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4DE90C6-FD49-FEFD-D837-F6B2B2367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67862" y="29816535"/>
          <a:ext cx="5487650" cy="43755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417479</xdr:colOff>
      <xdr:row>0</xdr:row>
      <xdr:rowOff>121597</xdr:rowOff>
    </xdr:from>
    <xdr:to>
      <xdr:col>11</xdr:col>
      <xdr:colOff>160300</xdr:colOff>
      <xdr:row>6</xdr:row>
      <xdr:rowOff>88062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9D9462-802B-1904-856F-0247B1479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479" y="121597"/>
          <a:ext cx="6430587" cy="1109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220807</xdr:colOff>
      <xdr:row>0</xdr:row>
      <xdr:rowOff>90921</xdr:rowOff>
    </xdr:from>
    <xdr:to>
      <xdr:col>12</xdr:col>
      <xdr:colOff>321374</xdr:colOff>
      <xdr:row>6</xdr:row>
      <xdr:rowOff>47624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31E63F-2817-663B-73E1-F08168924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807" y="90921"/>
          <a:ext cx="7426158" cy="10997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508421</xdr:colOff>
      <xdr:row>11</xdr:row>
      <xdr:rowOff>40531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16257B-F62F-C8DC-13FE-320567274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979" y="190500"/>
          <a:ext cx="5980229" cy="19455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166134</xdr:colOff>
      <xdr:row>0</xdr:row>
      <xdr:rowOff>134218</xdr:rowOff>
    </xdr:from>
    <xdr:to>
      <xdr:col>13</xdr:col>
      <xdr:colOff>47937</xdr:colOff>
      <xdr:row>7</xdr:row>
      <xdr:rowOff>125557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4786A0-8AA6-C369-B823-971C73E6E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134" y="134218"/>
          <a:ext cx="7817860" cy="13248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132341</xdr:colOff>
      <xdr:row>9</xdr:row>
      <xdr:rowOff>133143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BEF08-5720-5856-D4CB-D46C73CCB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71" y="190500"/>
          <a:ext cx="6219048" cy="16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13</xdr:col>
      <xdr:colOff>33706</xdr:colOff>
      <xdr:row>10</xdr:row>
      <xdr:rowOff>175461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A79521-7FC5-32C0-D29F-D2ED96175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606" y="190500"/>
          <a:ext cx="7372968" cy="1889961"/>
        </a:xfrm>
        <a:prstGeom prst="rect">
          <a:avLst/>
        </a:prstGeom>
      </xdr:spPr>
    </xdr:pic>
    <xdr:clientData/>
  </xdr:twoCellAnchor>
  <xdr:twoCellAnchor editAs="oneCell">
    <xdr:from>
      <xdr:col>1</xdr:col>
      <xdr:colOff>97573</xdr:colOff>
      <xdr:row>19</xdr:row>
      <xdr:rowOff>90383</xdr:rowOff>
    </xdr:from>
    <xdr:to>
      <xdr:col>10</xdr:col>
      <xdr:colOff>261044</xdr:colOff>
      <xdr:row>24</xdr:row>
      <xdr:rowOff>122486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D09553-1173-76AF-8884-03B7D7355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244" y="3709883"/>
          <a:ext cx="5641507" cy="9846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520450</xdr:colOff>
      <xdr:row>0</xdr:row>
      <xdr:rowOff>153329</xdr:rowOff>
    </xdr:from>
    <xdr:to>
      <xdr:col>12</xdr:col>
      <xdr:colOff>220286</xdr:colOff>
      <xdr:row>12</xdr:row>
      <xdr:rowOff>74341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2A7C4A-3088-944A-68AD-B1ED4D6C7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450" y="153329"/>
          <a:ext cx="7003885" cy="220701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153076</xdr:rowOff>
    </xdr:from>
    <xdr:to>
      <xdr:col>15</xdr:col>
      <xdr:colOff>307800</xdr:colOff>
      <xdr:row>8</xdr:row>
      <xdr:rowOff>28304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9B1724-0FC7-9081-E26C-4DC223AC8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153076"/>
          <a:ext cx="9082706" cy="1399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enciclopediafinanciera.com/ejercicios/ejercicio-de-VPN-y-TIR-1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E5AD9-5D41-4E56-AE62-D58425FCC946}">
  <dimension ref="A8:G13"/>
  <sheetViews>
    <sheetView zoomScale="235" zoomScaleNormal="235" workbookViewId="0">
      <selection activeCell="A16" sqref="A16"/>
    </sheetView>
  </sheetViews>
  <sheetFormatPr defaultRowHeight="15" x14ac:dyDescent="0.25"/>
  <sheetData>
    <row r="8" spans="1:7" x14ac:dyDescent="0.25">
      <c r="C8">
        <v>0</v>
      </c>
      <c r="D8">
        <v>1</v>
      </c>
      <c r="E8">
        <v>2</v>
      </c>
      <c r="F8">
        <v>3</v>
      </c>
      <c r="G8">
        <v>4</v>
      </c>
    </row>
    <row r="9" spans="1:7" x14ac:dyDescent="0.25">
      <c r="B9" t="s">
        <v>0</v>
      </c>
      <c r="C9">
        <v>1000000</v>
      </c>
      <c r="D9">
        <v>320000</v>
      </c>
      <c r="E9">
        <v>320000</v>
      </c>
      <c r="F9">
        <v>320000</v>
      </c>
      <c r="G9">
        <v>320000</v>
      </c>
    </row>
    <row r="10" spans="1:7" x14ac:dyDescent="0.25">
      <c r="B10" t="s">
        <v>1</v>
      </c>
      <c r="C10">
        <f>C9</f>
        <v>1000000</v>
      </c>
      <c r="D10">
        <f>D9/((1+$B$11)^(D8))</f>
        <v>290204.68499188335</v>
      </c>
      <c r="E10">
        <f t="shared" ref="E10:G10" si="0">E9/((1+$B$11)^(E8))</f>
        <v>263183.62247261952</v>
      </c>
      <c r="F10">
        <f t="shared" si="0"/>
        <v>238678.50079590402</v>
      </c>
      <c r="G10">
        <f t="shared" si="0"/>
        <v>216455.05980565722</v>
      </c>
    </row>
    <row r="11" spans="1:7" x14ac:dyDescent="0.25">
      <c r="A11" t="s">
        <v>2</v>
      </c>
      <c r="B11" s="1">
        <v>0.10267</v>
      </c>
    </row>
    <row r="13" spans="1:7" x14ac:dyDescent="0.25">
      <c r="B13" t="s">
        <v>3</v>
      </c>
      <c r="C13" s="2">
        <f>-C10+SUM(D10:G10)</f>
        <v>8521.8680660640821</v>
      </c>
      <c r="D13" t="s">
        <v>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205E-FA49-4DC2-A56F-7E85E1316B2D}">
  <dimension ref="A2:BV63"/>
  <sheetViews>
    <sheetView topLeftCell="A58" zoomScale="190" zoomScaleNormal="190" workbookViewId="0">
      <selection activeCell="G60" sqref="G60"/>
    </sheetView>
  </sheetViews>
  <sheetFormatPr defaultRowHeight="15" x14ac:dyDescent="0.25"/>
  <cols>
    <col min="71" max="71" width="11" customWidth="1"/>
  </cols>
  <sheetData>
    <row r="2" spans="1:6" x14ac:dyDescent="0.25">
      <c r="B2" s="3">
        <v>0.02</v>
      </c>
    </row>
    <row r="3" spans="1:6" x14ac:dyDescent="0.25">
      <c r="B3">
        <f>1*(1+B2)^(12)</f>
        <v>1.2682417945625453</v>
      </c>
      <c r="C3">
        <f>(B3*100)/1</f>
        <v>126.82417945625453</v>
      </c>
    </row>
    <row r="4" spans="1:6" x14ac:dyDescent="0.25">
      <c r="C4">
        <f>(C3-100)/100</f>
        <v>0.26824179456254527</v>
      </c>
      <c r="D4">
        <f>C4*12</f>
        <v>3.2189015347505432</v>
      </c>
    </row>
    <row r="5" spans="1:6" x14ac:dyDescent="0.25">
      <c r="D5">
        <f>1/12</f>
        <v>8.3333333333333329E-2</v>
      </c>
    </row>
    <row r="6" spans="1:6" x14ac:dyDescent="0.25">
      <c r="B6">
        <f>1*(1+C4)^(0.08333)</f>
        <v>1.0199991920531264</v>
      </c>
    </row>
    <row r="8" spans="1:6" x14ac:dyDescent="0.25">
      <c r="B8">
        <f>1*(1+0.168)^(1/360)</f>
        <v>1.0004314621763899</v>
      </c>
      <c r="D8">
        <v>32050</v>
      </c>
      <c r="E8">
        <f>(D8*100)/40</f>
        <v>80125</v>
      </c>
    </row>
    <row r="9" spans="1:6" x14ac:dyDescent="0.25">
      <c r="A9" t="s">
        <v>37</v>
      </c>
      <c r="B9" s="3">
        <v>4.3162597291044902E-4</v>
      </c>
      <c r="E9">
        <f>E8/(1+0.000431)^(108)</f>
        <v>76481.581218192863</v>
      </c>
      <c r="F9">
        <f>(25*E8)/100</f>
        <v>20031.25</v>
      </c>
    </row>
    <row r="10" spans="1:6" x14ac:dyDescent="0.25">
      <c r="B10">
        <f>1*(1+B9)^(360)</f>
        <v>1.1680688454808499</v>
      </c>
      <c r="F10">
        <f>F9*(1+0.000431)^(49)</f>
        <v>20458.695588917089</v>
      </c>
    </row>
    <row r="12" spans="1:6" x14ac:dyDescent="0.25">
      <c r="B12">
        <f>(35*E9)/100</f>
        <v>26768.5534263675</v>
      </c>
    </row>
    <row r="13" spans="1:6" x14ac:dyDescent="0.25">
      <c r="B13">
        <f>B12+F10+D8</f>
        <v>79277.249015284586</v>
      </c>
    </row>
    <row r="14" spans="1:6" x14ac:dyDescent="0.25">
      <c r="B14">
        <f>E9-B13</f>
        <v>-2795.6677970917226</v>
      </c>
    </row>
    <row r="17" spans="1:13" x14ac:dyDescent="0.25">
      <c r="B17">
        <f>0.08/6</f>
        <v>1.3333333333333334E-2</v>
      </c>
    </row>
    <row r="18" spans="1:13" x14ac:dyDescent="0.25">
      <c r="B18">
        <f>0.089/12</f>
        <v>7.416666666666666E-3</v>
      </c>
    </row>
    <row r="20" spans="1:13" x14ac:dyDescent="0.25">
      <c r="B20">
        <f>0.048/12</f>
        <v>4.0000000000000001E-3</v>
      </c>
    </row>
    <row r="22" spans="1:13" x14ac:dyDescent="0.25">
      <c r="A22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</row>
    <row r="23" spans="1:13" x14ac:dyDescent="0.25">
      <c r="A23" t="s">
        <v>1</v>
      </c>
      <c r="B23">
        <v>150</v>
      </c>
      <c r="C23">
        <v>150</v>
      </c>
      <c r="D23">
        <v>150</v>
      </c>
      <c r="E23">
        <v>150</v>
      </c>
      <c r="F23">
        <v>150</v>
      </c>
      <c r="G23">
        <v>150</v>
      </c>
      <c r="H23">
        <v>150</v>
      </c>
      <c r="I23">
        <v>150</v>
      </c>
      <c r="J23">
        <v>150</v>
      </c>
      <c r="K23">
        <v>150</v>
      </c>
      <c r="L23">
        <v>150</v>
      </c>
      <c r="M23">
        <v>150</v>
      </c>
    </row>
    <row r="24" spans="1:13" x14ac:dyDescent="0.25">
      <c r="A24" t="s">
        <v>39</v>
      </c>
      <c r="B24">
        <f>B23*(1+$B$20)^($M$22-B22)</f>
        <v>156.73359674324789</v>
      </c>
      <c r="C24">
        <f t="shared" ref="C24:M24" si="0">C23*(1+$B$20)^($M$22-C22)</f>
        <v>156.10916010283654</v>
      </c>
      <c r="D24">
        <f t="shared" si="0"/>
        <v>155.48721125780531</v>
      </c>
      <c r="E24">
        <f t="shared" si="0"/>
        <v>154.86774029661885</v>
      </c>
      <c r="F24">
        <f t="shared" si="0"/>
        <v>154.25073734722992</v>
      </c>
      <c r="G24">
        <f t="shared" si="0"/>
        <v>153.63619257692221</v>
      </c>
      <c r="H24">
        <f t="shared" si="0"/>
        <v>153.02409619215359</v>
      </c>
      <c r="I24">
        <f t="shared" si="0"/>
        <v>152.41443843840003</v>
      </c>
      <c r="J24">
        <f t="shared" si="0"/>
        <v>151.80720959999999</v>
      </c>
      <c r="K24">
        <f t="shared" si="0"/>
        <v>151.20240000000001</v>
      </c>
      <c r="L24">
        <f t="shared" si="0"/>
        <v>150.6</v>
      </c>
      <c r="M24">
        <f t="shared" si="0"/>
        <v>150</v>
      </c>
    </row>
    <row r="25" spans="1:13" x14ac:dyDescent="0.25">
      <c r="A25" s="8" t="s">
        <v>7</v>
      </c>
      <c r="B25" s="2">
        <f>SUM(B24:N24)</f>
        <v>1840.1327825552144</v>
      </c>
    </row>
    <row r="28" spans="1:13" x14ac:dyDescent="0.25">
      <c r="B28">
        <f>0.12/12</f>
        <v>0.01</v>
      </c>
    </row>
    <row r="29" spans="1:13" x14ac:dyDescent="0.25">
      <c r="B29">
        <v>0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</row>
    <row r="30" spans="1:13" x14ac:dyDescent="0.25">
      <c r="A30" t="s">
        <v>1</v>
      </c>
      <c r="B30">
        <v>0</v>
      </c>
      <c r="C30">
        <v>2000</v>
      </c>
      <c r="D30">
        <v>2000</v>
      </c>
      <c r="E30">
        <v>2000</v>
      </c>
      <c r="F30">
        <v>2000</v>
      </c>
      <c r="G30">
        <v>2000</v>
      </c>
      <c r="H30">
        <v>2000</v>
      </c>
    </row>
    <row r="31" spans="1:13" x14ac:dyDescent="0.25">
      <c r="A31" t="s">
        <v>39</v>
      </c>
      <c r="B31">
        <f>B30*(1+$B$28)^($G$29-B29)</f>
        <v>0</v>
      </c>
      <c r="C31">
        <f>C30*(1+$B$28)^($H$29-C29)</f>
        <v>2102.0201001999999</v>
      </c>
      <c r="D31">
        <f t="shared" ref="D31:H31" si="1">D30*(1+$B$28)^($H$29-D29)</f>
        <v>2081.20802</v>
      </c>
      <c r="E31">
        <f t="shared" si="1"/>
        <v>2060.6019999999999</v>
      </c>
      <c r="F31">
        <f t="shared" si="1"/>
        <v>2040.2</v>
      </c>
      <c r="G31">
        <f t="shared" si="1"/>
        <v>2020</v>
      </c>
      <c r="H31">
        <f t="shared" si="1"/>
        <v>2000</v>
      </c>
    </row>
    <row r="32" spans="1:13" x14ac:dyDescent="0.25">
      <c r="A32" t="s">
        <v>7</v>
      </c>
      <c r="B32" s="2">
        <f>SUM(B31:H31)</f>
        <v>12304.030120199999</v>
      </c>
      <c r="C32" t="s">
        <v>40</v>
      </c>
    </row>
    <row r="33" spans="1:74" x14ac:dyDescent="0.25">
      <c r="B33">
        <f>B32/(1+B28)^(6)</f>
        <v>11590.952949158653</v>
      </c>
      <c r="C33" t="s">
        <v>41</v>
      </c>
    </row>
    <row r="34" spans="1:74" x14ac:dyDescent="0.25">
      <c r="A34" t="s">
        <v>42</v>
      </c>
      <c r="B34">
        <v>400</v>
      </c>
      <c r="C34" t="s">
        <v>43</v>
      </c>
      <c r="D34">
        <v>300</v>
      </c>
      <c r="E34" t="s">
        <v>45</v>
      </c>
      <c r="F34">
        <v>3.7499999999999999E-3</v>
      </c>
    </row>
    <row r="35" spans="1:74" x14ac:dyDescent="0.25">
      <c r="A35" t="s">
        <v>46</v>
      </c>
    </row>
    <row r="36" spans="1:74" x14ac:dyDescent="0.25">
      <c r="A36" t="s">
        <v>44</v>
      </c>
      <c r="B36" s="9">
        <v>41306</v>
      </c>
      <c r="C36" s="9">
        <v>41334</v>
      </c>
      <c r="D36" s="9">
        <v>41365</v>
      </c>
      <c r="E36" s="9">
        <v>41395</v>
      </c>
      <c r="F36" s="9">
        <v>41426</v>
      </c>
      <c r="G36" s="9">
        <v>41456</v>
      </c>
      <c r="H36" s="9">
        <v>41487</v>
      </c>
      <c r="I36" s="9">
        <v>41518</v>
      </c>
      <c r="J36" s="9">
        <v>41548</v>
      </c>
      <c r="K36" s="9">
        <v>41579</v>
      </c>
      <c r="L36" s="9">
        <v>41609</v>
      </c>
      <c r="M36" s="9">
        <v>41640</v>
      </c>
      <c r="N36" s="9">
        <v>41671</v>
      </c>
      <c r="O36" s="9">
        <v>41699</v>
      </c>
      <c r="P36" s="9">
        <v>41730</v>
      </c>
      <c r="Q36" s="9">
        <v>41760</v>
      </c>
      <c r="R36" s="9">
        <v>41791</v>
      </c>
      <c r="S36" s="9">
        <v>41821</v>
      </c>
      <c r="T36" s="9">
        <v>41852</v>
      </c>
      <c r="U36" s="9">
        <v>41883</v>
      </c>
      <c r="V36" s="9">
        <v>41913</v>
      </c>
      <c r="W36" s="9">
        <v>41944</v>
      </c>
      <c r="X36" s="9">
        <v>41974</v>
      </c>
      <c r="Y36" s="9">
        <v>42005</v>
      </c>
      <c r="Z36" s="9">
        <v>42036</v>
      </c>
      <c r="AA36" s="9">
        <v>42064</v>
      </c>
      <c r="AB36" s="9">
        <v>42095</v>
      </c>
      <c r="AC36" s="9">
        <v>42125</v>
      </c>
      <c r="AD36" s="9">
        <v>42156</v>
      </c>
      <c r="AE36" s="9">
        <v>42186</v>
      </c>
      <c r="AF36" s="9">
        <v>42217</v>
      </c>
      <c r="AG36" s="9">
        <v>42248</v>
      </c>
      <c r="AH36" s="9">
        <v>42278</v>
      </c>
      <c r="AI36" s="9">
        <v>42309</v>
      </c>
      <c r="AJ36" s="9">
        <v>42339</v>
      </c>
      <c r="AK36" s="9">
        <v>42370</v>
      </c>
      <c r="AL36" s="9">
        <v>42401</v>
      </c>
      <c r="AM36" s="9">
        <v>42430</v>
      </c>
      <c r="AN36" s="9">
        <v>42461</v>
      </c>
      <c r="AO36" s="9">
        <v>42491</v>
      </c>
      <c r="AP36" s="9">
        <v>42522</v>
      </c>
      <c r="AQ36" s="9">
        <v>42552</v>
      </c>
      <c r="AR36" s="9">
        <v>42583</v>
      </c>
      <c r="AS36" s="9">
        <v>42614</v>
      </c>
      <c r="AT36" s="9">
        <v>42644</v>
      </c>
      <c r="AU36" s="9">
        <v>42675</v>
      </c>
      <c r="AV36" s="9">
        <v>42705</v>
      </c>
      <c r="AW36" s="9">
        <v>42736</v>
      </c>
      <c r="AX36" s="9">
        <v>42767</v>
      </c>
      <c r="AY36" s="9">
        <v>42795</v>
      </c>
      <c r="AZ36" s="9">
        <v>42826</v>
      </c>
      <c r="BA36" s="9">
        <v>42856</v>
      </c>
      <c r="BB36" s="9">
        <v>42887</v>
      </c>
      <c r="BC36" s="9">
        <v>42917</v>
      </c>
      <c r="BD36" s="9">
        <v>42948</v>
      </c>
      <c r="BE36" s="9">
        <v>42979</v>
      </c>
      <c r="BF36" s="9">
        <v>43009</v>
      </c>
      <c r="BG36" s="9">
        <v>43040</v>
      </c>
      <c r="BH36" s="9">
        <v>43070</v>
      </c>
      <c r="BI36" s="9">
        <v>43101</v>
      </c>
      <c r="BJ36" s="9">
        <v>43132</v>
      </c>
      <c r="BK36" s="9">
        <v>43160</v>
      </c>
      <c r="BL36" s="9">
        <v>43191</v>
      </c>
      <c r="BM36" s="9">
        <v>43221</v>
      </c>
      <c r="BN36" s="9">
        <v>43252</v>
      </c>
      <c r="BO36" s="9">
        <v>43282</v>
      </c>
      <c r="BP36" s="9">
        <v>43313</v>
      </c>
      <c r="BQ36" s="9">
        <v>43344</v>
      </c>
      <c r="BR36" s="9">
        <v>43374</v>
      </c>
      <c r="BS36" s="9">
        <v>43405</v>
      </c>
      <c r="BT36" s="9">
        <v>43435</v>
      </c>
      <c r="BU36" s="9">
        <v>43466</v>
      </c>
      <c r="BV36" s="9">
        <v>43497</v>
      </c>
    </row>
    <row r="37" spans="1:74" x14ac:dyDescent="0.25">
      <c r="A37" t="s">
        <v>24</v>
      </c>
      <c r="B37">
        <v>0</v>
      </c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  <c r="W37">
        <v>21</v>
      </c>
      <c r="X37">
        <v>22</v>
      </c>
      <c r="Y37">
        <v>23</v>
      </c>
      <c r="Z37">
        <v>24</v>
      </c>
      <c r="AA37">
        <v>25</v>
      </c>
      <c r="AB37">
        <v>26</v>
      </c>
      <c r="AC37">
        <v>27</v>
      </c>
      <c r="AD37">
        <v>28</v>
      </c>
      <c r="AE37">
        <v>29</v>
      </c>
      <c r="AF37">
        <v>30</v>
      </c>
      <c r="AG37">
        <v>31</v>
      </c>
      <c r="AH37">
        <v>32</v>
      </c>
      <c r="AI37">
        <v>33</v>
      </c>
      <c r="AJ37">
        <v>34</v>
      </c>
      <c r="AK37">
        <v>35</v>
      </c>
      <c r="AL37">
        <v>36</v>
      </c>
      <c r="AM37">
        <v>37</v>
      </c>
      <c r="AN37">
        <v>38</v>
      </c>
      <c r="AO37">
        <v>39</v>
      </c>
      <c r="AP37">
        <v>40</v>
      </c>
      <c r="AQ37">
        <v>41</v>
      </c>
      <c r="AR37">
        <v>42</v>
      </c>
      <c r="AS37">
        <v>43</v>
      </c>
      <c r="AT37">
        <v>44</v>
      </c>
      <c r="AU37">
        <v>45</v>
      </c>
      <c r="AV37">
        <v>46</v>
      </c>
      <c r="AW37">
        <v>47</v>
      </c>
      <c r="AX37">
        <v>48</v>
      </c>
      <c r="AY37">
        <v>49</v>
      </c>
      <c r="AZ37">
        <v>50</v>
      </c>
      <c r="BA37">
        <v>51</v>
      </c>
      <c r="BB37">
        <v>52</v>
      </c>
      <c r="BC37">
        <v>53</v>
      </c>
      <c r="BD37">
        <v>54</v>
      </c>
      <c r="BE37">
        <v>55</v>
      </c>
      <c r="BF37">
        <v>56</v>
      </c>
      <c r="BG37">
        <v>57</v>
      </c>
      <c r="BH37">
        <v>58</v>
      </c>
      <c r="BI37">
        <v>59</v>
      </c>
      <c r="BJ37">
        <v>60</v>
      </c>
      <c r="BK37">
        <v>61</v>
      </c>
      <c r="BL37">
        <v>62</v>
      </c>
      <c r="BM37">
        <v>63</v>
      </c>
      <c r="BN37">
        <v>64</v>
      </c>
      <c r="BO37">
        <v>65</v>
      </c>
      <c r="BP37">
        <v>66</v>
      </c>
      <c r="BQ37">
        <v>67</v>
      </c>
      <c r="BR37">
        <v>68</v>
      </c>
      <c r="BS37">
        <v>69</v>
      </c>
      <c r="BT37">
        <v>70</v>
      </c>
      <c r="BU37">
        <v>71</v>
      </c>
      <c r="BV37">
        <v>72</v>
      </c>
    </row>
    <row r="38" spans="1:74" x14ac:dyDescent="0.25">
      <c r="A38" t="s">
        <v>1</v>
      </c>
      <c r="B38">
        <v>3000</v>
      </c>
      <c r="C38">
        <v>400</v>
      </c>
      <c r="D38">
        <v>400</v>
      </c>
      <c r="E38">
        <v>400</v>
      </c>
      <c r="F38">
        <v>400</v>
      </c>
      <c r="G38">
        <v>400</v>
      </c>
      <c r="H38">
        <v>400</v>
      </c>
      <c r="I38">
        <v>400</v>
      </c>
      <c r="J38">
        <v>400</v>
      </c>
      <c r="K38">
        <v>400</v>
      </c>
      <c r="L38">
        <v>400</v>
      </c>
      <c r="M38">
        <v>400</v>
      </c>
      <c r="N38">
        <v>400</v>
      </c>
      <c r="O38">
        <v>400</v>
      </c>
      <c r="P38">
        <v>400</v>
      </c>
      <c r="Q38">
        <v>400</v>
      </c>
      <c r="R38">
        <v>400</v>
      </c>
      <c r="S38">
        <v>400</v>
      </c>
      <c r="T38">
        <v>400</v>
      </c>
      <c r="U38">
        <v>400</v>
      </c>
      <c r="V38">
        <v>400</v>
      </c>
      <c r="W38">
        <v>400</v>
      </c>
      <c r="X38">
        <v>400</v>
      </c>
      <c r="Y38">
        <v>400</v>
      </c>
      <c r="Z38">
        <v>400</v>
      </c>
      <c r="AA38">
        <v>400</v>
      </c>
      <c r="AB38">
        <v>400</v>
      </c>
      <c r="AC38">
        <v>400</v>
      </c>
      <c r="AD38">
        <v>400</v>
      </c>
      <c r="AE38">
        <v>400</v>
      </c>
      <c r="AF38">
        <v>400</v>
      </c>
      <c r="AG38">
        <v>400</v>
      </c>
      <c r="AH38">
        <v>400</v>
      </c>
      <c r="AI38">
        <v>400</v>
      </c>
      <c r="AJ38">
        <v>400</v>
      </c>
      <c r="AK38">
        <v>400</v>
      </c>
      <c r="AL38">
        <v>400</v>
      </c>
      <c r="AM38">
        <v>400</v>
      </c>
      <c r="AN38">
        <v>400</v>
      </c>
      <c r="AO38">
        <v>400</v>
      </c>
      <c r="AP38">
        <v>400</v>
      </c>
      <c r="AQ38">
        <v>400</v>
      </c>
      <c r="AR38">
        <v>400</v>
      </c>
      <c r="AS38">
        <v>400</v>
      </c>
      <c r="AT38">
        <v>400</v>
      </c>
      <c r="AU38">
        <v>400</v>
      </c>
      <c r="AV38">
        <v>400</v>
      </c>
      <c r="AW38">
        <v>400</v>
      </c>
      <c r="AX38">
        <v>400</v>
      </c>
      <c r="AY38">
        <v>400</v>
      </c>
      <c r="AZ38">
        <v>400</v>
      </c>
      <c r="BA38">
        <v>400</v>
      </c>
      <c r="BB38">
        <v>400</v>
      </c>
      <c r="BC38">
        <v>400</v>
      </c>
      <c r="BD38">
        <v>400</v>
      </c>
      <c r="BE38">
        <v>400</v>
      </c>
      <c r="BF38">
        <v>400</v>
      </c>
      <c r="BG38">
        <v>400</v>
      </c>
      <c r="BH38">
        <v>400</v>
      </c>
      <c r="BI38">
        <v>400</v>
      </c>
      <c r="BJ38">
        <v>400</v>
      </c>
      <c r="BK38">
        <v>400</v>
      </c>
      <c r="BL38">
        <v>400</v>
      </c>
      <c r="BM38">
        <v>400</v>
      </c>
      <c r="BN38">
        <v>400</v>
      </c>
      <c r="BO38">
        <v>400</v>
      </c>
      <c r="BP38">
        <v>400</v>
      </c>
      <c r="BQ38">
        <v>400</v>
      </c>
      <c r="BR38">
        <v>400</v>
      </c>
      <c r="BS38">
        <v>400</v>
      </c>
      <c r="BT38">
        <v>400</v>
      </c>
      <c r="BU38">
        <v>400</v>
      </c>
      <c r="BV38">
        <v>400</v>
      </c>
    </row>
    <row r="39" spans="1:74" x14ac:dyDescent="0.25">
      <c r="A39" t="s">
        <v>39</v>
      </c>
      <c r="B39">
        <f>B38*(1+F34)^(72)</f>
        <v>3927.9093045167701</v>
      </c>
      <c r="C39">
        <f>C38*(1+$F$34)^($BV$37-C37)</f>
        <v>521.76462326499222</v>
      </c>
      <c r="D39">
        <f t="shared" ref="D39:BO39" si="2">D38*(1+$F$34)^($BV$37-D37)</f>
        <v>519.81531583062747</v>
      </c>
      <c r="E39">
        <f t="shared" si="2"/>
        <v>517.87329098941723</v>
      </c>
      <c r="F39">
        <f t="shared" si="2"/>
        <v>515.93852153366595</v>
      </c>
      <c r="G39">
        <f t="shared" si="2"/>
        <v>514.01098035732616</v>
      </c>
      <c r="H39">
        <f t="shared" si="2"/>
        <v>512.09064045561763</v>
      </c>
      <c r="I39">
        <f t="shared" si="2"/>
        <v>510.1774749246502</v>
      </c>
      <c r="J39">
        <f t="shared" si="2"/>
        <v>508.27145696104628</v>
      </c>
      <c r="K39">
        <f t="shared" si="2"/>
        <v>506.37255986156538</v>
      </c>
      <c r="L39">
        <f t="shared" si="2"/>
        <v>504.48075702273024</v>
      </c>
      <c r="M39">
        <f t="shared" si="2"/>
        <v>502.59602194045368</v>
      </c>
      <c r="N39">
        <f t="shared" si="2"/>
        <v>500.71832820966745</v>
      </c>
      <c r="O39">
        <f t="shared" si="2"/>
        <v>498.84764952395261</v>
      </c>
      <c r="P39">
        <f t="shared" si="2"/>
        <v>496.98395967517081</v>
      </c>
      <c r="Q39">
        <f t="shared" si="2"/>
        <v>495.12723255309669</v>
      </c>
      <c r="R39">
        <f t="shared" si="2"/>
        <v>493.2774421450527</v>
      </c>
      <c r="S39">
        <f t="shared" si="2"/>
        <v>491.4345625355445</v>
      </c>
      <c r="T39">
        <f t="shared" si="2"/>
        <v>489.59856790589743</v>
      </c>
      <c r="U39">
        <f t="shared" si="2"/>
        <v>487.76943253389538</v>
      </c>
      <c r="V39">
        <f t="shared" si="2"/>
        <v>485.94713079342</v>
      </c>
      <c r="W39">
        <f t="shared" si="2"/>
        <v>484.13163715409223</v>
      </c>
      <c r="X39">
        <f t="shared" si="2"/>
        <v>482.32292618091384</v>
      </c>
      <c r="Y39">
        <f t="shared" si="2"/>
        <v>480.52097253391173</v>
      </c>
      <c r="Z39">
        <f t="shared" si="2"/>
        <v>478.72575096778257</v>
      </c>
      <c r="AA39">
        <f t="shared" si="2"/>
        <v>476.93723633153928</v>
      </c>
      <c r="AB39">
        <f t="shared" si="2"/>
        <v>475.15540356815882</v>
      </c>
      <c r="AC39">
        <f t="shared" si="2"/>
        <v>473.38022771423056</v>
      </c>
      <c r="AD39">
        <f t="shared" si="2"/>
        <v>471.61168389960704</v>
      </c>
      <c r="AE39">
        <f t="shared" si="2"/>
        <v>469.8497473470556</v>
      </c>
      <c r="AF39">
        <f t="shared" si="2"/>
        <v>468.09439337191094</v>
      </c>
      <c r="AG39">
        <f t="shared" si="2"/>
        <v>466.34559738172953</v>
      </c>
      <c r="AH39">
        <f t="shared" si="2"/>
        <v>464.60333487594471</v>
      </c>
      <c r="AI39">
        <f t="shared" si="2"/>
        <v>462.86758144552402</v>
      </c>
      <c r="AJ39">
        <f t="shared" si="2"/>
        <v>461.13831277262676</v>
      </c>
      <c r="AK39">
        <f t="shared" si="2"/>
        <v>459.41550463026334</v>
      </c>
      <c r="AL39">
        <f t="shared" si="2"/>
        <v>457.69913288195596</v>
      </c>
      <c r="AM39">
        <f t="shared" si="2"/>
        <v>455.98917348140071</v>
      </c>
      <c r="AN39">
        <f t="shared" si="2"/>
        <v>454.28560247213039</v>
      </c>
      <c r="AO39">
        <f t="shared" si="2"/>
        <v>452.58839598717839</v>
      </c>
      <c r="AP39">
        <f t="shared" si="2"/>
        <v>450.89753024874568</v>
      </c>
      <c r="AQ39">
        <f t="shared" si="2"/>
        <v>449.21298156786611</v>
      </c>
      <c r="AR39">
        <f t="shared" si="2"/>
        <v>447.53472634407592</v>
      </c>
      <c r="AS39">
        <f t="shared" si="2"/>
        <v>445.86274106508199</v>
      </c>
      <c r="AT39">
        <f t="shared" si="2"/>
        <v>444.19700230643286</v>
      </c>
      <c r="AU39">
        <f t="shared" si="2"/>
        <v>442.53748673119094</v>
      </c>
      <c r="AV39">
        <f t="shared" si="2"/>
        <v>440.88417108960493</v>
      </c>
      <c r="AW39">
        <f t="shared" si="2"/>
        <v>439.23703221878452</v>
      </c>
      <c r="AX39">
        <f t="shared" si="2"/>
        <v>437.59604704237563</v>
      </c>
      <c r="AY39">
        <f t="shared" si="2"/>
        <v>435.96119257023724</v>
      </c>
      <c r="AZ39">
        <f t="shared" si="2"/>
        <v>434.33244589811932</v>
      </c>
      <c r="BA39">
        <f t="shared" si="2"/>
        <v>432.7097842073419</v>
      </c>
      <c r="BB39">
        <f t="shared" si="2"/>
        <v>431.0931847644751</v>
      </c>
      <c r="BC39">
        <f t="shared" si="2"/>
        <v>429.48262492102128</v>
      </c>
      <c r="BD39">
        <f t="shared" si="2"/>
        <v>427.87808211309721</v>
      </c>
      <c r="BE39">
        <f t="shared" si="2"/>
        <v>426.27953386111807</v>
      </c>
      <c r="BF39">
        <f t="shared" si="2"/>
        <v>424.68695776948255</v>
      </c>
      <c r="BG39">
        <f t="shared" si="2"/>
        <v>423.10033152625908</v>
      </c>
      <c r="BH39">
        <f t="shared" si="2"/>
        <v>421.51963290287335</v>
      </c>
      <c r="BI39">
        <f t="shared" si="2"/>
        <v>419.94483975379671</v>
      </c>
      <c r="BJ39">
        <f t="shared" si="2"/>
        <v>418.37593001623583</v>
      </c>
      <c r="BK39">
        <f t="shared" si="2"/>
        <v>416.81288170982401</v>
      </c>
      <c r="BL39">
        <f t="shared" si="2"/>
        <v>415.25567293631286</v>
      </c>
      <c r="BM39">
        <f t="shared" si="2"/>
        <v>413.70428187926569</v>
      </c>
      <c r="BN39">
        <f t="shared" si="2"/>
        <v>412.15868680375161</v>
      </c>
      <c r="BO39">
        <f t="shared" si="2"/>
        <v>410.6188660560415</v>
      </c>
      <c r="BP39">
        <f t="shared" ref="BP39:BV39" si="3">BP38*(1+$F$34)^($BV$37-BP37)</f>
        <v>409.08479806330416</v>
      </c>
      <c r="BQ39">
        <f t="shared" si="3"/>
        <v>407.5564613333043</v>
      </c>
      <c r="BR39">
        <f t="shared" si="3"/>
        <v>406.0338344541014</v>
      </c>
      <c r="BS39">
        <f t="shared" si="3"/>
        <v>404.51689609374989</v>
      </c>
      <c r="BT39">
        <f t="shared" si="3"/>
        <v>403.00562499999995</v>
      </c>
      <c r="BU39">
        <f t="shared" si="3"/>
        <v>401.49999999999994</v>
      </c>
      <c r="BV39">
        <f t="shared" si="3"/>
        <v>400</v>
      </c>
    </row>
    <row r="40" spans="1:74" x14ac:dyDescent="0.25">
      <c r="A40" t="s">
        <v>7</v>
      </c>
      <c r="B40" s="2">
        <f>SUM(B39:BV39)</f>
        <v>36920.240131780374</v>
      </c>
      <c r="C40" t="s">
        <v>47</v>
      </c>
    </row>
    <row r="41" spans="1:74" x14ac:dyDescent="0.25">
      <c r="A41" t="s">
        <v>48</v>
      </c>
    </row>
    <row r="42" spans="1:74" x14ac:dyDescent="0.25">
      <c r="A42" t="s">
        <v>44</v>
      </c>
      <c r="B42" s="9">
        <v>43497</v>
      </c>
      <c r="C42" s="9">
        <v>43525</v>
      </c>
      <c r="D42" s="9">
        <v>43556</v>
      </c>
      <c r="E42" s="9">
        <v>43586</v>
      </c>
      <c r="F42" s="9">
        <v>43617</v>
      </c>
      <c r="G42" s="9">
        <v>43647</v>
      </c>
      <c r="H42" s="9">
        <v>43678</v>
      </c>
      <c r="I42" s="9">
        <v>43709</v>
      </c>
      <c r="J42" s="9">
        <v>43739</v>
      </c>
      <c r="K42" s="9">
        <v>43770</v>
      </c>
      <c r="L42" s="9">
        <v>43800</v>
      </c>
      <c r="M42" s="9">
        <v>43831</v>
      </c>
      <c r="N42" s="9">
        <v>43862</v>
      </c>
      <c r="O42" s="9">
        <v>43891</v>
      </c>
      <c r="P42" s="9">
        <v>43922</v>
      </c>
      <c r="Q42" s="9">
        <v>43952</v>
      </c>
      <c r="R42" s="9">
        <v>43983</v>
      </c>
      <c r="S42" s="9">
        <v>44013</v>
      </c>
      <c r="T42" s="9">
        <v>44044</v>
      </c>
      <c r="U42" s="9">
        <v>44075</v>
      </c>
      <c r="V42" s="9">
        <v>44105</v>
      </c>
      <c r="W42" s="9">
        <v>44136</v>
      </c>
      <c r="X42" s="9">
        <v>44166</v>
      </c>
      <c r="Y42" s="9">
        <v>44197</v>
      </c>
      <c r="Z42" s="9">
        <v>44228</v>
      </c>
      <c r="AA42" s="9">
        <v>44256</v>
      </c>
      <c r="AB42" s="9">
        <v>44287</v>
      </c>
      <c r="AC42" s="9">
        <v>44317</v>
      </c>
      <c r="AD42" s="9">
        <v>44348</v>
      </c>
      <c r="AE42" s="9">
        <v>44378</v>
      </c>
      <c r="AF42" s="9">
        <v>44409</v>
      </c>
      <c r="AG42" s="9">
        <v>44440</v>
      </c>
      <c r="AH42" s="9">
        <v>44470</v>
      </c>
      <c r="AI42" s="9">
        <v>44501</v>
      </c>
      <c r="AJ42" s="9">
        <v>44531</v>
      </c>
      <c r="AK42" s="9">
        <v>44562</v>
      </c>
      <c r="AL42" s="9">
        <v>44593</v>
      </c>
      <c r="AM42" s="9">
        <v>44621</v>
      </c>
      <c r="AN42" s="9">
        <v>44652</v>
      </c>
      <c r="AO42" s="9">
        <v>44682</v>
      </c>
      <c r="AP42" s="9">
        <v>44713</v>
      </c>
      <c r="AQ42" s="9">
        <v>44743</v>
      </c>
      <c r="AR42" s="9">
        <v>44774</v>
      </c>
      <c r="AS42" s="9">
        <v>44805</v>
      </c>
      <c r="AT42" s="9">
        <v>44835</v>
      </c>
      <c r="AU42" s="9">
        <v>44866</v>
      </c>
      <c r="AV42" s="9">
        <v>44896</v>
      </c>
      <c r="AW42" s="9">
        <v>44927</v>
      </c>
      <c r="AX42" s="9">
        <v>44958</v>
      </c>
    </row>
    <row r="43" spans="1:74" x14ac:dyDescent="0.25">
      <c r="A43" t="s">
        <v>24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6</v>
      </c>
      <c r="I43">
        <v>7</v>
      </c>
      <c r="J43">
        <v>8</v>
      </c>
      <c r="K43">
        <v>9</v>
      </c>
      <c r="L43">
        <v>10</v>
      </c>
      <c r="M43">
        <v>11</v>
      </c>
      <c r="N43">
        <v>12</v>
      </c>
      <c r="O43">
        <v>13</v>
      </c>
      <c r="P43">
        <v>14</v>
      </c>
      <c r="Q43">
        <v>15</v>
      </c>
      <c r="R43">
        <v>16</v>
      </c>
      <c r="S43">
        <v>17</v>
      </c>
      <c r="T43">
        <v>18</v>
      </c>
      <c r="U43">
        <v>19</v>
      </c>
      <c r="V43">
        <v>20</v>
      </c>
      <c r="W43">
        <v>21</v>
      </c>
      <c r="X43">
        <v>22</v>
      </c>
      <c r="Y43">
        <v>23</v>
      </c>
      <c r="Z43">
        <v>24</v>
      </c>
      <c r="AA43">
        <v>25</v>
      </c>
      <c r="AB43">
        <v>26</v>
      </c>
      <c r="AC43">
        <v>27</v>
      </c>
      <c r="AD43">
        <v>28</v>
      </c>
      <c r="AE43">
        <v>29</v>
      </c>
      <c r="AF43">
        <v>30</v>
      </c>
      <c r="AG43">
        <v>31</v>
      </c>
      <c r="AH43">
        <v>32</v>
      </c>
      <c r="AI43">
        <v>33</v>
      </c>
      <c r="AJ43">
        <v>34</v>
      </c>
      <c r="AK43">
        <v>35</v>
      </c>
      <c r="AL43">
        <v>36</v>
      </c>
      <c r="AM43">
        <v>37</v>
      </c>
      <c r="AN43">
        <v>38</v>
      </c>
      <c r="AO43">
        <v>39</v>
      </c>
      <c r="AP43">
        <v>40</v>
      </c>
      <c r="AQ43">
        <v>41</v>
      </c>
      <c r="AR43">
        <v>42</v>
      </c>
      <c r="AS43">
        <v>43</v>
      </c>
      <c r="AT43">
        <v>44</v>
      </c>
      <c r="AU43">
        <v>45</v>
      </c>
      <c r="AV43">
        <v>46</v>
      </c>
      <c r="AW43">
        <v>47</v>
      </c>
      <c r="AX43">
        <v>48</v>
      </c>
    </row>
    <row r="44" spans="1:74" x14ac:dyDescent="0.25">
      <c r="A44" t="s">
        <v>1</v>
      </c>
      <c r="C44">
        <v>300</v>
      </c>
      <c r="D44">
        <v>300</v>
      </c>
      <c r="E44">
        <v>300</v>
      </c>
      <c r="F44">
        <v>300</v>
      </c>
      <c r="G44">
        <v>300</v>
      </c>
      <c r="H44">
        <v>300</v>
      </c>
      <c r="I44">
        <v>300</v>
      </c>
      <c r="J44">
        <v>300</v>
      </c>
      <c r="K44">
        <v>300</v>
      </c>
      <c r="L44">
        <v>300</v>
      </c>
      <c r="M44">
        <v>300</v>
      </c>
      <c r="N44">
        <v>300</v>
      </c>
      <c r="O44">
        <v>300</v>
      </c>
      <c r="P44">
        <v>300</v>
      </c>
      <c r="Q44">
        <v>300</v>
      </c>
      <c r="R44">
        <v>300</v>
      </c>
      <c r="S44">
        <v>300</v>
      </c>
      <c r="T44">
        <v>300</v>
      </c>
      <c r="U44">
        <v>300</v>
      </c>
      <c r="V44">
        <v>300</v>
      </c>
      <c r="W44">
        <v>300</v>
      </c>
      <c r="X44">
        <v>300</v>
      </c>
      <c r="Y44">
        <v>300</v>
      </c>
      <c r="Z44">
        <v>300</v>
      </c>
      <c r="AA44">
        <v>300</v>
      </c>
      <c r="AB44">
        <v>300</v>
      </c>
      <c r="AC44">
        <v>300</v>
      </c>
      <c r="AD44">
        <v>300</v>
      </c>
      <c r="AE44">
        <v>300</v>
      </c>
      <c r="AF44">
        <v>300</v>
      </c>
      <c r="AG44">
        <v>300</v>
      </c>
      <c r="AH44">
        <v>300</v>
      </c>
      <c r="AI44">
        <v>300</v>
      </c>
      <c r="AJ44">
        <v>300</v>
      </c>
      <c r="AK44">
        <v>300</v>
      </c>
      <c r="AL44">
        <v>300</v>
      </c>
      <c r="AM44">
        <v>300</v>
      </c>
      <c r="AN44">
        <v>300</v>
      </c>
      <c r="AO44">
        <v>300</v>
      </c>
      <c r="AP44">
        <v>300</v>
      </c>
      <c r="AQ44">
        <v>300</v>
      </c>
      <c r="AR44">
        <v>300</v>
      </c>
      <c r="AS44">
        <v>300</v>
      </c>
      <c r="AT44">
        <v>300</v>
      </c>
      <c r="AU44">
        <v>300</v>
      </c>
      <c r="AV44">
        <v>300</v>
      </c>
      <c r="AW44">
        <v>300</v>
      </c>
      <c r="AX44">
        <v>300</v>
      </c>
    </row>
    <row r="45" spans="1:74" x14ac:dyDescent="0.25">
      <c r="A45" t="s">
        <v>1</v>
      </c>
      <c r="C45">
        <f>C44/(1+$F$34)^(C43)</f>
        <v>298.87920298879203</v>
      </c>
      <c r="D45">
        <f>D44/(1+$F$34)^(D43)</f>
        <v>297.76259326405187</v>
      </c>
      <c r="E45">
        <f t="shared" ref="D45:AX45" si="4">E44/(1+$F$34)^(E43)</f>
        <v>296.65015518211897</v>
      </c>
      <c r="F45">
        <f t="shared" si="4"/>
        <v>295.54187315777733</v>
      </c>
      <c r="G45">
        <f t="shared" si="4"/>
        <v>294.43773166403719</v>
      </c>
      <c r="H45">
        <f t="shared" si="4"/>
        <v>293.33771523191751</v>
      </c>
      <c r="I45">
        <f t="shared" si="4"/>
        <v>292.2418084502292</v>
      </c>
      <c r="J45">
        <f t="shared" si="4"/>
        <v>291.1499959653591</v>
      </c>
      <c r="K45">
        <f t="shared" si="4"/>
        <v>290.06226248105514</v>
      </c>
      <c r="L45">
        <f t="shared" si="4"/>
        <v>288.9785927582119</v>
      </c>
      <c r="M45">
        <f t="shared" si="4"/>
        <v>287.898971614657</v>
      </c>
      <c r="N45">
        <f t="shared" si="4"/>
        <v>286.82338392493847</v>
      </c>
      <c r="O45">
        <f t="shared" si="4"/>
        <v>285.75181462011307</v>
      </c>
      <c r="P45">
        <f t="shared" si="4"/>
        <v>284.68424868753482</v>
      </c>
      <c r="Q45">
        <f t="shared" si="4"/>
        <v>283.62067117064498</v>
      </c>
      <c r="R45">
        <f t="shared" si="4"/>
        <v>282.56106716876212</v>
      </c>
      <c r="S45">
        <f t="shared" si="4"/>
        <v>281.50542183687389</v>
      </c>
      <c r="T45">
        <f t="shared" si="4"/>
        <v>280.45372038542854</v>
      </c>
      <c r="U45">
        <f t="shared" si="4"/>
        <v>279.4059480801281</v>
      </c>
      <c r="V45">
        <f t="shared" si="4"/>
        <v>278.36209024172166</v>
      </c>
      <c r="W45">
        <f t="shared" si="4"/>
        <v>277.32213224579988</v>
      </c>
      <c r="X45">
        <f t="shared" si="4"/>
        <v>276.28605952259022</v>
      </c>
      <c r="Y45">
        <f t="shared" si="4"/>
        <v>275.25385755675239</v>
      </c>
      <c r="Z45">
        <f t="shared" si="4"/>
        <v>274.22551188717557</v>
      </c>
      <c r="AA45">
        <f t="shared" si="4"/>
        <v>273.20100810677513</v>
      </c>
      <c r="AB45">
        <f t="shared" si="4"/>
        <v>272.18033186229155</v>
      </c>
      <c r="AC45">
        <f t="shared" si="4"/>
        <v>271.16346885408876</v>
      </c>
      <c r="AD45">
        <f t="shared" si="4"/>
        <v>270.15040483595391</v>
      </c>
      <c r="AE45">
        <f t="shared" si="4"/>
        <v>269.14112561489804</v>
      </c>
      <c r="AF45">
        <f t="shared" si="4"/>
        <v>268.13561705095702</v>
      </c>
      <c r="AG45">
        <f t="shared" si="4"/>
        <v>267.13386505699339</v>
      </c>
      <c r="AH45">
        <f t="shared" si="4"/>
        <v>266.13585559849895</v>
      </c>
      <c r="AI45">
        <f t="shared" si="4"/>
        <v>265.14157469339875</v>
      </c>
      <c r="AJ45">
        <f t="shared" si="4"/>
        <v>264.15100841185426</v>
      </c>
      <c r="AK45">
        <f t="shared" si="4"/>
        <v>263.16414287606909</v>
      </c>
      <c r="AL45">
        <f t="shared" si="4"/>
        <v>262.18096426009373</v>
      </c>
      <c r="AM45">
        <f t="shared" si="4"/>
        <v>261.20145878963262</v>
      </c>
      <c r="AN45">
        <f t="shared" si="4"/>
        <v>260.22561274185068</v>
      </c>
      <c r="AO45">
        <f t="shared" si="4"/>
        <v>259.25341244518131</v>
      </c>
      <c r="AP45">
        <f t="shared" si="4"/>
        <v>258.28484427913457</v>
      </c>
      <c r="AQ45">
        <f t="shared" si="4"/>
        <v>257.31989467410671</v>
      </c>
      <c r="AR45">
        <f t="shared" si="4"/>
        <v>256.35855011118974</v>
      </c>
      <c r="AS45">
        <f t="shared" si="4"/>
        <v>255.40079712198232</v>
      </c>
      <c r="AT45">
        <f t="shared" si="4"/>
        <v>254.44662228840085</v>
      </c>
      <c r="AU45">
        <f t="shared" si="4"/>
        <v>253.4960122424915</v>
      </c>
      <c r="AV45">
        <f t="shared" si="4"/>
        <v>252.54895366624314</v>
      </c>
      <c r="AW45">
        <f t="shared" si="4"/>
        <v>251.60543329140046</v>
      </c>
      <c r="AX45">
        <f t="shared" si="4"/>
        <v>250.66543789927815</v>
      </c>
    </row>
    <row r="46" spans="1:74" x14ac:dyDescent="0.25">
      <c r="A46" t="s">
        <v>7</v>
      </c>
      <c r="B46" s="2">
        <f>SUM(C45:AX45)</f>
        <v>13155.883226859434</v>
      </c>
      <c r="C46" t="s">
        <v>49</v>
      </c>
    </row>
    <row r="47" spans="1:74" x14ac:dyDescent="0.25">
      <c r="B47">
        <f>B46*(1+F34)^(48)</f>
        <v>15745.150193556843</v>
      </c>
    </row>
    <row r="48" spans="1:74" x14ac:dyDescent="0.25">
      <c r="A48" t="s">
        <v>50</v>
      </c>
      <c r="B48" s="2">
        <f>B40-B46</f>
        <v>23764.35690492094</v>
      </c>
      <c r="C48" t="s">
        <v>51</v>
      </c>
    </row>
    <row r="49" spans="1:8" x14ac:dyDescent="0.25">
      <c r="B49">
        <f>B48*(1+F34)^(48)</f>
        <v>28441.524013936716</v>
      </c>
      <c r="C49" t="s">
        <v>52</v>
      </c>
    </row>
    <row r="52" spans="1:8" x14ac:dyDescent="0.25">
      <c r="A52" t="s">
        <v>32</v>
      </c>
      <c r="B52" t="s">
        <v>45</v>
      </c>
      <c r="C52" s="3">
        <v>0.14000000000000001</v>
      </c>
    </row>
    <row r="53" spans="1:8" x14ac:dyDescent="0.25">
      <c r="B53">
        <v>0</v>
      </c>
      <c r="C53">
        <v>1</v>
      </c>
      <c r="D53">
        <v>2</v>
      </c>
      <c r="E53">
        <v>3</v>
      </c>
      <c r="F53">
        <v>4</v>
      </c>
      <c r="G53">
        <v>5</v>
      </c>
      <c r="H53">
        <v>6</v>
      </c>
    </row>
    <row r="54" spans="1:8" x14ac:dyDescent="0.25">
      <c r="B54">
        <v>-500000</v>
      </c>
    </row>
    <row r="55" spans="1:8" x14ac:dyDescent="0.25">
      <c r="C55">
        <v>300000</v>
      </c>
      <c r="D55">
        <v>300000</v>
      </c>
      <c r="E55">
        <v>300000</v>
      </c>
      <c r="F55">
        <v>300000</v>
      </c>
      <c r="G55">
        <v>300000</v>
      </c>
      <c r="H55">
        <f>300000+1000000</f>
        <v>1300000</v>
      </c>
    </row>
    <row r="56" spans="1:8" x14ac:dyDescent="0.25">
      <c r="A56" t="s">
        <v>53</v>
      </c>
      <c r="B56">
        <f>B54/(1+$C$52)^(B53)</f>
        <v>-500000</v>
      </c>
      <c r="C56">
        <f>C55/(1+$C$52)^(C53)</f>
        <v>263157.89473684208</v>
      </c>
      <c r="D56">
        <f t="shared" ref="D56:H56" si="5">D55/(1+$C$52)^(D53)</f>
        <v>230840.25854108951</v>
      </c>
      <c r="E56">
        <f t="shared" si="5"/>
        <v>202491.45486060483</v>
      </c>
      <c r="F56">
        <f t="shared" si="5"/>
        <v>177624.08321105683</v>
      </c>
      <c r="G56">
        <f t="shared" si="5"/>
        <v>155810.59930794456</v>
      </c>
      <c r="H56">
        <f t="shared" si="5"/>
        <v>592262.51198926289</v>
      </c>
    </row>
    <row r="57" spans="1:8" x14ac:dyDescent="0.25">
      <c r="A57" t="s">
        <v>3</v>
      </c>
      <c r="B57" s="2">
        <f>SUM(B56:H56)</f>
        <v>1122186.8026468006</v>
      </c>
    </row>
    <row r="60" spans="1:8" x14ac:dyDescent="0.25">
      <c r="A60" t="s">
        <v>54</v>
      </c>
      <c r="B60">
        <v>0</v>
      </c>
      <c r="C60">
        <v>1</v>
      </c>
      <c r="D60">
        <v>2</v>
      </c>
      <c r="E60">
        <v>3</v>
      </c>
      <c r="F60">
        <v>4</v>
      </c>
      <c r="G60">
        <v>5</v>
      </c>
      <c r="H60">
        <v>6</v>
      </c>
    </row>
    <row r="61" spans="1:8" x14ac:dyDescent="0.25">
      <c r="B61">
        <v>-500000</v>
      </c>
      <c r="C61">
        <v>400000</v>
      </c>
      <c r="D61">
        <v>400000</v>
      </c>
      <c r="E61">
        <f>400000+800000</f>
        <v>1200000</v>
      </c>
    </row>
    <row r="62" spans="1:8" x14ac:dyDescent="0.25">
      <c r="A62" t="s">
        <v>55</v>
      </c>
      <c r="B62">
        <f>B61/(1+$C$52)^(B60)</f>
        <v>-500000</v>
      </c>
      <c r="C62">
        <f t="shared" ref="C62:E62" si="6">C61/(1+$C$52)^(C60)</f>
        <v>350877.19298245612</v>
      </c>
      <c r="D62">
        <f t="shared" si="6"/>
        <v>307787.01138811937</v>
      </c>
      <c r="E62">
        <f t="shared" si="6"/>
        <v>809965.81944241934</v>
      </c>
    </row>
    <row r="63" spans="1:8" x14ac:dyDescent="0.25">
      <c r="A63" t="s">
        <v>3</v>
      </c>
      <c r="B63" s="2">
        <f>SUM(B62:E62)</f>
        <v>968630.02381299483</v>
      </c>
    </row>
  </sheetData>
  <pageMargins left="0.7" right="0.7" top="0.75" bottom="0.75" header="0.3" footer="0.3"/>
  <pageSetup paperSize="9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F8E5-4BFE-4FDE-89EB-2A3EA10960A7}">
  <dimension ref="A6:P202"/>
  <sheetViews>
    <sheetView tabSelected="1" topLeftCell="A187" zoomScale="145" zoomScaleNormal="145" workbookViewId="0">
      <selection activeCell="J193" sqref="J193"/>
    </sheetView>
  </sheetViews>
  <sheetFormatPr defaultRowHeight="15" x14ac:dyDescent="0.25"/>
  <cols>
    <col min="12" max="12" width="12.140625" bestFit="1" customWidth="1"/>
  </cols>
  <sheetData>
    <row r="6" spans="1:10" x14ac:dyDescent="0.25">
      <c r="I6" t="s">
        <v>115</v>
      </c>
      <c r="J6">
        <f>(J7-J8)/J9</f>
        <v>129083.33333333333</v>
      </c>
    </row>
    <row r="7" spans="1:10" x14ac:dyDescent="0.25">
      <c r="I7" t="s">
        <v>99</v>
      </c>
      <c r="J7">
        <v>850000</v>
      </c>
    </row>
    <row r="8" spans="1:10" x14ac:dyDescent="0.25">
      <c r="I8" t="s">
        <v>63</v>
      </c>
      <c r="J8">
        <v>75500</v>
      </c>
    </row>
    <row r="9" spans="1:10" x14ac:dyDescent="0.25">
      <c r="I9" t="s">
        <v>100</v>
      </c>
      <c r="J9">
        <v>6</v>
      </c>
    </row>
    <row r="14" spans="1:10" x14ac:dyDescent="0.25">
      <c r="A14" t="s">
        <v>45</v>
      </c>
      <c r="B14" s="13">
        <v>0.1</v>
      </c>
      <c r="C14">
        <v>0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</row>
    <row r="15" spans="1:10" x14ac:dyDescent="0.25">
      <c r="B15" t="s">
        <v>66</v>
      </c>
      <c r="C15" s="2">
        <v>-850000</v>
      </c>
    </row>
    <row r="16" spans="1:10" x14ac:dyDescent="0.25">
      <c r="B16" s="10" t="s">
        <v>58</v>
      </c>
      <c r="C16" s="10"/>
      <c r="D16" s="10"/>
      <c r="E16" s="10"/>
      <c r="F16" s="10"/>
      <c r="G16" s="10"/>
      <c r="H16" s="10"/>
      <c r="I16" s="10"/>
    </row>
    <row r="17" spans="2:9" x14ac:dyDescent="0.25">
      <c r="B17" t="s">
        <v>63</v>
      </c>
      <c r="I17">
        <v>75500</v>
      </c>
    </row>
    <row r="18" spans="2:9" x14ac:dyDescent="0.25">
      <c r="B18" t="s">
        <v>57</v>
      </c>
      <c r="D18">
        <v>12500</v>
      </c>
      <c r="E18">
        <v>12500</v>
      </c>
      <c r="F18">
        <v>12500</v>
      </c>
      <c r="G18">
        <v>15000</v>
      </c>
      <c r="H18">
        <v>15000</v>
      </c>
      <c r="I18">
        <v>15000</v>
      </c>
    </row>
    <row r="19" spans="2:9" x14ac:dyDescent="0.25">
      <c r="B19" t="s">
        <v>56</v>
      </c>
      <c r="D19">
        <v>25</v>
      </c>
      <c r="E19">
        <v>25</v>
      </c>
      <c r="F19">
        <v>25</v>
      </c>
      <c r="G19">
        <v>25</v>
      </c>
      <c r="H19">
        <v>25</v>
      </c>
      <c r="I19">
        <v>25</v>
      </c>
    </row>
    <row r="20" spans="2:9" x14ac:dyDescent="0.25">
      <c r="B20" s="2" t="s">
        <v>64</v>
      </c>
      <c r="C20" s="2"/>
      <c r="D20" s="2">
        <f>D18*D19</f>
        <v>312500</v>
      </c>
      <c r="E20" s="2">
        <f t="shared" ref="E20:H20" si="0">E18*E19</f>
        <v>312500</v>
      </c>
      <c r="F20" s="2">
        <f t="shared" si="0"/>
        <v>312500</v>
      </c>
      <c r="G20" s="2">
        <f t="shared" si="0"/>
        <v>375000</v>
      </c>
      <c r="H20" s="2">
        <f t="shared" si="0"/>
        <v>375000</v>
      </c>
      <c r="I20" s="2">
        <f>I18*I19+I17</f>
        <v>450500</v>
      </c>
    </row>
    <row r="21" spans="2:9" x14ac:dyDescent="0.25">
      <c r="B21" s="10" t="s">
        <v>59</v>
      </c>
      <c r="C21" s="10"/>
      <c r="D21" s="10"/>
      <c r="E21" s="10"/>
      <c r="F21" s="10"/>
      <c r="G21" s="10"/>
      <c r="H21" s="10"/>
      <c r="I21" s="10"/>
    </row>
    <row r="22" spans="2:9" x14ac:dyDescent="0.25">
      <c r="B22" t="s">
        <v>60</v>
      </c>
      <c r="D22">
        <v>24500</v>
      </c>
      <c r="E22">
        <v>24500</v>
      </c>
      <c r="F22">
        <v>24500</v>
      </c>
      <c r="G22">
        <v>24500</v>
      </c>
      <c r="H22">
        <v>24500</v>
      </c>
      <c r="I22">
        <v>24500</v>
      </c>
    </row>
    <row r="23" spans="2:9" x14ac:dyDescent="0.25">
      <c r="B23" t="s">
        <v>61</v>
      </c>
      <c r="D23">
        <v>50000</v>
      </c>
      <c r="E23">
        <v>50000</v>
      </c>
      <c r="F23">
        <v>50000</v>
      </c>
      <c r="G23">
        <v>50000</v>
      </c>
      <c r="H23">
        <v>50000</v>
      </c>
      <c r="I23">
        <v>50000</v>
      </c>
    </row>
    <row r="24" spans="2:9" x14ac:dyDescent="0.25">
      <c r="B24" t="s">
        <v>111</v>
      </c>
      <c r="D24" s="2">
        <f>$J$6</f>
        <v>129083.33333333333</v>
      </c>
      <c r="E24">
        <f t="shared" ref="E24:I24" si="1">$J$6</f>
        <v>129083.33333333333</v>
      </c>
      <c r="F24">
        <f t="shared" si="1"/>
        <v>129083.33333333333</v>
      </c>
      <c r="G24">
        <f t="shared" si="1"/>
        <v>129083.33333333333</v>
      </c>
      <c r="H24">
        <f t="shared" si="1"/>
        <v>129083.33333333333</v>
      </c>
      <c r="I24">
        <f t="shared" si="1"/>
        <v>129083.33333333333</v>
      </c>
    </row>
    <row r="25" spans="2:9" x14ac:dyDescent="0.25">
      <c r="B25" s="11" t="s">
        <v>65</v>
      </c>
      <c r="C25" s="11"/>
      <c r="D25" s="11">
        <f>D22+D23+D24</f>
        <v>203583.33333333331</v>
      </c>
      <c r="E25" s="11">
        <f t="shared" ref="E25:I25" si="2">E22+E23+E24</f>
        <v>203583.33333333331</v>
      </c>
      <c r="F25" s="11">
        <f t="shared" si="2"/>
        <v>203583.33333333331</v>
      </c>
      <c r="G25" s="11">
        <f t="shared" si="2"/>
        <v>203583.33333333331</v>
      </c>
      <c r="H25" s="11">
        <f t="shared" si="2"/>
        <v>203583.33333333331</v>
      </c>
      <c r="I25" s="11">
        <f t="shared" si="2"/>
        <v>203583.33333333331</v>
      </c>
    </row>
    <row r="26" spans="2:9" x14ac:dyDescent="0.25">
      <c r="B26" s="12" t="s">
        <v>67</v>
      </c>
      <c r="C26" s="12"/>
      <c r="D26" s="12">
        <f>D20-D25</f>
        <v>108916.66666666669</v>
      </c>
      <c r="E26" s="12">
        <f>E20-E25</f>
        <v>108916.66666666669</v>
      </c>
      <c r="F26" s="12">
        <f>F20-F25</f>
        <v>108916.66666666669</v>
      </c>
      <c r="G26" s="12">
        <f>G20-G25</f>
        <v>171416.66666666669</v>
      </c>
      <c r="H26" s="12">
        <f>H20-H25</f>
        <v>171416.66666666669</v>
      </c>
      <c r="I26" s="12">
        <f>I20-I25</f>
        <v>246916.66666666669</v>
      </c>
    </row>
    <row r="27" spans="2:9" x14ac:dyDescent="0.25">
      <c r="B27" t="s">
        <v>68</v>
      </c>
      <c r="D27" s="3">
        <v>0.35</v>
      </c>
      <c r="E27" s="3">
        <v>0.35</v>
      </c>
      <c r="F27" s="3">
        <v>0.35</v>
      </c>
      <c r="G27" s="3">
        <v>0.35</v>
      </c>
      <c r="H27" s="3">
        <v>0.35</v>
      </c>
      <c r="I27" s="3">
        <v>0.35</v>
      </c>
    </row>
    <row r="28" spans="2:9" x14ac:dyDescent="0.25">
      <c r="B28" t="s">
        <v>62</v>
      </c>
      <c r="D28" s="2">
        <f>D26*D27</f>
        <v>38120.833333333336</v>
      </c>
      <c r="E28">
        <f t="shared" ref="E28:I28" si="3">E26*E27</f>
        <v>38120.833333333336</v>
      </c>
      <c r="F28">
        <f t="shared" si="3"/>
        <v>38120.833333333336</v>
      </c>
      <c r="G28">
        <f t="shared" si="3"/>
        <v>59995.833333333336</v>
      </c>
      <c r="H28">
        <f t="shared" si="3"/>
        <v>59995.833333333336</v>
      </c>
      <c r="I28">
        <f t="shared" si="3"/>
        <v>86420.833333333328</v>
      </c>
    </row>
    <row r="29" spans="2:9" x14ac:dyDescent="0.25">
      <c r="B29" s="12" t="s">
        <v>69</v>
      </c>
      <c r="C29" s="12"/>
      <c r="D29" s="17">
        <f>D26-D28</f>
        <v>70795.833333333343</v>
      </c>
      <c r="E29" s="12">
        <f>E26-E28</f>
        <v>70795.833333333343</v>
      </c>
      <c r="F29" s="12">
        <f>F26-F28</f>
        <v>70795.833333333343</v>
      </c>
      <c r="G29" s="12">
        <f>G26-G28</f>
        <v>111420.83333333334</v>
      </c>
      <c r="H29" s="12">
        <f>H26-H28</f>
        <v>111420.83333333334</v>
      </c>
      <c r="I29" s="12">
        <f>I26-I28</f>
        <v>160495.83333333337</v>
      </c>
    </row>
    <row r="30" spans="2:9" x14ac:dyDescent="0.25">
      <c r="B30" t="s">
        <v>111</v>
      </c>
      <c r="D30" s="2">
        <f>D24</f>
        <v>129083.33333333333</v>
      </c>
      <c r="E30">
        <f t="shared" ref="E30:I30" si="4">E24</f>
        <v>129083.33333333333</v>
      </c>
      <c r="F30">
        <f t="shared" si="4"/>
        <v>129083.33333333333</v>
      </c>
      <c r="G30">
        <f t="shared" si="4"/>
        <v>129083.33333333333</v>
      </c>
      <c r="H30">
        <f t="shared" si="4"/>
        <v>129083.33333333333</v>
      </c>
      <c r="I30">
        <f t="shared" si="4"/>
        <v>129083.33333333333</v>
      </c>
    </row>
    <row r="31" spans="2:9" x14ac:dyDescent="0.25">
      <c r="B31" t="s">
        <v>70</v>
      </c>
      <c r="C31">
        <f>C15</f>
        <v>-850000</v>
      </c>
      <c r="D31">
        <f>D29+D30</f>
        <v>199879.16666666669</v>
      </c>
      <c r="E31">
        <f t="shared" ref="E31:I31" si="5">E29+E30</f>
        <v>199879.16666666669</v>
      </c>
      <c r="F31">
        <f t="shared" si="5"/>
        <v>199879.16666666669</v>
      </c>
      <c r="G31">
        <f t="shared" si="5"/>
        <v>240504.16666666669</v>
      </c>
      <c r="H31">
        <f t="shared" si="5"/>
        <v>240504.16666666669</v>
      </c>
      <c r="I31">
        <f t="shared" si="5"/>
        <v>289579.16666666669</v>
      </c>
    </row>
    <row r="32" spans="2:9" x14ac:dyDescent="0.25">
      <c r="B32" t="s">
        <v>53</v>
      </c>
      <c r="C32">
        <f>C31/(1+$B$14)^(C14)</f>
        <v>-850000</v>
      </c>
      <c r="D32">
        <f>D31/(1+$B$14)^(D14)</f>
        <v>181708.33333333334</v>
      </c>
      <c r="E32">
        <f>E31/(1+$B$14)^(E14)</f>
        <v>165189.39393939392</v>
      </c>
      <c r="F32">
        <f>F31/(1+$B$14)^(F14)</f>
        <v>150172.1763085399</v>
      </c>
      <c r="G32">
        <f>G31/(1+$B$14)^(G14)</f>
        <v>164267.58190469682</v>
      </c>
      <c r="H32">
        <f>H31/(1+$B$14)^(H14)</f>
        <v>149334.16536790619</v>
      </c>
      <c r="I32">
        <f>I31/(1+$B$14)^(I14)</f>
        <v>163459.89027003109</v>
      </c>
    </row>
    <row r="33" spans="1:9" x14ac:dyDescent="0.25">
      <c r="B33" t="s">
        <v>3</v>
      </c>
      <c r="C33" s="2">
        <f>SUM(C32:I32)</f>
        <v>124131.54112390132</v>
      </c>
    </row>
    <row r="34" spans="1:9" x14ac:dyDescent="0.25">
      <c r="B34" t="s">
        <v>38</v>
      </c>
      <c r="C34" s="13">
        <f>IRR(C31:I31)</f>
        <v>0.14533430126679714</v>
      </c>
      <c r="D34" t="s">
        <v>116</v>
      </c>
    </row>
    <row r="37" spans="1:9" x14ac:dyDescent="0.25">
      <c r="H37" t="s">
        <v>71</v>
      </c>
      <c r="I37" s="13">
        <v>0.05</v>
      </c>
    </row>
    <row r="38" spans="1:9" x14ac:dyDescent="0.25">
      <c r="H38" t="s">
        <v>72</v>
      </c>
      <c r="I38" s="13">
        <v>0.09</v>
      </c>
    </row>
    <row r="44" spans="1:9" x14ac:dyDescent="0.25">
      <c r="B44">
        <v>0</v>
      </c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</row>
    <row r="45" spans="1:9" x14ac:dyDescent="0.25">
      <c r="A45" t="s">
        <v>66</v>
      </c>
      <c r="B45">
        <v>-650000</v>
      </c>
    </row>
    <row r="46" spans="1:9" x14ac:dyDescent="0.25">
      <c r="A46" t="s">
        <v>73</v>
      </c>
      <c r="B46" s="2">
        <v>160000</v>
      </c>
      <c r="C46">
        <f>B46*(1+$I$37)</f>
        <v>168000</v>
      </c>
      <c r="D46">
        <f t="shared" ref="D46:H46" si="6">C46*(1+$I$37)</f>
        <v>176400</v>
      </c>
      <c r="E46">
        <f t="shared" si="6"/>
        <v>185220</v>
      </c>
      <c r="F46">
        <f t="shared" si="6"/>
        <v>194481</v>
      </c>
      <c r="G46">
        <f t="shared" si="6"/>
        <v>204205.05000000002</v>
      </c>
      <c r="H46">
        <f t="shared" si="6"/>
        <v>214415.30250000002</v>
      </c>
      <c r="I46" s="2">
        <f>H46*(1+$I$37)+200000</f>
        <v>425136.06762500003</v>
      </c>
    </row>
    <row r="47" spans="1:9" x14ac:dyDescent="0.25">
      <c r="A47" t="s">
        <v>74</v>
      </c>
    </row>
    <row r="48" spans="1:9" x14ac:dyDescent="0.25">
      <c r="A48" t="s">
        <v>75</v>
      </c>
      <c r="B48" s="2">
        <v>85000</v>
      </c>
      <c r="C48">
        <f>B48*(1+$I$37)</f>
        <v>89250</v>
      </c>
      <c r="D48">
        <f t="shared" ref="D48:I48" si="7">C48*(1+$I$37)</f>
        <v>93712.5</v>
      </c>
      <c r="E48">
        <f t="shared" si="7"/>
        <v>98398.125</v>
      </c>
      <c r="F48">
        <f t="shared" si="7"/>
        <v>103318.03125</v>
      </c>
      <c r="G48">
        <f>F48*(1+$I$37)</f>
        <v>108483.9328125</v>
      </c>
      <c r="H48">
        <f t="shared" si="7"/>
        <v>113908.129453125</v>
      </c>
      <c r="I48">
        <f t="shared" si="7"/>
        <v>119603.53592578125</v>
      </c>
    </row>
    <row r="49" spans="1:16" x14ac:dyDescent="0.25">
      <c r="A49" t="s">
        <v>70</v>
      </c>
      <c r="B49">
        <f>B45</f>
        <v>-650000</v>
      </c>
      <c r="C49">
        <f>C46-C48</f>
        <v>78750</v>
      </c>
      <c r="D49">
        <f>D46-D48</f>
        <v>82687.5</v>
      </c>
      <c r="E49">
        <f t="shared" ref="E49:I49" si="8">E46-E48</f>
        <v>86821.875</v>
      </c>
      <c r="F49">
        <f t="shared" si="8"/>
        <v>91162.96875</v>
      </c>
      <c r="G49">
        <f t="shared" si="8"/>
        <v>95721.117187500015</v>
      </c>
      <c r="H49">
        <f t="shared" si="8"/>
        <v>100507.17304687502</v>
      </c>
      <c r="I49">
        <f t="shared" si="8"/>
        <v>305532.53169921879</v>
      </c>
    </row>
    <row r="50" spans="1:16" x14ac:dyDescent="0.25">
      <c r="A50" t="s">
        <v>53</v>
      </c>
      <c r="B50">
        <f>B49/(1+$I$38)^(B44)</f>
        <v>-650000</v>
      </c>
      <c r="C50">
        <f>C49/(1+$I$38)^(C44)</f>
        <v>72247.706422018338</v>
      </c>
      <c r="D50">
        <f t="shared" ref="D50:I50" si="9">D49/(1+$I$38)^(D44)</f>
        <v>69596.41444322867</v>
      </c>
      <c r="E50">
        <f t="shared" si="9"/>
        <v>67042.417582926704</v>
      </c>
      <c r="F50">
        <f t="shared" si="9"/>
        <v>64582.145378048655</v>
      </c>
      <c r="G50">
        <f t="shared" si="9"/>
        <v>62212.158391698249</v>
      </c>
      <c r="H50">
        <f t="shared" si="9"/>
        <v>59929.143404846938</v>
      </c>
      <c r="I50">
        <f t="shared" si="9"/>
        <v>167136.75775314905</v>
      </c>
    </row>
    <row r="51" spans="1:16" x14ac:dyDescent="0.25">
      <c r="A51" t="s">
        <v>3</v>
      </c>
      <c r="B51" s="2">
        <f>SUM(B50:I50)</f>
        <v>-87253.256624083355</v>
      </c>
      <c r="E51" t="s">
        <v>76</v>
      </c>
    </row>
    <row r="52" spans="1:16" x14ac:dyDescent="0.25">
      <c r="A52" t="s">
        <v>38</v>
      </c>
      <c r="B52" s="3">
        <f>IRR(B49:I49)</f>
        <v>5.5922993062539561E-2</v>
      </c>
    </row>
    <row r="64" spans="1:16" x14ac:dyDescent="0.25">
      <c r="I64" t="s">
        <v>102</v>
      </c>
      <c r="L64" t="s">
        <v>93</v>
      </c>
      <c r="O64" t="s">
        <v>72</v>
      </c>
      <c r="P64" s="13">
        <v>0.1</v>
      </c>
    </row>
    <row r="65" spans="2:14" x14ac:dyDescent="0.25">
      <c r="I65">
        <v>5000</v>
      </c>
      <c r="J65" t="s">
        <v>77</v>
      </c>
      <c r="L65">
        <v>200000</v>
      </c>
      <c r="M65" t="s">
        <v>88</v>
      </c>
      <c r="N65" t="s">
        <v>89</v>
      </c>
    </row>
    <row r="66" spans="2:14" x14ac:dyDescent="0.25">
      <c r="I66">
        <v>4000</v>
      </c>
      <c r="J66" t="s">
        <v>78</v>
      </c>
      <c r="L66" t="s">
        <v>90</v>
      </c>
      <c r="M66">
        <v>6000</v>
      </c>
      <c r="N66" t="s">
        <v>91</v>
      </c>
    </row>
    <row r="67" spans="2:14" x14ac:dyDescent="0.25">
      <c r="I67" t="s">
        <v>79</v>
      </c>
      <c r="J67" t="s">
        <v>80</v>
      </c>
      <c r="K67" t="s">
        <v>81</v>
      </c>
      <c r="L67" t="s">
        <v>92</v>
      </c>
    </row>
    <row r="68" spans="2:14" x14ac:dyDescent="0.25">
      <c r="J68">
        <v>2</v>
      </c>
      <c r="K68">
        <v>3</v>
      </c>
    </row>
    <row r="69" spans="2:14" x14ac:dyDescent="0.25">
      <c r="I69" t="s">
        <v>82</v>
      </c>
      <c r="L69" t="s">
        <v>94</v>
      </c>
      <c r="M69">
        <v>4</v>
      </c>
    </row>
    <row r="70" spans="2:14" x14ac:dyDescent="0.25">
      <c r="I70" t="s">
        <v>83</v>
      </c>
      <c r="J70">
        <v>6</v>
      </c>
      <c r="L70" t="s">
        <v>95</v>
      </c>
      <c r="M70">
        <v>5</v>
      </c>
    </row>
    <row r="71" spans="2:14" x14ac:dyDescent="0.25">
      <c r="I71" t="s">
        <v>84</v>
      </c>
      <c r="J71">
        <v>3</v>
      </c>
      <c r="L71" t="s">
        <v>96</v>
      </c>
      <c r="M71" s="3">
        <v>0.1</v>
      </c>
    </row>
    <row r="72" spans="2:14" x14ac:dyDescent="0.25">
      <c r="I72" t="s">
        <v>85</v>
      </c>
      <c r="J72" t="s">
        <v>86</v>
      </c>
      <c r="K72" t="s">
        <v>87</v>
      </c>
      <c r="L72" t="s">
        <v>71</v>
      </c>
      <c r="M72" s="3">
        <v>0.05</v>
      </c>
    </row>
    <row r="73" spans="2:14" x14ac:dyDescent="0.25">
      <c r="L73" t="s">
        <v>62</v>
      </c>
      <c r="M73" s="3">
        <v>0.4</v>
      </c>
    </row>
    <row r="74" spans="2:14" x14ac:dyDescent="0.25">
      <c r="B74" t="s">
        <v>97</v>
      </c>
    </row>
    <row r="75" spans="2:14" x14ac:dyDescent="0.25">
      <c r="K75" t="s">
        <v>98</v>
      </c>
    </row>
    <row r="76" spans="2:14" x14ac:dyDescent="0.25">
      <c r="K76" t="s">
        <v>99</v>
      </c>
      <c r="L76">
        <v>200000</v>
      </c>
    </row>
    <row r="77" spans="2:14" x14ac:dyDescent="0.25">
      <c r="K77" t="s">
        <v>63</v>
      </c>
      <c r="L77">
        <v>0</v>
      </c>
    </row>
    <row r="78" spans="2:14" x14ac:dyDescent="0.25">
      <c r="K78" t="s">
        <v>100</v>
      </c>
      <c r="L78">
        <v>5</v>
      </c>
    </row>
    <row r="79" spans="2:14" x14ac:dyDescent="0.25">
      <c r="K79" t="s">
        <v>101</v>
      </c>
      <c r="L79">
        <f>(L76-L77)/L78</f>
        <v>40000</v>
      </c>
    </row>
    <row r="82" spans="1:7" x14ac:dyDescent="0.25">
      <c r="B82">
        <v>0</v>
      </c>
      <c r="C82">
        <v>1</v>
      </c>
      <c r="D82">
        <v>2</v>
      </c>
      <c r="E82">
        <v>3</v>
      </c>
      <c r="F82">
        <v>4</v>
      </c>
      <c r="G82">
        <v>5</v>
      </c>
    </row>
    <row r="83" spans="1:7" x14ac:dyDescent="0.25">
      <c r="A83" t="s">
        <v>66</v>
      </c>
      <c r="B83">
        <f>-1*L65</f>
        <v>-200000</v>
      </c>
    </row>
    <row r="84" spans="1:7" x14ac:dyDescent="0.25">
      <c r="A84" s="10" t="s">
        <v>103</v>
      </c>
      <c r="B84" s="10"/>
      <c r="C84" s="10"/>
      <c r="D84" s="10"/>
      <c r="E84" s="10"/>
      <c r="F84" s="10"/>
      <c r="G84" s="10"/>
    </row>
    <row r="85" spans="1:7" x14ac:dyDescent="0.25">
      <c r="A85" t="s">
        <v>57</v>
      </c>
      <c r="C85">
        <f>$I$65</f>
        <v>5000</v>
      </c>
      <c r="D85">
        <f t="shared" ref="D85:E85" si="10">$I$65</f>
        <v>5000</v>
      </c>
      <c r="E85">
        <f t="shared" si="10"/>
        <v>5000</v>
      </c>
      <c r="F85">
        <f>$I$66</f>
        <v>4000</v>
      </c>
      <c r="G85">
        <f>$I$66</f>
        <v>4000</v>
      </c>
    </row>
    <row r="86" spans="1:7" x14ac:dyDescent="0.25">
      <c r="A86" t="s">
        <v>56</v>
      </c>
      <c r="B86" s="2">
        <v>35</v>
      </c>
      <c r="C86">
        <f>B86*(1+$M$72)</f>
        <v>36.75</v>
      </c>
      <c r="D86">
        <f t="shared" ref="D86:G86" si="11">C86*(1+$M$72)</f>
        <v>38.587499999999999</v>
      </c>
      <c r="E86">
        <f t="shared" si="11"/>
        <v>40.516874999999999</v>
      </c>
      <c r="F86">
        <f t="shared" si="11"/>
        <v>42.542718749999999</v>
      </c>
      <c r="G86">
        <f t="shared" si="11"/>
        <v>44.669854687499999</v>
      </c>
    </row>
    <row r="87" spans="1:7" x14ac:dyDescent="0.25">
      <c r="A87" s="10" t="s">
        <v>74</v>
      </c>
      <c r="B87" s="10"/>
      <c r="C87" s="10"/>
      <c r="D87" s="10"/>
      <c r="E87" s="10"/>
      <c r="F87" s="10"/>
      <c r="G87" s="10"/>
    </row>
    <row r="88" spans="1:7" x14ac:dyDescent="0.25">
      <c r="A88" t="s">
        <v>81</v>
      </c>
      <c r="B88" s="2">
        <v>3</v>
      </c>
      <c r="C88">
        <f>B88*(1+$M$71)</f>
        <v>3.3000000000000003</v>
      </c>
      <c r="D88">
        <f t="shared" ref="D88:G88" si="12">C88*(1+$M$71)</f>
        <v>3.6300000000000008</v>
      </c>
      <c r="E88">
        <f t="shared" si="12"/>
        <v>3.9930000000000012</v>
      </c>
      <c r="F88">
        <f t="shared" si="12"/>
        <v>4.3923000000000014</v>
      </c>
      <c r="G88">
        <f t="shared" si="12"/>
        <v>4.8315300000000017</v>
      </c>
    </row>
    <row r="89" spans="1:7" x14ac:dyDescent="0.25">
      <c r="A89" t="s">
        <v>85</v>
      </c>
      <c r="E89">
        <f>J71*1000*E88</f>
        <v>11979.000000000004</v>
      </c>
    </row>
    <row r="90" spans="1:7" x14ac:dyDescent="0.25">
      <c r="A90" t="s">
        <v>90</v>
      </c>
      <c r="C90" s="2">
        <f>M66</f>
        <v>6000</v>
      </c>
      <c r="D90">
        <f>C90*(1+$M$72)</f>
        <v>6300</v>
      </c>
      <c r="E90">
        <f t="shared" ref="E90:G90" si="13">D90*(1+$M$72)</f>
        <v>6615</v>
      </c>
      <c r="F90">
        <f t="shared" si="13"/>
        <v>6945.75</v>
      </c>
      <c r="G90">
        <f t="shared" si="13"/>
        <v>7293.0375000000004</v>
      </c>
    </row>
    <row r="91" spans="1:7" x14ac:dyDescent="0.25">
      <c r="A91" t="s">
        <v>94</v>
      </c>
      <c r="B91" s="2">
        <v>4</v>
      </c>
      <c r="C91">
        <f>B91*(1+$M$72)</f>
        <v>4.2</v>
      </c>
      <c r="D91">
        <f t="shared" ref="D91:G91" si="14">C91*(1+$M$72)</f>
        <v>4.41</v>
      </c>
      <c r="E91">
        <f t="shared" si="14"/>
        <v>4.6305000000000005</v>
      </c>
      <c r="F91">
        <f t="shared" si="14"/>
        <v>4.8620250000000009</v>
      </c>
      <c r="G91">
        <f t="shared" si="14"/>
        <v>5.1051262500000014</v>
      </c>
    </row>
    <row r="92" spans="1:7" x14ac:dyDescent="0.25">
      <c r="A92" t="s">
        <v>105</v>
      </c>
      <c r="B92" s="2">
        <v>5</v>
      </c>
      <c r="C92">
        <f>B92*(1+$M$72)</f>
        <v>5.25</v>
      </c>
      <c r="D92">
        <f t="shared" ref="D92:G92" si="15">C92*(1+$M$72)</f>
        <v>5.5125000000000002</v>
      </c>
      <c r="E92">
        <f t="shared" si="15"/>
        <v>5.7881250000000009</v>
      </c>
      <c r="F92">
        <f t="shared" si="15"/>
        <v>6.0775312500000007</v>
      </c>
      <c r="G92">
        <f t="shared" si="15"/>
        <v>6.3814078125000009</v>
      </c>
    </row>
    <row r="93" spans="1:7" x14ac:dyDescent="0.25">
      <c r="A93" t="s">
        <v>117</v>
      </c>
      <c r="B93" s="2">
        <v>8</v>
      </c>
      <c r="C93">
        <f>B93*(1+$M$72)</f>
        <v>8.4</v>
      </c>
      <c r="D93">
        <f t="shared" ref="D93:G93" si="16">C93*(1+$M$72)</f>
        <v>8.82</v>
      </c>
      <c r="E93">
        <f t="shared" si="16"/>
        <v>9.261000000000001</v>
      </c>
      <c r="F93">
        <f t="shared" si="16"/>
        <v>9.7240500000000019</v>
      </c>
      <c r="G93">
        <f t="shared" si="16"/>
        <v>10.210252500000003</v>
      </c>
    </row>
    <row r="94" spans="1:7" x14ac:dyDescent="0.25">
      <c r="A94" t="s">
        <v>118</v>
      </c>
      <c r="B94" s="2">
        <v>6</v>
      </c>
      <c r="C94">
        <f>B94*(1+$M$72)</f>
        <v>6.3000000000000007</v>
      </c>
      <c r="D94">
        <f t="shared" ref="D94:G94" si="17">C94*(1+$M$72)</f>
        <v>6.6150000000000011</v>
      </c>
      <c r="E94">
        <f t="shared" si="17"/>
        <v>6.9457500000000012</v>
      </c>
      <c r="F94">
        <f t="shared" si="17"/>
        <v>7.2930375000000014</v>
      </c>
      <c r="G94">
        <f t="shared" si="17"/>
        <v>7.6576893750000021</v>
      </c>
    </row>
    <row r="95" spans="1:7" x14ac:dyDescent="0.25">
      <c r="A95" t="s">
        <v>111</v>
      </c>
      <c r="C95" s="2">
        <f>$L$79</f>
        <v>40000</v>
      </c>
      <c r="D95" s="2">
        <f t="shared" ref="D95:G95" si="18">$L$79</f>
        <v>40000</v>
      </c>
      <c r="E95" s="2">
        <f t="shared" si="18"/>
        <v>40000</v>
      </c>
      <c r="F95" s="2">
        <f t="shared" si="18"/>
        <v>40000</v>
      </c>
      <c r="G95" s="2">
        <f t="shared" si="18"/>
        <v>40000</v>
      </c>
    </row>
    <row r="96" spans="1:7" x14ac:dyDescent="0.25">
      <c r="A96" t="s">
        <v>106</v>
      </c>
      <c r="C96">
        <f>C90+C91*C85+C92*C85+C93*C85+C94*C85+C95</f>
        <v>166750</v>
      </c>
      <c r="D96">
        <f t="shared" ref="D96:G96" si="19">D90+D91*D85+D92*D85+D93*D85+D94*D85+D95</f>
        <v>173087.5</v>
      </c>
      <c r="E96">
        <f t="shared" si="19"/>
        <v>179741.87500000003</v>
      </c>
      <c r="F96">
        <f t="shared" si="19"/>
        <v>158772.32500000001</v>
      </c>
      <c r="G96">
        <f t="shared" si="19"/>
        <v>164710.94125000003</v>
      </c>
    </row>
    <row r="97" spans="1:11" x14ac:dyDescent="0.25">
      <c r="A97" s="10" t="s">
        <v>70</v>
      </c>
      <c r="B97" s="10"/>
      <c r="C97" s="10">
        <f>C85*C86-C96</f>
        <v>17000</v>
      </c>
      <c r="D97" s="10">
        <f t="shared" ref="D97:G97" si="20">D85*D86-D96</f>
        <v>19850</v>
      </c>
      <c r="E97" s="10">
        <f t="shared" si="20"/>
        <v>22842.499999999971</v>
      </c>
      <c r="F97" s="10">
        <f t="shared" si="20"/>
        <v>11398.549999999988</v>
      </c>
      <c r="G97" s="10">
        <f t="shared" si="20"/>
        <v>13968.47749999995</v>
      </c>
    </row>
    <row r="107" spans="1:11" x14ac:dyDescent="0.25">
      <c r="A107" t="s">
        <v>2</v>
      </c>
      <c r="B107" s="13">
        <v>0.1</v>
      </c>
    </row>
    <row r="108" spans="1:11" x14ac:dyDescent="0.25">
      <c r="B108">
        <v>0</v>
      </c>
      <c r="C108">
        <v>1</v>
      </c>
      <c r="D108">
        <v>2</v>
      </c>
      <c r="E108">
        <v>3</v>
      </c>
      <c r="F108">
        <v>4</v>
      </c>
      <c r="G108">
        <v>5</v>
      </c>
      <c r="H108">
        <v>6</v>
      </c>
      <c r="J108" t="s">
        <v>98</v>
      </c>
    </row>
    <row r="109" spans="1:11" x14ac:dyDescent="0.25">
      <c r="A109" t="s">
        <v>66</v>
      </c>
      <c r="B109" s="2">
        <v>-950000</v>
      </c>
      <c r="J109" t="s">
        <v>99</v>
      </c>
      <c r="K109">
        <v>950000</v>
      </c>
    </row>
    <row r="110" spans="1:11" x14ac:dyDescent="0.25">
      <c r="A110" s="10" t="s">
        <v>73</v>
      </c>
      <c r="B110" s="10"/>
      <c r="C110" s="10"/>
      <c r="D110" s="10"/>
      <c r="E110" s="10"/>
      <c r="F110" s="10"/>
      <c r="G110" s="10"/>
      <c r="H110" s="10"/>
      <c r="J110" t="s">
        <v>63</v>
      </c>
      <c r="K110">
        <v>65500</v>
      </c>
    </row>
    <row r="111" spans="1:11" x14ac:dyDescent="0.25">
      <c r="A111" t="s">
        <v>57</v>
      </c>
      <c r="C111">
        <v>12000</v>
      </c>
      <c r="D111">
        <v>12000</v>
      </c>
      <c r="E111">
        <v>12000</v>
      </c>
      <c r="F111">
        <v>14000</v>
      </c>
      <c r="G111">
        <v>14000</v>
      </c>
      <c r="H111">
        <v>14000</v>
      </c>
      <c r="J111" t="s">
        <v>100</v>
      </c>
      <c r="K111">
        <v>6</v>
      </c>
    </row>
    <row r="112" spans="1:11" x14ac:dyDescent="0.25">
      <c r="A112" t="s">
        <v>56</v>
      </c>
      <c r="C112">
        <v>27.5</v>
      </c>
      <c r="D112">
        <v>27.5</v>
      </c>
      <c r="E112">
        <v>27.5</v>
      </c>
      <c r="F112">
        <v>27.5</v>
      </c>
      <c r="G112">
        <v>27.5</v>
      </c>
      <c r="H112">
        <v>27.5</v>
      </c>
      <c r="J112" t="s">
        <v>109</v>
      </c>
      <c r="K112">
        <f>(K109-K110)/K111</f>
        <v>147416.66666666666</v>
      </c>
    </row>
    <row r="113" spans="1:8" x14ac:dyDescent="0.25">
      <c r="A113" s="2" t="s">
        <v>64</v>
      </c>
      <c r="B113" s="2"/>
      <c r="C113" s="2">
        <f>C112*C111</f>
        <v>330000</v>
      </c>
      <c r="D113" s="2">
        <f t="shared" ref="D113:H113" si="21">D112*D111</f>
        <v>330000</v>
      </c>
      <c r="E113" s="2">
        <f t="shared" si="21"/>
        <v>330000</v>
      </c>
      <c r="F113" s="2">
        <f t="shared" si="21"/>
        <v>385000</v>
      </c>
      <c r="G113" s="2">
        <f t="shared" si="21"/>
        <v>385000</v>
      </c>
      <c r="H113" s="2">
        <f>H112*H111+65500</f>
        <v>450500</v>
      </c>
    </row>
    <row r="114" spans="1:8" x14ac:dyDescent="0.25">
      <c r="A114" s="10" t="s">
        <v>74</v>
      </c>
      <c r="B114" s="10"/>
      <c r="C114" s="10"/>
      <c r="D114" s="10"/>
      <c r="E114" s="10"/>
      <c r="F114" s="10"/>
      <c r="G114" s="10"/>
      <c r="H114" s="10"/>
    </row>
    <row r="115" spans="1:8" x14ac:dyDescent="0.25">
      <c r="A115" t="s">
        <v>107</v>
      </c>
      <c r="C115">
        <v>22500</v>
      </c>
      <c r="D115">
        <v>22500</v>
      </c>
      <c r="E115">
        <v>22500</v>
      </c>
      <c r="F115">
        <v>22500</v>
      </c>
      <c r="G115">
        <v>22500</v>
      </c>
      <c r="H115">
        <v>22500</v>
      </c>
    </row>
    <row r="116" spans="1:8" x14ac:dyDescent="0.25">
      <c r="A116" t="s">
        <v>108</v>
      </c>
      <c r="C116">
        <v>60000</v>
      </c>
      <c r="D116">
        <v>60000</v>
      </c>
      <c r="E116">
        <v>60000</v>
      </c>
      <c r="F116">
        <v>60000</v>
      </c>
      <c r="G116">
        <v>60000</v>
      </c>
      <c r="H116">
        <v>60000</v>
      </c>
    </row>
    <row r="117" spans="1:8" x14ac:dyDescent="0.25">
      <c r="A117" t="s">
        <v>98</v>
      </c>
      <c r="C117">
        <f>$K$112</f>
        <v>147416.66666666666</v>
      </c>
      <c r="D117">
        <f t="shared" ref="D117:H117" si="22">$K$112</f>
        <v>147416.66666666666</v>
      </c>
      <c r="E117">
        <f t="shared" si="22"/>
        <v>147416.66666666666</v>
      </c>
      <c r="F117">
        <f t="shared" si="22"/>
        <v>147416.66666666666</v>
      </c>
      <c r="G117">
        <f t="shared" si="22"/>
        <v>147416.66666666666</v>
      </c>
      <c r="H117">
        <f t="shared" si="22"/>
        <v>147416.66666666666</v>
      </c>
    </row>
    <row r="118" spans="1:8" x14ac:dyDescent="0.25">
      <c r="A118" s="14" t="s">
        <v>65</v>
      </c>
      <c r="B118" s="14"/>
      <c r="C118" s="14">
        <f>SUM(C115:C117)</f>
        <v>229916.66666666666</v>
      </c>
      <c r="D118" s="14">
        <f t="shared" ref="D118:H118" si="23">SUM(D115:D117)</f>
        <v>229916.66666666666</v>
      </c>
      <c r="E118" s="14">
        <f t="shared" si="23"/>
        <v>229916.66666666666</v>
      </c>
      <c r="F118" s="14">
        <f t="shared" si="23"/>
        <v>229916.66666666666</v>
      </c>
      <c r="G118" s="14">
        <f t="shared" si="23"/>
        <v>229916.66666666666</v>
      </c>
      <c r="H118" s="14">
        <f t="shared" si="23"/>
        <v>229916.66666666666</v>
      </c>
    </row>
    <row r="119" spans="1:8" x14ac:dyDescent="0.25">
      <c r="A119" s="15" t="s">
        <v>110</v>
      </c>
      <c r="B119" s="15"/>
      <c r="C119" s="15">
        <f>C113-C118</f>
        <v>100083.33333333334</v>
      </c>
      <c r="D119" s="15">
        <f t="shared" ref="D119:H119" si="24">D113-D118</f>
        <v>100083.33333333334</v>
      </c>
      <c r="E119" s="15">
        <f t="shared" si="24"/>
        <v>100083.33333333334</v>
      </c>
      <c r="F119" s="15">
        <f t="shared" si="24"/>
        <v>155083.33333333334</v>
      </c>
      <c r="G119" s="15">
        <f t="shared" si="24"/>
        <v>155083.33333333334</v>
      </c>
      <c r="H119" s="15">
        <f t="shared" si="24"/>
        <v>220583.33333333334</v>
      </c>
    </row>
    <row r="120" spans="1:8" x14ac:dyDescent="0.25">
      <c r="A120" s="11" t="s">
        <v>62</v>
      </c>
      <c r="B120" s="11"/>
      <c r="C120" s="11">
        <f>C119*0.35</f>
        <v>35029.166666666664</v>
      </c>
      <c r="D120" s="11">
        <f t="shared" ref="D120:H120" si="25">D119*0.35</f>
        <v>35029.166666666664</v>
      </c>
      <c r="E120" s="11">
        <f t="shared" si="25"/>
        <v>35029.166666666664</v>
      </c>
      <c r="F120" s="11">
        <f t="shared" si="25"/>
        <v>54279.166666666664</v>
      </c>
      <c r="G120" s="11">
        <f t="shared" si="25"/>
        <v>54279.166666666664</v>
      </c>
      <c r="H120" s="11">
        <f t="shared" si="25"/>
        <v>77204.166666666672</v>
      </c>
    </row>
    <row r="121" spans="1:8" x14ac:dyDescent="0.25">
      <c r="A121" s="15" t="s">
        <v>112</v>
      </c>
      <c r="B121" s="15"/>
      <c r="C121" s="15">
        <f>C119-C120</f>
        <v>65054.166666666679</v>
      </c>
      <c r="D121" s="15">
        <f t="shared" ref="D121:H121" si="26">D119-D120</f>
        <v>65054.166666666679</v>
      </c>
      <c r="E121" s="15">
        <f t="shared" si="26"/>
        <v>65054.166666666679</v>
      </c>
      <c r="F121" s="15">
        <f t="shared" si="26"/>
        <v>100804.16666666669</v>
      </c>
      <c r="G121" s="15">
        <f t="shared" si="26"/>
        <v>100804.16666666669</v>
      </c>
      <c r="H121" s="15">
        <f t="shared" si="26"/>
        <v>143379.16666666669</v>
      </c>
    </row>
    <row r="122" spans="1:8" x14ac:dyDescent="0.25">
      <c r="A122" t="s">
        <v>111</v>
      </c>
      <c r="C122">
        <f>C117</f>
        <v>147416.66666666666</v>
      </c>
      <c r="D122">
        <f t="shared" ref="D122:H122" si="27">D117</f>
        <v>147416.66666666666</v>
      </c>
      <c r="E122">
        <f t="shared" si="27"/>
        <v>147416.66666666666</v>
      </c>
      <c r="F122">
        <f t="shared" si="27"/>
        <v>147416.66666666666</v>
      </c>
      <c r="G122">
        <f t="shared" si="27"/>
        <v>147416.66666666666</v>
      </c>
      <c r="H122">
        <f t="shared" si="27"/>
        <v>147416.66666666666</v>
      </c>
    </row>
    <row r="123" spans="1:8" x14ac:dyDescent="0.25">
      <c r="A123" s="10" t="s">
        <v>10</v>
      </c>
      <c r="B123" s="10">
        <f>B109</f>
        <v>-950000</v>
      </c>
      <c r="C123" s="10">
        <f>C121+C122</f>
        <v>212470.83333333334</v>
      </c>
      <c r="D123" s="10">
        <f t="shared" ref="D123:H123" si="28">D121+D122</f>
        <v>212470.83333333334</v>
      </c>
      <c r="E123" s="10">
        <f t="shared" si="28"/>
        <v>212470.83333333334</v>
      </c>
      <c r="F123" s="10">
        <f t="shared" si="28"/>
        <v>248220.83333333334</v>
      </c>
      <c r="G123" s="10">
        <f t="shared" si="28"/>
        <v>248220.83333333334</v>
      </c>
      <c r="H123" s="10">
        <f t="shared" si="28"/>
        <v>290795.83333333337</v>
      </c>
    </row>
    <row r="124" spans="1:8" x14ac:dyDescent="0.25">
      <c r="A124" s="10" t="s">
        <v>53</v>
      </c>
      <c r="B124" s="10">
        <f>B123/(1+$B$107)^(B108)</f>
        <v>-950000</v>
      </c>
      <c r="C124" s="10">
        <f t="shared" ref="C124:H124" si="29">C123/(1+$B$107)^(C108)</f>
        <v>193155.30303030301</v>
      </c>
      <c r="D124" s="10">
        <f t="shared" si="29"/>
        <v>175595.73002754818</v>
      </c>
      <c r="E124" s="10">
        <f t="shared" si="29"/>
        <v>159632.4818432256</v>
      </c>
      <c r="F124" s="10">
        <f t="shared" si="29"/>
        <v>169538.16906859729</v>
      </c>
      <c r="G124" s="10">
        <f t="shared" si="29"/>
        <v>154125.60824417934</v>
      </c>
      <c r="H124" s="10">
        <f t="shared" si="29"/>
        <v>164146.66688492987</v>
      </c>
    </row>
    <row r="125" spans="1:8" x14ac:dyDescent="0.25">
      <c r="A125" t="s">
        <v>3</v>
      </c>
      <c r="B125" s="2">
        <f>SUM(B124:H124)</f>
        <v>66193.959098783234</v>
      </c>
    </row>
    <row r="126" spans="1:8" x14ac:dyDescent="0.25">
      <c r="A126" t="s">
        <v>38</v>
      </c>
      <c r="B126" s="3">
        <f>IRR(B123:H123)</f>
        <v>0.12219475466075846</v>
      </c>
    </row>
    <row r="129" spans="1:12" x14ac:dyDescent="0.25">
      <c r="K129" t="s">
        <v>71</v>
      </c>
      <c r="L129" s="13">
        <v>0.05</v>
      </c>
    </row>
    <row r="130" spans="1:12" x14ac:dyDescent="0.25">
      <c r="K130" t="s">
        <v>72</v>
      </c>
      <c r="L130" s="13">
        <v>0.12</v>
      </c>
    </row>
    <row r="134" spans="1:12" x14ac:dyDescent="0.25">
      <c r="L134" t="s">
        <v>114</v>
      </c>
    </row>
    <row r="136" spans="1:12" x14ac:dyDescent="0.25">
      <c r="B136">
        <v>0</v>
      </c>
      <c r="C136">
        <v>1</v>
      </c>
      <c r="D136">
        <v>2</v>
      </c>
      <c r="E136">
        <v>3</v>
      </c>
      <c r="F136">
        <v>4</v>
      </c>
      <c r="G136">
        <v>5</v>
      </c>
      <c r="H136">
        <v>6</v>
      </c>
      <c r="I136">
        <v>7</v>
      </c>
    </row>
    <row r="137" spans="1:12" x14ac:dyDescent="0.25">
      <c r="A137" t="s">
        <v>66</v>
      </c>
      <c r="B137">
        <v>-5559500</v>
      </c>
    </row>
    <row r="138" spans="1:12" x14ac:dyDescent="0.25">
      <c r="A138" t="s">
        <v>73</v>
      </c>
      <c r="B138">
        <v>1500000</v>
      </c>
      <c r="C138">
        <f>B138*(1+$L$129)</f>
        <v>1575000</v>
      </c>
      <c r="D138">
        <f t="shared" ref="D138:I138" si="30">C138*(1+$L$129)</f>
        <v>1653750</v>
      </c>
      <c r="E138">
        <f t="shared" si="30"/>
        <v>1736437.5</v>
      </c>
      <c r="F138">
        <f t="shared" si="30"/>
        <v>1823259.375</v>
      </c>
      <c r="G138">
        <f t="shared" si="30"/>
        <v>1914422.34375</v>
      </c>
      <c r="H138">
        <f t="shared" si="30"/>
        <v>2010143.4609375</v>
      </c>
      <c r="I138">
        <f t="shared" si="30"/>
        <v>2110650.6339843753</v>
      </c>
    </row>
    <row r="139" spans="1:12" x14ac:dyDescent="0.25">
      <c r="A139" t="s">
        <v>113</v>
      </c>
      <c r="B139">
        <v>750000</v>
      </c>
      <c r="C139">
        <f>B139*(1+$L$129)</f>
        <v>787500</v>
      </c>
      <c r="D139">
        <f t="shared" ref="D139:I139" si="31">C139*(1+$L$129)</f>
        <v>826875</v>
      </c>
      <c r="E139">
        <f t="shared" si="31"/>
        <v>868218.75</v>
      </c>
      <c r="F139">
        <f t="shared" si="31"/>
        <v>911629.6875</v>
      </c>
      <c r="G139">
        <f t="shared" si="31"/>
        <v>957211.171875</v>
      </c>
      <c r="H139">
        <f t="shared" si="31"/>
        <v>1005071.73046875</v>
      </c>
      <c r="I139">
        <f t="shared" si="31"/>
        <v>1055325.3169921876</v>
      </c>
    </row>
    <row r="140" spans="1:12" x14ac:dyDescent="0.25">
      <c r="A140" t="s">
        <v>63</v>
      </c>
      <c r="I140">
        <v>2500000</v>
      </c>
    </row>
    <row r="141" spans="1:12" x14ac:dyDescent="0.25">
      <c r="A141" t="s">
        <v>70</v>
      </c>
      <c r="B141">
        <f>B137</f>
        <v>-5559500</v>
      </c>
      <c r="C141">
        <f>C138-C139</f>
        <v>787500</v>
      </c>
      <c r="D141">
        <f t="shared" ref="D141:H141" si="32">D138-D139</f>
        <v>826875</v>
      </c>
      <c r="E141">
        <f t="shared" si="32"/>
        <v>868218.75</v>
      </c>
      <c r="F141">
        <f t="shared" si="32"/>
        <v>911629.6875</v>
      </c>
      <c r="G141">
        <f t="shared" si="32"/>
        <v>957211.171875</v>
      </c>
      <c r="H141">
        <f t="shared" si="32"/>
        <v>1005071.73046875</v>
      </c>
      <c r="I141">
        <f>I138-I139+I140</f>
        <v>3555325.3169921879</v>
      </c>
    </row>
    <row r="142" spans="1:12" x14ac:dyDescent="0.25">
      <c r="A142" t="s">
        <v>53</v>
      </c>
      <c r="B142">
        <f>B141/(1+$L$130)^(B136)</f>
        <v>-5559500</v>
      </c>
      <c r="C142">
        <f>C141/(1+$L$130)^(C136)</f>
        <v>703124.99999999988</v>
      </c>
      <c r="D142">
        <f>D141/(1+$L$130)^(D136)</f>
        <v>659179.68749999988</v>
      </c>
      <c r="E142">
        <f>E141/(1+$L$130)^(E136)</f>
        <v>617980.95703124977</v>
      </c>
      <c r="F142">
        <f>F141/(1+$L$130)^(F136)</f>
        <v>579357.14721679676</v>
      </c>
      <c r="G142">
        <f>G141/(1+$L$130)^(G136)</f>
        <v>543147.32551574695</v>
      </c>
      <c r="H142">
        <f>H141/(1+$L$130)^(H136)</f>
        <v>509200.61767101265</v>
      </c>
      <c r="I142">
        <f>I141/(1+$L$130)^(I136)</f>
        <v>1608248.6174088081</v>
      </c>
    </row>
    <row r="143" spans="1:12" x14ac:dyDescent="0.25">
      <c r="A143" t="s">
        <v>3</v>
      </c>
      <c r="B143" s="2">
        <f>SUM(B142:I142)</f>
        <v>-339260.64765638532</v>
      </c>
    </row>
    <row r="162" spans="11:15" x14ac:dyDescent="0.25">
      <c r="K162" t="s">
        <v>119</v>
      </c>
      <c r="L162">
        <v>120000</v>
      </c>
      <c r="M162" t="s">
        <v>57</v>
      </c>
    </row>
    <row r="163" spans="11:15" x14ac:dyDescent="0.25">
      <c r="K163" t="s">
        <v>120</v>
      </c>
      <c r="L163" s="3">
        <v>0.65</v>
      </c>
      <c r="M163" t="s">
        <v>121</v>
      </c>
    </row>
    <row r="164" spans="11:15" x14ac:dyDescent="0.25">
      <c r="L164" s="3">
        <v>0.75</v>
      </c>
      <c r="M164" t="s">
        <v>122</v>
      </c>
    </row>
    <row r="165" spans="11:15" x14ac:dyDescent="0.25">
      <c r="L165" s="3">
        <v>0.88</v>
      </c>
      <c r="M165" t="s">
        <v>123</v>
      </c>
    </row>
    <row r="167" spans="11:15" x14ac:dyDescent="0.25">
      <c r="K167" t="s">
        <v>104</v>
      </c>
      <c r="L167" s="16">
        <v>26</v>
      </c>
      <c r="N167" t="s">
        <v>124</v>
      </c>
      <c r="O167" s="3">
        <v>7.0000000000000007E-2</v>
      </c>
    </row>
    <row r="168" spans="11:15" x14ac:dyDescent="0.25">
      <c r="K168" t="s">
        <v>125</v>
      </c>
      <c r="L168" s="16">
        <v>7500000</v>
      </c>
    </row>
    <row r="169" spans="11:15" x14ac:dyDescent="0.25">
      <c r="K169" t="s">
        <v>92</v>
      </c>
    </row>
    <row r="170" spans="11:15" x14ac:dyDescent="0.25">
      <c r="K170" t="s">
        <v>118</v>
      </c>
      <c r="L170" s="16">
        <v>120000</v>
      </c>
      <c r="N170" t="s">
        <v>126</v>
      </c>
      <c r="O170" s="3">
        <v>0.08</v>
      </c>
    </row>
    <row r="171" spans="11:15" x14ac:dyDescent="0.25">
      <c r="K171" t="s">
        <v>90</v>
      </c>
      <c r="L171" s="16">
        <v>25000</v>
      </c>
      <c r="M171" t="s">
        <v>121</v>
      </c>
    </row>
    <row r="172" spans="11:15" x14ac:dyDescent="0.25">
      <c r="L172" s="16">
        <v>30000</v>
      </c>
      <c r="M172" t="s">
        <v>127</v>
      </c>
    </row>
    <row r="173" spans="11:15" x14ac:dyDescent="0.25">
      <c r="K173" t="s">
        <v>128</v>
      </c>
      <c r="L173" s="16">
        <v>100000</v>
      </c>
      <c r="M173">
        <v>1</v>
      </c>
      <c r="N173" t="s">
        <v>129</v>
      </c>
      <c r="O173" s="3">
        <v>0.08</v>
      </c>
    </row>
    <row r="174" spans="11:15" x14ac:dyDescent="0.25">
      <c r="K174" t="s">
        <v>62</v>
      </c>
      <c r="L174" s="3">
        <v>0.34</v>
      </c>
    </row>
    <row r="175" spans="11:15" x14ac:dyDescent="0.25">
      <c r="L175" s="16"/>
    </row>
    <row r="176" spans="11:15" x14ac:dyDescent="0.25">
      <c r="K176" t="s">
        <v>2</v>
      </c>
      <c r="L176" s="3">
        <v>0.15</v>
      </c>
    </row>
    <row r="177" spans="1:12" x14ac:dyDescent="0.25">
      <c r="L177" s="16"/>
    </row>
    <row r="178" spans="1:12" x14ac:dyDescent="0.25">
      <c r="L178" s="16"/>
    </row>
    <row r="179" spans="1:12" x14ac:dyDescent="0.25">
      <c r="L179" s="16"/>
    </row>
    <row r="182" spans="1:12" x14ac:dyDescent="0.25">
      <c r="B182">
        <v>0</v>
      </c>
      <c r="C182">
        <v>1</v>
      </c>
      <c r="D182">
        <v>2</v>
      </c>
      <c r="E182">
        <v>3</v>
      </c>
      <c r="F182">
        <v>4</v>
      </c>
      <c r="G182">
        <v>5</v>
      </c>
      <c r="H182">
        <v>6</v>
      </c>
    </row>
    <row r="183" spans="1:12" x14ac:dyDescent="0.25">
      <c r="A183" t="s">
        <v>8</v>
      </c>
      <c r="B183" s="2">
        <f>-1*L168</f>
        <v>-7500000</v>
      </c>
    </row>
    <row r="184" spans="1:12" x14ac:dyDescent="0.25">
      <c r="A184" s="10" t="s">
        <v>73</v>
      </c>
      <c r="B184" s="10"/>
      <c r="C184" s="10"/>
      <c r="D184" s="10"/>
      <c r="E184" s="10"/>
      <c r="F184" s="10"/>
      <c r="G184" s="10"/>
      <c r="H184" s="10"/>
      <c r="K184" t="s">
        <v>111</v>
      </c>
      <c r="L184">
        <f>(L185-L186)/L187</f>
        <v>1250000</v>
      </c>
    </row>
    <row r="185" spans="1:12" x14ac:dyDescent="0.25">
      <c r="A185" t="s">
        <v>119</v>
      </c>
      <c r="C185" s="3">
        <v>0.65</v>
      </c>
      <c r="D185" s="3">
        <v>0.65</v>
      </c>
      <c r="E185" s="3">
        <v>0.75</v>
      </c>
      <c r="F185" s="3">
        <v>0.75</v>
      </c>
      <c r="G185" s="3">
        <v>0.88</v>
      </c>
      <c r="H185" s="3">
        <v>0.88</v>
      </c>
      <c r="K185" t="s">
        <v>99</v>
      </c>
      <c r="L185">
        <f>L168</f>
        <v>7500000</v>
      </c>
    </row>
    <row r="186" spans="1:12" x14ac:dyDescent="0.25">
      <c r="A186" t="s">
        <v>57</v>
      </c>
      <c r="C186">
        <f>$L$162*C185</f>
        <v>78000</v>
      </c>
      <c r="D186">
        <f t="shared" ref="D186:H186" si="33">$L$162*D185</f>
        <v>78000</v>
      </c>
      <c r="E186">
        <f t="shared" si="33"/>
        <v>90000</v>
      </c>
      <c r="F186">
        <f t="shared" si="33"/>
        <v>90000</v>
      </c>
      <c r="G186">
        <f t="shared" si="33"/>
        <v>105600</v>
      </c>
      <c r="H186">
        <f t="shared" si="33"/>
        <v>105600</v>
      </c>
      <c r="K186" t="s">
        <v>63</v>
      </c>
      <c r="L186">
        <v>0</v>
      </c>
    </row>
    <row r="187" spans="1:12" x14ac:dyDescent="0.25">
      <c r="A187" t="s">
        <v>104</v>
      </c>
      <c r="C187" s="14">
        <v>26</v>
      </c>
      <c r="D187">
        <f>C187*(1+$O$167)</f>
        <v>27.82</v>
      </c>
      <c r="E187">
        <f>D187*(1+$O$167)</f>
        <v>29.767400000000002</v>
      </c>
      <c r="F187">
        <f t="shared" ref="E187:I187" si="34">E187*(1+$O$167)</f>
        <v>31.851118000000003</v>
      </c>
      <c r="G187">
        <f t="shared" si="34"/>
        <v>34.080696260000003</v>
      </c>
      <c r="H187">
        <f t="shared" si="34"/>
        <v>36.466344998200007</v>
      </c>
      <c r="K187" t="s">
        <v>100</v>
      </c>
      <c r="L187">
        <v>6</v>
      </c>
    </row>
    <row r="188" spans="1:12" x14ac:dyDescent="0.25">
      <c r="A188" s="2" t="s">
        <v>130</v>
      </c>
      <c r="B188" s="2"/>
      <c r="C188" s="2">
        <f>C186*C187</f>
        <v>2028000</v>
      </c>
      <c r="D188" s="2">
        <f>D186*D187</f>
        <v>2169960</v>
      </c>
      <c r="E188" s="2">
        <f>E186*E187</f>
        <v>2679066</v>
      </c>
      <c r="F188" s="2">
        <f>F186*F187</f>
        <v>2866600.62</v>
      </c>
      <c r="G188" s="2">
        <f>G186*G187</f>
        <v>3598921.5250560003</v>
      </c>
      <c r="H188" s="2">
        <f>H186*H187</f>
        <v>3850846.0318099209</v>
      </c>
    </row>
    <row r="189" spans="1:12" x14ac:dyDescent="0.25">
      <c r="A189" s="10" t="s">
        <v>74</v>
      </c>
      <c r="B189" s="10"/>
      <c r="C189" s="10"/>
      <c r="D189" s="10"/>
      <c r="E189" s="10"/>
      <c r="F189" s="10"/>
      <c r="G189" s="10"/>
      <c r="H189" s="10"/>
    </row>
    <row r="190" spans="1:12" x14ac:dyDescent="0.25">
      <c r="A190" t="s">
        <v>118</v>
      </c>
      <c r="C190" s="2">
        <f>L170</f>
        <v>120000</v>
      </c>
      <c r="D190" s="2">
        <f>C190*(1+$O$170)</f>
        <v>129600.00000000001</v>
      </c>
      <c r="E190" s="2">
        <f t="shared" ref="E190:H190" si="35">D190*(1+$O$170)</f>
        <v>139968.00000000003</v>
      </c>
      <c r="F190" s="2">
        <f t="shared" si="35"/>
        <v>151165.44000000003</v>
      </c>
      <c r="G190" s="2">
        <f t="shared" si="35"/>
        <v>163258.67520000006</v>
      </c>
      <c r="H190" s="2">
        <f t="shared" si="35"/>
        <v>176319.36921600008</v>
      </c>
    </row>
    <row r="191" spans="1:12" x14ac:dyDescent="0.25">
      <c r="A191" t="s">
        <v>131</v>
      </c>
      <c r="C191" s="2">
        <f>L171</f>
        <v>25000</v>
      </c>
      <c r="D191" s="2">
        <f>L171</f>
        <v>25000</v>
      </c>
      <c r="E191" s="2">
        <v>30000</v>
      </c>
      <c r="F191" s="2">
        <v>30000</v>
      </c>
      <c r="G191" s="2">
        <v>30000</v>
      </c>
      <c r="H191" s="2">
        <v>30000</v>
      </c>
    </row>
    <row r="192" spans="1:12" x14ac:dyDescent="0.25">
      <c r="A192" t="s">
        <v>128</v>
      </c>
      <c r="C192" s="2">
        <f>L173</f>
        <v>100000</v>
      </c>
      <c r="D192" s="2">
        <f>C192*(1+$O$173)</f>
        <v>108000</v>
      </c>
      <c r="E192" s="2">
        <f t="shared" ref="E192:H192" si="36">D192*(1+$O$173)</f>
        <v>116640.00000000001</v>
      </c>
      <c r="F192" s="2">
        <f t="shared" si="36"/>
        <v>125971.20000000003</v>
      </c>
      <c r="G192" s="2">
        <f t="shared" si="36"/>
        <v>136048.89600000004</v>
      </c>
      <c r="H192" s="2">
        <f t="shared" si="36"/>
        <v>146932.80768000006</v>
      </c>
    </row>
    <row r="193" spans="1:9" x14ac:dyDescent="0.25">
      <c r="A193" t="s">
        <v>111</v>
      </c>
      <c r="C193" s="2">
        <f>$L$184</f>
        <v>1250000</v>
      </c>
      <c r="D193" s="2">
        <f t="shared" ref="D193:H193" si="37">$L$184</f>
        <v>1250000</v>
      </c>
      <c r="E193" s="2">
        <f t="shared" si="37"/>
        <v>1250000</v>
      </c>
      <c r="F193" s="2">
        <f t="shared" si="37"/>
        <v>1250000</v>
      </c>
      <c r="G193" s="2">
        <f t="shared" si="37"/>
        <v>1250000</v>
      </c>
      <c r="H193" s="2">
        <f t="shared" si="37"/>
        <v>1250000</v>
      </c>
    </row>
    <row r="194" spans="1:9" x14ac:dyDescent="0.25">
      <c r="A194" s="11" t="s">
        <v>106</v>
      </c>
      <c r="B194" s="11"/>
      <c r="C194" s="11">
        <f>SUM(C190:C193)</f>
        <v>1495000</v>
      </c>
      <c r="D194" s="11">
        <f t="shared" ref="D194:H194" si="38">SUM(D190:D193)</f>
        <v>1512600</v>
      </c>
      <c r="E194" s="11">
        <f t="shared" si="38"/>
        <v>1536608</v>
      </c>
      <c r="F194" s="11">
        <f t="shared" si="38"/>
        <v>1557136.6400000001</v>
      </c>
      <c r="G194" s="11">
        <f t="shared" si="38"/>
        <v>1579307.5712000001</v>
      </c>
      <c r="H194" s="11">
        <f t="shared" si="38"/>
        <v>1603252.1768960003</v>
      </c>
    </row>
    <row r="195" spans="1:9" x14ac:dyDescent="0.25">
      <c r="A195" s="12" t="s">
        <v>110</v>
      </c>
      <c r="B195" s="12"/>
      <c r="C195" s="12">
        <f>C188-C194</f>
        <v>533000</v>
      </c>
      <c r="D195" s="12">
        <f t="shared" ref="D195:H195" si="39">D188-D194</f>
        <v>657360</v>
      </c>
      <c r="E195" s="12">
        <f t="shared" si="39"/>
        <v>1142458</v>
      </c>
      <c r="F195" s="12">
        <f t="shared" si="39"/>
        <v>1309463.98</v>
      </c>
      <c r="G195" s="12">
        <f t="shared" si="39"/>
        <v>2019613.9538560002</v>
      </c>
      <c r="H195" s="12">
        <f t="shared" si="39"/>
        <v>2247593.8549139206</v>
      </c>
      <c r="I195" t="s">
        <v>132</v>
      </c>
    </row>
    <row r="196" spans="1:9" x14ac:dyDescent="0.25">
      <c r="A196" t="s">
        <v>62</v>
      </c>
      <c r="C196">
        <f>C195*$L$174</f>
        <v>181220</v>
      </c>
      <c r="D196">
        <f t="shared" ref="D196:H196" si="40">D195*$L$174</f>
        <v>223502.40000000002</v>
      </c>
      <c r="E196">
        <f t="shared" si="40"/>
        <v>388435.72000000003</v>
      </c>
      <c r="F196">
        <f t="shared" si="40"/>
        <v>445217.75320000004</v>
      </c>
      <c r="G196">
        <f t="shared" si="40"/>
        <v>686668.74431104015</v>
      </c>
      <c r="H196">
        <f t="shared" si="40"/>
        <v>764181.91067073308</v>
      </c>
    </row>
    <row r="197" spans="1:9" x14ac:dyDescent="0.25">
      <c r="A197" t="s">
        <v>111</v>
      </c>
      <c r="C197">
        <f>C193</f>
        <v>1250000</v>
      </c>
      <c r="D197">
        <f t="shared" ref="D197:H197" si="41">D193</f>
        <v>1250000</v>
      </c>
      <c r="E197">
        <f t="shared" si="41"/>
        <v>1250000</v>
      </c>
      <c r="F197">
        <f t="shared" si="41"/>
        <v>1250000</v>
      </c>
      <c r="G197">
        <f t="shared" si="41"/>
        <v>1250000</v>
      </c>
      <c r="H197">
        <f t="shared" si="41"/>
        <v>1250000</v>
      </c>
    </row>
    <row r="198" spans="1:9" x14ac:dyDescent="0.25">
      <c r="A198" s="12" t="s">
        <v>110</v>
      </c>
      <c r="B198" s="12"/>
      <c r="C198" s="12">
        <f>C195-C196+C197</f>
        <v>1601780</v>
      </c>
      <c r="D198" s="12">
        <f t="shared" ref="D198:H198" si="42">D195-D196+D197</f>
        <v>1683857.6</v>
      </c>
      <c r="E198" s="12">
        <f t="shared" si="42"/>
        <v>2004022.28</v>
      </c>
      <c r="F198" s="12">
        <f t="shared" si="42"/>
        <v>2114246.2267999998</v>
      </c>
      <c r="G198" s="12">
        <f t="shared" si="42"/>
        <v>2582945.2095449599</v>
      </c>
      <c r="H198" s="12">
        <f t="shared" si="42"/>
        <v>2733411.9442431876</v>
      </c>
      <c r="I198" t="s">
        <v>132</v>
      </c>
    </row>
    <row r="199" spans="1:9" x14ac:dyDescent="0.25">
      <c r="A199" t="s">
        <v>70</v>
      </c>
      <c r="B199">
        <f>B183</f>
        <v>-7500000</v>
      </c>
      <c r="C199">
        <f>C198</f>
        <v>1601780</v>
      </c>
      <c r="D199">
        <f t="shared" ref="D199:H199" si="43">D198</f>
        <v>1683857.6</v>
      </c>
      <c r="E199">
        <f t="shared" si="43"/>
        <v>2004022.28</v>
      </c>
      <c r="F199">
        <f t="shared" si="43"/>
        <v>2114246.2267999998</v>
      </c>
      <c r="G199">
        <f t="shared" si="43"/>
        <v>2582945.2095449599</v>
      </c>
      <c r="H199">
        <f t="shared" si="43"/>
        <v>2733411.9442431876</v>
      </c>
    </row>
    <row r="200" spans="1:9" x14ac:dyDescent="0.25">
      <c r="A200" t="s">
        <v>53</v>
      </c>
      <c r="B200">
        <f>B199/(1+$L$176)^(B182)</f>
        <v>-7500000</v>
      </c>
      <c r="C200">
        <f>C199/(1+$L$176)^(C182)</f>
        <v>1392852.1739130437</v>
      </c>
      <c r="D200">
        <f t="shared" ref="C200:H200" si="44">D199/(1+$L$176)^(D182)</f>
        <v>1273238.2608695654</v>
      </c>
      <c r="E200">
        <f t="shared" si="44"/>
        <v>1317677.1792553633</v>
      </c>
      <c r="F200">
        <f t="shared" si="44"/>
        <v>1208827.1421557243</v>
      </c>
      <c r="G200">
        <f t="shared" si="44"/>
        <v>1284180.2667359204</v>
      </c>
      <c r="H200">
        <f t="shared" si="44"/>
        <v>1181729.4144905906</v>
      </c>
    </row>
    <row r="201" spans="1:9" x14ac:dyDescent="0.25">
      <c r="A201" t="s">
        <v>3</v>
      </c>
      <c r="B201" s="2">
        <f>SUM(B200:H200)</f>
        <v>158504.43742020847</v>
      </c>
      <c r="C201" t="s">
        <v>132</v>
      </c>
    </row>
    <row r="202" spans="1:9" x14ac:dyDescent="0.25">
      <c r="A202" t="s">
        <v>38</v>
      </c>
      <c r="B202" s="13">
        <f>IRR(B199:H199)</f>
        <v>0.15705981948897785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0B0A-E888-4B9F-A84E-5F51132D66A0}">
  <dimension ref="A8:J27"/>
  <sheetViews>
    <sheetView zoomScale="235" zoomScaleNormal="235" workbookViewId="0">
      <selection activeCell="F16" sqref="F16"/>
    </sheetView>
  </sheetViews>
  <sheetFormatPr defaultRowHeight="15" x14ac:dyDescent="0.25"/>
  <sheetData>
    <row r="8" spans="1:8" x14ac:dyDescent="0.25">
      <c r="A8" t="s">
        <v>5</v>
      </c>
      <c r="C8">
        <v>0</v>
      </c>
      <c r="D8">
        <v>1</v>
      </c>
      <c r="E8">
        <v>2</v>
      </c>
      <c r="F8">
        <v>3</v>
      </c>
      <c r="G8" t="s">
        <v>7</v>
      </c>
      <c r="H8" t="s">
        <v>3</v>
      </c>
    </row>
    <row r="9" spans="1:8" x14ac:dyDescent="0.25">
      <c r="B9" t="s">
        <v>0</v>
      </c>
      <c r="C9">
        <v>8000</v>
      </c>
      <c r="D9">
        <v>1000</v>
      </c>
      <c r="E9">
        <v>3000</v>
      </c>
      <c r="F9">
        <v>5000</v>
      </c>
      <c r="H9" s="2">
        <f>-C10+SUM(D10:F10)</f>
        <v>374.36981057482808</v>
      </c>
    </row>
    <row r="10" spans="1:8" x14ac:dyDescent="0.25">
      <c r="A10" t="s">
        <v>2</v>
      </c>
      <c r="B10" s="3">
        <v>0.03</v>
      </c>
      <c r="C10">
        <f>C9/((1+$B$10)^(C8))</f>
        <v>8000</v>
      </c>
      <c r="D10">
        <f t="shared" ref="D10:F10" si="0">D9/((1+$B$10)^(D8))</f>
        <v>970.87378640776694</v>
      </c>
      <c r="E10">
        <f t="shared" si="0"/>
        <v>2827.7877274012631</v>
      </c>
      <c r="F10">
        <f t="shared" si="0"/>
        <v>4575.708296765798</v>
      </c>
    </row>
    <row r="12" spans="1:8" x14ac:dyDescent="0.25">
      <c r="A12" t="s">
        <v>6</v>
      </c>
      <c r="C12">
        <v>0</v>
      </c>
      <c r="D12">
        <v>1</v>
      </c>
      <c r="E12">
        <v>2</v>
      </c>
      <c r="F12">
        <v>3</v>
      </c>
      <c r="G12" t="s">
        <v>9</v>
      </c>
      <c r="H12" t="s">
        <v>3</v>
      </c>
    </row>
    <row r="13" spans="1:8" x14ac:dyDescent="0.25">
      <c r="B13" s="3" t="s">
        <v>8</v>
      </c>
      <c r="C13">
        <v>8000</v>
      </c>
      <c r="H13" s="2">
        <f>-C13+F20</f>
        <v>483.36318220378962</v>
      </c>
    </row>
    <row r="14" spans="1:8" x14ac:dyDescent="0.25">
      <c r="B14" s="3"/>
      <c r="C14" s="3">
        <v>0.03</v>
      </c>
      <c r="E14" s="3"/>
      <c r="F14" s="3"/>
    </row>
    <row r="15" spans="1:8" x14ac:dyDescent="0.25">
      <c r="B15" s="3" t="s">
        <v>1</v>
      </c>
    </row>
    <row r="16" spans="1:8" x14ac:dyDescent="0.25">
      <c r="B16" s="3" t="s">
        <v>10</v>
      </c>
      <c r="F16">
        <v>5000</v>
      </c>
    </row>
    <row r="17" spans="1:10" x14ac:dyDescent="0.25">
      <c r="F17">
        <f>3000*(1+5%)</f>
        <v>3150</v>
      </c>
      <c r="G17" t="s">
        <v>11</v>
      </c>
    </row>
    <row r="18" spans="1:10" x14ac:dyDescent="0.25">
      <c r="F18">
        <f>D9*(1+0.12)</f>
        <v>1120</v>
      </c>
      <c r="G18" t="s">
        <v>12</v>
      </c>
    </row>
    <row r="19" spans="1:10" x14ac:dyDescent="0.25">
      <c r="E19" s="3"/>
    </row>
    <row r="20" spans="1:10" x14ac:dyDescent="0.25">
      <c r="B20" t="s">
        <v>1</v>
      </c>
      <c r="F20" s="2">
        <f>(F16+F17+F18)/((1+3%)^(3))</f>
        <v>8483.3631822037896</v>
      </c>
    </row>
    <row r="22" spans="1:10" x14ac:dyDescent="0.25">
      <c r="D22" s="4"/>
      <c r="F22" s="4"/>
      <c r="H22" s="4"/>
      <c r="J22" s="4"/>
    </row>
    <row r="23" spans="1:10" x14ac:dyDescent="0.25">
      <c r="A23" s="7" t="s">
        <v>14</v>
      </c>
      <c r="D23" s="3"/>
      <c r="F23" s="3"/>
      <c r="H23" s="3"/>
      <c r="J23" s="3"/>
    </row>
    <row r="24" spans="1:10" x14ac:dyDescent="0.25">
      <c r="D24" s="3"/>
      <c r="E24" s="3"/>
      <c r="F24" s="3"/>
      <c r="J24" s="3"/>
    </row>
    <row r="26" spans="1:10" x14ac:dyDescent="0.25">
      <c r="I26" s="3"/>
    </row>
    <row r="27" spans="1:10" x14ac:dyDescent="0.25">
      <c r="D27" s="3"/>
      <c r="E27" s="3"/>
      <c r="F27" s="3"/>
    </row>
  </sheetData>
  <hyperlinks>
    <hyperlink ref="A23" r:id="rId1" xr:uid="{9527F13D-02E4-4A6B-AA1D-636024E6D09E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EA77-88D1-49E1-B1B4-AAEBCFB243D9}">
  <dimension ref="A9:F13"/>
  <sheetViews>
    <sheetView zoomScale="220" zoomScaleNormal="220" workbookViewId="0">
      <selection activeCell="H10" sqref="H10"/>
    </sheetView>
  </sheetViews>
  <sheetFormatPr defaultRowHeight="15" x14ac:dyDescent="0.25"/>
  <sheetData>
    <row r="9" spans="1:6" x14ac:dyDescent="0.25">
      <c r="A9" s="3">
        <v>0.08</v>
      </c>
      <c r="B9">
        <v>0</v>
      </c>
      <c r="C9">
        <v>1</v>
      </c>
      <c r="D9">
        <v>2</v>
      </c>
      <c r="F9" t="s">
        <v>3</v>
      </c>
    </row>
    <row r="10" spans="1:6" x14ac:dyDescent="0.25">
      <c r="B10">
        <v>-440000</v>
      </c>
      <c r="C10">
        <v>2770000</v>
      </c>
      <c r="D10">
        <v>-2000000</v>
      </c>
      <c r="F10" s="2">
        <f>SUM(B10:D10)</f>
        <v>330000</v>
      </c>
    </row>
    <row r="11" spans="1:6" x14ac:dyDescent="0.25">
      <c r="A11" s="3" t="s">
        <v>1</v>
      </c>
      <c r="C11">
        <f>C10/((1+$A$9)^(C9))</f>
        <v>2564814.8148148148</v>
      </c>
      <c r="D11">
        <f>D10/((1+$A$9)^(D9))</f>
        <v>-1714677.6406035663</v>
      </c>
    </row>
    <row r="13" spans="1:6" x14ac:dyDescent="0.25">
      <c r="C13" t="s">
        <v>38</v>
      </c>
      <c r="D13" s="3">
        <f>IRR(B10:D10)</f>
        <v>-0.16803014937389482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FC55-9E33-47F0-ABBC-DA8EE95001EA}">
  <dimension ref="A1"/>
  <sheetViews>
    <sheetView zoomScale="235" zoomScaleNormal="235" workbookViewId="0">
      <selection activeCell="B13" sqref="B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338A-7EC8-44AD-A38F-00E2CAFDC4E9}">
  <dimension ref="A10:G15"/>
  <sheetViews>
    <sheetView zoomScale="220" zoomScaleNormal="220" workbookViewId="0">
      <selection activeCell="D15" sqref="D15"/>
    </sheetView>
  </sheetViews>
  <sheetFormatPr defaultRowHeight="15" x14ac:dyDescent="0.25"/>
  <sheetData>
    <row r="10" spans="1:7" x14ac:dyDescent="0.25">
      <c r="A10" s="3">
        <v>0.08</v>
      </c>
      <c r="C10" s="3">
        <v>0.4</v>
      </c>
      <c r="D10" s="3">
        <v>0.6</v>
      </c>
    </row>
    <row r="11" spans="1:7" x14ac:dyDescent="0.25">
      <c r="B11">
        <v>80000</v>
      </c>
      <c r="C11">
        <f>B11*C10</f>
        <v>32000</v>
      </c>
      <c r="D11">
        <f>B11*D10</f>
        <v>48000</v>
      </c>
    </row>
    <row r="13" spans="1:7" x14ac:dyDescent="0.25">
      <c r="C13">
        <v>0</v>
      </c>
      <c r="D13">
        <v>1</v>
      </c>
      <c r="E13">
        <v>2</v>
      </c>
      <c r="F13" t="s">
        <v>13</v>
      </c>
      <c r="G13" t="s">
        <v>3</v>
      </c>
    </row>
    <row r="14" spans="1:7" x14ac:dyDescent="0.25">
      <c r="B14" t="s">
        <v>0</v>
      </c>
      <c r="C14">
        <f>C11</f>
        <v>32000</v>
      </c>
      <c r="E14">
        <f>D11</f>
        <v>48000</v>
      </c>
      <c r="F14">
        <f>C14+E14/((1+A10)^(E13))</f>
        <v>73152.263374485599</v>
      </c>
      <c r="G14" s="2">
        <f>-F14+F15</f>
        <v>28699.58847736624</v>
      </c>
    </row>
    <row r="15" spans="1:7" x14ac:dyDescent="0.25">
      <c r="B15" t="s">
        <v>10</v>
      </c>
      <c r="D15">
        <v>110000</v>
      </c>
      <c r="F15">
        <f>D15/((1+A10)^(D13))</f>
        <v>101851.85185185184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33743-43EC-458F-B166-98F33BE978B6}">
  <dimension ref="B12:I16"/>
  <sheetViews>
    <sheetView zoomScale="205" zoomScaleNormal="205" workbookViewId="0">
      <selection activeCell="I13" sqref="I13"/>
    </sheetView>
  </sheetViews>
  <sheetFormatPr defaultRowHeight="15" x14ac:dyDescent="0.25"/>
  <sheetData>
    <row r="12" spans="2:9" x14ac:dyDescent="0.25">
      <c r="B12" s="3">
        <v>0.1</v>
      </c>
      <c r="C12">
        <v>0</v>
      </c>
      <c r="D12">
        <v>1</v>
      </c>
      <c r="E12">
        <v>2</v>
      </c>
      <c r="F12">
        <v>3</v>
      </c>
      <c r="G12">
        <v>4</v>
      </c>
      <c r="I12" t="s">
        <v>3</v>
      </c>
    </row>
    <row r="13" spans="2:9" x14ac:dyDescent="0.25">
      <c r="B13" s="3" t="s">
        <v>0</v>
      </c>
      <c r="C13">
        <v>50000</v>
      </c>
      <c r="I13" s="2">
        <f>-C14+SUM(D16:G16)</f>
        <v>38122.396011201388</v>
      </c>
    </row>
    <row r="14" spans="2:9" x14ac:dyDescent="0.25">
      <c r="B14" t="s">
        <v>1</v>
      </c>
      <c r="C14">
        <f>C13</f>
        <v>50000</v>
      </c>
    </row>
    <row r="15" spans="2:9" x14ac:dyDescent="0.25">
      <c r="B15" t="s">
        <v>10</v>
      </c>
      <c r="D15">
        <v>20000</v>
      </c>
      <c r="E15">
        <v>40000</v>
      </c>
      <c r="F15">
        <v>40000</v>
      </c>
      <c r="G15">
        <v>10000</v>
      </c>
    </row>
    <row r="16" spans="2:9" x14ac:dyDescent="0.25">
      <c r="B16" t="s">
        <v>1</v>
      </c>
      <c r="D16">
        <f>D15/((1+$B$12)^(D12))</f>
        <v>18181.81818181818</v>
      </c>
      <c r="E16">
        <f t="shared" ref="E16:G16" si="0">E15/((1+$B$12)^(E12))</f>
        <v>33057.851239669413</v>
      </c>
      <c r="F16">
        <f t="shared" si="0"/>
        <v>30052.592036063103</v>
      </c>
      <c r="G16">
        <f t="shared" si="0"/>
        <v>6830.1345536507051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B476D-71A6-432D-BE85-C4F412D29398}">
  <dimension ref="A13:K33"/>
  <sheetViews>
    <sheetView zoomScale="205" zoomScaleNormal="205" workbookViewId="0">
      <selection activeCell="K31" sqref="K31"/>
    </sheetView>
  </sheetViews>
  <sheetFormatPr defaultRowHeight="15" x14ac:dyDescent="0.25"/>
  <sheetData>
    <row r="13" spans="2:10" x14ac:dyDescent="0.25">
      <c r="B13" s="3">
        <v>0.1</v>
      </c>
      <c r="C13">
        <v>0</v>
      </c>
      <c r="D13">
        <v>1</v>
      </c>
      <c r="E13">
        <v>2</v>
      </c>
      <c r="F13">
        <v>3</v>
      </c>
      <c r="G13">
        <v>4</v>
      </c>
      <c r="H13" t="s">
        <v>7</v>
      </c>
      <c r="J13" t="s">
        <v>3</v>
      </c>
    </row>
    <row r="14" spans="2:10" x14ac:dyDescent="0.25">
      <c r="B14" t="s">
        <v>0</v>
      </c>
      <c r="C14">
        <v>60000000</v>
      </c>
      <c r="D14">
        <v>5000000</v>
      </c>
      <c r="J14" s="2">
        <f>-H15+H17</f>
        <v>4499009.630489707</v>
      </c>
    </row>
    <row r="15" spans="2:10" x14ac:dyDescent="0.25">
      <c r="B15" t="s">
        <v>1</v>
      </c>
      <c r="C15">
        <f>C14</f>
        <v>60000000</v>
      </c>
      <c r="D15">
        <f>D14/((1+B13)^(D13))</f>
        <v>4545454.5454545449</v>
      </c>
      <c r="H15">
        <f>SUM(C15:D15)</f>
        <v>64545454.545454547</v>
      </c>
    </row>
    <row r="16" spans="2:10" x14ac:dyDescent="0.25">
      <c r="B16" t="s">
        <v>10</v>
      </c>
      <c r="E16">
        <v>4800000</v>
      </c>
      <c r="F16">
        <v>4800000</v>
      </c>
      <c r="G16">
        <v>90000000</v>
      </c>
    </row>
    <row r="17" spans="1:11" x14ac:dyDescent="0.25">
      <c r="B17" t="s">
        <v>1</v>
      </c>
      <c r="E17">
        <f>E16/((1+$B$13)^(E13))</f>
        <v>3966942.1487603299</v>
      </c>
      <c r="F17">
        <f t="shared" ref="F17:G17" si="0">F16/((1+$B$13)^(F13))</f>
        <v>3606311.044327572</v>
      </c>
      <c r="G17">
        <f t="shared" si="0"/>
        <v>61471210.982856348</v>
      </c>
      <c r="H17">
        <f>SUM(E17:G17)</f>
        <v>69044464.175944254</v>
      </c>
    </row>
    <row r="19" spans="1:11" x14ac:dyDescent="0.25">
      <c r="B19" t="s">
        <v>15</v>
      </c>
    </row>
    <row r="27" spans="1:11" x14ac:dyDescent="0.25">
      <c r="B27" t="s">
        <v>34</v>
      </c>
      <c r="C27">
        <v>0</v>
      </c>
      <c r="D27">
        <v>1</v>
      </c>
      <c r="E27">
        <v>2</v>
      </c>
      <c r="F27">
        <v>3</v>
      </c>
      <c r="G27">
        <v>4</v>
      </c>
      <c r="H27">
        <v>5</v>
      </c>
      <c r="J27" t="s">
        <v>34</v>
      </c>
    </row>
    <row r="28" spans="1:11" x14ac:dyDescent="0.25">
      <c r="B28" t="s">
        <v>0</v>
      </c>
      <c r="C28">
        <v>75</v>
      </c>
      <c r="J28" s="2">
        <f>-C28+H30</f>
        <v>-6.9416802966246962</v>
      </c>
      <c r="K28" t="s">
        <v>36</v>
      </c>
    </row>
    <row r="29" spans="1:11" x14ac:dyDescent="0.25">
      <c r="B29" t="s">
        <v>10</v>
      </c>
      <c r="H29">
        <v>100</v>
      </c>
    </row>
    <row r="30" spans="1:11" x14ac:dyDescent="0.25">
      <c r="H30">
        <f>H29/(1+A31)^(H27)</f>
        <v>68.058319703375304</v>
      </c>
    </row>
    <row r="31" spans="1:11" x14ac:dyDescent="0.25">
      <c r="A31" s="3">
        <v>0.08</v>
      </c>
      <c r="B31" t="s">
        <v>35</v>
      </c>
      <c r="C31">
        <v>0</v>
      </c>
      <c r="D31">
        <v>1</v>
      </c>
      <c r="E31">
        <v>2</v>
      </c>
      <c r="F31">
        <v>3</v>
      </c>
      <c r="G31">
        <v>4</v>
      </c>
      <c r="H31">
        <v>5</v>
      </c>
      <c r="J31" t="s">
        <v>35</v>
      </c>
    </row>
    <row r="32" spans="1:11" x14ac:dyDescent="0.25">
      <c r="B32" t="s">
        <v>0</v>
      </c>
      <c r="C32">
        <v>75</v>
      </c>
      <c r="D32">
        <f>C32*(1+$A$31)</f>
        <v>81</v>
      </c>
      <c r="E32">
        <f>D32*(1+$A$31)</f>
        <v>87.48</v>
      </c>
      <c r="F32">
        <f>E32*(1+$A$31)</f>
        <v>94.478400000000008</v>
      </c>
      <c r="G32">
        <f t="shared" ref="G32:H32" si="1">F32*(1+$A$31)</f>
        <v>102.03667200000001</v>
      </c>
      <c r="H32">
        <f t="shared" si="1"/>
        <v>110.19960576000001</v>
      </c>
      <c r="J32" s="2">
        <f>-C32+SUM(D32:H32)</f>
        <v>400.19467776000005</v>
      </c>
    </row>
    <row r="33" spans="2:2" x14ac:dyDescent="0.25">
      <c r="B33" t="s">
        <v>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8063-F1D6-4AF8-AC60-645FFDBB3617}">
  <dimension ref="A15:N26"/>
  <sheetViews>
    <sheetView zoomScale="205" zoomScaleNormal="205" workbookViewId="0">
      <selection activeCell="F14" sqref="F14"/>
    </sheetView>
  </sheetViews>
  <sheetFormatPr defaultRowHeight="15" x14ac:dyDescent="0.25"/>
  <sheetData>
    <row r="15" spans="2:14" x14ac:dyDescent="0.25">
      <c r="B15" t="s">
        <v>16</v>
      </c>
    </row>
    <row r="16" spans="2:14" x14ac:dyDescent="0.25">
      <c r="B16" t="s">
        <v>17</v>
      </c>
      <c r="C16">
        <v>200</v>
      </c>
      <c r="J16" t="s">
        <v>18</v>
      </c>
      <c r="K16" t="s">
        <v>19</v>
      </c>
      <c r="L16" t="s">
        <v>23</v>
      </c>
      <c r="M16" t="s">
        <v>20</v>
      </c>
      <c r="N16" t="s">
        <v>21</v>
      </c>
    </row>
    <row r="17" spans="1:14" x14ac:dyDescent="0.25">
      <c r="A17" s="3">
        <v>0.05</v>
      </c>
      <c r="B17">
        <v>50</v>
      </c>
      <c r="C17">
        <f>B17*C16</f>
        <v>10000</v>
      </c>
      <c r="D17">
        <v>10</v>
      </c>
      <c r="F17">
        <v>20</v>
      </c>
      <c r="G17">
        <v>20</v>
      </c>
      <c r="I17">
        <v>1</v>
      </c>
      <c r="J17">
        <v>10000</v>
      </c>
      <c r="K17" s="3">
        <v>0.14000000000000001</v>
      </c>
      <c r="L17">
        <f>M17*K17</f>
        <v>280</v>
      </c>
      <c r="M17">
        <f>10*200</f>
        <v>2000</v>
      </c>
      <c r="N17">
        <f>J17-L17-M17</f>
        <v>7720</v>
      </c>
    </row>
    <row r="18" spans="1:14" x14ac:dyDescent="0.25">
      <c r="D18">
        <f>D17*C16</f>
        <v>2000</v>
      </c>
      <c r="F18">
        <f>F17*C16</f>
        <v>4000</v>
      </c>
      <c r="G18">
        <f>G17*C16</f>
        <v>4000</v>
      </c>
      <c r="I18">
        <v>2</v>
      </c>
      <c r="J18">
        <f>N17</f>
        <v>7720</v>
      </c>
      <c r="K18" s="3">
        <v>0.14000000000000001</v>
      </c>
    </row>
    <row r="19" spans="1:14" x14ac:dyDescent="0.25">
      <c r="C19">
        <v>0</v>
      </c>
      <c r="D19">
        <v>1</v>
      </c>
      <c r="E19">
        <v>2</v>
      </c>
      <c r="F19">
        <v>3</v>
      </c>
      <c r="G19">
        <v>4</v>
      </c>
      <c r="I19">
        <v>3</v>
      </c>
    </row>
    <row r="20" spans="1:14" x14ac:dyDescent="0.25">
      <c r="B20" t="s">
        <v>0</v>
      </c>
      <c r="C20">
        <f>C17</f>
        <v>10000</v>
      </c>
      <c r="I20">
        <v>4</v>
      </c>
    </row>
    <row r="21" spans="1:14" x14ac:dyDescent="0.25">
      <c r="B21" t="s">
        <v>1</v>
      </c>
    </row>
    <row r="22" spans="1:14" x14ac:dyDescent="0.25">
      <c r="B22" t="s">
        <v>10</v>
      </c>
      <c r="D22">
        <f>D18*(1+0.14)</f>
        <v>2280.0000000000005</v>
      </c>
      <c r="F22">
        <f>F18*(1+0.14)^(2)</f>
        <v>5198.4000000000015</v>
      </c>
      <c r="G22">
        <f>G18*(1+0.14)</f>
        <v>4560.0000000000009</v>
      </c>
    </row>
    <row r="26" spans="1:14" x14ac:dyDescent="0.25">
      <c r="B26" t="s">
        <v>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01322-AEBB-493A-A8A6-50AE82AF1940}">
  <dimension ref="A11:L23"/>
  <sheetViews>
    <sheetView zoomScale="160" zoomScaleNormal="160" workbookViewId="0">
      <selection activeCell="G10" sqref="G10"/>
    </sheetView>
  </sheetViews>
  <sheetFormatPr defaultRowHeight="15" x14ac:dyDescent="0.25"/>
  <sheetData>
    <row r="11" spans="1:12" x14ac:dyDescent="0.25">
      <c r="A11" s="3">
        <v>0.14000000000000001</v>
      </c>
      <c r="K11" t="s">
        <v>32</v>
      </c>
      <c r="L11">
        <f>C13/4</f>
        <v>2500</v>
      </c>
    </row>
    <row r="12" spans="1:12" ht="29.25" customHeight="1" x14ac:dyDescent="0.25">
      <c r="B12" s="5" t="s">
        <v>24</v>
      </c>
      <c r="C12" s="5" t="s">
        <v>25</v>
      </c>
      <c r="D12" s="5" t="s">
        <v>27</v>
      </c>
      <c r="E12" s="5" t="s">
        <v>26</v>
      </c>
      <c r="F12" s="5" t="s">
        <v>28</v>
      </c>
      <c r="G12" s="5" t="s">
        <v>29</v>
      </c>
      <c r="H12" s="5" t="s">
        <v>30</v>
      </c>
      <c r="I12" s="5" t="s">
        <v>31</v>
      </c>
    </row>
    <row r="13" spans="1:12" x14ac:dyDescent="0.25">
      <c r="B13">
        <v>0</v>
      </c>
      <c r="C13">
        <v>10000</v>
      </c>
      <c r="D13" s="3">
        <f>$A$11</f>
        <v>0.14000000000000001</v>
      </c>
      <c r="E13">
        <v>0</v>
      </c>
      <c r="F13">
        <v>0</v>
      </c>
      <c r="G13">
        <v>0</v>
      </c>
      <c r="H13">
        <v>0</v>
      </c>
      <c r="I13">
        <f>C13-H13</f>
        <v>10000</v>
      </c>
    </row>
    <row r="14" spans="1:12" x14ac:dyDescent="0.25">
      <c r="B14">
        <v>1</v>
      </c>
      <c r="C14">
        <f>I13</f>
        <v>10000</v>
      </c>
      <c r="D14" s="3">
        <f t="shared" ref="D14:D17" si="0">$A$11</f>
        <v>0.14000000000000001</v>
      </c>
      <c r="E14">
        <f>C14*D14</f>
        <v>1400.0000000000002</v>
      </c>
      <c r="F14">
        <f>E14</f>
        <v>1400.0000000000002</v>
      </c>
      <c r="G14">
        <f>$L$11</f>
        <v>2500</v>
      </c>
      <c r="H14" s="2">
        <f>SUM(F14:G14)</f>
        <v>3900</v>
      </c>
      <c r="I14">
        <f>C14+E14-H14</f>
        <v>7500</v>
      </c>
    </row>
    <row r="15" spans="1:12" x14ac:dyDescent="0.25">
      <c r="B15">
        <v>2</v>
      </c>
      <c r="C15">
        <f t="shared" ref="C15:C17" si="1">I14</f>
        <v>7500</v>
      </c>
      <c r="D15" s="3">
        <f t="shared" si="0"/>
        <v>0.14000000000000001</v>
      </c>
      <c r="E15">
        <f t="shared" ref="E15:E17" si="2">C15*D15</f>
        <v>1050</v>
      </c>
      <c r="F15">
        <f t="shared" ref="F15:F17" si="3">E15</f>
        <v>1050</v>
      </c>
      <c r="G15">
        <f t="shared" ref="G15:G17" si="4">$L$11</f>
        <v>2500</v>
      </c>
      <c r="H15" s="2">
        <f t="shared" ref="H15:H17" si="5">SUM(F15:G15)</f>
        <v>3550</v>
      </c>
      <c r="I15">
        <f t="shared" ref="I15:I17" si="6">C15+E15-H15</f>
        <v>5000</v>
      </c>
    </row>
    <row r="16" spans="1:12" x14ac:dyDescent="0.25">
      <c r="B16">
        <v>3</v>
      </c>
      <c r="C16">
        <f t="shared" si="1"/>
        <v>5000</v>
      </c>
      <c r="D16" s="3">
        <f t="shared" si="0"/>
        <v>0.14000000000000001</v>
      </c>
      <c r="E16">
        <f t="shared" si="2"/>
        <v>700.00000000000011</v>
      </c>
      <c r="F16">
        <f t="shared" si="3"/>
        <v>700.00000000000011</v>
      </c>
      <c r="G16">
        <f t="shared" si="4"/>
        <v>2500</v>
      </c>
      <c r="H16" s="2">
        <f t="shared" si="5"/>
        <v>3200</v>
      </c>
      <c r="I16">
        <f t="shared" si="6"/>
        <v>2500</v>
      </c>
    </row>
    <row r="17" spans="1:11" x14ac:dyDescent="0.25">
      <c r="B17">
        <v>4</v>
      </c>
      <c r="C17">
        <f t="shared" si="1"/>
        <v>2500</v>
      </c>
      <c r="D17" s="3">
        <f t="shared" si="0"/>
        <v>0.14000000000000001</v>
      </c>
      <c r="E17">
        <f t="shared" si="2"/>
        <v>350.00000000000006</v>
      </c>
      <c r="F17">
        <f t="shared" si="3"/>
        <v>350.00000000000006</v>
      </c>
      <c r="G17">
        <f t="shared" si="4"/>
        <v>2500</v>
      </c>
      <c r="H17" s="2">
        <f t="shared" si="5"/>
        <v>2850</v>
      </c>
      <c r="I17">
        <f t="shared" si="6"/>
        <v>0</v>
      </c>
    </row>
    <row r="19" spans="1:11" x14ac:dyDescent="0.25">
      <c r="A19" s="3">
        <v>0.05</v>
      </c>
      <c r="C19">
        <v>0</v>
      </c>
      <c r="D19">
        <v>1</v>
      </c>
      <c r="E19">
        <v>2</v>
      </c>
      <c r="F19">
        <v>3</v>
      </c>
      <c r="G19">
        <v>4</v>
      </c>
      <c r="H19" t="s">
        <v>7</v>
      </c>
      <c r="J19" t="s">
        <v>3</v>
      </c>
    </row>
    <row r="20" spans="1:11" x14ac:dyDescent="0.25">
      <c r="B20" s="6" t="s">
        <v>0</v>
      </c>
      <c r="C20" s="6">
        <v>10000</v>
      </c>
      <c r="D20" s="6"/>
      <c r="E20" s="6"/>
      <c r="F20" s="6"/>
      <c r="G20" s="6"/>
      <c r="H20" s="6"/>
      <c r="J20" s="2">
        <f>-C21+H23</f>
        <v>2043.2227312693776</v>
      </c>
      <c r="K20" t="s">
        <v>33</v>
      </c>
    </row>
    <row r="21" spans="1:11" x14ac:dyDescent="0.25">
      <c r="B21" t="s">
        <v>1</v>
      </c>
      <c r="C21">
        <f>C20</f>
        <v>10000</v>
      </c>
    </row>
    <row r="22" spans="1:11" x14ac:dyDescent="0.25">
      <c r="B22" s="6" t="s">
        <v>10</v>
      </c>
      <c r="C22" s="6"/>
      <c r="D22" s="6">
        <f>H14</f>
        <v>3900</v>
      </c>
      <c r="E22" s="6">
        <f>H15</f>
        <v>3550</v>
      </c>
      <c r="F22" s="6">
        <f>H16</f>
        <v>3200</v>
      </c>
      <c r="G22" s="6">
        <f>H17</f>
        <v>2850</v>
      </c>
      <c r="H22" s="6"/>
    </row>
    <row r="23" spans="1:11" x14ac:dyDescent="0.25">
      <c r="B23" t="s">
        <v>1</v>
      </c>
      <c r="D23">
        <f>D22/((1+$A$19)^(D19))</f>
        <v>3714.2857142857142</v>
      </c>
      <c r="E23">
        <f>E22/((1+$A$19)^(E19))</f>
        <v>3219.9546485260771</v>
      </c>
      <c r="F23">
        <f t="shared" ref="F23:G23" si="7">F22/((1+$A$19)^(F19))</f>
        <v>2764.280315300723</v>
      </c>
      <c r="G23">
        <f t="shared" si="7"/>
        <v>2344.7020531568637</v>
      </c>
      <c r="H23">
        <f>SUM(D23:G23)</f>
        <v>12043.222731269378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ex1</vt:lpstr>
      <vt:lpstr>ex2g</vt:lpstr>
      <vt:lpstr>ex3</vt:lpstr>
      <vt:lpstr>ex4</vt:lpstr>
      <vt:lpstr>ex5g</vt:lpstr>
      <vt:lpstr>ex6g</vt:lpstr>
      <vt:lpstr>ex7g</vt:lpstr>
      <vt:lpstr>ex8</vt:lpstr>
      <vt:lpstr>ex9g</vt:lpstr>
      <vt:lpstr>trash</vt:lpstr>
      <vt:lpstr>pt2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2023-03-05T17:33:05Z</dcterms:created>
  <dcterms:modified xsi:type="dcterms:W3CDTF">2023-03-28T04:27:41Z</dcterms:modified>
</cp:coreProperties>
</file>