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ocuments\github-mariana\pm\PM2\econ\week3\"/>
    </mc:Choice>
  </mc:AlternateContent>
  <xr:revisionPtr revIDLastSave="0" documentId="13_ncr:1_{64650E43-3C1D-404F-90DD-CF7259844CD5}" xr6:coauthVersionLast="47" xr6:coauthVersionMax="47" xr10:uidLastSave="{00000000-0000-0000-0000-000000000000}"/>
  <bookViews>
    <workbookView xWindow="-120" yWindow="-120" windowWidth="29040" windowHeight="15840" firstSheet="13" activeTab="21" xr2:uid="{60FC90CF-4422-48E4-949B-85C13790FC61}"/>
  </bookViews>
  <sheets>
    <sheet name="ex1g" sheetId="1" r:id="rId1"/>
    <sheet name="ex2" sheetId="2" r:id="rId2"/>
    <sheet name="ex3g" sheetId="3" r:id="rId3"/>
    <sheet name="ex4" sheetId="4" r:id="rId4"/>
    <sheet name="ex5" sheetId="5" r:id="rId5"/>
    <sheet name="ex6g" sheetId="6" r:id="rId6"/>
    <sheet name="ex7g" sheetId="7" r:id="rId7"/>
    <sheet name="ex8" sheetId="8" r:id="rId8"/>
    <sheet name="ex9" sheetId="9" r:id="rId9"/>
    <sheet name="ex10" sheetId="10" r:id="rId10"/>
    <sheet name="ex11g" sheetId="11" r:id="rId11"/>
    <sheet name="ex12g" sheetId="12" r:id="rId12"/>
    <sheet name="ex13g" sheetId="13" r:id="rId13"/>
    <sheet name="ex14g" sheetId="14" r:id="rId14"/>
    <sheet name="ex15g" sheetId="15" r:id="rId15"/>
    <sheet name="ex16" sheetId="16" r:id="rId16"/>
    <sheet name="ex17g" sheetId="17" r:id="rId17"/>
    <sheet name="ex18" sheetId="18" r:id="rId18"/>
    <sheet name="ex19g" sheetId="19" r:id="rId19"/>
    <sheet name="ex20g" sheetId="20" r:id="rId20"/>
    <sheet name="ex21g" sheetId="21" r:id="rId21"/>
    <sheet name="ex22g" sheetId="22" r:id="rId22"/>
    <sheet name="ex23" sheetId="23" r:id="rId23"/>
    <sheet name="ex24" sheetId="24" r:id="rId24"/>
    <sheet name="ex25g" sheetId="25" r:id="rId25"/>
    <sheet name="ex26b" sheetId="26" r:id="rId26"/>
    <sheet name="ex27g" sheetId="27" r:id="rId27"/>
    <sheet name="ex28" sheetId="28" r:id="rId28"/>
    <sheet name="ex29g" sheetId="29" r:id="rId29"/>
    <sheet name="ex30" sheetId="30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21" l="1"/>
  <c r="J11" i="22"/>
  <c r="J12" i="22"/>
  <c r="J10" i="22"/>
  <c r="E10" i="12" l="1"/>
  <c r="D10" i="12"/>
  <c r="C10" i="12"/>
  <c r="L12" i="5"/>
  <c r="K12" i="5"/>
  <c r="J12" i="5"/>
  <c r="I12" i="5"/>
  <c r="I15" i="25"/>
  <c r="H15" i="25"/>
  <c r="G15" i="25"/>
  <c r="F15" i="25"/>
  <c r="E15" i="25"/>
  <c r="AD42" i="21"/>
  <c r="AT41" i="21"/>
  <c r="AU41" i="21"/>
  <c r="AV41" i="21"/>
  <c r="AW41" i="21"/>
  <c r="AX41" i="21"/>
  <c r="AX42" i="21" s="1"/>
  <c r="AY41" i="21"/>
  <c r="AZ41" i="21"/>
  <c r="AZ42" i="21" s="1"/>
  <c r="BA41" i="21"/>
  <c r="BA42" i="21" s="1"/>
  <c r="BB41" i="21"/>
  <c r="BC41" i="21"/>
  <c r="BD41" i="21"/>
  <c r="BE41" i="21"/>
  <c r="BE42" i="21" s="1"/>
  <c r="BF41" i="21"/>
  <c r="BF42" i="21" s="1"/>
  <c r="BG41" i="21"/>
  <c r="BH41" i="21"/>
  <c r="BH42" i="21" s="1"/>
  <c r="BI41" i="21"/>
  <c r="BJ41" i="21"/>
  <c r="BK41" i="21"/>
  <c r="BL41" i="21"/>
  <c r="BM41" i="21"/>
  <c r="BN41" i="21"/>
  <c r="BO41" i="21"/>
  <c r="BP41" i="21"/>
  <c r="BQ41" i="21"/>
  <c r="BQ42" i="21" s="1"/>
  <c r="BR41" i="21"/>
  <c r="BS41" i="21"/>
  <c r="BT41" i="21"/>
  <c r="BU41" i="21"/>
  <c r="BU42" i="21" s="1"/>
  <c r="BV41" i="21"/>
  <c r="BV42" i="21" s="1"/>
  <c r="BW41" i="21"/>
  <c r="BX41" i="21"/>
  <c r="BY41" i="21"/>
  <c r="BZ41" i="21"/>
  <c r="CA41" i="21"/>
  <c r="CB41" i="21"/>
  <c r="CC41" i="21"/>
  <c r="CD41" i="21"/>
  <c r="CD42" i="21" s="1"/>
  <c r="CE41" i="21"/>
  <c r="CF41" i="21"/>
  <c r="CF42" i="21" s="1"/>
  <c r="AS41" i="21"/>
  <c r="BI42" i="21"/>
  <c r="BP42" i="21"/>
  <c r="BX42" i="21"/>
  <c r="BY42" i="21"/>
  <c r="E39" i="21"/>
  <c r="AS42" i="21"/>
  <c r="AC42" i="21"/>
  <c r="AD41" i="21"/>
  <c r="AE41" i="21"/>
  <c r="AE42" i="21" s="1"/>
  <c r="AF41" i="21"/>
  <c r="AF42" i="21" s="1"/>
  <c r="AG41" i="21"/>
  <c r="AG42" i="21" s="1"/>
  <c r="AH41" i="21"/>
  <c r="AH42" i="21" s="1"/>
  <c r="AI41" i="21"/>
  <c r="AI42" i="21" s="1"/>
  <c r="AJ41" i="21"/>
  <c r="AJ42" i="21" s="1"/>
  <c r="AK41" i="21"/>
  <c r="AK42" i="21" s="1"/>
  <c r="AL41" i="21"/>
  <c r="AL42" i="21" s="1"/>
  <c r="AM41" i="21"/>
  <c r="AM42" i="21" s="1"/>
  <c r="AN41" i="21"/>
  <c r="AN42" i="21" s="1"/>
  <c r="AO41" i="21"/>
  <c r="AO42" i="21" s="1"/>
  <c r="AP41" i="21"/>
  <c r="AP42" i="21" s="1"/>
  <c r="AQ41" i="21"/>
  <c r="AQ42" i="21" s="1"/>
  <c r="AR41" i="21"/>
  <c r="AR42" i="21" s="1"/>
  <c r="AT42" i="21"/>
  <c r="AU42" i="21"/>
  <c r="AV42" i="21"/>
  <c r="AW42" i="21"/>
  <c r="AY42" i="21"/>
  <c r="BB42" i="21"/>
  <c r="BC42" i="21"/>
  <c r="BD42" i="21"/>
  <c r="BG42" i="21"/>
  <c r="BJ42" i="21"/>
  <c r="BK42" i="21"/>
  <c r="BL42" i="21"/>
  <c r="BM42" i="21"/>
  <c r="BN42" i="21"/>
  <c r="BO42" i="21"/>
  <c r="BR42" i="21"/>
  <c r="BS42" i="21"/>
  <c r="BT42" i="21"/>
  <c r="BW42" i="21"/>
  <c r="BZ42" i="21"/>
  <c r="CA42" i="21"/>
  <c r="CB42" i="21"/>
  <c r="CC42" i="21"/>
  <c r="CE42" i="21"/>
  <c r="AR9" i="20"/>
  <c r="B15" i="20" s="1"/>
  <c r="Y9" i="20"/>
  <c r="Z9" i="20"/>
  <c r="AA9" i="20"/>
  <c r="AB9" i="20"/>
  <c r="AC9" i="20"/>
  <c r="AD9" i="20"/>
  <c r="AE9" i="20"/>
  <c r="AF9" i="20"/>
  <c r="AG9" i="20"/>
  <c r="AH9" i="20"/>
  <c r="AI9" i="20"/>
  <c r="AJ9" i="20"/>
  <c r="AK9" i="20"/>
  <c r="AL9" i="20"/>
  <c r="AM9" i="20"/>
  <c r="AN9" i="20"/>
  <c r="AO9" i="20"/>
  <c r="AP9" i="20"/>
  <c r="AQ9" i="20"/>
  <c r="X9" i="20"/>
  <c r="W8" i="20"/>
  <c r="C9" i="20"/>
  <c r="F17" i="19"/>
  <c r="F16" i="19"/>
  <c r="F15" i="19"/>
  <c r="B36" i="17"/>
  <c r="B35" i="17"/>
  <c r="B34" i="17"/>
  <c r="B31" i="17"/>
  <c r="C27" i="17"/>
  <c r="C24" i="17"/>
  <c r="C21" i="17"/>
  <c r="H11" i="17"/>
  <c r="H10" i="17"/>
  <c r="C8" i="16"/>
  <c r="D9" i="11"/>
  <c r="K11" i="5"/>
  <c r="J11" i="5"/>
  <c r="I11" i="5"/>
  <c r="L11" i="5"/>
  <c r="J6" i="4"/>
  <c r="N19" i="2"/>
  <c r="I25" i="1"/>
  <c r="C17" i="21"/>
  <c r="D16" i="21"/>
  <c r="D17" i="21" s="1"/>
  <c r="E16" i="21"/>
  <c r="E17" i="21" s="1"/>
  <c r="F16" i="21"/>
  <c r="F17" i="21" s="1"/>
  <c r="G16" i="21"/>
  <c r="G17" i="21" s="1"/>
  <c r="H16" i="21"/>
  <c r="H17" i="21" s="1"/>
  <c r="I16" i="21"/>
  <c r="I17" i="21" s="1"/>
  <c r="J16" i="21"/>
  <c r="J17" i="21" s="1"/>
  <c r="K16" i="21"/>
  <c r="K17" i="21" s="1"/>
  <c r="L16" i="21"/>
  <c r="L17" i="21" s="1"/>
  <c r="M16" i="21"/>
  <c r="M17" i="21" s="1"/>
  <c r="C16" i="21"/>
  <c r="O10" i="21"/>
  <c r="S10" i="21"/>
  <c r="R10" i="21"/>
  <c r="T10" i="21"/>
  <c r="U10" i="21"/>
  <c r="V10" i="21"/>
  <c r="W10" i="21"/>
  <c r="X10" i="21"/>
  <c r="Y10" i="21"/>
  <c r="Z10" i="21"/>
  <c r="AA10" i="21"/>
  <c r="AB10" i="21"/>
  <c r="AC10" i="21"/>
  <c r="AD10" i="21"/>
  <c r="AE10" i="21"/>
  <c r="AF10" i="21"/>
  <c r="AG10" i="21"/>
  <c r="AH10" i="21"/>
  <c r="AI10" i="21"/>
  <c r="AJ10" i="21"/>
  <c r="AK10" i="21"/>
  <c r="AL10" i="21"/>
  <c r="AM10" i="21"/>
  <c r="AN10" i="21"/>
  <c r="AO10" i="21"/>
  <c r="AP10" i="21"/>
  <c r="AQ10" i="21"/>
  <c r="AR10" i="21"/>
  <c r="AS10" i="21"/>
  <c r="AT10" i="21"/>
  <c r="AU10" i="21"/>
  <c r="AV10" i="21"/>
  <c r="AW10" i="21"/>
  <c r="AX10" i="21"/>
  <c r="AY10" i="21"/>
  <c r="AZ10" i="21"/>
  <c r="BA10" i="21"/>
  <c r="BB10" i="21"/>
  <c r="BC10" i="21"/>
  <c r="BD10" i="21"/>
  <c r="BE10" i="21"/>
  <c r="BF10" i="21"/>
  <c r="BG10" i="21"/>
  <c r="BH10" i="21"/>
  <c r="BI10" i="21"/>
  <c r="BJ10" i="21"/>
  <c r="BK10" i="21"/>
  <c r="BL10" i="21"/>
  <c r="BM10" i="21"/>
  <c r="BN10" i="21"/>
  <c r="BO10" i="21"/>
  <c r="BP10" i="21"/>
  <c r="BQ10" i="21"/>
  <c r="BR10" i="21"/>
  <c r="BS10" i="21"/>
  <c r="BT10" i="21"/>
  <c r="BU10" i="21"/>
  <c r="BV10" i="21"/>
  <c r="BW10" i="21"/>
  <c r="BX10" i="21"/>
  <c r="BY10" i="21"/>
  <c r="BZ10" i="21"/>
  <c r="CA10" i="21"/>
  <c r="CB10" i="21"/>
  <c r="CC10" i="21"/>
  <c r="CD10" i="21"/>
  <c r="CE10" i="21"/>
  <c r="CF10" i="21"/>
  <c r="CG10" i="21"/>
  <c r="CH10" i="21"/>
  <c r="CI10" i="21"/>
  <c r="CJ10" i="21"/>
  <c r="CK10" i="21"/>
  <c r="CL10" i="21"/>
  <c r="CM10" i="21"/>
  <c r="CN10" i="21"/>
  <c r="CO10" i="21"/>
  <c r="CP10" i="21"/>
  <c r="CQ10" i="21"/>
  <c r="CR10" i="21"/>
  <c r="CS10" i="21"/>
  <c r="CT10" i="21"/>
  <c r="CU10" i="21"/>
  <c r="CV10" i="21"/>
  <c r="CW10" i="21"/>
  <c r="CX10" i="21"/>
  <c r="CY10" i="21"/>
  <c r="CZ10" i="21"/>
  <c r="DA10" i="21"/>
  <c r="DB10" i="21"/>
  <c r="DC10" i="21"/>
  <c r="DD10" i="21"/>
  <c r="DE10" i="21"/>
  <c r="DF10" i="21"/>
  <c r="DG10" i="21"/>
  <c r="DH10" i="21"/>
  <c r="DI10" i="21"/>
  <c r="DJ10" i="21"/>
  <c r="DK10" i="21"/>
  <c r="DL10" i="21"/>
  <c r="DM10" i="21"/>
  <c r="DN10" i="21"/>
  <c r="D9" i="21"/>
  <c r="D10" i="21" s="1"/>
  <c r="E9" i="21"/>
  <c r="E10" i="21" s="1"/>
  <c r="F9" i="21"/>
  <c r="F10" i="21" s="1"/>
  <c r="G9" i="21"/>
  <c r="G10" i="21" s="1"/>
  <c r="H9" i="21"/>
  <c r="H10" i="21" s="1"/>
  <c r="I9" i="21"/>
  <c r="I10" i="21" s="1"/>
  <c r="J9" i="21"/>
  <c r="J10" i="21" s="1"/>
  <c r="K9" i="21"/>
  <c r="K10" i="21" s="1"/>
  <c r="L9" i="21"/>
  <c r="L10" i="21" s="1"/>
  <c r="M9" i="21"/>
  <c r="M10" i="21" s="1"/>
  <c r="C9" i="21"/>
  <c r="C10" i="21" s="1"/>
  <c r="P10" i="21"/>
  <c r="Q10" i="21"/>
  <c r="N12" i="21"/>
  <c r="O12" i="21" s="1"/>
  <c r="P12" i="21" s="1"/>
  <c r="Q12" i="21" s="1"/>
  <c r="R12" i="21" s="1"/>
  <c r="S12" i="21" s="1"/>
  <c r="T12" i="21" s="1"/>
  <c r="U12" i="21" s="1"/>
  <c r="V12" i="21" s="1"/>
  <c r="W12" i="21" s="1"/>
  <c r="X12" i="21" s="1"/>
  <c r="Y12" i="21" s="1"/>
  <c r="Z12" i="21" s="1"/>
  <c r="AA12" i="21" s="1"/>
  <c r="AB12" i="21" s="1"/>
  <c r="AC12" i="21" s="1"/>
  <c r="AD12" i="21" s="1"/>
  <c r="AE12" i="21" s="1"/>
  <c r="AF12" i="21" s="1"/>
  <c r="AG12" i="21" s="1"/>
  <c r="AH12" i="21" s="1"/>
  <c r="AI12" i="21" s="1"/>
  <c r="AJ12" i="21" s="1"/>
  <c r="AK12" i="21" s="1"/>
  <c r="AL12" i="21" s="1"/>
  <c r="AM12" i="21" s="1"/>
  <c r="AN12" i="21" s="1"/>
  <c r="AO12" i="21" s="1"/>
  <c r="AP12" i="21" s="1"/>
  <c r="AQ12" i="21" s="1"/>
  <c r="AR12" i="21" s="1"/>
  <c r="AS12" i="21" s="1"/>
  <c r="AT12" i="21" s="1"/>
  <c r="AU12" i="21" s="1"/>
  <c r="AV12" i="21" s="1"/>
  <c r="AW12" i="21" s="1"/>
  <c r="AX12" i="21" s="1"/>
  <c r="AY12" i="21" s="1"/>
  <c r="AZ12" i="21" s="1"/>
  <c r="BA12" i="21" s="1"/>
  <c r="BB12" i="21" s="1"/>
  <c r="BC12" i="21" s="1"/>
  <c r="BD12" i="21" s="1"/>
  <c r="BE12" i="21" s="1"/>
  <c r="BF12" i="21" s="1"/>
  <c r="BG12" i="21" s="1"/>
  <c r="BH12" i="21" s="1"/>
  <c r="BI12" i="21" s="1"/>
  <c r="BJ12" i="21" s="1"/>
  <c r="BK12" i="21" s="1"/>
  <c r="BL12" i="21" s="1"/>
  <c r="BM12" i="21" s="1"/>
  <c r="BN12" i="21" s="1"/>
  <c r="BO12" i="21" s="1"/>
  <c r="BP12" i="21" s="1"/>
  <c r="BQ12" i="21" s="1"/>
  <c r="BR12" i="21" s="1"/>
  <c r="BS12" i="21" s="1"/>
  <c r="BT12" i="21" s="1"/>
  <c r="BU12" i="21" s="1"/>
  <c r="BV12" i="21" s="1"/>
  <c r="BW12" i="21" s="1"/>
  <c r="BX12" i="21" s="1"/>
  <c r="BY12" i="21" s="1"/>
  <c r="BZ12" i="21" s="1"/>
  <c r="CA12" i="21" s="1"/>
  <c r="CB12" i="21" s="1"/>
  <c r="CC12" i="21" s="1"/>
  <c r="CD12" i="21" s="1"/>
  <c r="CE12" i="21" s="1"/>
  <c r="CF12" i="21" s="1"/>
  <c r="CG12" i="21" s="1"/>
  <c r="CH12" i="21" s="1"/>
  <c r="CI12" i="21" s="1"/>
  <c r="CJ12" i="21" s="1"/>
  <c r="CK12" i="21" s="1"/>
  <c r="CL12" i="21" s="1"/>
  <c r="CM12" i="21" s="1"/>
  <c r="CN12" i="21" s="1"/>
  <c r="CO12" i="21" s="1"/>
  <c r="CP12" i="21" s="1"/>
  <c r="CQ12" i="21" s="1"/>
  <c r="CR12" i="21" s="1"/>
  <c r="CS12" i="21" s="1"/>
  <c r="CT12" i="21" s="1"/>
  <c r="CU12" i="21" s="1"/>
  <c r="CV12" i="21" s="1"/>
  <c r="CW12" i="21" s="1"/>
  <c r="CX12" i="21" s="1"/>
  <c r="CY12" i="21" s="1"/>
  <c r="CZ12" i="21" s="1"/>
  <c r="DA12" i="21" s="1"/>
  <c r="DB12" i="21" s="1"/>
  <c r="DC12" i="21" s="1"/>
  <c r="DD12" i="21" s="1"/>
  <c r="DE12" i="21" s="1"/>
  <c r="DF12" i="21" s="1"/>
  <c r="DG12" i="21" s="1"/>
  <c r="DH12" i="21" s="1"/>
  <c r="DI12" i="21" s="1"/>
  <c r="DJ12" i="21" s="1"/>
  <c r="DK12" i="21" s="1"/>
  <c r="DL12" i="21" s="1"/>
  <c r="DM12" i="21" s="1"/>
  <c r="DN12" i="21" s="1"/>
  <c r="N20" i="6"/>
  <c r="M20" i="6"/>
  <c r="L20" i="6"/>
  <c r="O15" i="6"/>
  <c r="N15" i="6"/>
  <c r="M15" i="6"/>
  <c r="L15" i="6"/>
  <c r="K15" i="6"/>
  <c r="O10" i="6"/>
  <c r="N10" i="6"/>
  <c r="M10" i="6"/>
  <c r="L10" i="6"/>
  <c r="K10" i="6"/>
  <c r="C16" i="27"/>
  <c r="C8" i="27"/>
  <c r="E10" i="27"/>
  <c r="E11" i="27" s="1"/>
  <c r="F10" i="27"/>
  <c r="F11" i="27" s="1"/>
  <c r="G10" i="27"/>
  <c r="G11" i="27" s="1"/>
  <c r="H10" i="27"/>
  <c r="H11" i="27" s="1"/>
  <c r="I10" i="27"/>
  <c r="I11" i="27" s="1"/>
  <c r="J10" i="27"/>
  <c r="J11" i="27" s="1"/>
  <c r="K10" i="27"/>
  <c r="K11" i="27" s="1"/>
  <c r="L10" i="27"/>
  <c r="L11" i="27" s="1"/>
  <c r="M10" i="27"/>
  <c r="M11" i="27" s="1"/>
  <c r="N10" i="27"/>
  <c r="N11" i="27" s="1"/>
  <c r="O10" i="27"/>
  <c r="O11" i="27" s="1"/>
  <c r="P10" i="27"/>
  <c r="P11" i="27" s="1"/>
  <c r="Q10" i="27"/>
  <c r="Q11" i="27" s="1"/>
  <c r="R10" i="27"/>
  <c r="R11" i="27" s="1"/>
  <c r="S10" i="27"/>
  <c r="S11" i="27" s="1"/>
  <c r="T10" i="27"/>
  <c r="T11" i="27" s="1"/>
  <c r="U10" i="27"/>
  <c r="U11" i="27" s="1"/>
  <c r="V10" i="27"/>
  <c r="V11" i="27" s="1"/>
  <c r="W10" i="27"/>
  <c r="W11" i="27" s="1"/>
  <c r="X10" i="27"/>
  <c r="X11" i="27" s="1"/>
  <c r="Y10" i="27"/>
  <c r="Y11" i="27" s="1"/>
  <c r="Z10" i="27"/>
  <c r="Z11" i="27" s="1"/>
  <c r="AA10" i="27"/>
  <c r="AA11" i="27" s="1"/>
  <c r="AB10" i="27"/>
  <c r="AB11" i="27" s="1"/>
  <c r="D10" i="27"/>
  <c r="D11" i="27" s="1"/>
  <c r="E13" i="29"/>
  <c r="E14" i="29" s="1"/>
  <c r="F13" i="29"/>
  <c r="G13" i="29"/>
  <c r="H13" i="29"/>
  <c r="I13" i="29"/>
  <c r="I14" i="29" s="1"/>
  <c r="J13" i="29"/>
  <c r="J14" i="29" s="1"/>
  <c r="K13" i="29"/>
  <c r="K14" i="29" s="1"/>
  <c r="L13" i="29"/>
  <c r="L14" i="29" s="1"/>
  <c r="M13" i="29"/>
  <c r="N13" i="29"/>
  <c r="O13" i="29"/>
  <c r="P13" i="29"/>
  <c r="P14" i="29" s="1"/>
  <c r="Q13" i="29"/>
  <c r="Q14" i="29" s="1"/>
  <c r="R13" i="29"/>
  <c r="R14" i="29" s="1"/>
  <c r="S13" i="29"/>
  <c r="S14" i="29" s="1"/>
  <c r="T13" i="29"/>
  <c r="T14" i="29" s="1"/>
  <c r="U13" i="29"/>
  <c r="V13" i="29"/>
  <c r="W13" i="29"/>
  <c r="W14" i="29" s="1"/>
  <c r="X13" i="29"/>
  <c r="X14" i="29" s="1"/>
  <c r="Y13" i="29"/>
  <c r="Y14" i="29" s="1"/>
  <c r="Z13" i="29"/>
  <c r="Z14" i="29" s="1"/>
  <c r="AA13" i="29"/>
  <c r="AA14" i="29" s="1"/>
  <c r="AB13" i="29"/>
  <c r="AB14" i="29" s="1"/>
  <c r="AC13" i="29"/>
  <c r="AC14" i="29" s="1"/>
  <c r="AD13" i="29"/>
  <c r="AE13" i="29"/>
  <c r="AF13" i="29"/>
  <c r="AF14" i="29" s="1"/>
  <c r="AG13" i="29"/>
  <c r="AG14" i="29" s="1"/>
  <c r="AH13" i="29"/>
  <c r="AH14" i="29" s="1"/>
  <c r="AI13" i="29"/>
  <c r="AI14" i="29" s="1"/>
  <c r="AJ13" i="29"/>
  <c r="AJ14" i="29" s="1"/>
  <c r="AK13" i="29"/>
  <c r="AL13" i="29"/>
  <c r="AM13" i="29"/>
  <c r="AN13" i="29"/>
  <c r="AN14" i="29" s="1"/>
  <c r="AO13" i="29"/>
  <c r="AO14" i="29" s="1"/>
  <c r="AP13" i="29"/>
  <c r="AP14" i="29" s="1"/>
  <c r="AQ13" i="29"/>
  <c r="AQ14" i="29" s="1"/>
  <c r="AR13" i="29"/>
  <c r="AR14" i="29" s="1"/>
  <c r="AS13" i="29"/>
  <c r="AS14" i="29" s="1"/>
  <c r="AT13" i="29"/>
  <c r="AU13" i="29"/>
  <c r="AU14" i="29" s="1"/>
  <c r="AV13" i="29"/>
  <c r="AV14" i="29" s="1"/>
  <c r="AW13" i="29"/>
  <c r="AW14" i="29" s="1"/>
  <c r="AX13" i="29"/>
  <c r="AX14" i="29" s="1"/>
  <c r="AY13" i="29"/>
  <c r="AY14" i="29" s="1"/>
  <c r="AZ13" i="29"/>
  <c r="AZ14" i="29" s="1"/>
  <c r="BA13" i="29"/>
  <c r="BB13" i="29"/>
  <c r="BC13" i="29"/>
  <c r="BC14" i="29" s="1"/>
  <c r="BD13" i="29"/>
  <c r="BD14" i="29" s="1"/>
  <c r="BE13" i="29"/>
  <c r="BE14" i="29" s="1"/>
  <c r="BF13" i="29"/>
  <c r="BF14" i="29" s="1"/>
  <c r="BG13" i="29"/>
  <c r="BG14" i="29" s="1"/>
  <c r="BH13" i="29"/>
  <c r="BH14" i="29" s="1"/>
  <c r="BI13" i="29"/>
  <c r="BI14" i="29" s="1"/>
  <c r="BJ13" i="29"/>
  <c r="BK13" i="29"/>
  <c r="BL13" i="29"/>
  <c r="BL14" i="29" s="1"/>
  <c r="BM13" i="29"/>
  <c r="BM14" i="29" s="1"/>
  <c r="BN13" i="29"/>
  <c r="BN14" i="29" s="1"/>
  <c r="BO13" i="29"/>
  <c r="BO14" i="29" s="1"/>
  <c r="BP13" i="29"/>
  <c r="BP14" i="29" s="1"/>
  <c r="BQ13" i="29"/>
  <c r="BR13" i="29"/>
  <c r="BS13" i="29"/>
  <c r="BT13" i="29"/>
  <c r="BT14" i="29" s="1"/>
  <c r="BU13" i="29"/>
  <c r="BU14" i="29" s="1"/>
  <c r="BV13" i="29"/>
  <c r="BV14" i="29" s="1"/>
  <c r="BW13" i="29"/>
  <c r="BW14" i="29" s="1"/>
  <c r="BX13" i="29"/>
  <c r="BX14" i="29" s="1"/>
  <c r="D13" i="29"/>
  <c r="D14" i="29" s="1"/>
  <c r="F14" i="29"/>
  <c r="G14" i="29"/>
  <c r="H14" i="29"/>
  <c r="M14" i="29"/>
  <c r="N14" i="29"/>
  <c r="O14" i="29"/>
  <c r="U14" i="29"/>
  <c r="V14" i="29"/>
  <c r="AD14" i="29"/>
  <c r="AE14" i="29"/>
  <c r="AK14" i="29"/>
  <c r="AL14" i="29"/>
  <c r="AM14" i="29"/>
  <c r="AT14" i="29"/>
  <c r="BA14" i="29"/>
  <c r="BB14" i="29"/>
  <c r="BJ14" i="29"/>
  <c r="BK14" i="29"/>
  <c r="BQ14" i="29"/>
  <c r="BR14" i="29"/>
  <c r="BS14" i="29"/>
  <c r="E18" i="29"/>
  <c r="E8" i="30"/>
  <c r="F8" i="30"/>
  <c r="G8" i="30"/>
  <c r="H8" i="30"/>
  <c r="I8" i="30"/>
  <c r="J8" i="30"/>
  <c r="D8" i="30"/>
  <c r="AS46" i="21" l="1"/>
  <c r="AS45" i="21"/>
  <c r="CG42" i="21"/>
  <c r="M18" i="21"/>
  <c r="M13" i="21"/>
  <c r="M12" i="21"/>
  <c r="C15" i="27"/>
  <c r="E17" i="29"/>
  <c r="K9" i="30"/>
  <c r="B9" i="29" l="1"/>
  <c r="E9" i="28"/>
  <c r="F9" i="28"/>
  <c r="D9" i="28"/>
  <c r="C7" i="28"/>
  <c r="G8" i="28"/>
  <c r="E8" i="28"/>
  <c r="F8" i="28"/>
  <c r="D8" i="28"/>
  <c r="B8" i="27"/>
  <c r="E15" i="26"/>
  <c r="H14" i="26"/>
  <c r="H12" i="26"/>
  <c r="G11" i="26"/>
  <c r="E11" i="26"/>
  <c r="D14" i="26"/>
  <c r="I8" i="25"/>
  <c r="F8" i="25"/>
  <c r="F9" i="25"/>
  <c r="F10" i="25"/>
  <c r="F11" i="25"/>
  <c r="J7" i="25"/>
  <c r="K7" i="25" s="1"/>
  <c r="E8" i="25" s="1"/>
  <c r="G8" i="25" s="1"/>
  <c r="G7" i="25"/>
  <c r="B9" i="25"/>
  <c r="E7" i="25"/>
  <c r="F7" i="25"/>
  <c r="H11" i="24"/>
  <c r="E9" i="24"/>
  <c r="G9" i="24" s="1"/>
  <c r="F9" i="24"/>
  <c r="I9" i="24"/>
  <c r="F10" i="24"/>
  <c r="I10" i="24"/>
  <c r="F11" i="24"/>
  <c r="I11" i="24"/>
  <c r="F12" i="24"/>
  <c r="I12" i="24"/>
  <c r="F8" i="24"/>
  <c r="H8" i="24"/>
  <c r="J8" i="24" s="1"/>
  <c r="K8" i="24" s="1"/>
  <c r="I8" i="24"/>
  <c r="B12" i="24"/>
  <c r="G8" i="24"/>
  <c r="E8" i="24"/>
  <c r="G7" i="24"/>
  <c r="J9" i="23"/>
  <c r="K9" i="23"/>
  <c r="I9" i="23"/>
  <c r="H9" i="23"/>
  <c r="F9" i="23"/>
  <c r="K10" i="23"/>
  <c r="K11" i="23"/>
  <c r="K12" i="23"/>
  <c r="L8" i="23"/>
  <c r="C11" i="23"/>
  <c r="F8" i="23"/>
  <c r="H8" i="23" s="1"/>
  <c r="I8" i="23" s="1"/>
  <c r="J8" i="23" s="1"/>
  <c r="J13" i="22"/>
  <c r="K10" i="22"/>
  <c r="L10" i="22" s="1"/>
  <c r="E11" i="22" s="1"/>
  <c r="G11" i="22" s="1"/>
  <c r="H11" i="22" s="1"/>
  <c r="H10" i="22"/>
  <c r="E10" i="22"/>
  <c r="G10" i="22" s="1"/>
  <c r="AR8" i="20"/>
  <c r="AJ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K8" i="20"/>
  <c r="AL8" i="20"/>
  <c r="AM8" i="20"/>
  <c r="AN8" i="20"/>
  <c r="AO8" i="20"/>
  <c r="AP8" i="20"/>
  <c r="AQ8" i="20"/>
  <c r="C12" i="19"/>
  <c r="C6" i="18"/>
  <c r="D10" i="17"/>
  <c r="E10" i="17" s="1"/>
  <c r="D9" i="15"/>
  <c r="D9" i="14"/>
  <c r="F9" i="13"/>
  <c r="E9" i="13"/>
  <c r="D9" i="13"/>
  <c r="G10" i="11"/>
  <c r="F11" i="11"/>
  <c r="E10" i="11"/>
  <c r="C11" i="11"/>
  <c r="H10" i="10"/>
  <c r="D10" i="10"/>
  <c r="E10" i="10"/>
  <c r="F10" i="10"/>
  <c r="G10" i="10"/>
  <c r="C10" i="10"/>
  <c r="E11" i="9"/>
  <c r="H11" i="9"/>
  <c r="F11" i="9"/>
  <c r="G11" i="9"/>
  <c r="D11" i="9"/>
  <c r="N5" i="6"/>
  <c r="M5" i="6"/>
  <c r="L5" i="6"/>
  <c r="H11" i="8"/>
  <c r="D11" i="8"/>
  <c r="E11" i="8"/>
  <c r="F11" i="8"/>
  <c r="G11" i="8"/>
  <c r="C11" i="8"/>
  <c r="G10" i="8"/>
  <c r="F10" i="8"/>
  <c r="E10" i="8"/>
  <c r="D10" i="8"/>
  <c r="C10" i="8"/>
  <c r="H12" i="7"/>
  <c r="F12" i="7"/>
  <c r="E12" i="7"/>
  <c r="G12" i="7"/>
  <c r="E11" i="7"/>
  <c r="F11" i="7"/>
  <c r="G11" i="7"/>
  <c r="D12" i="7"/>
  <c r="D11" i="7"/>
  <c r="O20" i="6"/>
  <c r="K20" i="6"/>
  <c r="K5" i="6"/>
  <c r="J13" i="5"/>
  <c r="J14" i="5" s="1"/>
  <c r="J15" i="5" s="1"/>
  <c r="K13" i="5"/>
  <c r="K14" i="5" s="1"/>
  <c r="K15" i="5" s="1"/>
  <c r="L13" i="5"/>
  <c r="L14" i="5" s="1"/>
  <c r="L15" i="5" s="1"/>
  <c r="I13" i="5"/>
  <c r="I14" i="5" s="1"/>
  <c r="I15" i="5" s="1"/>
  <c r="K10" i="5"/>
  <c r="J10" i="5"/>
  <c r="L10" i="5"/>
  <c r="I10" i="5"/>
  <c r="O7" i="3"/>
  <c r="N7" i="4"/>
  <c r="N8" i="4"/>
  <c r="N9" i="4"/>
  <c r="N10" i="4"/>
  <c r="N11" i="4"/>
  <c r="N12" i="4"/>
  <c r="N13" i="4"/>
  <c r="N14" i="4"/>
  <c r="N6" i="4"/>
  <c r="J14" i="4"/>
  <c r="K14" i="4"/>
  <c r="L14" i="4"/>
  <c r="M14" i="4"/>
  <c r="J13" i="4"/>
  <c r="K13" i="4"/>
  <c r="L13" i="4"/>
  <c r="M13" i="4"/>
  <c r="J12" i="4"/>
  <c r="K12" i="4"/>
  <c r="L12" i="4"/>
  <c r="M12" i="4"/>
  <c r="J11" i="4"/>
  <c r="K11" i="4"/>
  <c r="L11" i="4"/>
  <c r="M11" i="4"/>
  <c r="J10" i="4"/>
  <c r="K10" i="4"/>
  <c r="L10" i="4"/>
  <c r="M10" i="4"/>
  <c r="J9" i="4"/>
  <c r="K9" i="4"/>
  <c r="L9" i="4"/>
  <c r="M9" i="4"/>
  <c r="J8" i="4"/>
  <c r="K8" i="4"/>
  <c r="L8" i="4"/>
  <c r="M8" i="4"/>
  <c r="J7" i="4"/>
  <c r="K7" i="4"/>
  <c r="L7" i="4"/>
  <c r="M7" i="4"/>
  <c r="I14" i="4"/>
  <c r="I12" i="4"/>
  <c r="I13" i="4"/>
  <c r="I11" i="4"/>
  <c r="I10" i="4"/>
  <c r="I9" i="4"/>
  <c r="I8" i="4"/>
  <c r="I7" i="4"/>
  <c r="K6" i="4"/>
  <c r="L6" i="4"/>
  <c r="M6" i="4"/>
  <c r="I6" i="4"/>
  <c r="O13" i="3"/>
  <c r="O12" i="3"/>
  <c r="O14" i="3"/>
  <c r="O15" i="3"/>
  <c r="O16" i="3"/>
  <c r="O17" i="3"/>
  <c r="O18" i="3"/>
  <c r="O19" i="3"/>
  <c r="O11" i="3"/>
  <c r="P17" i="2"/>
  <c r="P18" i="2"/>
  <c r="P19" i="2"/>
  <c r="P20" i="2"/>
  <c r="P21" i="2"/>
  <c r="P22" i="2"/>
  <c r="P23" i="2"/>
  <c r="P24" i="2"/>
  <c r="P16" i="2"/>
  <c r="J11" i="3"/>
  <c r="K11" i="3"/>
  <c r="L11" i="3"/>
  <c r="M11" i="3"/>
  <c r="N11" i="3"/>
  <c r="J12" i="3"/>
  <c r="K12" i="3"/>
  <c r="L12" i="3"/>
  <c r="M12" i="3"/>
  <c r="N12" i="3"/>
  <c r="J13" i="3"/>
  <c r="K13" i="3"/>
  <c r="L13" i="3"/>
  <c r="M13" i="3"/>
  <c r="N13" i="3"/>
  <c r="J14" i="3"/>
  <c r="K14" i="3"/>
  <c r="L14" i="3"/>
  <c r="M14" i="3"/>
  <c r="N14" i="3"/>
  <c r="J15" i="3"/>
  <c r="K15" i="3"/>
  <c r="L15" i="3"/>
  <c r="M15" i="3"/>
  <c r="N15" i="3"/>
  <c r="J16" i="3"/>
  <c r="K16" i="3"/>
  <c r="L16" i="3"/>
  <c r="M16" i="3"/>
  <c r="N16" i="3"/>
  <c r="J17" i="3"/>
  <c r="K17" i="3"/>
  <c r="L17" i="3"/>
  <c r="M17" i="3"/>
  <c r="N17" i="3"/>
  <c r="J18" i="3"/>
  <c r="K18" i="3"/>
  <c r="L18" i="3"/>
  <c r="M18" i="3"/>
  <c r="N18" i="3"/>
  <c r="J19" i="3"/>
  <c r="K19" i="3"/>
  <c r="L19" i="3"/>
  <c r="M19" i="3"/>
  <c r="N19" i="3"/>
  <c r="L24" i="2"/>
  <c r="M24" i="2"/>
  <c r="N24" i="2"/>
  <c r="O24" i="2"/>
  <c r="K24" i="2"/>
  <c r="L23" i="2"/>
  <c r="M23" i="2"/>
  <c r="N23" i="2"/>
  <c r="O23" i="2"/>
  <c r="K23" i="2"/>
  <c r="L22" i="2"/>
  <c r="M22" i="2"/>
  <c r="N22" i="2"/>
  <c r="O22" i="2"/>
  <c r="K22" i="2"/>
  <c r="L21" i="2"/>
  <c r="M21" i="2"/>
  <c r="N21" i="2"/>
  <c r="O21" i="2"/>
  <c r="K21" i="2"/>
  <c r="L20" i="2"/>
  <c r="M20" i="2"/>
  <c r="N20" i="2"/>
  <c r="O20" i="2"/>
  <c r="K20" i="2"/>
  <c r="L19" i="2"/>
  <c r="M19" i="2"/>
  <c r="O19" i="2"/>
  <c r="K19" i="2"/>
  <c r="L18" i="2"/>
  <c r="M18" i="2"/>
  <c r="N18" i="2"/>
  <c r="O18" i="2"/>
  <c r="K18" i="2"/>
  <c r="L17" i="2"/>
  <c r="M17" i="2"/>
  <c r="N17" i="2"/>
  <c r="O17" i="2"/>
  <c r="K17" i="2"/>
  <c r="O16" i="2"/>
  <c r="L16" i="2"/>
  <c r="M16" i="2"/>
  <c r="N16" i="2"/>
  <c r="K16" i="2"/>
  <c r="I22" i="1"/>
  <c r="F24" i="1"/>
  <c r="G24" i="1"/>
  <c r="I24" i="1" s="1"/>
  <c r="H24" i="1"/>
  <c r="E24" i="1"/>
  <c r="D22" i="1"/>
  <c r="D24" i="1"/>
  <c r="G22" i="1"/>
  <c r="F22" i="1"/>
  <c r="H22" i="1"/>
  <c r="E22" i="1"/>
  <c r="I20" i="1"/>
  <c r="F20" i="1"/>
  <c r="G20" i="1"/>
  <c r="H20" i="1"/>
  <c r="E20" i="1"/>
  <c r="I18" i="1"/>
  <c r="F18" i="1"/>
  <c r="G18" i="1"/>
  <c r="H18" i="1"/>
  <c r="E18" i="1"/>
  <c r="F16" i="1"/>
  <c r="G16" i="1"/>
  <c r="H16" i="1"/>
  <c r="E16" i="1"/>
  <c r="I16" i="1" s="1"/>
  <c r="I14" i="1"/>
  <c r="E14" i="1"/>
  <c r="H14" i="1"/>
  <c r="G14" i="1"/>
  <c r="F14" i="1"/>
  <c r="G9" i="28" l="1"/>
  <c r="H8" i="25"/>
  <c r="J8" i="25" s="1"/>
  <c r="K8" i="25" s="1"/>
  <c r="E9" i="25" s="1"/>
  <c r="H9" i="24"/>
  <c r="J9" i="24" s="1"/>
  <c r="K9" i="24"/>
  <c r="E10" i="24" s="1"/>
  <c r="L9" i="23"/>
  <c r="F10" i="23" s="1"/>
  <c r="K8" i="23"/>
  <c r="K11" i="22"/>
  <c r="L11" i="22" s="1"/>
  <c r="E12" i="22" s="1"/>
  <c r="G12" i="22" s="1"/>
  <c r="O5" i="6"/>
  <c r="G9" i="25" l="1"/>
  <c r="H9" i="25" s="1"/>
  <c r="J9" i="25" s="1"/>
  <c r="K9" i="25" s="1"/>
  <c r="E10" i="25" s="1"/>
  <c r="G10" i="24"/>
  <c r="H10" i="24" s="1"/>
  <c r="J10" i="24" s="1"/>
  <c r="H10" i="23"/>
  <c r="I10" i="23" s="1"/>
  <c r="J10" i="23" s="1"/>
  <c r="H12" i="22"/>
  <c r="G10" i="25" l="1"/>
  <c r="H10" i="25" s="1"/>
  <c r="J10" i="25" s="1"/>
  <c r="K10" i="24"/>
  <c r="E11" i="24" s="1"/>
  <c r="L10" i="23"/>
  <c r="F11" i="23" s="1"/>
  <c r="K12" i="22"/>
  <c r="L12" i="22" s="1"/>
  <c r="E13" i="22" s="1"/>
  <c r="G13" i="22" s="1"/>
  <c r="K10" i="25" l="1"/>
  <c r="E11" i="25" s="1"/>
  <c r="G11" i="24"/>
  <c r="J11" i="24" s="1"/>
  <c r="H11" i="23"/>
  <c r="I11" i="23" s="1"/>
  <c r="J11" i="23" s="1"/>
  <c r="H13" i="22"/>
  <c r="G11" i="25" l="1"/>
  <c r="H11" i="25" s="1"/>
  <c r="J11" i="25" s="1"/>
  <c r="K11" i="24"/>
  <c r="E12" i="24" s="1"/>
  <c r="L11" i="23"/>
  <c r="F12" i="23" s="1"/>
  <c r="K13" i="22"/>
  <c r="L13" i="22" s="1"/>
  <c r="K11" i="25" l="1"/>
  <c r="G12" i="24"/>
  <c r="H12" i="24" s="1"/>
  <c r="J12" i="24" s="1"/>
  <c r="H12" i="23"/>
  <c r="I12" i="23" s="1"/>
  <c r="J12" i="23" s="1"/>
  <c r="K12" i="24" l="1"/>
  <c r="L12" i="23"/>
</calcChain>
</file>

<file path=xl/sharedStrings.xml><?xml version="1.0" encoding="utf-8"?>
<sst xmlns="http://schemas.openxmlformats.org/spreadsheetml/2006/main" count="297" uniqueCount="122">
  <si>
    <t>Flujos</t>
  </si>
  <si>
    <t>r</t>
  </si>
  <si>
    <t>A</t>
  </si>
  <si>
    <t>VF</t>
  </si>
  <si>
    <t>SUMA</t>
  </si>
  <si>
    <t>B</t>
  </si>
  <si>
    <t>C</t>
  </si>
  <si>
    <t>D</t>
  </si>
  <si>
    <t>E</t>
  </si>
  <si>
    <t>F</t>
  </si>
  <si>
    <t>G</t>
  </si>
  <si>
    <t>H</t>
  </si>
  <si>
    <t>I</t>
  </si>
  <si>
    <t>VP</t>
  </si>
  <si>
    <t>Flujo</t>
  </si>
  <si>
    <t>TOTAL</t>
  </si>
  <si>
    <t>Valores en el año 3</t>
  </si>
  <si>
    <t>celda fija</t>
  </si>
  <si>
    <t>TASA</t>
  </si>
  <si>
    <t>FLUJO</t>
  </si>
  <si>
    <t>Duda: un flujo en 2 se trae al 0 con su tasa en los 2 años o 1 y 2?</t>
  </si>
  <si>
    <t>Año</t>
  </si>
  <si>
    <t>Tasa</t>
  </si>
  <si>
    <t>Factor</t>
  </si>
  <si>
    <t>AÑO</t>
  </si>
  <si>
    <t>Opción</t>
  </si>
  <si>
    <t>Inflación</t>
  </si>
  <si>
    <t>Tasa Real</t>
  </si>
  <si>
    <t>Tasa Nominal</t>
  </si>
  <si>
    <t>TN</t>
  </si>
  <si>
    <t>Inf</t>
  </si>
  <si>
    <t>IPC</t>
  </si>
  <si>
    <t>TR</t>
  </si>
  <si>
    <t>P</t>
  </si>
  <si>
    <t>P(t-1)</t>
  </si>
  <si>
    <t>VP (2009)</t>
  </si>
  <si>
    <t>veces su sueldo del 2009</t>
  </si>
  <si>
    <t>Interés</t>
  </si>
  <si>
    <t>año</t>
  </si>
  <si>
    <t>hoy</t>
  </si>
  <si>
    <t>plazo</t>
  </si>
  <si>
    <t>capital</t>
  </si>
  <si>
    <t>Periodo</t>
  </si>
  <si>
    <t>Saldo inicial</t>
  </si>
  <si>
    <t>Intereses Generados</t>
  </si>
  <si>
    <t>Pago Interés</t>
  </si>
  <si>
    <t>Pago principal</t>
  </si>
  <si>
    <t>Pago total</t>
  </si>
  <si>
    <t>Saldo final</t>
  </si>
  <si>
    <t>Tasa Interés</t>
  </si>
  <si>
    <t>Tasa principal</t>
  </si>
  <si>
    <t>Capital</t>
  </si>
  <si>
    <t>interés</t>
  </si>
  <si>
    <t>Prácticamente 0</t>
  </si>
  <si>
    <t>tasa</t>
  </si>
  <si>
    <t>gracia de que?</t>
  </si>
  <si>
    <t>un año de gracia</t>
  </si>
  <si>
    <t>Precio nominal</t>
  </si>
  <si>
    <t>Tasa nominal</t>
  </si>
  <si>
    <t>Tasa real</t>
  </si>
  <si>
    <t>Precio real</t>
  </si>
  <si>
    <t>por mes</t>
  </si>
  <si>
    <t>mes</t>
  </si>
  <si>
    <t>goal seek</t>
  </si>
  <si>
    <t>cuenta desde el 0 o el 1</t>
  </si>
  <si>
    <t>es</t>
  </si>
  <si>
    <t>debe ser</t>
  </si>
  <si>
    <t>meses</t>
  </si>
  <si>
    <t>deposito</t>
  </si>
  <si>
    <t>supongo que es me prestan 2000 a pagar en 2 años, cuanto sera la mensualidad?</t>
  </si>
  <si>
    <t>mensualidad</t>
  </si>
  <si>
    <t>tasa real a largo plazo?</t>
  </si>
  <si>
    <t>ahorro/mes</t>
  </si>
  <si>
    <t>accum</t>
  </si>
  <si>
    <t>a)</t>
  </si>
  <si>
    <t>b)</t>
  </si>
  <si>
    <t>suma de VP de 11 a inf debe ahorrarse del 0 al 10</t>
  </si>
  <si>
    <t>como es VP hasta el año 10, todo esto lo llevo VF al 10</t>
  </si>
  <si>
    <t>definición de flujo aquí</t>
  </si>
  <si>
    <t>flujo es toda la tabla, un flujo está compuesto de varios momentos</t>
  </si>
  <si>
    <t>valor f o p al 3 es valor equivalente al 3</t>
  </si>
  <si>
    <t>no pide la suma</t>
  </si>
  <si>
    <t>o Traerlo todo del 3 al 0</t>
  </si>
  <si>
    <t>del 0 al 1 es 10%</t>
  </si>
  <si>
    <t>INF</t>
  </si>
  <si>
    <t>((1+TN)/(1+TR))-1</t>
  </si>
  <si>
    <t>Índice de precios = factor de acumulación</t>
  </si>
  <si>
    <t>la tasa promedio daría 1.1686 al saltar 3</t>
  </si>
  <si>
    <t>el 1.1686 es igual a (1+r)^(3), la r es la tasa promedio de cómo creció ese</t>
  </si>
  <si>
    <t>para dar varios brincos en uno, necesitas tasas iguales</t>
  </si>
  <si>
    <t>del año 0 al 1 la inf es 5%</t>
  </si>
  <si>
    <t>el 0 vale 1, los siguientes es sacar cuanto vale ese peso en el futuro, o el factor</t>
  </si>
  <si>
    <t>correcto</t>
  </si>
  <si>
    <t>despejas r</t>
  </si>
  <si>
    <t>determinar el incremento en el precio cada año</t>
  </si>
  <si>
    <t>te podrían decir que ese incremento se dio en 5 años y saques el inc del p cada año</t>
  </si>
  <si>
    <t>es este</t>
  </si>
  <si>
    <t>del 2009 al 2010 es 6.5%</t>
  </si>
  <si>
    <t>traerlo al 2009</t>
  </si>
  <si>
    <t>indice de precios (tasas acumuladas)</t>
  </si>
  <si>
    <t>saca la tasa nominal</t>
  </si>
  <si>
    <t>Vf</t>
  </si>
  <si>
    <t>Vp</t>
  </si>
  <si>
    <t>n</t>
  </si>
  <si>
    <t>tasa promedio de la inflación</t>
  </si>
  <si>
    <t>tasa promedio del aumento de sueldo</t>
  </si>
  <si>
    <t>la tasa real</t>
  </si>
  <si>
    <t>comprobando</t>
  </si>
  <si>
    <t>empieza a recibir la lana a partir del 21, anualidades vencidas</t>
  </si>
  <si>
    <t>en el año 20 recibir es anualidades anticipadas, pero no recibes en 40 (20 pagos exactos)</t>
  </si>
  <si>
    <t>pagos vencidos</t>
  </si>
  <si>
    <t>VP = A / r</t>
  </si>
  <si>
    <t>200k para el año 11, y con solver</t>
  </si>
  <si>
    <t>ahorro desde hoy (anticipado) es 11408</t>
  </si>
  <si>
    <t>vencido (ahorras desde el 1) es 12549</t>
  </si>
  <si>
    <t>con 200, el primer mes genera 20, y asi perpetuamente</t>
  </si>
  <si>
    <t>Hoy tengo 25, si planeo vivir hasta los 80 años, y retirarme a los 40 años, cuanto debo de ahorrar para sacar 30 años cuando me retire (vencido)</t>
  </si>
  <si>
    <t>anual</t>
  </si>
  <si>
    <t>ahorro</t>
  </si>
  <si>
    <t>Disposición</t>
  </si>
  <si>
    <t>también puedes asumir gracia de capital y de interés</t>
  </si>
  <si>
    <t xml:space="preserve">despejando r: incremento de precio promedio por año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</si>
</sst>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6" fillId="4" borderId="0" applyNumberFormat="0" applyBorder="0" applyAlignment="0" applyProtection="0"/>
    <xf numFmtId="0" fontId="1" fillId="5" borderId="0" applyNumberFormat="0" applyBorder="0" applyAlignment="0" applyProtection="0"/>
  </cellStyleXfs>
  <cellXfs count="40">
    <xf numFmtId="0" fontId="0" fillId="0" borderId="0" xfId="0"/>
    <xf numFmtId="9" fontId="0" fillId="0" borderId="0" xfId="0" applyNumberFormat="1"/>
    <xf numFmtId="0" fontId="2" fillId="2" borderId="0" xfId="1"/>
    <xf numFmtId="9" fontId="2" fillId="2" borderId="0" xfId="1" applyNumberFormat="1"/>
    <xf numFmtId="0" fontId="1" fillId="5" borderId="0" xfId="4"/>
    <xf numFmtId="9" fontId="1" fillId="5" borderId="0" xfId="4" applyNumberFormat="1"/>
    <xf numFmtId="0" fontId="6" fillId="4" borderId="0" xfId="3"/>
    <xf numFmtId="0" fontId="0" fillId="5" borderId="0" xfId="4" applyFont="1"/>
    <xf numFmtId="0" fontId="4" fillId="0" borderId="0" xfId="0" applyFon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5" xfId="0" applyNumberFormat="1" applyBorder="1"/>
    <xf numFmtId="9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5" fillId="0" borderId="9" xfId="0" applyFont="1" applyBorder="1"/>
    <xf numFmtId="9" fontId="1" fillId="5" borderId="5" xfId="4" applyNumberFormat="1" applyBorder="1"/>
    <xf numFmtId="9" fontId="1" fillId="5" borderId="6" xfId="4" applyNumberFormat="1" applyBorder="1"/>
    <xf numFmtId="9" fontId="1" fillId="5" borderId="0" xfId="4" applyNumberFormat="1" applyBorder="1"/>
    <xf numFmtId="9" fontId="1" fillId="5" borderId="10" xfId="4" applyNumberFormat="1" applyBorder="1"/>
    <xf numFmtId="9" fontId="1" fillId="5" borderId="11" xfId="4" applyNumberFormat="1" applyBorder="1"/>
    <xf numFmtId="10" fontId="0" fillId="0" borderId="0" xfId="0" applyNumberFormat="1"/>
    <xf numFmtId="165" fontId="2" fillId="2" borderId="0" xfId="1" applyNumberFormat="1"/>
    <xf numFmtId="10" fontId="1" fillId="5" borderId="0" xfId="4" applyNumberFormat="1"/>
    <xf numFmtId="0" fontId="6" fillId="4" borderId="0" xfId="3" applyAlignment="1">
      <alignment wrapText="1"/>
    </xf>
    <xf numFmtId="0" fontId="3" fillId="3" borderId="0" xfId="2"/>
    <xf numFmtId="0" fontId="2" fillId="2" borderId="8" xfId="1" applyBorder="1"/>
    <xf numFmtId="164" fontId="2" fillId="2" borderId="0" xfId="1" applyNumberFormat="1"/>
    <xf numFmtId="165" fontId="2" fillId="2" borderId="10" xfId="1" applyNumberFormat="1" applyBorder="1"/>
    <xf numFmtId="10" fontId="2" fillId="2" borderId="10" xfId="1" applyNumberFormat="1" applyBorder="1"/>
    <xf numFmtId="10" fontId="2" fillId="2" borderId="8" xfId="1" applyNumberFormat="1" applyBorder="1"/>
    <xf numFmtId="10" fontId="2" fillId="2" borderId="5" xfId="1" applyNumberFormat="1" applyBorder="1"/>
    <xf numFmtId="0" fontId="2" fillId="2" borderId="0" xfId="1" applyNumberFormat="1"/>
  </cellXfs>
  <cellStyles count="5">
    <cellStyle name="40% - Accent1" xfId="4" builtinId="31"/>
    <cellStyle name="Accent1" xfId="3" builtinId="29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Suma</a:t>
            </a:r>
            <a:r>
              <a:rPr lang="es-419" baseline="0"/>
              <a:t> acumulada de VP al año 10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ex21g!$N$12:$DN$12</c:f>
              <c:numCache>
                <c:formatCode>General</c:formatCode>
                <c:ptCount val="105"/>
                <c:pt idx="0">
                  <c:v>18181.81818181818</c:v>
                </c:pt>
                <c:pt idx="1">
                  <c:v>34710.74380165289</c:v>
                </c:pt>
                <c:pt idx="2">
                  <c:v>49737.03981968444</c:v>
                </c:pt>
                <c:pt idx="3">
                  <c:v>63397.308926985846</c:v>
                </c:pt>
                <c:pt idx="4">
                  <c:v>75815.735388168949</c:v>
                </c:pt>
                <c:pt idx="5">
                  <c:v>87105.213989244497</c:v>
                </c:pt>
                <c:pt idx="6">
                  <c:v>97368.376353858621</c:v>
                </c:pt>
                <c:pt idx="7">
                  <c:v>106698.52395805328</c:v>
                </c:pt>
                <c:pt idx="8">
                  <c:v>115180.47632550297</c:v>
                </c:pt>
                <c:pt idx="9">
                  <c:v>122891.3421140936</c:v>
                </c:pt>
                <c:pt idx="10">
                  <c:v>129901.22010372144</c:v>
                </c:pt>
                <c:pt idx="11">
                  <c:v>136273.83645792858</c:v>
                </c:pt>
                <c:pt idx="12">
                  <c:v>142067.12405266234</c:v>
                </c:pt>
                <c:pt idx="13">
                  <c:v>147333.74913878393</c:v>
                </c:pt>
                <c:pt idx="14">
                  <c:v>152121.5901261672</c:v>
                </c:pt>
                <c:pt idx="15">
                  <c:v>156474.17284197017</c:v>
                </c:pt>
                <c:pt idx="16">
                  <c:v>160431.06621997288</c:v>
                </c:pt>
                <c:pt idx="17">
                  <c:v>164028.24201815715</c:v>
                </c:pt>
                <c:pt idx="18">
                  <c:v>167298.40183468829</c:v>
                </c:pt>
                <c:pt idx="19">
                  <c:v>170271.27439517117</c:v>
                </c:pt>
                <c:pt idx="20">
                  <c:v>172973.88581379197</c:v>
                </c:pt>
                <c:pt idx="21">
                  <c:v>175430.80528526541</c:v>
                </c:pt>
                <c:pt idx="22">
                  <c:v>177664.36844115035</c:v>
                </c:pt>
                <c:pt idx="23">
                  <c:v>179694.88040104575</c:v>
                </c:pt>
                <c:pt idx="24">
                  <c:v>181540.80036458705</c:v>
                </c:pt>
                <c:pt idx="25">
                  <c:v>183218.90942235186</c:v>
                </c:pt>
                <c:pt idx="26">
                  <c:v>184744.46311122895</c:v>
                </c:pt>
                <c:pt idx="27">
                  <c:v>186131.3301011172</c:v>
                </c:pt>
                <c:pt idx="28">
                  <c:v>187392.1182737429</c:v>
                </c:pt>
                <c:pt idx="29">
                  <c:v>188538.28933976626</c:v>
                </c:pt>
                <c:pt idx="30">
                  <c:v>189580.26303615113</c:v>
                </c:pt>
                <c:pt idx="31">
                  <c:v>190527.51185104647</c:v>
                </c:pt>
                <c:pt idx="32">
                  <c:v>191388.64713731495</c:v>
                </c:pt>
                <c:pt idx="33">
                  <c:v>192171.49739755903</c:v>
                </c:pt>
                <c:pt idx="34">
                  <c:v>192883.17945232638</c:v>
                </c:pt>
                <c:pt idx="35">
                  <c:v>193530.16313847853</c:v>
                </c:pt>
                <c:pt idx="36">
                  <c:v>194118.33012588957</c:v>
                </c:pt>
                <c:pt idx="37">
                  <c:v>194653.02738717233</c:v>
                </c:pt>
                <c:pt idx="38">
                  <c:v>195139.11580652031</c:v>
                </c:pt>
                <c:pt idx="39">
                  <c:v>195581.0143695639</c:v>
                </c:pt>
                <c:pt idx="40">
                  <c:v>195982.74033596716</c:v>
                </c:pt>
                <c:pt idx="41">
                  <c:v>196347.94575997014</c:v>
                </c:pt>
                <c:pt idx="42">
                  <c:v>196679.95069088193</c:v>
                </c:pt>
                <c:pt idx="43">
                  <c:v>196981.77335534719</c:v>
                </c:pt>
                <c:pt idx="44">
                  <c:v>197256.15759577017</c:v>
                </c:pt>
                <c:pt idx="45">
                  <c:v>197505.59781433651</c:v>
                </c:pt>
                <c:pt idx="46">
                  <c:v>197732.3616493968</c:v>
                </c:pt>
                <c:pt idx="47">
                  <c:v>197938.5105903607</c:v>
                </c:pt>
                <c:pt idx="48">
                  <c:v>198125.91871850973</c:v>
                </c:pt>
                <c:pt idx="49">
                  <c:v>198296.28974409975</c:v>
                </c:pt>
                <c:pt idx="50">
                  <c:v>198451.17249463612</c:v>
                </c:pt>
                <c:pt idx="51">
                  <c:v>198591.97499512375</c:v>
                </c:pt>
                <c:pt idx="52">
                  <c:v>198719.97726829431</c:v>
                </c:pt>
                <c:pt idx="53">
                  <c:v>198836.34297117664</c:v>
                </c:pt>
                <c:pt idx="54">
                  <c:v>198942.12997379692</c:v>
                </c:pt>
                <c:pt idx="55">
                  <c:v>199038.299976179</c:v>
                </c:pt>
                <c:pt idx="56">
                  <c:v>199125.7272510718</c:v>
                </c:pt>
                <c:pt idx="57">
                  <c:v>199205.20659188344</c:v>
                </c:pt>
                <c:pt idx="58">
                  <c:v>199277.46053807583</c:v>
                </c:pt>
                <c:pt idx="59">
                  <c:v>199343.14594370528</c:v>
                </c:pt>
                <c:pt idx="60">
                  <c:v>199402.85994882297</c:v>
                </c:pt>
                <c:pt idx="61">
                  <c:v>199457.14540802088</c:v>
                </c:pt>
                <c:pt idx="62">
                  <c:v>199506.49582547351</c:v>
                </c:pt>
                <c:pt idx="63">
                  <c:v>199551.35984133955</c:v>
                </c:pt>
                <c:pt idx="64">
                  <c:v>199592.14531030867</c:v>
                </c:pt>
                <c:pt idx="65">
                  <c:v>199629.22300937149</c:v>
                </c:pt>
                <c:pt idx="66">
                  <c:v>199662.93000851953</c:v>
                </c:pt>
                <c:pt idx="67">
                  <c:v>199693.57273501775</c:v>
                </c:pt>
                <c:pt idx="68">
                  <c:v>199721.42975910704</c:v>
                </c:pt>
                <c:pt idx="69">
                  <c:v>199746.75432646094</c:v>
                </c:pt>
                <c:pt idx="70">
                  <c:v>199769.77666041904</c:v>
                </c:pt>
                <c:pt idx="71">
                  <c:v>199790.70605492638</c:v>
                </c:pt>
                <c:pt idx="72">
                  <c:v>199809.73277720579</c:v>
                </c:pt>
                <c:pt idx="73">
                  <c:v>199827.02979745981</c:v>
                </c:pt>
                <c:pt idx="74">
                  <c:v>199842.7543613271</c:v>
                </c:pt>
                <c:pt idx="75">
                  <c:v>199857.04941938826</c:v>
                </c:pt>
                <c:pt idx="76">
                  <c:v>199870.0449267166</c:v>
                </c:pt>
                <c:pt idx="77">
                  <c:v>199881.85902428781</c:v>
                </c:pt>
                <c:pt idx="78">
                  <c:v>199892.59911298892</c:v>
                </c:pt>
                <c:pt idx="79">
                  <c:v>199902.36282998993</c:v>
                </c:pt>
                <c:pt idx="80">
                  <c:v>199911.23893635446</c:v>
                </c:pt>
                <c:pt idx="81">
                  <c:v>199919.30812395859</c:v>
                </c:pt>
                <c:pt idx="82">
                  <c:v>199926.64374905324</c:v>
                </c:pt>
                <c:pt idx="83">
                  <c:v>199933.31249913931</c:v>
                </c:pt>
                <c:pt idx="84">
                  <c:v>199939.37499921754</c:v>
                </c:pt>
                <c:pt idx="85">
                  <c:v>199944.88636292503</c:v>
                </c:pt>
                <c:pt idx="86">
                  <c:v>199949.89669356821</c:v>
                </c:pt>
                <c:pt idx="87">
                  <c:v>199954.45153960746</c:v>
                </c:pt>
                <c:pt idx="88">
                  <c:v>199958.59230873405</c:v>
                </c:pt>
                <c:pt idx="89">
                  <c:v>199962.35664430368</c:v>
                </c:pt>
                <c:pt idx="90">
                  <c:v>199965.77876754879</c:v>
                </c:pt>
                <c:pt idx="91">
                  <c:v>199968.88978868071</c:v>
                </c:pt>
                <c:pt idx="92">
                  <c:v>199971.71798970972</c:v>
                </c:pt>
                <c:pt idx="93">
                  <c:v>199974.28908155428</c:v>
                </c:pt>
                <c:pt idx="94">
                  <c:v>199976.62643777661</c:v>
                </c:pt>
                <c:pt idx="95">
                  <c:v>199978.75130706964</c:v>
                </c:pt>
                <c:pt idx="96">
                  <c:v>199980.68300642693</c:v>
                </c:pt>
                <c:pt idx="97">
                  <c:v>199982.43909675174</c:v>
                </c:pt>
                <c:pt idx="98">
                  <c:v>199984.03554250157</c:v>
                </c:pt>
                <c:pt idx="99">
                  <c:v>199985.4868568196</c:v>
                </c:pt>
                <c:pt idx="100">
                  <c:v>199986.80623347234</c:v>
                </c:pt>
                <c:pt idx="101">
                  <c:v>199988.00566679303</c:v>
                </c:pt>
                <c:pt idx="102">
                  <c:v>199989.09606072094</c:v>
                </c:pt>
                <c:pt idx="103">
                  <c:v>199990.08732792811</c:v>
                </c:pt>
                <c:pt idx="104">
                  <c:v>199990.98847993463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4-4995-8F19-9C160EADD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564512"/>
        <c:axId val="1857565344"/>
      </c:lineChart>
      <c:catAx>
        <c:axId val="185756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57565344"/>
        <c:crosses val="autoZero"/>
        <c:auto val="1"/>
        <c:lblAlgn val="ctr"/>
        <c:lblOffset val="100"/>
        <c:noMultiLvlLbl val="0"/>
      </c:catAx>
      <c:valAx>
        <c:axId val="185756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85756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7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chart" Target="../charts/chart1.xml"/><Relationship Id="rId1" Type="http://schemas.openxmlformats.org/officeDocument/2006/relationships/image" Target="../media/image2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29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9</xdr:col>
      <xdr:colOff>1</xdr:colOff>
      <xdr:row>9</xdr:row>
      <xdr:rowOff>132013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B7E7B6-7C1F-E3BD-6BD2-49701931E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606" y="190500"/>
          <a:ext cx="4968040" cy="165601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553640</xdr:colOff>
      <xdr:row>0</xdr:row>
      <xdr:rowOff>95250</xdr:rowOff>
    </xdr:from>
    <xdr:to>
      <xdr:col>9</xdr:col>
      <xdr:colOff>47625</xdr:colOff>
      <xdr:row>5</xdr:row>
      <xdr:rowOff>21193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498B91-55EC-FA3F-C7A3-E7BB1BAAF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640" y="95250"/>
          <a:ext cx="4958954" cy="87844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405752</xdr:colOff>
      <xdr:row>0</xdr:row>
      <xdr:rowOff>111512</xdr:rowOff>
    </xdr:from>
    <xdr:to>
      <xdr:col>8</xdr:col>
      <xdr:colOff>212931</xdr:colOff>
      <xdr:row>6</xdr:row>
      <xdr:rowOff>88280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C2C963-02AB-8408-B46A-B889393C4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5752" y="111512"/>
          <a:ext cx="5038959" cy="1119768"/>
        </a:xfrm>
        <a:prstGeom prst="rect">
          <a:avLst/>
        </a:prstGeom>
      </xdr:spPr>
    </xdr:pic>
    <xdr:clientData/>
  </xdr:twoCellAnchor>
  <xdr:twoCellAnchor editAs="oneCell">
    <xdr:from>
      <xdr:col>8</xdr:col>
      <xdr:colOff>478710</xdr:colOff>
      <xdr:row>1</xdr:row>
      <xdr:rowOff>171913</xdr:rowOff>
    </xdr:from>
    <xdr:to>
      <xdr:col>13</xdr:col>
      <xdr:colOff>275540</xdr:colOff>
      <xdr:row>8</xdr:row>
      <xdr:rowOff>92520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0A8270-1C52-3421-AA01-A94CB2C94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66454" y="362413"/>
          <a:ext cx="2840184" cy="125410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337705</xdr:colOff>
      <xdr:row>0</xdr:row>
      <xdr:rowOff>60527</xdr:rowOff>
    </xdr:from>
    <xdr:to>
      <xdr:col>8</xdr:col>
      <xdr:colOff>567633</xdr:colOff>
      <xdr:row>3</xdr:row>
      <xdr:rowOff>112059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470953-E53C-65A2-200D-ABD80E242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705" y="60527"/>
          <a:ext cx="5113655" cy="623032"/>
        </a:xfrm>
        <a:prstGeom prst="rect">
          <a:avLst/>
        </a:prstGeom>
      </xdr:spPr>
    </xdr:pic>
    <xdr:clientData/>
  </xdr:twoCellAnchor>
  <xdr:twoCellAnchor editAs="oneCell">
    <xdr:from>
      <xdr:col>9</xdr:col>
      <xdr:colOff>214313</xdr:colOff>
      <xdr:row>2</xdr:row>
      <xdr:rowOff>95252</xdr:rowOff>
    </xdr:from>
    <xdr:to>
      <xdr:col>14</xdr:col>
      <xdr:colOff>167793</xdr:colOff>
      <xdr:row>8</xdr:row>
      <xdr:rowOff>5954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A76AA8-A823-933D-D4BB-1AFC3C1F9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79282" y="476252"/>
          <a:ext cx="2989574" cy="105370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269607</xdr:colOff>
      <xdr:row>0</xdr:row>
      <xdr:rowOff>174173</xdr:rowOff>
    </xdr:from>
    <xdr:to>
      <xdr:col>12</xdr:col>
      <xdr:colOff>95329</xdr:colOff>
      <xdr:row>4</xdr:row>
      <xdr:rowOff>141515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ED3E09-AABD-4081-C608-8E7B0F342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607" y="174173"/>
          <a:ext cx="7140922" cy="729342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385053</xdr:colOff>
      <xdr:row>0</xdr:row>
      <xdr:rowOff>133755</xdr:rowOff>
    </xdr:from>
    <xdr:to>
      <xdr:col>8</xdr:col>
      <xdr:colOff>557651</xdr:colOff>
      <xdr:row>4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F608C5-418C-E8FC-F85C-16480C4690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5053" y="133755"/>
          <a:ext cx="5036428" cy="72957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464635</xdr:colOff>
      <xdr:row>0</xdr:row>
      <xdr:rowOff>88281</xdr:rowOff>
    </xdr:from>
    <xdr:to>
      <xdr:col>10</xdr:col>
      <xdr:colOff>233625</xdr:colOff>
      <xdr:row>3</xdr:row>
      <xdr:rowOff>98449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7CF67C-54E1-348E-BEA3-D1812720B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4635" y="88281"/>
          <a:ext cx="6055490" cy="581668"/>
        </a:xfrm>
        <a:prstGeom prst="rect">
          <a:avLst/>
        </a:prstGeom>
      </xdr:spPr>
    </xdr:pic>
    <xdr:clientData/>
  </xdr:twoCellAnchor>
  <xdr:twoCellAnchor editAs="oneCell">
    <xdr:from>
      <xdr:col>6</xdr:col>
      <xdr:colOff>367061</xdr:colOff>
      <xdr:row>4</xdr:row>
      <xdr:rowOff>9292</xdr:rowOff>
    </xdr:from>
    <xdr:to>
      <xdr:col>11</xdr:col>
      <xdr:colOff>163891</xdr:colOff>
      <xdr:row>10</xdr:row>
      <xdr:rowOff>120399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FBDE52-6C32-4164-96BD-6FEE5A16B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19085" y="771292"/>
          <a:ext cx="2840184" cy="125410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244928</xdr:colOff>
      <xdr:row>0</xdr:row>
      <xdr:rowOff>157843</xdr:rowOff>
    </xdr:from>
    <xdr:to>
      <xdr:col>10</xdr:col>
      <xdr:colOff>351156</xdr:colOff>
      <xdr:row>4</xdr:row>
      <xdr:rowOff>152922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0E4599-7B69-8160-AC24-A304F3716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4928" y="157843"/>
          <a:ext cx="6202228" cy="75707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325415</xdr:colOff>
      <xdr:row>0</xdr:row>
      <xdr:rowOff>116159</xdr:rowOff>
    </xdr:from>
    <xdr:to>
      <xdr:col>10</xdr:col>
      <xdr:colOff>120805</xdr:colOff>
      <xdr:row>5</xdr:row>
      <xdr:rowOff>122876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90C911-9A44-6A3C-F7A9-2783E5354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5415" y="116159"/>
          <a:ext cx="5882097" cy="95921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69273</xdr:colOff>
      <xdr:row>0</xdr:row>
      <xdr:rowOff>8660</xdr:rowOff>
    </xdr:from>
    <xdr:to>
      <xdr:col>9</xdr:col>
      <xdr:colOff>451569</xdr:colOff>
      <xdr:row>3</xdr:row>
      <xdr:rowOff>157608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0F4B17-DB42-1B77-1E54-A7F185E55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73" y="8660"/>
          <a:ext cx="5876489" cy="720448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244835</xdr:colOff>
      <xdr:row>0</xdr:row>
      <xdr:rowOff>83344</xdr:rowOff>
    </xdr:from>
    <xdr:to>
      <xdr:col>9</xdr:col>
      <xdr:colOff>30307</xdr:colOff>
      <xdr:row>7</xdr:row>
      <xdr:rowOff>122028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2436E2-A15E-81B0-30DF-168E962E3B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4835" y="83344"/>
          <a:ext cx="5279665" cy="13721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591552</xdr:colOff>
      <xdr:row>1</xdr:row>
      <xdr:rowOff>1</xdr:rowOff>
    </xdr:from>
    <xdr:to>
      <xdr:col>10</xdr:col>
      <xdr:colOff>576680</xdr:colOff>
      <xdr:row>13</xdr:row>
      <xdr:rowOff>80211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7070C1-E53A-AC89-9763-75EDF001F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552" y="190501"/>
          <a:ext cx="6101181" cy="236621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215661</xdr:colOff>
      <xdr:row>0</xdr:row>
      <xdr:rowOff>68293</xdr:rowOff>
    </xdr:from>
    <xdr:to>
      <xdr:col>10</xdr:col>
      <xdr:colOff>180949</xdr:colOff>
      <xdr:row>4</xdr:row>
      <xdr:rowOff>61524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D05112-98F1-D876-1145-A4AD8E6B59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661" y="68293"/>
          <a:ext cx="6075665" cy="755231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154371</xdr:colOff>
      <xdr:row>0</xdr:row>
      <xdr:rowOff>82440</xdr:rowOff>
    </xdr:from>
    <xdr:to>
      <xdr:col>10</xdr:col>
      <xdr:colOff>196084</xdr:colOff>
      <xdr:row>5</xdr:row>
      <xdr:rowOff>169653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107DA5-EBF7-7329-1780-C9DC28F6E7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371" y="82440"/>
          <a:ext cx="6328213" cy="1039713"/>
        </a:xfrm>
        <a:prstGeom prst="rect">
          <a:avLst/>
        </a:prstGeom>
      </xdr:spPr>
    </xdr:pic>
    <xdr:clientData/>
  </xdr:twoCellAnchor>
  <xdr:twoCellAnchor>
    <xdr:from>
      <xdr:col>4</xdr:col>
      <xdr:colOff>604632</xdr:colOff>
      <xdr:row>19</xdr:row>
      <xdr:rowOff>135836</xdr:rowOff>
    </xdr:from>
    <xdr:to>
      <xdr:col>12</xdr:col>
      <xdr:colOff>273328</xdr:colOff>
      <xdr:row>34</xdr:row>
      <xdr:rowOff>21536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C84024-0590-BC9D-7C1C-ABD2273CD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530085</xdr:colOff>
      <xdr:row>19</xdr:row>
      <xdr:rowOff>132522</xdr:rowOff>
    </xdr:from>
    <xdr:to>
      <xdr:col>4</xdr:col>
      <xdr:colOff>504498</xdr:colOff>
      <xdr:row>25</xdr:row>
      <xdr:rowOff>37141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A55CAC3-E288-7F31-DD2C-E249E7DFC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0085" y="3752022"/>
          <a:ext cx="2600000" cy="104761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276226</xdr:colOff>
      <xdr:row>0</xdr:row>
      <xdr:rowOff>171450</xdr:rowOff>
    </xdr:from>
    <xdr:to>
      <xdr:col>9</xdr:col>
      <xdr:colOff>428626</xdr:colOff>
      <xdr:row>6</xdr:row>
      <xdr:rowOff>9028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F4815D-EE13-27CA-A2F6-1EADE110F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6" y="171450"/>
          <a:ext cx="6301978" cy="980578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1</xdr:row>
      <xdr:rowOff>38100</xdr:rowOff>
    </xdr:from>
    <xdr:to>
      <xdr:col>10</xdr:col>
      <xdr:colOff>583406</xdr:colOff>
      <xdr:row>4</xdr:row>
      <xdr:rowOff>71183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4DD19A-B0C4-79FB-3471-6D4C4B822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228600"/>
          <a:ext cx="6437709" cy="604583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257176</xdr:colOff>
      <xdr:row>0</xdr:row>
      <xdr:rowOff>85725</xdr:rowOff>
    </xdr:from>
    <xdr:to>
      <xdr:col>8</xdr:col>
      <xdr:colOff>463154</xdr:colOff>
      <xdr:row>2</xdr:row>
      <xdr:rowOff>161605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4ED4AE-05BE-5EA9-15BE-6CDA6436F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6" y="85725"/>
          <a:ext cx="5219700" cy="45688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469282</xdr:colOff>
      <xdr:row>0</xdr:row>
      <xdr:rowOff>69696</xdr:rowOff>
    </xdr:from>
    <xdr:to>
      <xdr:col>10</xdr:col>
      <xdr:colOff>198759</xdr:colOff>
      <xdr:row>3</xdr:row>
      <xdr:rowOff>69696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83863A-A4B5-9F37-9BE0-E3CB9711E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9282" y="69696"/>
          <a:ext cx="5904465" cy="5715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57151</xdr:rowOff>
    </xdr:from>
    <xdr:to>
      <xdr:col>8</xdr:col>
      <xdr:colOff>472168</xdr:colOff>
      <xdr:row>7</xdr:row>
      <xdr:rowOff>163417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68D453-1BED-2173-A131-297278920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57151"/>
          <a:ext cx="5848350" cy="1439766"/>
        </a:xfrm>
        <a:prstGeom prst="rect">
          <a:avLst/>
        </a:prstGeom>
      </xdr:spPr>
    </xdr:pic>
    <xdr:clientData/>
  </xdr:twoCellAnchor>
  <xdr:twoCellAnchor editAs="oneCell">
    <xdr:from>
      <xdr:col>10</xdr:col>
      <xdr:colOff>63693</xdr:colOff>
      <xdr:row>0</xdr:row>
      <xdr:rowOff>141515</xdr:rowOff>
    </xdr:from>
    <xdr:to>
      <xdr:col>14</xdr:col>
      <xdr:colOff>473584</xdr:colOff>
      <xdr:row>7</xdr:row>
      <xdr:rowOff>62122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1551C5-9D04-4C32-AF49-93E2F76C7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9693" y="141515"/>
          <a:ext cx="2848291" cy="1254107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238126</xdr:colOff>
      <xdr:row>0</xdr:row>
      <xdr:rowOff>142875</xdr:rowOff>
    </xdr:from>
    <xdr:to>
      <xdr:col>11</xdr:col>
      <xdr:colOff>307757</xdr:colOff>
      <xdr:row>4</xdr:row>
      <xdr:rowOff>30508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8F4423-5A02-1BF6-29FB-CA4D7917F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6" y="142875"/>
          <a:ext cx="6972300" cy="649633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0</xdr:row>
      <xdr:rowOff>161925</xdr:rowOff>
    </xdr:from>
    <xdr:to>
      <xdr:col>11</xdr:col>
      <xdr:colOff>438150</xdr:colOff>
      <xdr:row>4</xdr:row>
      <xdr:rowOff>63264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CC3B7C-511E-7E7E-9336-8FBA69487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161925"/>
          <a:ext cx="6791325" cy="66333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95251</xdr:rowOff>
    </xdr:from>
    <xdr:to>
      <xdr:col>11</xdr:col>
      <xdr:colOff>275896</xdr:colOff>
      <xdr:row>4</xdr:row>
      <xdr:rowOff>159213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AD6DE3-7585-44EE-AE5C-6C88EAC31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95251"/>
          <a:ext cx="6891173" cy="8259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523875</xdr:colOff>
      <xdr:row>0</xdr:row>
      <xdr:rowOff>0</xdr:rowOff>
    </xdr:from>
    <xdr:to>
      <xdr:col>7</xdr:col>
      <xdr:colOff>296002</xdr:colOff>
      <xdr:row>8</xdr:row>
      <xdr:rowOff>50006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269728-74BE-F85D-7FD6-979269526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875" y="0"/>
          <a:ext cx="4045388" cy="157400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171451</xdr:colOff>
      <xdr:row>0</xdr:row>
      <xdr:rowOff>76201</xdr:rowOff>
    </xdr:from>
    <xdr:to>
      <xdr:col>11</xdr:col>
      <xdr:colOff>180475</xdr:colOff>
      <xdr:row>4</xdr:row>
      <xdr:rowOff>54871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58D741-58E6-E31C-AD5E-475B50B1D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1" y="76201"/>
          <a:ext cx="6736682" cy="7406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606592</xdr:colOff>
      <xdr:row>0</xdr:row>
      <xdr:rowOff>70184</xdr:rowOff>
    </xdr:from>
    <xdr:to>
      <xdr:col>7</xdr:col>
      <xdr:colOff>581526</xdr:colOff>
      <xdr:row>2</xdr:row>
      <xdr:rowOff>153896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9C2A19-AD78-8C21-8BCB-51E2BE1DF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592" y="70184"/>
          <a:ext cx="4256171" cy="4647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409575</xdr:colOff>
      <xdr:row>0</xdr:row>
      <xdr:rowOff>133350</xdr:rowOff>
    </xdr:from>
    <xdr:to>
      <xdr:col>7</xdr:col>
      <xdr:colOff>288471</xdr:colOff>
      <xdr:row>7</xdr:row>
      <xdr:rowOff>86569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A3423D-9CE9-0CDA-5806-76BC4C9A1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133350"/>
          <a:ext cx="4146096" cy="12867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244754</xdr:colOff>
      <xdr:row>0</xdr:row>
      <xdr:rowOff>130628</xdr:rowOff>
    </xdr:from>
    <xdr:to>
      <xdr:col>7</xdr:col>
      <xdr:colOff>363461</xdr:colOff>
      <xdr:row>14</xdr:row>
      <xdr:rowOff>153018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E56F8D-3487-6A95-0C97-E9660BD04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4754" y="130628"/>
          <a:ext cx="4385907" cy="26893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484909</xdr:colOff>
      <xdr:row>0</xdr:row>
      <xdr:rowOff>96530</xdr:rowOff>
    </xdr:from>
    <xdr:to>
      <xdr:col>8</xdr:col>
      <xdr:colOff>413211</xdr:colOff>
      <xdr:row>6</xdr:row>
      <xdr:rowOff>106865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B214AB-3121-C755-7234-12D2A64918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909" y="96530"/>
          <a:ext cx="4797668" cy="115333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370114</xdr:colOff>
      <xdr:row>0</xdr:row>
      <xdr:rowOff>103415</xdr:rowOff>
    </xdr:from>
    <xdr:to>
      <xdr:col>9</xdr:col>
      <xdr:colOff>515539</xdr:colOff>
      <xdr:row>5</xdr:row>
      <xdr:rowOff>27214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748FF-C47A-3289-4B0E-C90B4816B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114" y="103415"/>
          <a:ext cx="5631825" cy="87629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104775</xdr:rowOff>
    </xdr:from>
    <xdr:to>
      <xdr:col>9</xdr:col>
      <xdr:colOff>238125</xdr:colOff>
      <xdr:row>5</xdr:row>
      <xdr:rowOff>118235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1D168E-C7D3-101E-43F3-0B8BF5D8C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104775"/>
          <a:ext cx="5305425" cy="965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AA9C7-6482-4635-B617-27F45774E45F}">
  <dimension ref="B5:K25"/>
  <sheetViews>
    <sheetView zoomScale="190" zoomScaleNormal="190" workbookViewId="0">
      <selection activeCell="I26" sqref="I26"/>
    </sheetView>
  </sheetViews>
  <sheetFormatPr defaultRowHeight="15" x14ac:dyDescent="0.25"/>
  <cols>
    <col min="4" max="4" width="10.28515625" customWidth="1"/>
  </cols>
  <sheetData>
    <row r="5" spans="2:11" x14ac:dyDescent="0.25">
      <c r="K5" t="s">
        <v>79</v>
      </c>
    </row>
    <row r="12" spans="2:11" x14ac:dyDescent="0.25">
      <c r="B12" s="6" t="s">
        <v>0</v>
      </c>
      <c r="C12" s="6" t="s">
        <v>1</v>
      </c>
      <c r="D12" s="6">
        <v>0</v>
      </c>
      <c r="E12" s="6">
        <v>1</v>
      </c>
      <c r="F12" s="6">
        <v>2</v>
      </c>
      <c r="G12" s="6">
        <v>3</v>
      </c>
      <c r="H12" s="6">
        <v>4</v>
      </c>
      <c r="I12" t="s">
        <v>4</v>
      </c>
    </row>
    <row r="13" spans="2:11" x14ac:dyDescent="0.25">
      <c r="B13" s="4" t="s">
        <v>2</v>
      </c>
      <c r="C13" s="5">
        <v>0.05</v>
      </c>
      <c r="D13" s="4"/>
      <c r="E13" s="4">
        <v>50</v>
      </c>
      <c r="F13" s="4">
        <v>100</v>
      </c>
      <c r="G13" s="4">
        <v>125</v>
      </c>
      <c r="H13" s="4">
        <v>150</v>
      </c>
    </row>
    <row r="14" spans="2:11" x14ac:dyDescent="0.25">
      <c r="B14" t="s">
        <v>3</v>
      </c>
      <c r="E14">
        <f>E13*(1+$C$13)^($H$12-$E$12)</f>
        <v>57.881250000000009</v>
      </c>
      <c r="F14">
        <f>F13*(1+$C$13)^($H$12-F12)</f>
        <v>110.25</v>
      </c>
      <c r="G14">
        <f>G13*(1+$C$13)^($H$12-G12)</f>
        <v>131.25</v>
      </c>
      <c r="H14">
        <f>H13*(1+$C$13)^($H$12-H12)</f>
        <v>150</v>
      </c>
      <c r="I14">
        <f>SUM(D14:H14)</f>
        <v>449.38125000000002</v>
      </c>
    </row>
    <row r="15" spans="2:11" x14ac:dyDescent="0.25">
      <c r="B15" s="4" t="s">
        <v>5</v>
      </c>
      <c r="C15" s="5">
        <v>0.15</v>
      </c>
      <c r="D15" s="4"/>
      <c r="E15" s="4">
        <v>30</v>
      </c>
      <c r="F15" s="4"/>
      <c r="G15" s="4">
        <v>30</v>
      </c>
      <c r="H15" s="4">
        <v>45</v>
      </c>
    </row>
    <row r="16" spans="2:11" x14ac:dyDescent="0.25">
      <c r="B16" t="s">
        <v>3</v>
      </c>
      <c r="E16">
        <f>E15*(1+$C$15)^($H$12-E12)</f>
        <v>45.626249999999985</v>
      </c>
      <c r="F16">
        <f t="shared" ref="F16:H16" si="0">F15*(1+$C$15)^($H$12-F12)</f>
        <v>0</v>
      </c>
      <c r="G16">
        <f t="shared" si="0"/>
        <v>34.5</v>
      </c>
      <c r="H16">
        <f t="shared" si="0"/>
        <v>45</v>
      </c>
      <c r="I16">
        <f>SUM(D16:H16)</f>
        <v>125.12624999999998</v>
      </c>
    </row>
    <row r="17" spans="2:9" x14ac:dyDescent="0.25">
      <c r="B17" s="4" t="s">
        <v>6</v>
      </c>
      <c r="C17" s="5">
        <v>0.1</v>
      </c>
      <c r="D17" s="4"/>
      <c r="E17" s="4">
        <v>50</v>
      </c>
      <c r="F17" s="4">
        <v>75</v>
      </c>
      <c r="G17" s="4">
        <v>125</v>
      </c>
      <c r="H17" s="4">
        <v>150</v>
      </c>
    </row>
    <row r="18" spans="2:9" x14ac:dyDescent="0.25">
      <c r="B18" t="s">
        <v>3</v>
      </c>
      <c r="E18">
        <f>E17*(1+$C$17)^($H$12-E12)</f>
        <v>66.550000000000026</v>
      </c>
      <c r="F18">
        <f t="shared" ref="F18:H18" si="1">F17*(1+$C$17)^($H$12-F12)</f>
        <v>90.750000000000014</v>
      </c>
      <c r="G18">
        <f t="shared" si="1"/>
        <v>137.5</v>
      </c>
      <c r="H18">
        <f t="shared" si="1"/>
        <v>150</v>
      </c>
      <c r="I18">
        <f>SUM(E18:H18)</f>
        <v>444.80000000000007</v>
      </c>
    </row>
    <row r="19" spans="2:9" x14ac:dyDescent="0.25">
      <c r="B19" s="7" t="s">
        <v>7</v>
      </c>
      <c r="C19" s="5">
        <v>0.1</v>
      </c>
      <c r="D19" s="4"/>
      <c r="E19" s="4">
        <v>150</v>
      </c>
      <c r="F19" s="4">
        <v>125</v>
      </c>
      <c r="G19" s="4">
        <v>75</v>
      </c>
      <c r="H19" s="4">
        <v>50</v>
      </c>
    </row>
    <row r="20" spans="2:9" x14ac:dyDescent="0.25">
      <c r="B20" t="s">
        <v>3</v>
      </c>
      <c r="E20">
        <f>E19*(1+$C$19)^($H$12-E12)</f>
        <v>199.65000000000006</v>
      </c>
      <c r="F20">
        <f t="shared" ref="F20:H20" si="2">F19*(1+$C$19)^($H$12-F12)</f>
        <v>151.25000000000003</v>
      </c>
      <c r="G20">
        <f t="shared" si="2"/>
        <v>82.5</v>
      </c>
      <c r="H20">
        <f t="shared" si="2"/>
        <v>50</v>
      </c>
      <c r="I20">
        <f>SUM(E20:H20)</f>
        <v>483.40000000000009</v>
      </c>
    </row>
    <row r="21" spans="2:9" x14ac:dyDescent="0.25">
      <c r="B21" s="7" t="s">
        <v>8</v>
      </c>
      <c r="C21" s="5">
        <v>0.18</v>
      </c>
      <c r="D21" s="4">
        <v>-1750</v>
      </c>
      <c r="E21" s="4">
        <v>50</v>
      </c>
      <c r="F21" s="4">
        <v>200</v>
      </c>
      <c r="G21" s="4">
        <v>500</v>
      </c>
      <c r="H21" s="4">
        <v>1000</v>
      </c>
    </row>
    <row r="22" spans="2:9" x14ac:dyDescent="0.25">
      <c r="B22" t="s">
        <v>3</v>
      </c>
      <c r="D22" s="8">
        <f>D21*(1+C21)^(H12-D12)</f>
        <v>-3392.8610799999992</v>
      </c>
      <c r="E22">
        <f>E21*(1+$C$21)^($H$12-E12)</f>
        <v>82.151599999999988</v>
      </c>
      <c r="F22">
        <f t="shared" ref="F22:H22" si="3">F21*(1+$C$21)^($H$12-F12)</f>
        <v>278.47999999999996</v>
      </c>
      <c r="G22">
        <f>G21*(1+$C$21)^($H$12-G12)</f>
        <v>590</v>
      </c>
      <c r="H22">
        <f t="shared" si="3"/>
        <v>1000</v>
      </c>
      <c r="I22">
        <f>SUM(D22:H22)</f>
        <v>-1442.2294799999991</v>
      </c>
    </row>
    <row r="23" spans="2:9" x14ac:dyDescent="0.25">
      <c r="B23" s="4" t="s">
        <v>9</v>
      </c>
      <c r="C23" s="5">
        <v>0.35</v>
      </c>
      <c r="D23" s="4">
        <v>-1500</v>
      </c>
      <c r="E23" s="4">
        <v>500</v>
      </c>
      <c r="F23" s="4">
        <v>1200</v>
      </c>
      <c r="G23" s="4">
        <v>-750</v>
      </c>
      <c r="H23" s="4">
        <v>1000</v>
      </c>
    </row>
    <row r="24" spans="2:9" x14ac:dyDescent="0.25">
      <c r="B24" t="s">
        <v>3</v>
      </c>
      <c r="D24" s="8">
        <f>D23*(1+C23)^(H12-D12)</f>
        <v>-4982.2593750000015</v>
      </c>
      <c r="E24">
        <f>E23*(1+$C$23)^($H$12-E12)</f>
        <v>1230.1875000000002</v>
      </c>
      <c r="F24">
        <f t="shared" ref="F24:H24" si="4">F23*(1+$C$23)^($H$12-F12)</f>
        <v>2187.0000000000005</v>
      </c>
      <c r="G24">
        <f t="shared" si="4"/>
        <v>-1012.5000000000001</v>
      </c>
      <c r="H24">
        <f t="shared" si="4"/>
        <v>1000</v>
      </c>
      <c r="I24">
        <f>SUM(D24:H24)</f>
        <v>-1577.571875000001</v>
      </c>
    </row>
    <row r="25" spans="2:9" x14ac:dyDescent="0.25">
      <c r="H25" t="s">
        <v>15</v>
      </c>
      <c r="I25">
        <f>SUM(I14:I24)</f>
        <v>-1517.0938549999998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D107A-0052-48F6-AB38-BF85A4D7F02F}">
  <dimension ref="B7:H10"/>
  <sheetViews>
    <sheetView zoomScale="160" zoomScaleNormal="160" workbookViewId="0">
      <selection activeCell="I15" sqref="I15"/>
    </sheetView>
  </sheetViews>
  <sheetFormatPr defaultRowHeight="15" x14ac:dyDescent="0.25"/>
  <sheetData>
    <row r="7" spans="2:8" x14ac:dyDescent="0.25">
      <c r="B7" s="6" t="s">
        <v>24</v>
      </c>
      <c r="C7" s="6">
        <v>0</v>
      </c>
      <c r="D7" s="6">
        <v>1</v>
      </c>
      <c r="E7" s="6">
        <v>2</v>
      </c>
      <c r="F7" s="6">
        <v>3</v>
      </c>
      <c r="G7" s="6">
        <v>4</v>
      </c>
      <c r="H7" t="s">
        <v>4</v>
      </c>
    </row>
    <row r="8" spans="2:8" x14ac:dyDescent="0.25">
      <c r="B8" s="4" t="s">
        <v>19</v>
      </c>
      <c r="C8" s="4">
        <v>10000</v>
      </c>
      <c r="D8" s="4">
        <v>10000</v>
      </c>
      <c r="E8" s="4">
        <v>10000</v>
      </c>
      <c r="F8" s="4">
        <v>10000</v>
      </c>
      <c r="G8" s="4">
        <v>10000</v>
      </c>
    </row>
    <row r="9" spans="2:8" x14ac:dyDescent="0.25">
      <c r="B9" s="4" t="s">
        <v>18</v>
      </c>
      <c r="C9" s="5">
        <v>0</v>
      </c>
      <c r="D9" s="5">
        <v>0.2</v>
      </c>
      <c r="E9" s="5">
        <v>0.2</v>
      </c>
      <c r="F9" s="5">
        <v>0.2</v>
      </c>
      <c r="G9" s="5">
        <v>0.2</v>
      </c>
    </row>
    <row r="10" spans="2:8" x14ac:dyDescent="0.25">
      <c r="B10" t="s">
        <v>13</v>
      </c>
      <c r="C10" s="2">
        <f>C8/((1+C9)^(C7))</f>
        <v>10000</v>
      </c>
      <c r="D10" s="2">
        <f>D8/((1+D9)^(D7))</f>
        <v>8333.3333333333339</v>
      </c>
      <c r="E10" s="2">
        <f t="shared" ref="E10:G10" si="0">E8/((1+E9)^(E7))</f>
        <v>6944.4444444444443</v>
      </c>
      <c r="F10" s="2">
        <f t="shared" si="0"/>
        <v>5787.0370370370374</v>
      </c>
      <c r="G10" s="2">
        <f t="shared" si="0"/>
        <v>4822.5308641975307</v>
      </c>
      <c r="H10" s="2">
        <f>SUM(C10:G10)</f>
        <v>35887.345679012345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0BC3-834A-4A18-AF43-097DA6D42139}">
  <dimension ref="B8:G14"/>
  <sheetViews>
    <sheetView zoomScale="205" zoomScaleNormal="205" workbookViewId="0">
      <selection activeCell="D9" sqref="D9"/>
    </sheetView>
  </sheetViews>
  <sheetFormatPr defaultRowHeight="15" x14ac:dyDescent="0.25"/>
  <cols>
    <col min="2" max="2" width="12.42578125" customWidth="1"/>
    <col min="4" max="4" width="9.5703125" customWidth="1"/>
    <col min="5" max="5" width="9.85546875" customWidth="1"/>
    <col min="7" max="7" width="10.140625" customWidth="1"/>
  </cols>
  <sheetData>
    <row r="8" spans="2:7" x14ac:dyDescent="0.25">
      <c r="B8" s="10" t="s">
        <v>25</v>
      </c>
      <c r="C8" s="11" t="s">
        <v>2</v>
      </c>
      <c r="D8" s="11" t="s">
        <v>5</v>
      </c>
      <c r="E8" s="11" t="s">
        <v>6</v>
      </c>
      <c r="F8" s="11" t="s">
        <v>7</v>
      </c>
      <c r="G8" s="12" t="s">
        <v>8</v>
      </c>
    </row>
    <row r="9" spans="2:7" x14ac:dyDescent="0.25">
      <c r="B9" s="13" t="s">
        <v>26</v>
      </c>
      <c r="C9" s="23">
        <v>0.15</v>
      </c>
      <c r="D9" s="38">
        <f>((D11+1)/(D10+1))-1</f>
        <v>8.6956521739130599E-2</v>
      </c>
      <c r="E9" s="23">
        <v>0.15</v>
      </c>
      <c r="F9" s="23">
        <v>0.35</v>
      </c>
      <c r="G9" s="24">
        <v>0.25</v>
      </c>
    </row>
    <row r="10" spans="2:7" x14ac:dyDescent="0.25">
      <c r="B10" s="17" t="s">
        <v>27</v>
      </c>
      <c r="C10" s="25">
        <v>0.1</v>
      </c>
      <c r="D10" s="25">
        <v>0.15</v>
      </c>
      <c r="E10" s="29">
        <f>((1+E11)/(1+E9))-1</f>
        <v>8.6956521739130599E-2</v>
      </c>
      <c r="F10" s="25">
        <v>0.15</v>
      </c>
      <c r="G10" s="37">
        <f>((1+G11)/(1+G9))-1</f>
        <v>8.0000000000000071E-2</v>
      </c>
    </row>
    <row r="11" spans="2:7" x14ac:dyDescent="0.25">
      <c r="B11" s="19" t="s">
        <v>28</v>
      </c>
      <c r="C11" s="35">
        <f>(1+C10)*(1+C9)-1</f>
        <v>0.2649999999999999</v>
      </c>
      <c r="D11" s="26">
        <v>0.25</v>
      </c>
      <c r="E11" s="26">
        <v>0.25</v>
      </c>
      <c r="F11" s="36">
        <f>(1+F10)*(1+F9)-1</f>
        <v>0.55249999999999999</v>
      </c>
      <c r="G11" s="27">
        <v>0.35</v>
      </c>
    </row>
    <row r="14" spans="2:7" x14ac:dyDescent="0.25">
      <c r="C14" t="s">
        <v>84</v>
      </c>
      <c r="D14" t="s">
        <v>85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A878-C13A-42CA-8D97-21D9F7ED6C14}">
  <dimension ref="B6:K17"/>
  <sheetViews>
    <sheetView zoomScale="160" zoomScaleNormal="160" workbookViewId="0">
      <selection activeCell="E10" sqref="E10"/>
    </sheetView>
  </sheetViews>
  <sheetFormatPr defaultRowHeight="15" x14ac:dyDescent="0.25"/>
  <sheetData>
    <row r="6" spans="2:11" x14ac:dyDescent="0.25">
      <c r="B6" t="s">
        <v>21</v>
      </c>
      <c r="C6">
        <v>1</v>
      </c>
      <c r="D6">
        <v>2</v>
      </c>
      <c r="E6">
        <v>3</v>
      </c>
    </row>
    <row r="7" spans="2:11" x14ac:dyDescent="0.25">
      <c r="B7" t="s">
        <v>30</v>
      </c>
      <c r="C7" s="1">
        <v>0.05</v>
      </c>
      <c r="D7" s="28">
        <v>6.5000000000000002E-2</v>
      </c>
      <c r="E7" s="28">
        <v>4.4999999999999998E-2</v>
      </c>
    </row>
    <row r="8" spans="2:11" x14ac:dyDescent="0.25">
      <c r="B8" t="s">
        <v>31</v>
      </c>
      <c r="C8" s="2">
        <v>1.05</v>
      </c>
      <c r="D8" s="39">
        <v>1.1183000000000001</v>
      </c>
      <c r="E8" s="2">
        <v>1.1686000000000001</v>
      </c>
      <c r="G8" t="s">
        <v>90</v>
      </c>
    </row>
    <row r="9" spans="2:11" x14ac:dyDescent="0.25">
      <c r="C9">
        <v>1</v>
      </c>
    </row>
    <row r="10" spans="2:11" x14ac:dyDescent="0.25">
      <c r="C10">
        <f>1*(1+C7)</f>
        <v>1.05</v>
      </c>
      <c r="D10">
        <f>1*(1+C7)*(1+D7)</f>
        <v>1.11825</v>
      </c>
      <c r="E10">
        <f>1*(1+C7)*(1+D7)*(1+E7)</f>
        <v>1.1685712499999998</v>
      </c>
    </row>
    <row r="11" spans="2:11" x14ac:dyDescent="0.25">
      <c r="C11" t="s">
        <v>91</v>
      </c>
    </row>
    <row r="12" spans="2:11" x14ac:dyDescent="0.25">
      <c r="K12" t="s">
        <v>86</v>
      </c>
    </row>
    <row r="13" spans="2:11" x14ac:dyDescent="0.25">
      <c r="C13" t="s">
        <v>87</v>
      </c>
    </row>
    <row r="15" spans="2:11" x14ac:dyDescent="0.25">
      <c r="C15" t="s">
        <v>88</v>
      </c>
    </row>
    <row r="17" spans="3:3" x14ac:dyDescent="0.25">
      <c r="C17" t="s">
        <v>89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DBDF7-FAAD-4B95-A50F-65F9FA5126B4}">
  <dimension ref="C7:F9"/>
  <sheetViews>
    <sheetView zoomScale="175" zoomScaleNormal="175" workbookViewId="0">
      <selection activeCell="G12" sqref="G12"/>
    </sheetView>
  </sheetViews>
  <sheetFormatPr defaultRowHeight="15" x14ac:dyDescent="0.25"/>
  <sheetData>
    <row r="7" spans="3:6" x14ac:dyDescent="0.25">
      <c r="D7">
        <v>1</v>
      </c>
      <c r="E7">
        <v>2</v>
      </c>
      <c r="F7">
        <v>3</v>
      </c>
    </row>
    <row r="8" spans="3:6" x14ac:dyDescent="0.25">
      <c r="C8" s="28"/>
      <c r="D8" s="1">
        <v>0.05</v>
      </c>
      <c r="E8" s="28">
        <v>6.5000000000000002E-2</v>
      </c>
      <c r="F8" s="28">
        <v>4.4999999999999998E-2</v>
      </c>
    </row>
    <row r="9" spans="3:6" x14ac:dyDescent="0.25">
      <c r="C9">
        <v>2.8</v>
      </c>
      <c r="D9" s="2">
        <f>C9*(1+D8)</f>
        <v>2.94</v>
      </c>
      <c r="E9" s="2">
        <f>C9*(1+D8)*(1+E8)</f>
        <v>3.1311</v>
      </c>
      <c r="F9" s="2">
        <f>C9*(1+D8)*(1+E8)*(1+F8)</f>
        <v>3.2719994999999997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95E89-FDF5-4CD3-B6BC-0D882F1A91E9}">
  <dimension ref="C6:G14"/>
  <sheetViews>
    <sheetView zoomScale="220" zoomScaleNormal="220" workbookViewId="0">
      <selection activeCell="G11" sqref="G11"/>
    </sheetView>
  </sheetViews>
  <sheetFormatPr defaultRowHeight="15" x14ac:dyDescent="0.25"/>
  <sheetData>
    <row r="6" spans="3:7" x14ac:dyDescent="0.25">
      <c r="C6">
        <v>0</v>
      </c>
      <c r="D6">
        <v>1</v>
      </c>
      <c r="G6" t="s">
        <v>94</v>
      </c>
    </row>
    <row r="7" spans="3:7" x14ac:dyDescent="0.25">
      <c r="C7">
        <v>3500</v>
      </c>
      <c r="D7">
        <v>4375</v>
      </c>
      <c r="G7" t="s">
        <v>95</v>
      </c>
    </row>
    <row r="8" spans="3:7" x14ac:dyDescent="0.25">
      <c r="G8" t="s">
        <v>121</v>
      </c>
    </row>
    <row r="9" spans="3:7" x14ac:dyDescent="0.25">
      <c r="C9" s="2" t="s">
        <v>1</v>
      </c>
      <c r="D9" s="3">
        <f>(D7-C7)/3500</f>
        <v>0.25</v>
      </c>
      <c r="F9" t="s">
        <v>92</v>
      </c>
    </row>
    <row r="12" spans="3:7" x14ac:dyDescent="0.25">
      <c r="C12" t="s">
        <v>3</v>
      </c>
      <c r="D12">
        <v>3500</v>
      </c>
    </row>
    <row r="13" spans="3:7" x14ac:dyDescent="0.25">
      <c r="C13" t="s">
        <v>13</v>
      </c>
      <c r="D13">
        <v>4375</v>
      </c>
    </row>
    <row r="14" spans="3:7" x14ac:dyDescent="0.25">
      <c r="C14" t="s">
        <v>93</v>
      </c>
      <c r="D14" s="1">
        <v>0.25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9CF4-0609-4072-ACFA-C55F231E8876}">
  <dimension ref="C6:D9"/>
  <sheetViews>
    <sheetView zoomScale="205" zoomScaleNormal="205" workbookViewId="0">
      <selection activeCell="E11" sqref="E11"/>
    </sheetView>
  </sheetViews>
  <sheetFormatPr defaultRowHeight="15" x14ac:dyDescent="0.25"/>
  <cols>
    <col min="4" max="4" width="12.140625" customWidth="1"/>
  </cols>
  <sheetData>
    <row r="6" spans="3:4" x14ac:dyDescent="0.25">
      <c r="C6" t="s">
        <v>30</v>
      </c>
      <c r="D6" s="1">
        <v>0.15</v>
      </c>
    </row>
    <row r="7" spans="3:4" x14ac:dyDescent="0.25">
      <c r="C7" t="s">
        <v>29</v>
      </c>
      <c r="D7" s="1">
        <v>0.25</v>
      </c>
    </row>
    <row r="9" spans="3:4" x14ac:dyDescent="0.25">
      <c r="C9" s="2" t="s">
        <v>32</v>
      </c>
      <c r="D9" s="29">
        <f>((1+D7)/(1+D6))-1</f>
        <v>8.6956521739130599E-2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87A3C-FCF6-4DCA-8556-96ABD2ECB3FE}">
  <dimension ref="B6:C8"/>
  <sheetViews>
    <sheetView zoomScale="175" zoomScaleNormal="175" workbookViewId="0">
      <selection activeCell="C7" sqref="C7"/>
    </sheetView>
  </sheetViews>
  <sheetFormatPr defaultRowHeight="15" x14ac:dyDescent="0.25"/>
  <sheetData>
    <row r="6" spans="2:3" x14ac:dyDescent="0.25">
      <c r="B6" t="s">
        <v>33</v>
      </c>
      <c r="C6">
        <v>5500</v>
      </c>
    </row>
    <row r="7" spans="2:3" x14ac:dyDescent="0.25">
      <c r="B7" t="s">
        <v>30</v>
      </c>
      <c r="C7" s="1">
        <v>0.15</v>
      </c>
    </row>
    <row r="8" spans="2:3" x14ac:dyDescent="0.25">
      <c r="B8" s="2" t="s">
        <v>34</v>
      </c>
      <c r="C8" s="2">
        <f>5500/((1+C7))</f>
        <v>4782.608695652174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0A834-9DCB-4AE7-BAAC-CA4F11D6D108}">
  <dimension ref="B6:L36"/>
  <sheetViews>
    <sheetView zoomScale="205" zoomScaleNormal="205" workbookViewId="0">
      <selection activeCell="F37" sqref="F37"/>
    </sheetView>
  </sheetViews>
  <sheetFormatPr defaultRowHeight="15" x14ac:dyDescent="0.25"/>
  <sheetData>
    <row r="6" spans="2:12" x14ac:dyDescent="0.25">
      <c r="L6" t="s">
        <v>98</v>
      </c>
    </row>
    <row r="9" spans="2:12" x14ac:dyDescent="0.25">
      <c r="B9" s="6"/>
      <c r="C9" s="6">
        <v>2009</v>
      </c>
      <c r="D9" s="6">
        <v>2010</v>
      </c>
      <c r="E9" s="6">
        <v>2011</v>
      </c>
      <c r="F9" s="6">
        <v>2012</v>
      </c>
      <c r="H9" t="s">
        <v>35</v>
      </c>
    </row>
    <row r="10" spans="2:12" x14ac:dyDescent="0.25">
      <c r="B10" t="s">
        <v>33</v>
      </c>
      <c r="C10" s="4">
        <v>11809.7</v>
      </c>
      <c r="D10">
        <f>C10*(1+D11)</f>
        <v>12577.3305</v>
      </c>
      <c r="E10">
        <f>D10*(1+E11)</f>
        <v>13017.537067499999</v>
      </c>
      <c r="F10" s="4">
        <v>25666.5</v>
      </c>
      <c r="H10" s="2">
        <f>F10/((1+D11)*(1+E11)*(1+F11))</f>
        <v>22389.446302489781</v>
      </c>
      <c r="I10" t="s">
        <v>96</v>
      </c>
    </row>
    <row r="11" spans="2:12" x14ac:dyDescent="0.25">
      <c r="B11" t="s">
        <v>30</v>
      </c>
      <c r="C11" s="30">
        <v>0</v>
      </c>
      <c r="D11" s="30">
        <v>6.5000000000000002E-2</v>
      </c>
      <c r="E11" s="30">
        <v>3.5000000000000003E-2</v>
      </c>
      <c r="F11" s="1">
        <v>0.04</v>
      </c>
      <c r="H11" s="2">
        <f>H10/C10</f>
        <v>1.8958522487861487</v>
      </c>
      <c r="I11" s="2" t="s">
        <v>36</v>
      </c>
    </row>
    <row r="12" spans="2:12" x14ac:dyDescent="0.25">
      <c r="D12" t="s">
        <v>97</v>
      </c>
    </row>
    <row r="14" spans="2:12" x14ac:dyDescent="0.25">
      <c r="B14" t="s">
        <v>99</v>
      </c>
      <c r="D14">
        <v>1.0649999999999999</v>
      </c>
      <c r="E14">
        <v>1.1023000000000001</v>
      </c>
      <c r="F14">
        <v>1.1464000000000001</v>
      </c>
    </row>
    <row r="17" spans="2:4" x14ac:dyDescent="0.25">
      <c r="B17" t="s">
        <v>100</v>
      </c>
    </row>
    <row r="18" spans="2:4" x14ac:dyDescent="0.25">
      <c r="B18" t="s">
        <v>101</v>
      </c>
      <c r="C18">
        <v>25666.5</v>
      </c>
    </row>
    <row r="19" spans="2:4" x14ac:dyDescent="0.25">
      <c r="B19" t="s">
        <v>102</v>
      </c>
      <c r="C19">
        <v>11809.7</v>
      </c>
    </row>
    <row r="20" spans="2:4" x14ac:dyDescent="0.25">
      <c r="B20" t="s">
        <v>103</v>
      </c>
      <c r="C20">
        <v>3</v>
      </c>
    </row>
    <row r="21" spans="2:4" x14ac:dyDescent="0.25">
      <c r="B21" t="s">
        <v>1</v>
      </c>
      <c r="C21" s="2">
        <f>(C18/C19)^(1/3)-1</f>
        <v>0.29531659130632826</v>
      </c>
      <c r="D21" t="s">
        <v>105</v>
      </c>
    </row>
    <row r="23" spans="2:4" x14ac:dyDescent="0.25">
      <c r="B23" t="s">
        <v>104</v>
      </c>
    </row>
    <row r="24" spans="2:4" x14ac:dyDescent="0.25">
      <c r="B24" t="s">
        <v>101</v>
      </c>
      <c r="C24">
        <f>E10*(1+F11)</f>
        <v>13538.2385502</v>
      </c>
    </row>
    <row r="25" spans="2:4" x14ac:dyDescent="0.25">
      <c r="B25" t="s">
        <v>102</v>
      </c>
      <c r="C25">
        <v>11809.7</v>
      </c>
    </row>
    <row r="26" spans="2:4" x14ac:dyDescent="0.25">
      <c r="B26" t="s">
        <v>103</v>
      </c>
      <c r="C26">
        <v>3</v>
      </c>
    </row>
    <row r="27" spans="2:4" x14ac:dyDescent="0.25">
      <c r="B27" t="s">
        <v>1</v>
      </c>
      <c r="C27" s="2">
        <f>(C24/C25)^(1/C26)-1</f>
        <v>4.6584822374098778E-2</v>
      </c>
    </row>
    <row r="30" spans="2:4" x14ac:dyDescent="0.25">
      <c r="B30" t="s">
        <v>106</v>
      </c>
    </row>
    <row r="31" spans="2:4" x14ac:dyDescent="0.25">
      <c r="B31" s="2">
        <f>(1+C21)/(1+C27)-1</f>
        <v>0.23766040134998345</v>
      </c>
    </row>
    <row r="33" spans="2:2" x14ac:dyDescent="0.25">
      <c r="B33" t="s">
        <v>107</v>
      </c>
    </row>
    <row r="34" spans="2:2" x14ac:dyDescent="0.25">
      <c r="B34" s="2">
        <f>C10*(1+C21)^(3)</f>
        <v>25666.5</v>
      </c>
    </row>
    <row r="35" spans="2:2" x14ac:dyDescent="0.25">
      <c r="B35" s="2">
        <f>C10*(1+C27)^(3)</f>
        <v>13538.238550200003</v>
      </c>
    </row>
    <row r="36" spans="2:2" x14ac:dyDescent="0.25">
      <c r="B36" s="2">
        <f>C10*(1+B31)^(3)</f>
        <v>22389.44630248977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C4E6E-73D1-49B7-ACA0-57ADDCFA4DE6}">
  <dimension ref="A5:C7"/>
  <sheetViews>
    <sheetView zoomScale="220" zoomScaleNormal="220" workbookViewId="0">
      <selection activeCell="D7" sqref="D7"/>
    </sheetView>
  </sheetViews>
  <sheetFormatPr defaultRowHeight="15" x14ac:dyDescent="0.25"/>
  <sheetData>
    <row r="5" spans="1:3" x14ac:dyDescent="0.25">
      <c r="B5">
        <v>0</v>
      </c>
      <c r="C5">
        <v>1</v>
      </c>
    </row>
    <row r="6" spans="1:3" x14ac:dyDescent="0.25">
      <c r="A6" t="s">
        <v>14</v>
      </c>
      <c r="B6">
        <v>1000</v>
      </c>
      <c r="C6" s="2">
        <f>B6*(1+B7)</f>
        <v>1250</v>
      </c>
    </row>
    <row r="7" spans="1:3" x14ac:dyDescent="0.25">
      <c r="A7" t="s">
        <v>22</v>
      </c>
      <c r="B7" s="1">
        <v>0.25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C4898-B0EB-42D7-B24C-7FAE7772AC8D}">
  <dimension ref="B9:F17"/>
  <sheetViews>
    <sheetView zoomScale="220" zoomScaleNormal="220" workbookViewId="0">
      <selection activeCell="G15" sqref="G15"/>
    </sheetView>
  </sheetViews>
  <sheetFormatPr defaultRowHeight="15" x14ac:dyDescent="0.25"/>
  <sheetData>
    <row r="9" spans="2:6" x14ac:dyDescent="0.25">
      <c r="B9" t="s">
        <v>14</v>
      </c>
      <c r="C9">
        <v>1250</v>
      </c>
      <c r="F9" s="2">
        <v>250</v>
      </c>
    </row>
    <row r="10" spans="2:6" x14ac:dyDescent="0.25">
      <c r="B10" t="s">
        <v>6</v>
      </c>
      <c r="C10">
        <v>1000</v>
      </c>
      <c r="F10" s="2">
        <v>300</v>
      </c>
    </row>
    <row r="11" spans="2:6" x14ac:dyDescent="0.25">
      <c r="B11" t="s">
        <v>37</v>
      </c>
      <c r="C11">
        <v>250</v>
      </c>
      <c r="F11" s="2">
        <v>150</v>
      </c>
    </row>
    <row r="12" spans="2:6" x14ac:dyDescent="0.25">
      <c r="B12" t="s">
        <v>22</v>
      </c>
      <c r="C12">
        <f>C9/C10-1</f>
        <v>0.25</v>
      </c>
    </row>
    <row r="15" spans="2:6" x14ac:dyDescent="0.25">
      <c r="C15" s="1">
        <v>0.25</v>
      </c>
      <c r="E15" t="s">
        <v>13</v>
      </c>
      <c r="F15">
        <f>C9/(1+C15)</f>
        <v>1000</v>
      </c>
    </row>
    <row r="16" spans="2:6" x14ac:dyDescent="0.25">
      <c r="C16" s="1">
        <v>0.3</v>
      </c>
      <c r="E16" t="s">
        <v>13</v>
      </c>
      <c r="F16">
        <f>C9/(1+C16)</f>
        <v>961.53846153846155</v>
      </c>
    </row>
    <row r="17" spans="3:6" x14ac:dyDescent="0.25">
      <c r="C17" s="1">
        <v>0.15</v>
      </c>
      <c r="E17" t="s">
        <v>13</v>
      </c>
      <c r="F17">
        <f>C9/(1+C17)</f>
        <v>1086.9565217391305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841B5-E01A-4CC0-9035-2C30A4D4C700}">
  <dimension ref="B15:Q24"/>
  <sheetViews>
    <sheetView topLeftCell="D7" zoomScale="190" zoomScaleNormal="190" workbookViewId="0">
      <selection activeCell="Q19" sqref="Q19"/>
    </sheetView>
  </sheetViews>
  <sheetFormatPr defaultRowHeight="15" x14ac:dyDescent="0.25"/>
  <cols>
    <col min="11" max="11" width="11.5703125" bestFit="1" customWidth="1"/>
    <col min="12" max="12" width="10.5703125" bestFit="1" customWidth="1"/>
    <col min="13" max="13" width="10" bestFit="1" customWidth="1"/>
    <col min="14" max="15" width="11" bestFit="1" customWidth="1"/>
    <col min="16" max="16" width="11.85546875" customWidth="1"/>
  </cols>
  <sheetData>
    <row r="15" spans="2:16" x14ac:dyDescent="0.25">
      <c r="B15" s="6" t="s">
        <v>0</v>
      </c>
      <c r="C15" s="6" t="s">
        <v>1</v>
      </c>
      <c r="D15" s="6">
        <v>0</v>
      </c>
      <c r="E15" s="6">
        <v>1</v>
      </c>
      <c r="F15" s="6">
        <v>2</v>
      </c>
      <c r="G15" s="6">
        <v>3</v>
      </c>
      <c r="H15" s="6">
        <v>4</v>
      </c>
      <c r="J15" s="6" t="s">
        <v>13</v>
      </c>
      <c r="K15" s="6">
        <v>0</v>
      </c>
      <c r="L15" s="6">
        <v>1</v>
      </c>
      <c r="M15" s="6">
        <v>2</v>
      </c>
      <c r="N15" s="6">
        <v>3</v>
      </c>
      <c r="O15" s="6">
        <v>4</v>
      </c>
      <c r="P15" t="s">
        <v>4</v>
      </c>
    </row>
    <row r="16" spans="2:16" x14ac:dyDescent="0.25">
      <c r="B16" s="4" t="s">
        <v>2</v>
      </c>
      <c r="C16" s="5">
        <v>0.05</v>
      </c>
      <c r="D16" s="4">
        <v>0</v>
      </c>
      <c r="E16" s="4">
        <v>50</v>
      </c>
      <c r="F16" s="4">
        <v>100</v>
      </c>
      <c r="G16" s="4">
        <v>125</v>
      </c>
      <c r="H16" s="4">
        <v>150</v>
      </c>
      <c r="J16" t="s">
        <v>2</v>
      </c>
      <c r="K16" s="9">
        <f>D16/((1+$C$16)^(K15-$K$15))</f>
        <v>0</v>
      </c>
      <c r="L16" s="9">
        <f t="shared" ref="L16:N16" si="0">E16/((1+$C$16)^(L15-$K$15))</f>
        <v>47.61904761904762</v>
      </c>
      <c r="M16" s="9">
        <f t="shared" si="0"/>
        <v>90.702947845804985</v>
      </c>
      <c r="N16" s="9">
        <f t="shared" si="0"/>
        <v>107.9796998164345</v>
      </c>
      <c r="O16" s="9">
        <f>H16/((1+$C$16)^(O15-$K$15))</f>
        <v>123.40537121878229</v>
      </c>
      <c r="P16" s="34">
        <f>SUM(K16:O16)</f>
        <v>369.7070665000694</v>
      </c>
    </row>
    <row r="17" spans="2:17" x14ac:dyDescent="0.25">
      <c r="B17" s="4" t="s">
        <v>5</v>
      </c>
      <c r="C17" s="5">
        <v>0.15</v>
      </c>
      <c r="D17" s="4">
        <v>0</v>
      </c>
      <c r="E17" s="4">
        <v>30</v>
      </c>
      <c r="F17" s="4">
        <v>0</v>
      </c>
      <c r="G17" s="4">
        <v>30</v>
      </c>
      <c r="H17" s="4">
        <v>45</v>
      </c>
      <c r="J17" t="s">
        <v>5</v>
      </c>
      <c r="K17" s="9">
        <f>D17/((1+$C$17)^(K15-$K$15))</f>
        <v>0</v>
      </c>
      <c r="L17" s="9">
        <f t="shared" ref="L17:O17" si="1">E17/((1+$C$17)^(L15-$K$15))</f>
        <v>26.086956521739133</v>
      </c>
      <c r="M17" s="9">
        <f t="shared" si="1"/>
        <v>0</v>
      </c>
      <c r="N17" s="9">
        <f t="shared" si="1"/>
        <v>19.725486972959651</v>
      </c>
      <c r="O17" s="9">
        <f t="shared" si="1"/>
        <v>25.728896051686501</v>
      </c>
      <c r="P17" s="34">
        <f>SUM(K17:O17)</f>
        <v>71.541339546385288</v>
      </c>
    </row>
    <row r="18" spans="2:17" x14ac:dyDescent="0.25">
      <c r="B18" s="4" t="s">
        <v>6</v>
      </c>
      <c r="C18" s="5">
        <v>0.1</v>
      </c>
      <c r="D18" s="4">
        <v>0</v>
      </c>
      <c r="E18" s="4">
        <v>50</v>
      </c>
      <c r="F18" s="4">
        <v>75</v>
      </c>
      <c r="G18" s="4">
        <v>125</v>
      </c>
      <c r="H18" s="4">
        <v>150</v>
      </c>
      <c r="J18" t="s">
        <v>6</v>
      </c>
      <c r="K18" s="9">
        <f>D18/((1+$C$18)^(K15-$K$15))</f>
        <v>0</v>
      </c>
      <c r="L18" s="9">
        <f t="shared" ref="L18:O18" si="2">E18/((1+$C$18)^(L15-$K$15))</f>
        <v>45.454545454545453</v>
      </c>
      <c r="M18" s="9">
        <f t="shared" si="2"/>
        <v>61.983471074380155</v>
      </c>
      <c r="N18" s="9">
        <f t="shared" si="2"/>
        <v>93.914350112697193</v>
      </c>
      <c r="O18" s="9">
        <f t="shared" si="2"/>
        <v>102.45201830476057</v>
      </c>
      <c r="P18" s="34">
        <f t="shared" ref="P18:P24" si="3">SUM(K18:O18)</f>
        <v>303.80438494638338</v>
      </c>
    </row>
    <row r="19" spans="2:17" x14ac:dyDescent="0.25">
      <c r="B19" s="4" t="s">
        <v>7</v>
      </c>
      <c r="C19" s="5">
        <v>0.1</v>
      </c>
      <c r="D19" s="4">
        <v>0</v>
      </c>
      <c r="E19" s="4">
        <v>150</v>
      </c>
      <c r="F19" s="4">
        <v>125</v>
      </c>
      <c r="G19" s="4">
        <v>75</v>
      </c>
      <c r="H19" s="4">
        <v>50</v>
      </c>
      <c r="J19" t="s">
        <v>7</v>
      </c>
      <c r="K19" s="9">
        <f>K18/((1+$C$19)^(K15-$K$15))</f>
        <v>0</v>
      </c>
      <c r="L19" s="9">
        <f t="shared" ref="L19:O19" si="4">L18/((1+$C$19)^(L15-$K$15))</f>
        <v>41.322314049586772</v>
      </c>
      <c r="M19" s="9">
        <f t="shared" si="4"/>
        <v>51.226009152380286</v>
      </c>
      <c r="N19" s="9">
        <f>N18/((1+$C$19)^(N15-$K$15))</f>
        <v>70.559241256722132</v>
      </c>
      <c r="O19" s="9">
        <f t="shared" si="4"/>
        <v>69.976107031459975</v>
      </c>
      <c r="P19" s="9">
        <f t="shared" si="3"/>
        <v>233.08367149014916</v>
      </c>
      <c r="Q19">
        <v>330</v>
      </c>
    </row>
    <row r="20" spans="2:17" x14ac:dyDescent="0.25">
      <c r="B20" s="4" t="s">
        <v>8</v>
      </c>
      <c r="C20" s="5">
        <v>0.18</v>
      </c>
      <c r="D20" s="4">
        <v>-1750</v>
      </c>
      <c r="E20" s="4">
        <v>50</v>
      </c>
      <c r="F20" s="4">
        <v>200</v>
      </c>
      <c r="G20" s="4">
        <v>500</v>
      </c>
      <c r="H20" s="4">
        <v>1000</v>
      </c>
      <c r="J20" t="s">
        <v>8</v>
      </c>
      <c r="K20" s="9">
        <f>D20/((1+$C$20)^(K15-$K$15))</f>
        <v>-1750</v>
      </c>
      <c r="L20" s="9">
        <f t="shared" ref="L20:O20" si="5">E20/((1+$C$20)^(L15-$K$15))</f>
        <v>42.372881355932208</v>
      </c>
      <c r="M20" s="9">
        <f t="shared" si="5"/>
        <v>143.63688595231258</v>
      </c>
      <c r="N20" s="9">
        <f t="shared" si="5"/>
        <v>304.31543633964526</v>
      </c>
      <c r="O20" s="9">
        <f t="shared" si="5"/>
        <v>515.78887515194117</v>
      </c>
      <c r="P20" s="34">
        <f t="shared" si="3"/>
        <v>-743.88592120016904</v>
      </c>
    </row>
    <row r="21" spans="2:17" x14ac:dyDescent="0.25">
      <c r="B21" s="4" t="s">
        <v>9</v>
      </c>
      <c r="C21" s="5">
        <v>0.35</v>
      </c>
      <c r="D21" s="4">
        <v>-1500</v>
      </c>
      <c r="E21" s="4">
        <v>500</v>
      </c>
      <c r="F21" s="4">
        <v>1200</v>
      </c>
      <c r="G21" s="4">
        <v>-750</v>
      </c>
      <c r="H21" s="4">
        <v>1000</v>
      </c>
      <c r="J21" t="s">
        <v>9</v>
      </c>
      <c r="K21" s="9">
        <f>D21/((1+$C$21)^(K15-$K$15))</f>
        <v>-1500</v>
      </c>
      <c r="L21" s="9">
        <f t="shared" ref="L21:O21" si="6">E21/((1+$C$21)^(L15-$K$15))</f>
        <v>370.37037037037032</v>
      </c>
      <c r="M21" s="9">
        <f t="shared" si="6"/>
        <v>658.43621399176948</v>
      </c>
      <c r="N21" s="9">
        <f t="shared" si="6"/>
        <v>-304.83158055174511</v>
      </c>
      <c r="O21" s="9">
        <f t="shared" si="6"/>
        <v>301.0682277054272</v>
      </c>
      <c r="P21" s="34">
        <f t="shared" si="3"/>
        <v>-474.95676848417799</v>
      </c>
    </row>
    <row r="22" spans="2:17" x14ac:dyDescent="0.25">
      <c r="B22" s="4" t="s">
        <v>10</v>
      </c>
      <c r="C22" s="5">
        <v>0.37</v>
      </c>
      <c r="D22" s="4">
        <v>-1500</v>
      </c>
      <c r="E22" s="4">
        <v>-1200</v>
      </c>
      <c r="F22" s="4">
        <v>400</v>
      </c>
      <c r="G22" s="4">
        <v>-1300</v>
      </c>
      <c r="H22" s="4">
        <v>400</v>
      </c>
      <c r="J22" t="s">
        <v>10</v>
      </c>
      <c r="K22" s="9">
        <f>D22/((1+$C$22)^(K15-$K$15))</f>
        <v>-1500</v>
      </c>
      <c r="L22" s="9">
        <f t="shared" ref="L22:O22" si="7">E22/((1+$C$22)^(L15-$K$15))</f>
        <v>-875.91240875912399</v>
      </c>
      <c r="M22" s="9">
        <f t="shared" si="7"/>
        <v>213.11737439394744</v>
      </c>
      <c r="N22" s="9">
        <f t="shared" si="7"/>
        <v>-505.57041370826943</v>
      </c>
      <c r="O22" s="9">
        <f t="shared" si="7"/>
        <v>113.5475381714249</v>
      </c>
      <c r="P22" s="34">
        <f t="shared" si="3"/>
        <v>-2554.8179099020208</v>
      </c>
    </row>
    <row r="23" spans="2:17" x14ac:dyDescent="0.25">
      <c r="B23" s="4" t="s">
        <v>11</v>
      </c>
      <c r="C23" s="5">
        <v>0.15</v>
      </c>
      <c r="D23" s="4">
        <v>-1500</v>
      </c>
      <c r="E23" s="4">
        <v>300</v>
      </c>
      <c r="F23" s="4">
        <v>500</v>
      </c>
      <c r="G23" s="4">
        <v>800</v>
      </c>
      <c r="H23" s="4">
        <v>1000</v>
      </c>
      <c r="J23" t="s">
        <v>11</v>
      </c>
      <c r="K23" s="9">
        <f>D23/((1+$C$23)^(K15-$K$15))</f>
        <v>-1500</v>
      </c>
      <c r="L23" s="9">
        <f t="shared" ref="L23:O23" si="8">E23/((1+$C$23)^(L15-$K$15))</f>
        <v>260.86956521739131</v>
      </c>
      <c r="M23" s="9">
        <f t="shared" si="8"/>
        <v>378.07183364839324</v>
      </c>
      <c r="N23" s="9">
        <f t="shared" si="8"/>
        <v>526.01298594559069</v>
      </c>
      <c r="O23" s="9">
        <f t="shared" si="8"/>
        <v>571.7532455930334</v>
      </c>
      <c r="P23" s="34">
        <f t="shared" si="3"/>
        <v>236.70763040440863</v>
      </c>
    </row>
    <row r="24" spans="2:17" x14ac:dyDescent="0.25">
      <c r="B24" s="4" t="s">
        <v>12</v>
      </c>
      <c r="C24" s="5">
        <v>0.3</v>
      </c>
      <c r="D24" s="4">
        <v>-1500</v>
      </c>
      <c r="E24" s="4">
        <v>300</v>
      </c>
      <c r="F24" s="4">
        <v>500</v>
      </c>
      <c r="G24" s="4">
        <v>800</v>
      </c>
      <c r="H24" s="4">
        <v>1000</v>
      </c>
      <c r="J24" t="s">
        <v>12</v>
      </c>
      <c r="K24" s="9">
        <f>D24/((1+$C$24)^(K15-$K$15))</f>
        <v>-1500</v>
      </c>
      <c r="L24" s="9">
        <f>E24/((1+$C$24)^(L15-$K$15))</f>
        <v>230.76923076923077</v>
      </c>
      <c r="M24" s="9">
        <f t="shared" ref="M24:O24" si="9">F24/((1+$C$24)^(M15-$K$15))</f>
        <v>295.85798816568047</v>
      </c>
      <c r="N24" s="9">
        <f t="shared" si="9"/>
        <v>364.13290851160667</v>
      </c>
      <c r="O24" s="9">
        <f t="shared" si="9"/>
        <v>350.12779664577562</v>
      </c>
      <c r="P24" s="34">
        <f t="shared" si="3"/>
        <v>-259.11207590770658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C1205-B505-47CC-9F42-6948E774DB05}">
  <dimension ref="B6:AR16"/>
  <sheetViews>
    <sheetView zoomScaleNormal="100" workbookViewId="0">
      <selection activeCell="H20" sqref="H20"/>
    </sheetView>
  </sheetViews>
  <sheetFormatPr defaultRowHeight="15" x14ac:dyDescent="0.25"/>
  <sheetData>
    <row r="6" spans="2:44" x14ac:dyDescent="0.25">
      <c r="B6" t="s">
        <v>38</v>
      </c>
      <c r="C6">
        <v>0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>
        <v>8</v>
      </c>
      <c r="L6">
        <v>9</v>
      </c>
      <c r="M6">
        <v>10</v>
      </c>
      <c r="N6">
        <v>11</v>
      </c>
      <c r="O6">
        <v>12</v>
      </c>
      <c r="P6">
        <v>13</v>
      </c>
      <c r="Q6">
        <v>14</v>
      </c>
      <c r="R6">
        <v>15</v>
      </c>
      <c r="S6">
        <v>16</v>
      </c>
      <c r="T6">
        <v>17</v>
      </c>
      <c r="U6">
        <v>18</v>
      </c>
      <c r="V6">
        <v>19</v>
      </c>
      <c r="W6">
        <v>20</v>
      </c>
      <c r="X6">
        <v>21</v>
      </c>
      <c r="Y6">
        <v>22</v>
      </c>
      <c r="Z6">
        <v>23</v>
      </c>
      <c r="AA6">
        <v>24</v>
      </c>
      <c r="AB6">
        <v>25</v>
      </c>
      <c r="AC6">
        <v>26</v>
      </c>
      <c r="AD6">
        <v>27</v>
      </c>
      <c r="AE6">
        <v>28</v>
      </c>
      <c r="AF6">
        <v>29</v>
      </c>
      <c r="AG6">
        <v>30</v>
      </c>
      <c r="AH6">
        <v>31</v>
      </c>
      <c r="AI6">
        <v>32</v>
      </c>
      <c r="AJ6">
        <v>33</v>
      </c>
      <c r="AK6">
        <v>34</v>
      </c>
      <c r="AL6">
        <v>35</v>
      </c>
      <c r="AM6">
        <v>36</v>
      </c>
      <c r="AN6">
        <v>37</v>
      </c>
      <c r="AO6">
        <v>38</v>
      </c>
      <c r="AP6">
        <v>39</v>
      </c>
      <c r="AQ6">
        <v>40</v>
      </c>
      <c r="AR6" t="s">
        <v>4</v>
      </c>
    </row>
    <row r="7" spans="2:44" x14ac:dyDescent="0.25">
      <c r="W7">
        <v>10000</v>
      </c>
      <c r="X7">
        <v>10000</v>
      </c>
      <c r="Y7">
        <v>10000</v>
      </c>
      <c r="Z7">
        <v>10000</v>
      </c>
      <c r="AA7">
        <v>10000</v>
      </c>
      <c r="AB7">
        <v>10000</v>
      </c>
      <c r="AC7">
        <v>10000</v>
      </c>
      <c r="AD7">
        <v>10000</v>
      </c>
      <c r="AE7">
        <v>10000</v>
      </c>
      <c r="AF7">
        <v>10000</v>
      </c>
      <c r="AG7">
        <v>10000</v>
      </c>
      <c r="AH7">
        <v>10000</v>
      </c>
      <c r="AI7">
        <v>10000</v>
      </c>
      <c r="AJ7">
        <v>10000</v>
      </c>
      <c r="AK7">
        <v>10000</v>
      </c>
      <c r="AL7">
        <v>10000</v>
      </c>
      <c r="AM7">
        <v>10000</v>
      </c>
      <c r="AN7">
        <v>10000</v>
      </c>
      <c r="AO7">
        <v>10000</v>
      </c>
      <c r="AP7">
        <v>10000</v>
      </c>
      <c r="AQ7">
        <v>10000</v>
      </c>
    </row>
    <row r="8" spans="2:44" x14ac:dyDescent="0.25">
      <c r="B8" s="1">
        <v>0.05</v>
      </c>
      <c r="W8">
        <f>W7*(1+$B$8)^($AQ$6-W6)</f>
        <v>26532.97705144421</v>
      </c>
      <c r="X8">
        <f t="shared" ref="X8:AQ8" si="0">X7*(1+$B$8)^($AQ$6-X6)</f>
        <v>25269.501953756389</v>
      </c>
      <c r="Y8">
        <f t="shared" si="0"/>
        <v>24066.192336910848</v>
      </c>
      <c r="Z8">
        <f t="shared" si="0"/>
        <v>22920.183178010331</v>
      </c>
      <c r="AA8">
        <f t="shared" si="0"/>
        <v>21828.74588381936</v>
      </c>
      <c r="AB8">
        <f t="shared" si="0"/>
        <v>20789.281794113678</v>
      </c>
      <c r="AC8">
        <f t="shared" si="0"/>
        <v>19799.315994393972</v>
      </c>
      <c r="AD8">
        <f t="shared" si="0"/>
        <v>18856.491423232361</v>
      </c>
      <c r="AE8">
        <f t="shared" si="0"/>
        <v>17958.563260221294</v>
      </c>
      <c r="AF8">
        <f t="shared" si="0"/>
        <v>17103.393581163138</v>
      </c>
      <c r="AG8">
        <f t="shared" si="0"/>
        <v>16288.946267774416</v>
      </c>
      <c r="AH8">
        <f t="shared" si="0"/>
        <v>15513.282159785158</v>
      </c>
      <c r="AI8">
        <f t="shared" si="0"/>
        <v>14774.554437890625</v>
      </c>
      <c r="AJ8">
        <f>AJ7*(1+$B$8)^($AQ$6-AJ6)</f>
        <v>14071.004226562502</v>
      </c>
      <c r="AK8">
        <f t="shared" si="0"/>
        <v>13400.956406249999</v>
      </c>
      <c r="AL8">
        <f t="shared" si="0"/>
        <v>12762.815625000001</v>
      </c>
      <c r="AM8">
        <f t="shared" si="0"/>
        <v>12155.0625</v>
      </c>
      <c r="AN8">
        <f t="shared" si="0"/>
        <v>11576.250000000002</v>
      </c>
      <c r="AO8">
        <f t="shared" si="0"/>
        <v>11025</v>
      </c>
      <c r="AP8">
        <f t="shared" si="0"/>
        <v>10500</v>
      </c>
      <c r="AQ8">
        <f t="shared" si="0"/>
        <v>10000</v>
      </c>
      <c r="AR8">
        <f>SUM(W8:AQ8)</f>
        <v>357192.5180803283</v>
      </c>
    </row>
    <row r="9" spans="2:44" x14ac:dyDescent="0.25">
      <c r="C9" s="2">
        <f>AR8/((1+B8)^(40))</f>
        <v>50737.65494327456</v>
      </c>
      <c r="W9">
        <v>0</v>
      </c>
      <c r="X9">
        <f>X7/((1+$B$8)^(X6-$W$6))</f>
        <v>9523.8095238095229</v>
      </c>
      <c r="Y9">
        <f t="shared" ref="Y9:AQ9" si="1">Y7/((1+$B$8)^(Y6-$W$6))</f>
        <v>9070.2947845804993</v>
      </c>
      <c r="Z9">
        <f t="shared" si="1"/>
        <v>8638.3759853147603</v>
      </c>
      <c r="AA9">
        <f t="shared" si="1"/>
        <v>8227.0247479188201</v>
      </c>
      <c r="AB9">
        <f t="shared" si="1"/>
        <v>7835.2616646845891</v>
      </c>
      <c r="AC9">
        <f t="shared" si="1"/>
        <v>7462.153966366277</v>
      </c>
      <c r="AD9">
        <f t="shared" si="1"/>
        <v>7106.8133013012148</v>
      </c>
      <c r="AE9">
        <f t="shared" si="1"/>
        <v>6768.3936202868717</v>
      </c>
      <c r="AF9">
        <f t="shared" si="1"/>
        <v>6446.0891621779729</v>
      </c>
      <c r="AG9">
        <f t="shared" si="1"/>
        <v>6139.1325354075934</v>
      </c>
      <c r="AH9">
        <f t="shared" si="1"/>
        <v>5846.7928908643744</v>
      </c>
      <c r="AI9">
        <f t="shared" si="1"/>
        <v>5568.3741817755954</v>
      </c>
      <c r="AJ9">
        <f t="shared" si="1"/>
        <v>5303.2135064529466</v>
      </c>
      <c r="AK9">
        <f t="shared" si="1"/>
        <v>5050.6795299551886</v>
      </c>
      <c r="AL9">
        <f t="shared" si="1"/>
        <v>4810.1709809097019</v>
      </c>
      <c r="AM9">
        <f t="shared" si="1"/>
        <v>4581.1152199140024</v>
      </c>
      <c r="AN9">
        <f t="shared" si="1"/>
        <v>4362.9668761085732</v>
      </c>
      <c r="AO9">
        <f t="shared" si="1"/>
        <v>4155.2065486748315</v>
      </c>
      <c r="AP9">
        <f t="shared" si="1"/>
        <v>3957.3395701665063</v>
      </c>
      <c r="AQ9">
        <f t="shared" si="1"/>
        <v>3768.8948287300059</v>
      </c>
      <c r="AR9">
        <f>SUM(W9:AQ9)</f>
        <v>124622.10342539985</v>
      </c>
    </row>
    <row r="12" spans="2:44" x14ac:dyDescent="0.25">
      <c r="B12" s="2" t="s">
        <v>71</v>
      </c>
    </row>
    <row r="15" spans="2:44" x14ac:dyDescent="0.25">
      <c r="B15" s="2">
        <f>AR9/((1+B8)^(20))</f>
        <v>46968.760114544544</v>
      </c>
      <c r="D15" t="s">
        <v>108</v>
      </c>
    </row>
    <row r="16" spans="2:44" x14ac:dyDescent="0.25">
      <c r="D16" t="s">
        <v>109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99B06-D786-4CEC-8B8A-040F849CA034}">
  <dimension ref="A5:DN46"/>
  <sheetViews>
    <sheetView zoomScale="115" zoomScaleNormal="115" workbookViewId="0">
      <selection activeCell="N27" sqref="N27"/>
    </sheetView>
  </sheetViews>
  <sheetFormatPr defaultRowHeight="15" x14ac:dyDescent="0.25"/>
  <cols>
    <col min="1" max="1" width="11.85546875" customWidth="1"/>
    <col min="45" max="45" width="14" customWidth="1"/>
  </cols>
  <sheetData>
    <row r="5" spans="1:118" x14ac:dyDescent="0.25">
      <c r="L5" t="s">
        <v>110</v>
      </c>
    </row>
    <row r="7" spans="1:118" x14ac:dyDescent="0.25">
      <c r="C7" t="s">
        <v>39</v>
      </c>
    </row>
    <row r="8" spans="1:118" x14ac:dyDescent="0.25">
      <c r="B8" s="1">
        <v>0.1</v>
      </c>
      <c r="C8">
        <v>0</v>
      </c>
      <c r="D8">
        <v>1</v>
      </c>
      <c r="E8">
        <v>2</v>
      </c>
      <c r="F8">
        <v>3</v>
      </c>
      <c r="G8">
        <v>4</v>
      </c>
      <c r="H8">
        <v>5</v>
      </c>
      <c r="I8">
        <v>6</v>
      </c>
      <c r="J8">
        <v>7</v>
      </c>
      <c r="K8">
        <v>8</v>
      </c>
      <c r="L8">
        <v>9</v>
      </c>
      <c r="M8" s="18">
        <v>10</v>
      </c>
      <c r="N8">
        <v>11</v>
      </c>
      <c r="O8">
        <v>12</v>
      </c>
      <c r="P8">
        <v>13</v>
      </c>
      <c r="Q8">
        <v>14</v>
      </c>
      <c r="R8">
        <v>15</v>
      </c>
      <c r="S8">
        <v>16</v>
      </c>
      <c r="T8">
        <v>17</v>
      </c>
      <c r="U8">
        <v>18</v>
      </c>
      <c r="V8">
        <v>19</v>
      </c>
      <c r="W8">
        <v>20</v>
      </c>
      <c r="X8">
        <v>21</v>
      </c>
      <c r="Y8">
        <v>22</v>
      </c>
      <c r="Z8">
        <v>23</v>
      </c>
      <c r="AA8">
        <v>24</v>
      </c>
      <c r="AB8">
        <v>25</v>
      </c>
      <c r="AC8">
        <v>26</v>
      </c>
      <c r="AD8">
        <v>27</v>
      </c>
      <c r="AE8">
        <v>28</v>
      </c>
      <c r="AF8">
        <v>29</v>
      </c>
      <c r="AG8">
        <v>30</v>
      </c>
      <c r="AH8">
        <v>31</v>
      </c>
      <c r="AI8">
        <v>32</v>
      </c>
      <c r="AJ8">
        <v>33</v>
      </c>
      <c r="AK8">
        <v>34</v>
      </c>
      <c r="AL8">
        <v>35</v>
      </c>
      <c r="AM8">
        <v>36</v>
      </c>
      <c r="AN8">
        <v>37</v>
      </c>
      <c r="AO8">
        <v>38</v>
      </c>
      <c r="AP8">
        <v>39</v>
      </c>
      <c r="AQ8">
        <v>40</v>
      </c>
      <c r="AR8">
        <v>41</v>
      </c>
      <c r="AS8">
        <v>42</v>
      </c>
      <c r="AT8">
        <v>43</v>
      </c>
      <c r="AU8">
        <v>44</v>
      </c>
      <c r="AV8">
        <v>45</v>
      </c>
      <c r="AW8">
        <v>46</v>
      </c>
      <c r="AX8">
        <v>47</v>
      </c>
      <c r="AY8">
        <v>48</v>
      </c>
      <c r="AZ8">
        <v>49</v>
      </c>
      <c r="BA8">
        <v>50</v>
      </c>
      <c r="BB8">
        <v>51</v>
      </c>
      <c r="BC8">
        <v>52</v>
      </c>
      <c r="BD8">
        <v>53</v>
      </c>
      <c r="BE8">
        <v>54</v>
      </c>
      <c r="BF8">
        <v>55</v>
      </c>
      <c r="BG8">
        <v>56</v>
      </c>
      <c r="BH8">
        <v>57</v>
      </c>
      <c r="BI8">
        <v>58</v>
      </c>
      <c r="BJ8">
        <v>59</v>
      </c>
      <c r="BK8">
        <v>60</v>
      </c>
      <c r="BL8">
        <v>61</v>
      </c>
      <c r="BM8">
        <v>62</v>
      </c>
      <c r="BN8">
        <v>63</v>
      </c>
      <c r="BO8">
        <v>64</v>
      </c>
      <c r="BP8">
        <v>65</v>
      </c>
      <c r="BQ8">
        <v>66</v>
      </c>
      <c r="BR8">
        <v>67</v>
      </c>
      <c r="BS8">
        <v>68</v>
      </c>
      <c r="BT8">
        <v>69</v>
      </c>
      <c r="BU8">
        <v>70</v>
      </c>
      <c r="BV8">
        <v>71</v>
      </c>
      <c r="BW8">
        <v>72</v>
      </c>
      <c r="BX8">
        <v>73</v>
      </c>
      <c r="BY8">
        <v>74</v>
      </c>
      <c r="BZ8">
        <v>75</v>
      </c>
      <c r="CA8">
        <v>76</v>
      </c>
      <c r="CB8">
        <v>77</v>
      </c>
      <c r="CC8">
        <v>78</v>
      </c>
      <c r="CD8">
        <v>79</v>
      </c>
      <c r="CE8">
        <v>80</v>
      </c>
      <c r="CF8">
        <v>81</v>
      </c>
      <c r="CG8">
        <v>82</v>
      </c>
      <c r="CH8">
        <v>83</v>
      </c>
      <c r="CI8">
        <v>84</v>
      </c>
      <c r="CJ8">
        <v>85</v>
      </c>
      <c r="CK8">
        <v>86</v>
      </c>
      <c r="CL8">
        <v>87</v>
      </c>
      <c r="CM8">
        <v>88</v>
      </c>
      <c r="CN8">
        <v>89</v>
      </c>
      <c r="CO8">
        <v>90</v>
      </c>
      <c r="CP8">
        <v>91</v>
      </c>
      <c r="CQ8">
        <v>92</v>
      </c>
      <c r="CR8">
        <v>93</v>
      </c>
      <c r="CS8">
        <v>94</v>
      </c>
      <c r="CT8">
        <v>95</v>
      </c>
      <c r="CU8">
        <v>96</v>
      </c>
      <c r="CV8">
        <v>97</v>
      </c>
      <c r="CW8">
        <v>98</v>
      </c>
      <c r="CX8">
        <v>99</v>
      </c>
      <c r="CY8">
        <v>100</v>
      </c>
      <c r="CZ8">
        <v>101</v>
      </c>
      <c r="DA8">
        <v>102</v>
      </c>
      <c r="DB8">
        <v>103</v>
      </c>
      <c r="DC8">
        <v>104</v>
      </c>
      <c r="DD8">
        <v>105</v>
      </c>
      <c r="DE8">
        <v>106</v>
      </c>
      <c r="DF8">
        <v>107</v>
      </c>
      <c r="DG8">
        <v>108</v>
      </c>
      <c r="DH8">
        <v>109</v>
      </c>
      <c r="DI8">
        <v>110</v>
      </c>
      <c r="DJ8">
        <v>111</v>
      </c>
      <c r="DK8">
        <v>112</v>
      </c>
      <c r="DL8">
        <v>113</v>
      </c>
      <c r="DM8">
        <v>114</v>
      </c>
      <c r="DN8">
        <v>115</v>
      </c>
    </row>
    <row r="9" spans="1:118" x14ac:dyDescent="0.25">
      <c r="B9" t="s">
        <v>13</v>
      </c>
      <c r="C9" s="2">
        <f>$B$14</f>
        <v>10792.142736644701</v>
      </c>
      <c r="D9" s="2">
        <f t="shared" ref="D9:M9" si="0">$B$14</f>
        <v>10792.142736644701</v>
      </c>
      <c r="E9" s="2">
        <f t="shared" si="0"/>
        <v>10792.142736644701</v>
      </c>
      <c r="F9" s="2">
        <f t="shared" si="0"/>
        <v>10792.142736644701</v>
      </c>
      <c r="G9" s="2">
        <f t="shared" si="0"/>
        <v>10792.142736644701</v>
      </c>
      <c r="H9" s="2">
        <f t="shared" si="0"/>
        <v>10792.142736644701</v>
      </c>
      <c r="I9" s="2">
        <f t="shared" si="0"/>
        <v>10792.142736644701</v>
      </c>
      <c r="J9" s="2">
        <f t="shared" si="0"/>
        <v>10792.142736644701</v>
      </c>
      <c r="K9" s="2">
        <f t="shared" si="0"/>
        <v>10792.142736644701</v>
      </c>
      <c r="L9" s="2">
        <f t="shared" si="0"/>
        <v>10792.142736644701</v>
      </c>
      <c r="M9" s="33">
        <f t="shared" si="0"/>
        <v>10792.142736644701</v>
      </c>
      <c r="N9">
        <v>20000</v>
      </c>
      <c r="O9">
        <v>20000</v>
      </c>
      <c r="P9">
        <v>20000</v>
      </c>
      <c r="Q9">
        <v>20000</v>
      </c>
      <c r="R9">
        <v>20000</v>
      </c>
      <c r="S9">
        <v>20000</v>
      </c>
      <c r="T9">
        <v>20000</v>
      </c>
      <c r="U9">
        <v>20000</v>
      </c>
      <c r="V9">
        <v>20000</v>
      </c>
      <c r="W9">
        <v>20000</v>
      </c>
      <c r="X9">
        <v>20000</v>
      </c>
      <c r="Y9">
        <v>20000</v>
      </c>
      <c r="Z9">
        <v>20000</v>
      </c>
      <c r="AA9">
        <v>20000</v>
      </c>
      <c r="AB9">
        <v>20000</v>
      </c>
      <c r="AC9">
        <v>20000</v>
      </c>
      <c r="AD9">
        <v>20000</v>
      </c>
      <c r="AE9">
        <v>20000</v>
      </c>
      <c r="AF9">
        <v>20000</v>
      </c>
      <c r="AG9">
        <v>20000</v>
      </c>
      <c r="AH9">
        <v>20000</v>
      </c>
      <c r="AI9">
        <v>20000</v>
      </c>
      <c r="AJ9">
        <v>20000</v>
      </c>
      <c r="AK9">
        <v>20000</v>
      </c>
      <c r="AL9">
        <v>20000</v>
      </c>
      <c r="AM9">
        <v>20000</v>
      </c>
      <c r="AN9">
        <v>20000</v>
      </c>
      <c r="AO9">
        <v>20000</v>
      </c>
      <c r="AP9">
        <v>20000</v>
      </c>
      <c r="AQ9">
        <v>20000</v>
      </c>
      <c r="AR9">
        <v>20000</v>
      </c>
      <c r="AS9">
        <v>20000</v>
      </c>
      <c r="AT9">
        <v>20000</v>
      </c>
      <c r="AU9">
        <v>20000</v>
      </c>
      <c r="AV9">
        <v>20000</v>
      </c>
      <c r="AW9">
        <v>20000</v>
      </c>
      <c r="AX9">
        <v>20000</v>
      </c>
      <c r="AY9">
        <v>20000</v>
      </c>
      <c r="AZ9">
        <v>20000</v>
      </c>
      <c r="BA9">
        <v>20000</v>
      </c>
      <c r="BB9">
        <v>20000</v>
      </c>
      <c r="BC9">
        <v>20000</v>
      </c>
      <c r="BD9">
        <v>20000</v>
      </c>
      <c r="BE9">
        <v>20000</v>
      </c>
      <c r="BF9">
        <v>20000</v>
      </c>
      <c r="BG9">
        <v>20000</v>
      </c>
      <c r="BH9">
        <v>20000</v>
      </c>
      <c r="BI9">
        <v>20000</v>
      </c>
      <c r="BJ9">
        <v>20000</v>
      </c>
      <c r="BK9">
        <v>20000</v>
      </c>
      <c r="BL9">
        <v>20000</v>
      </c>
      <c r="BM9">
        <v>20000</v>
      </c>
      <c r="BN9">
        <v>20000</v>
      </c>
      <c r="BO9">
        <v>20000</v>
      </c>
      <c r="BP9">
        <v>20000</v>
      </c>
      <c r="BQ9">
        <v>20000</v>
      </c>
      <c r="BR9">
        <v>20000</v>
      </c>
      <c r="BS9">
        <v>20000</v>
      </c>
      <c r="BT9">
        <v>20000</v>
      </c>
      <c r="BU9">
        <v>20000</v>
      </c>
      <c r="BV9">
        <v>20000</v>
      </c>
      <c r="BW9">
        <v>20000</v>
      </c>
      <c r="BX9">
        <v>20000</v>
      </c>
      <c r="BY9">
        <v>20000</v>
      </c>
      <c r="BZ9">
        <v>20000</v>
      </c>
      <c r="CA9">
        <v>20000</v>
      </c>
      <c r="CB9">
        <v>20000</v>
      </c>
      <c r="CC9">
        <v>20000</v>
      </c>
      <c r="CD9">
        <v>20000</v>
      </c>
      <c r="CE9">
        <v>20000</v>
      </c>
      <c r="CF9">
        <v>20000</v>
      </c>
      <c r="CG9">
        <v>20000</v>
      </c>
      <c r="CH9">
        <v>20000</v>
      </c>
      <c r="CI9">
        <v>20000</v>
      </c>
      <c r="CJ9">
        <v>20000</v>
      </c>
      <c r="CK9">
        <v>20000</v>
      </c>
      <c r="CL9">
        <v>20000</v>
      </c>
      <c r="CM9">
        <v>20000</v>
      </c>
      <c r="CN9">
        <v>20000</v>
      </c>
      <c r="CO9">
        <v>20000</v>
      </c>
      <c r="CP9">
        <v>20000</v>
      </c>
      <c r="CQ9">
        <v>20000</v>
      </c>
      <c r="CR9">
        <v>20000</v>
      </c>
      <c r="CS9">
        <v>20000</v>
      </c>
      <c r="CT9">
        <v>20000</v>
      </c>
      <c r="CU9">
        <v>20000</v>
      </c>
      <c r="CV9">
        <v>20000</v>
      </c>
      <c r="CW9">
        <v>20000</v>
      </c>
      <c r="CX9">
        <v>20000</v>
      </c>
      <c r="CY9">
        <v>20000</v>
      </c>
      <c r="CZ9">
        <v>20000</v>
      </c>
      <c r="DA9">
        <v>20000</v>
      </c>
      <c r="DB9">
        <v>20000</v>
      </c>
      <c r="DC9">
        <v>20000</v>
      </c>
      <c r="DD9">
        <v>20000</v>
      </c>
      <c r="DE9">
        <v>20000</v>
      </c>
      <c r="DF9">
        <v>20000</v>
      </c>
      <c r="DG9">
        <v>20000</v>
      </c>
      <c r="DH9">
        <v>20000</v>
      </c>
      <c r="DI9">
        <v>20000</v>
      </c>
      <c r="DJ9">
        <v>20000</v>
      </c>
      <c r="DK9">
        <v>20000</v>
      </c>
      <c r="DL9">
        <v>20000</v>
      </c>
      <c r="DM9">
        <v>20000</v>
      </c>
      <c r="DN9">
        <v>20000</v>
      </c>
    </row>
    <row r="10" spans="1:118" x14ac:dyDescent="0.25">
      <c r="B10" t="s">
        <v>3</v>
      </c>
      <c r="C10">
        <f>C9*(1+$B$8)^($M$8-C8)</f>
        <v>27992.038851495192</v>
      </c>
      <c r="D10">
        <f t="shared" ref="D10:M10" si="1">D9*(1+$B$8)^($M$8-D8)</f>
        <v>25447.308046813807</v>
      </c>
      <c r="E10">
        <f t="shared" si="1"/>
        <v>23133.91640619437</v>
      </c>
      <c r="F10">
        <f t="shared" si="1"/>
        <v>21030.833096540337</v>
      </c>
      <c r="G10">
        <f t="shared" si="1"/>
        <v>19118.93917867303</v>
      </c>
      <c r="H10">
        <f t="shared" si="1"/>
        <v>17380.853798793662</v>
      </c>
      <c r="I10">
        <f t="shared" si="1"/>
        <v>15800.77618072151</v>
      </c>
      <c r="J10">
        <f t="shared" si="1"/>
        <v>14364.341982474101</v>
      </c>
      <c r="K10">
        <f t="shared" si="1"/>
        <v>13058.49271134009</v>
      </c>
      <c r="L10">
        <f t="shared" si="1"/>
        <v>11871.357010309172</v>
      </c>
      <c r="M10" s="18">
        <f t="shared" si="1"/>
        <v>10792.142736644701</v>
      </c>
      <c r="N10">
        <f>N9/((1+$B$8)^(N8-$M$8))</f>
        <v>18181.81818181818</v>
      </c>
      <c r="O10">
        <f>O9/((1+$B$8)^(O8-$M$8))</f>
        <v>16528.925619834707</v>
      </c>
      <c r="P10">
        <f t="shared" ref="P10:Q10" si="2">P9/((1+$B$8)^(P8-$M$8))</f>
        <v>15026.296018031551</v>
      </c>
      <c r="Q10">
        <f t="shared" si="2"/>
        <v>13660.26910730141</v>
      </c>
      <c r="R10">
        <f>R9/((1+$B$8)^(R8-$M$8))</f>
        <v>12418.426461183099</v>
      </c>
      <c r="S10">
        <f>S9/((1+$B$8)^(S8-$M$8))</f>
        <v>11289.478601075543</v>
      </c>
      <c r="T10">
        <f t="shared" ref="T10" si="3">T9/((1+$B$8)^(T8-$M$8))</f>
        <v>10263.162364614129</v>
      </c>
      <c r="U10">
        <f t="shared" ref="U10" si="4">U9/((1+$B$8)^(U8-$M$8))</f>
        <v>9330.1476041946626</v>
      </c>
      <c r="V10">
        <f t="shared" ref="V10" si="5">V9/((1+$B$8)^(V8-$M$8))</f>
        <v>8481.9523674496941</v>
      </c>
      <c r="W10">
        <f t="shared" ref="W10" si="6">W9/((1+$B$8)^(W8-$M$8))</f>
        <v>7710.8657885906296</v>
      </c>
      <c r="X10">
        <f t="shared" ref="X10" si="7">X9/((1+$B$8)^(X8-$M$8))</f>
        <v>7009.8779896278438</v>
      </c>
      <c r="Y10">
        <f t="shared" ref="Y10" si="8">Y9/((1+$B$8)^(Y8-$M$8))</f>
        <v>6372.6163542071308</v>
      </c>
      <c r="Z10">
        <f t="shared" ref="Z10" si="9">Z9/((1+$B$8)^(Z8-$M$8))</f>
        <v>5793.2875947337552</v>
      </c>
      <c r="AA10">
        <f t="shared" ref="AA10" si="10">AA9/((1+$B$8)^(AA8-$M$8))</f>
        <v>5266.6250861215949</v>
      </c>
      <c r="AB10">
        <f t="shared" ref="AB10" si="11">AB9/((1+$B$8)^(AB8-$M$8))</f>
        <v>4787.8409873832679</v>
      </c>
      <c r="AC10">
        <f t="shared" ref="AC10" si="12">AC9/((1+$B$8)^(AC8-$M$8))</f>
        <v>4352.5827158029706</v>
      </c>
      <c r="AD10">
        <f t="shared" ref="AD10" si="13">AD9/((1+$B$8)^(AD8-$M$8))</f>
        <v>3956.8933780027005</v>
      </c>
      <c r="AE10">
        <f t="shared" ref="AE10" si="14">AE9/((1+$B$8)^(AE8-$M$8))</f>
        <v>3597.1757981842729</v>
      </c>
      <c r="AF10">
        <f t="shared" ref="AF10" si="15">AF9/((1+$B$8)^(AF8-$M$8))</f>
        <v>3270.1598165311566</v>
      </c>
      <c r="AG10">
        <f t="shared" ref="AG10" si="16">AG9/((1+$B$8)^(AG8-$M$8))</f>
        <v>2972.8725604828696</v>
      </c>
      <c r="AH10">
        <f t="shared" ref="AH10" si="17">AH9/((1+$B$8)^(AH8-$M$8))</f>
        <v>2702.6114186207906</v>
      </c>
      <c r="AI10">
        <f t="shared" ref="AI10" si="18">AI9/((1+$B$8)^(AI8-$M$8))</f>
        <v>2456.9194714734454</v>
      </c>
      <c r="AJ10">
        <f t="shared" ref="AJ10" si="19">AJ9/((1+$B$8)^(AJ8-$M$8))</f>
        <v>2233.56315588495</v>
      </c>
      <c r="AK10">
        <f t="shared" ref="AK10" si="20">AK9/((1+$B$8)^(AK8-$M$8))</f>
        <v>2030.5119598954095</v>
      </c>
      <c r="AL10">
        <f t="shared" ref="AL10" si="21">AL9/((1+$B$8)^(AL8-$M$8))</f>
        <v>1845.919963541281</v>
      </c>
      <c r="AM10">
        <f t="shared" ref="AM10" si="22">AM9/((1+$B$8)^(AM8-$M$8))</f>
        <v>1678.1090577648008</v>
      </c>
      <c r="AN10">
        <f t="shared" ref="AN10" si="23">AN9/((1+$B$8)^(AN8-$M$8))</f>
        <v>1525.5536888770914</v>
      </c>
      <c r="AO10">
        <f t="shared" ref="AO10" si="24">AO9/((1+$B$8)^(AO8-$M$8))</f>
        <v>1386.8669898882649</v>
      </c>
      <c r="AP10">
        <f t="shared" ref="AP10" si="25">AP9/((1+$B$8)^(AP8-$M$8))</f>
        <v>1260.7881726256953</v>
      </c>
      <c r="AQ10">
        <f t="shared" ref="AQ10" si="26">AQ9/((1+$B$8)^(AQ8-$M$8))</f>
        <v>1146.1710660233593</v>
      </c>
      <c r="AR10">
        <f t="shared" ref="AR10" si="27">AR9/((1+$B$8)^(AR8-$M$8))</f>
        <v>1041.973696384872</v>
      </c>
      <c r="AS10">
        <f t="shared" ref="AS10" si="28">AS9/((1+$B$8)^(AS8-$M$8))</f>
        <v>947.24881489533823</v>
      </c>
      <c r="AT10">
        <f t="shared" ref="AT10" si="29">AT9/((1+$B$8)^(AT8-$M$8))</f>
        <v>861.13528626848915</v>
      </c>
      <c r="AU10">
        <f t="shared" ref="AU10" si="30">AU9/((1+$B$8)^(AU8-$M$8))</f>
        <v>782.85026024408103</v>
      </c>
      <c r="AV10">
        <f t="shared" ref="AV10" si="31">AV9/((1+$B$8)^(AV8-$M$8))</f>
        <v>711.68205476734624</v>
      </c>
      <c r="AW10">
        <f t="shared" ref="AW10" si="32">AW9/((1+$B$8)^(AW8-$M$8))</f>
        <v>646.98368615213303</v>
      </c>
      <c r="AX10">
        <f t="shared" ref="AX10" si="33">AX9/((1+$B$8)^(AX8-$M$8))</f>
        <v>588.16698741102994</v>
      </c>
      <c r="AY10">
        <f t="shared" ref="AY10" si="34">AY9/((1+$B$8)^(AY8-$M$8))</f>
        <v>534.69726128275443</v>
      </c>
      <c r="AZ10">
        <f t="shared" ref="AZ10" si="35">AZ9/((1+$B$8)^(AZ8-$M$8))</f>
        <v>486.08841934795851</v>
      </c>
      <c r="BA10">
        <f t="shared" ref="BA10" si="36">BA9/((1+$B$8)^(BA8-$M$8))</f>
        <v>441.8985630435987</v>
      </c>
      <c r="BB10">
        <f t="shared" ref="BB10" si="37">BB9/((1+$B$8)^(BB8-$M$8))</f>
        <v>401.72596640327151</v>
      </c>
      <c r="BC10">
        <f t="shared" ref="BC10" si="38">BC9/((1+$B$8)^(BC8-$M$8))</f>
        <v>365.2054240029741</v>
      </c>
      <c r="BD10">
        <f t="shared" ref="BD10" si="39">BD9/((1+$B$8)^(BD8-$M$8))</f>
        <v>332.00493091179453</v>
      </c>
      <c r="BE10">
        <f t="shared" ref="BE10" si="40">BE9/((1+$B$8)^(BE8-$M$8))</f>
        <v>301.82266446526779</v>
      </c>
      <c r="BF10">
        <f t="shared" ref="BF10" si="41">BF9/((1+$B$8)^(BF8-$M$8))</f>
        <v>274.38424042297066</v>
      </c>
      <c r="BG10">
        <f t="shared" ref="BG10" si="42">BG9/((1+$B$8)^(BG8-$M$8))</f>
        <v>249.44021856633697</v>
      </c>
      <c r="BH10">
        <f t="shared" ref="BH10" si="43">BH9/((1+$B$8)^(BH8-$M$8))</f>
        <v>226.76383506030632</v>
      </c>
      <c r="BI10">
        <f t="shared" ref="BI10" si="44">BI9/((1+$B$8)^(BI8-$M$8))</f>
        <v>206.14894096391484</v>
      </c>
      <c r="BJ10">
        <f t="shared" ref="BJ10" si="45">BJ9/((1+$B$8)^(BJ8-$M$8))</f>
        <v>187.40812814901346</v>
      </c>
      <c r="BK10">
        <f t="shared" ref="BK10" si="46">BK9/((1+$B$8)^(BK8-$M$8))</f>
        <v>170.37102559001224</v>
      </c>
      <c r="BL10">
        <f t="shared" ref="BL10" si="47">BL9/((1+$B$8)^(BL8-$M$8))</f>
        <v>154.88275053637474</v>
      </c>
      <c r="BM10">
        <f t="shared" ref="BM10" si="48">BM9/((1+$B$8)^(BM8-$M$8))</f>
        <v>140.80250048761337</v>
      </c>
      <c r="BN10">
        <f t="shared" ref="BN10" si="49">BN9/((1+$B$8)^(BN8-$M$8))</f>
        <v>128.0022731705576</v>
      </c>
      <c r="BO10">
        <f t="shared" ref="BO10" si="50">BO9/((1+$B$8)^(BO8-$M$8))</f>
        <v>116.3657028823251</v>
      </c>
      <c r="BP10">
        <f t="shared" ref="BP10" si="51">BP9/((1+$B$8)^(BP8-$M$8))</f>
        <v>105.78700262029552</v>
      </c>
      <c r="BQ10">
        <f t="shared" ref="BQ10" si="52">BQ9/((1+$B$8)^(BQ8-$M$8))</f>
        <v>96.170002382086864</v>
      </c>
      <c r="BR10">
        <f t="shared" ref="BR10" si="53">BR9/((1+$B$8)^(BR8-$M$8))</f>
        <v>87.427274892806224</v>
      </c>
      <c r="BS10">
        <f t="shared" ref="BS10" si="54">BS9/((1+$B$8)^(BS8-$M$8))</f>
        <v>79.479340811642018</v>
      </c>
      <c r="BT10">
        <f t="shared" ref="BT10" si="55">BT9/((1+$B$8)^(BT8-$M$8))</f>
        <v>72.253946192401813</v>
      </c>
      <c r="BU10">
        <f t="shared" ref="BU10" si="56">BU9/((1+$B$8)^(BU8-$M$8))</f>
        <v>65.685405629456199</v>
      </c>
      <c r="BV10">
        <f t="shared" ref="BV10" si="57">BV9/((1+$B$8)^(BV8-$M$8))</f>
        <v>59.714005117687449</v>
      </c>
      <c r="BW10">
        <f t="shared" ref="BW10" si="58">BW9/((1+$B$8)^(BW8-$M$8))</f>
        <v>54.285459197897673</v>
      </c>
      <c r="BX10">
        <f t="shared" ref="BX10" si="59">BX9/((1+$B$8)^(BX8-$M$8))</f>
        <v>49.350417452634254</v>
      </c>
      <c r="BY10">
        <f t="shared" ref="BY10" si="60">BY9/((1+$B$8)^(BY8-$M$8))</f>
        <v>44.864015866031131</v>
      </c>
      <c r="BZ10">
        <f t="shared" ref="BZ10" si="61">BZ9/((1+$B$8)^(BZ8-$M$8))</f>
        <v>40.785468969119208</v>
      </c>
      <c r="CA10">
        <f t="shared" ref="CA10" si="62">CA9/((1+$B$8)^(CA8-$M$8))</f>
        <v>37.077699062835642</v>
      </c>
      <c r="CB10">
        <f t="shared" ref="CB10" si="63">CB9/((1+$B$8)^(CB8-$M$8))</f>
        <v>33.706999148032395</v>
      </c>
      <c r="CC10">
        <f t="shared" ref="CC10" si="64">CC9/((1+$B$8)^(CC8-$M$8))</f>
        <v>30.642726498211271</v>
      </c>
      <c r="CD10">
        <f t="shared" ref="CD10" si="65">CD9/((1+$B$8)^(CD8-$M$8))</f>
        <v>27.857024089282969</v>
      </c>
      <c r="CE10">
        <f t="shared" ref="CE10" si="66">CE9/((1+$B$8)^(CE8-$M$8))</f>
        <v>25.324567353893606</v>
      </c>
      <c r="CF10">
        <f t="shared" ref="CF10" si="67">CF9/((1+$B$8)^(CF8-$M$8))</f>
        <v>23.022333958085095</v>
      </c>
      <c r="CG10">
        <f t="shared" ref="CG10" si="68">CG9/((1+$B$8)^(CG8-$M$8))</f>
        <v>20.929394507350086</v>
      </c>
      <c r="CH10">
        <f t="shared" ref="CH10" si="69">CH9/((1+$B$8)^(CH8-$M$8))</f>
        <v>19.026722279409167</v>
      </c>
      <c r="CI10">
        <f t="shared" ref="CI10" si="70">CI9/((1+$B$8)^(CI8-$M$8))</f>
        <v>17.297020254008334</v>
      </c>
      <c r="CJ10">
        <f t="shared" ref="CJ10" si="71">CJ9/((1+$B$8)^(CJ8-$M$8))</f>
        <v>15.724563867280303</v>
      </c>
      <c r="CK10">
        <f t="shared" ref="CK10" si="72">CK9/((1+$B$8)^(CK8-$M$8))</f>
        <v>14.29505806116391</v>
      </c>
      <c r="CL10">
        <f t="shared" ref="CL10" si="73">CL9/((1+$B$8)^(CL8-$M$8))</f>
        <v>12.995507328330827</v>
      </c>
      <c r="CM10">
        <f t="shared" ref="CM10" si="74">CM9/((1+$B$8)^(CM8-$M$8))</f>
        <v>11.814097571209841</v>
      </c>
      <c r="CN10">
        <f t="shared" ref="CN10" si="75">CN9/((1+$B$8)^(CN8-$M$8))</f>
        <v>10.740088701099856</v>
      </c>
      <c r="CO10">
        <f t="shared" ref="CO10" si="76">CO9/((1+$B$8)^(CO8-$M$8))</f>
        <v>9.7637170009998684</v>
      </c>
      <c r="CP10">
        <f t="shared" ref="CP10" si="77">CP9/((1+$B$8)^(CP8-$M$8))</f>
        <v>8.8761063645453344</v>
      </c>
      <c r="CQ10">
        <f t="shared" ref="CQ10" si="78">CQ9/((1+$B$8)^(CQ8-$M$8))</f>
        <v>8.0691876041321215</v>
      </c>
      <c r="CR10">
        <f t="shared" ref="CR10" si="79">CR9/((1+$B$8)^(CR8-$M$8))</f>
        <v>7.3356250946655628</v>
      </c>
      <c r="CS10">
        <f t="shared" ref="CS10" si="80">CS9/((1+$B$8)^(CS8-$M$8))</f>
        <v>6.6687500860596041</v>
      </c>
      <c r="CT10">
        <f t="shared" ref="CT10" si="81">CT9/((1+$B$8)^(CT8-$M$8))</f>
        <v>6.0625000782360026</v>
      </c>
      <c r="CU10">
        <f t="shared" ref="CU10" si="82">CU9/((1+$B$8)^(CU8-$M$8))</f>
        <v>5.5113637074872743</v>
      </c>
      <c r="CV10">
        <f t="shared" ref="CV10" si="83">CV9/((1+$B$8)^(CV8-$M$8))</f>
        <v>5.0103306431702492</v>
      </c>
      <c r="CW10">
        <f t="shared" ref="CW10" si="84">CW9/((1+$B$8)^(CW8-$M$8))</f>
        <v>4.5548460392456818</v>
      </c>
      <c r="CX10">
        <f t="shared" ref="CX10" si="85">CX9/((1+$B$8)^(CX8-$M$8))</f>
        <v>4.1407691265869824</v>
      </c>
      <c r="CY10">
        <f t="shared" ref="CY10" si="86">CY9/((1+$B$8)^(CY8-$M$8))</f>
        <v>3.7643355696245293</v>
      </c>
      <c r="CZ10">
        <f t="shared" ref="CZ10" si="87">CZ9/((1+$B$8)^(CZ8-$M$8))</f>
        <v>3.422123245113208</v>
      </c>
      <c r="DA10">
        <f t="shared" ref="DA10" si="88">DA9/((1+$B$8)^(DA8-$M$8))</f>
        <v>3.1110211319210981</v>
      </c>
      <c r="DB10">
        <f t="shared" ref="DB10" si="89">DB9/((1+$B$8)^(DB8-$M$8))</f>
        <v>2.8282010290191799</v>
      </c>
      <c r="DC10">
        <f t="shared" ref="DC10" si="90">DC9/((1+$B$8)^(DC8-$M$8))</f>
        <v>2.5710918445628903</v>
      </c>
      <c r="DD10">
        <f t="shared" ref="DD10" si="91">DD9/((1+$B$8)^(DD8-$M$8))</f>
        <v>2.3373562223299005</v>
      </c>
      <c r="DE10">
        <f t="shared" ref="DE10" si="92">DE9/((1+$B$8)^(DE8-$M$8))</f>
        <v>2.124869293027182</v>
      </c>
      <c r="DF10">
        <f t="shared" ref="DF10" si="93">DF9/((1+$B$8)^(DF8-$M$8))</f>
        <v>1.9316993572974381</v>
      </c>
      <c r="DG10">
        <f t="shared" ref="DG10" si="94">DG9/((1+$B$8)^(DG8-$M$8))</f>
        <v>1.7560903248158528</v>
      </c>
      <c r="DH10">
        <f t="shared" ref="DH10" si="95">DH9/((1+$B$8)^(DH8-$M$8))</f>
        <v>1.5964457498325932</v>
      </c>
      <c r="DI10">
        <f t="shared" ref="DI10" si="96">DI9/((1+$B$8)^(DI8-$M$8))</f>
        <v>1.4513143180296302</v>
      </c>
      <c r="DJ10">
        <f t="shared" ref="DJ10" si="97">DJ9/((1+$B$8)^(DJ8-$M$8))</f>
        <v>1.3193766527542092</v>
      </c>
      <c r="DK10">
        <f t="shared" ref="DK10" si="98">DK9/((1+$B$8)^(DK8-$M$8))</f>
        <v>1.1994333206856445</v>
      </c>
      <c r="DL10">
        <f t="shared" ref="DL10" si="99">DL9/((1+$B$8)^(DL8-$M$8))</f>
        <v>1.0903939278960404</v>
      </c>
      <c r="DM10">
        <f t="shared" ref="DM10" si="100">DM9/((1+$B$8)^(DM8-$M$8))</f>
        <v>0.99126720717821848</v>
      </c>
      <c r="DN10">
        <f t="shared" ref="DN10" si="101">DN9/((1+$B$8)^(DN8-$M$8))</f>
        <v>0.90115200652565319</v>
      </c>
    </row>
    <row r="11" spans="1:118" x14ac:dyDescent="0.25">
      <c r="B11" t="s">
        <v>77</v>
      </c>
      <c r="N11" t="s">
        <v>73</v>
      </c>
    </row>
    <row r="12" spans="1:118" x14ac:dyDescent="0.25">
      <c r="L12" t="s">
        <v>65</v>
      </c>
      <c r="M12">
        <f>SUM(C10:M10)</f>
        <v>199990.99999999994</v>
      </c>
      <c r="N12">
        <f>N10</f>
        <v>18181.81818181818</v>
      </c>
      <c r="O12">
        <f>N12+O10</f>
        <v>34710.74380165289</v>
      </c>
      <c r="P12">
        <f>O12+P10</f>
        <v>49737.03981968444</v>
      </c>
      <c r="Q12">
        <f t="shared" ref="Q12:CB12" si="102">P12+Q10</f>
        <v>63397.308926985846</v>
      </c>
      <c r="R12">
        <f t="shared" si="102"/>
        <v>75815.735388168949</v>
      </c>
      <c r="S12">
        <f t="shared" si="102"/>
        <v>87105.213989244497</v>
      </c>
      <c r="T12">
        <f t="shared" si="102"/>
        <v>97368.376353858621</v>
      </c>
      <c r="U12">
        <f t="shared" si="102"/>
        <v>106698.52395805328</v>
      </c>
      <c r="V12">
        <f t="shared" si="102"/>
        <v>115180.47632550297</v>
      </c>
      <c r="W12">
        <f t="shared" si="102"/>
        <v>122891.3421140936</v>
      </c>
      <c r="X12">
        <f t="shared" si="102"/>
        <v>129901.22010372144</v>
      </c>
      <c r="Y12">
        <f t="shared" si="102"/>
        <v>136273.83645792858</v>
      </c>
      <c r="Z12">
        <f t="shared" si="102"/>
        <v>142067.12405266234</v>
      </c>
      <c r="AA12">
        <f t="shared" si="102"/>
        <v>147333.74913878393</v>
      </c>
      <c r="AB12">
        <f t="shared" si="102"/>
        <v>152121.5901261672</v>
      </c>
      <c r="AC12">
        <f t="shared" si="102"/>
        <v>156474.17284197017</v>
      </c>
      <c r="AD12">
        <f t="shared" si="102"/>
        <v>160431.06621997288</v>
      </c>
      <c r="AE12">
        <f t="shared" si="102"/>
        <v>164028.24201815715</v>
      </c>
      <c r="AF12">
        <f t="shared" si="102"/>
        <v>167298.40183468829</v>
      </c>
      <c r="AG12">
        <f t="shared" si="102"/>
        <v>170271.27439517117</v>
      </c>
      <c r="AH12">
        <f t="shared" si="102"/>
        <v>172973.88581379197</v>
      </c>
      <c r="AI12">
        <f t="shared" si="102"/>
        <v>175430.80528526541</v>
      </c>
      <c r="AJ12">
        <f t="shared" si="102"/>
        <v>177664.36844115035</v>
      </c>
      <c r="AK12">
        <f t="shared" si="102"/>
        <v>179694.88040104575</v>
      </c>
      <c r="AL12">
        <f t="shared" si="102"/>
        <v>181540.80036458705</v>
      </c>
      <c r="AM12">
        <f t="shared" si="102"/>
        <v>183218.90942235186</v>
      </c>
      <c r="AN12">
        <f t="shared" si="102"/>
        <v>184744.46311122895</v>
      </c>
      <c r="AO12">
        <f t="shared" si="102"/>
        <v>186131.3301011172</v>
      </c>
      <c r="AP12">
        <f t="shared" si="102"/>
        <v>187392.1182737429</v>
      </c>
      <c r="AQ12">
        <f t="shared" si="102"/>
        <v>188538.28933976626</v>
      </c>
      <c r="AR12">
        <f t="shared" si="102"/>
        <v>189580.26303615113</v>
      </c>
      <c r="AS12">
        <f t="shared" si="102"/>
        <v>190527.51185104647</v>
      </c>
      <c r="AT12">
        <f t="shared" si="102"/>
        <v>191388.64713731495</v>
      </c>
      <c r="AU12">
        <f t="shared" si="102"/>
        <v>192171.49739755903</v>
      </c>
      <c r="AV12">
        <f t="shared" si="102"/>
        <v>192883.17945232638</v>
      </c>
      <c r="AW12">
        <f t="shared" si="102"/>
        <v>193530.16313847853</v>
      </c>
      <c r="AX12">
        <f t="shared" si="102"/>
        <v>194118.33012588957</v>
      </c>
      <c r="AY12">
        <f t="shared" si="102"/>
        <v>194653.02738717233</v>
      </c>
      <c r="AZ12">
        <f t="shared" si="102"/>
        <v>195139.11580652031</v>
      </c>
      <c r="BA12">
        <f t="shared" si="102"/>
        <v>195581.0143695639</v>
      </c>
      <c r="BB12">
        <f t="shared" si="102"/>
        <v>195982.74033596716</v>
      </c>
      <c r="BC12">
        <f t="shared" si="102"/>
        <v>196347.94575997014</v>
      </c>
      <c r="BD12">
        <f t="shared" si="102"/>
        <v>196679.95069088193</v>
      </c>
      <c r="BE12">
        <f t="shared" si="102"/>
        <v>196981.77335534719</v>
      </c>
      <c r="BF12">
        <f t="shared" si="102"/>
        <v>197256.15759577017</v>
      </c>
      <c r="BG12">
        <f t="shared" si="102"/>
        <v>197505.59781433651</v>
      </c>
      <c r="BH12">
        <f t="shared" si="102"/>
        <v>197732.3616493968</v>
      </c>
      <c r="BI12">
        <f t="shared" si="102"/>
        <v>197938.5105903607</v>
      </c>
      <c r="BJ12">
        <f t="shared" si="102"/>
        <v>198125.91871850973</v>
      </c>
      <c r="BK12">
        <f t="shared" si="102"/>
        <v>198296.28974409975</v>
      </c>
      <c r="BL12">
        <f t="shared" si="102"/>
        <v>198451.17249463612</v>
      </c>
      <c r="BM12">
        <f t="shared" si="102"/>
        <v>198591.97499512375</v>
      </c>
      <c r="BN12">
        <f t="shared" si="102"/>
        <v>198719.97726829431</v>
      </c>
      <c r="BO12">
        <f t="shared" si="102"/>
        <v>198836.34297117664</v>
      </c>
      <c r="BP12">
        <f t="shared" si="102"/>
        <v>198942.12997379692</v>
      </c>
      <c r="BQ12">
        <f t="shared" si="102"/>
        <v>199038.299976179</v>
      </c>
      <c r="BR12">
        <f t="shared" si="102"/>
        <v>199125.7272510718</v>
      </c>
      <c r="BS12">
        <f t="shared" si="102"/>
        <v>199205.20659188344</v>
      </c>
      <c r="BT12">
        <f t="shared" si="102"/>
        <v>199277.46053807583</v>
      </c>
      <c r="BU12">
        <f t="shared" si="102"/>
        <v>199343.14594370528</v>
      </c>
      <c r="BV12">
        <f t="shared" si="102"/>
        <v>199402.85994882297</v>
      </c>
      <c r="BW12">
        <f t="shared" si="102"/>
        <v>199457.14540802088</v>
      </c>
      <c r="BX12">
        <f t="shared" si="102"/>
        <v>199506.49582547351</v>
      </c>
      <c r="BY12">
        <f t="shared" si="102"/>
        <v>199551.35984133955</v>
      </c>
      <c r="BZ12">
        <f t="shared" si="102"/>
        <v>199592.14531030867</v>
      </c>
      <c r="CA12">
        <f t="shared" si="102"/>
        <v>199629.22300937149</v>
      </c>
      <c r="CB12">
        <f t="shared" si="102"/>
        <v>199662.93000851953</v>
      </c>
      <c r="CC12">
        <f t="shared" ref="CC12:DN12" si="103">CB12+CC10</f>
        <v>199693.57273501775</v>
      </c>
      <c r="CD12">
        <f t="shared" si="103"/>
        <v>199721.42975910704</v>
      </c>
      <c r="CE12">
        <f t="shared" si="103"/>
        <v>199746.75432646094</v>
      </c>
      <c r="CF12">
        <f t="shared" si="103"/>
        <v>199769.77666041904</v>
      </c>
      <c r="CG12">
        <f t="shared" si="103"/>
        <v>199790.70605492638</v>
      </c>
      <c r="CH12">
        <f t="shared" si="103"/>
        <v>199809.73277720579</v>
      </c>
      <c r="CI12">
        <f t="shared" si="103"/>
        <v>199827.02979745981</v>
      </c>
      <c r="CJ12">
        <f t="shared" si="103"/>
        <v>199842.7543613271</v>
      </c>
      <c r="CK12">
        <f t="shared" si="103"/>
        <v>199857.04941938826</v>
      </c>
      <c r="CL12">
        <f t="shared" si="103"/>
        <v>199870.0449267166</v>
      </c>
      <c r="CM12">
        <f t="shared" si="103"/>
        <v>199881.85902428781</v>
      </c>
      <c r="CN12">
        <f t="shared" si="103"/>
        <v>199892.59911298892</v>
      </c>
      <c r="CO12">
        <f t="shared" si="103"/>
        <v>199902.36282998993</v>
      </c>
      <c r="CP12">
        <f t="shared" si="103"/>
        <v>199911.23893635446</v>
      </c>
      <c r="CQ12">
        <f t="shared" si="103"/>
        <v>199919.30812395859</v>
      </c>
      <c r="CR12">
        <f t="shared" si="103"/>
        <v>199926.64374905324</v>
      </c>
      <c r="CS12">
        <f t="shared" si="103"/>
        <v>199933.31249913931</v>
      </c>
      <c r="CT12">
        <f t="shared" si="103"/>
        <v>199939.37499921754</v>
      </c>
      <c r="CU12">
        <f t="shared" si="103"/>
        <v>199944.88636292503</v>
      </c>
      <c r="CV12">
        <f t="shared" si="103"/>
        <v>199949.89669356821</v>
      </c>
      <c r="CW12">
        <f t="shared" si="103"/>
        <v>199954.45153960746</v>
      </c>
      <c r="CX12">
        <f t="shared" si="103"/>
        <v>199958.59230873405</v>
      </c>
      <c r="CY12">
        <f t="shared" si="103"/>
        <v>199962.35664430368</v>
      </c>
      <c r="CZ12">
        <f t="shared" si="103"/>
        <v>199965.77876754879</v>
      </c>
      <c r="DA12">
        <f t="shared" si="103"/>
        <v>199968.88978868071</v>
      </c>
      <c r="DB12">
        <f t="shared" si="103"/>
        <v>199971.71798970972</v>
      </c>
      <c r="DC12">
        <f t="shared" si="103"/>
        <v>199974.28908155428</v>
      </c>
      <c r="DD12">
        <f t="shared" si="103"/>
        <v>199976.62643777661</v>
      </c>
      <c r="DE12">
        <f t="shared" si="103"/>
        <v>199978.75130706964</v>
      </c>
      <c r="DF12">
        <f t="shared" si="103"/>
        <v>199980.68300642693</v>
      </c>
      <c r="DG12">
        <f t="shared" si="103"/>
        <v>199982.43909675174</v>
      </c>
      <c r="DH12">
        <f t="shared" si="103"/>
        <v>199984.03554250157</v>
      </c>
      <c r="DI12">
        <f t="shared" si="103"/>
        <v>199985.4868568196</v>
      </c>
      <c r="DJ12">
        <f t="shared" si="103"/>
        <v>199986.80623347234</v>
      </c>
      <c r="DK12">
        <f t="shared" si="103"/>
        <v>199988.00566679303</v>
      </c>
      <c r="DL12">
        <f t="shared" si="103"/>
        <v>199989.09606072094</v>
      </c>
      <c r="DM12">
        <f t="shared" si="103"/>
        <v>199990.08732792811</v>
      </c>
      <c r="DN12">
        <f t="shared" si="103"/>
        <v>199990.98847993463</v>
      </c>
    </row>
    <row r="13" spans="1:118" x14ac:dyDescent="0.25">
      <c r="A13" t="s">
        <v>74</v>
      </c>
      <c r="L13" t="s">
        <v>66</v>
      </c>
      <c r="M13">
        <f>SUM(N10:DN10)</f>
        <v>199990.98847993463</v>
      </c>
      <c r="N13" t="s">
        <v>76</v>
      </c>
    </row>
    <row r="14" spans="1:118" x14ac:dyDescent="0.25">
      <c r="A14" t="s">
        <v>72</v>
      </c>
      <c r="B14" s="2">
        <v>10792.142736644701</v>
      </c>
    </row>
    <row r="16" spans="1:118" x14ac:dyDescent="0.25">
      <c r="A16" t="s">
        <v>75</v>
      </c>
      <c r="C16">
        <f>$B$17</f>
        <v>10294.278788325608</v>
      </c>
      <c r="D16">
        <f t="shared" ref="D16:M16" si="104">$B$17</f>
        <v>10294.278788325608</v>
      </c>
      <c r="E16">
        <f t="shared" si="104"/>
        <v>10294.278788325608</v>
      </c>
      <c r="F16">
        <f t="shared" si="104"/>
        <v>10294.278788325608</v>
      </c>
      <c r="G16">
        <f t="shared" si="104"/>
        <v>10294.278788325608</v>
      </c>
      <c r="H16">
        <f t="shared" si="104"/>
        <v>10294.278788325608</v>
      </c>
      <c r="I16">
        <f t="shared" si="104"/>
        <v>10294.278788325608</v>
      </c>
      <c r="J16">
        <f t="shared" si="104"/>
        <v>10294.278788325608</v>
      </c>
      <c r="K16">
        <f t="shared" si="104"/>
        <v>10294.278788325608</v>
      </c>
      <c r="L16">
        <f t="shared" si="104"/>
        <v>10294.278788325608</v>
      </c>
      <c r="M16">
        <f t="shared" si="104"/>
        <v>10294.278788325608</v>
      </c>
    </row>
    <row r="17" spans="1:18" x14ac:dyDescent="0.25">
      <c r="A17" t="s">
        <v>72</v>
      </c>
      <c r="B17" s="2">
        <v>10294.278788325608</v>
      </c>
      <c r="C17">
        <f>C16*(1+$B$8)^($M$8-C8)</f>
        <v>26700.707989386927</v>
      </c>
      <c r="D17">
        <f t="shared" ref="D17:M17" si="105">D16*(1+$B$8)^($M$8-D8)</f>
        <v>24273.37089944266</v>
      </c>
      <c r="E17">
        <f t="shared" si="105"/>
        <v>22066.700817675144</v>
      </c>
      <c r="F17">
        <f t="shared" si="105"/>
        <v>20060.637106977403</v>
      </c>
      <c r="G17">
        <f t="shared" si="105"/>
        <v>18236.942824524911</v>
      </c>
      <c r="H17">
        <f t="shared" si="105"/>
        <v>16579.03893138628</v>
      </c>
      <c r="I17">
        <f t="shared" si="105"/>
        <v>15071.853573987526</v>
      </c>
      <c r="J17">
        <f t="shared" si="105"/>
        <v>13701.685067261387</v>
      </c>
      <c r="K17">
        <f t="shared" si="105"/>
        <v>12456.077333873987</v>
      </c>
      <c r="L17">
        <f t="shared" si="105"/>
        <v>11323.706667158169</v>
      </c>
      <c r="M17">
        <f t="shared" si="105"/>
        <v>10294.278788325608</v>
      </c>
    </row>
    <row r="18" spans="1:18" x14ac:dyDescent="0.25">
      <c r="L18" t="s">
        <v>65</v>
      </c>
      <c r="M18">
        <f>SUM(C17:M17)</f>
        <v>190765.00000000003</v>
      </c>
    </row>
    <row r="19" spans="1:18" x14ac:dyDescent="0.25">
      <c r="L19" t="s">
        <v>66</v>
      </c>
      <c r="M19">
        <v>190765</v>
      </c>
    </row>
    <row r="23" spans="1:18" x14ac:dyDescent="0.25">
      <c r="Q23" t="s">
        <v>115</v>
      </c>
    </row>
    <row r="24" spans="1:18" x14ac:dyDescent="0.25">
      <c r="Q24" t="s">
        <v>111</v>
      </c>
      <c r="R24" t="s">
        <v>112</v>
      </c>
    </row>
    <row r="25" spans="1:18" x14ac:dyDescent="0.25">
      <c r="Q25" t="s">
        <v>113</v>
      </c>
    </row>
    <row r="26" spans="1:18" x14ac:dyDescent="0.25">
      <c r="Q26" t="s">
        <v>114</v>
      </c>
    </row>
    <row r="36" spans="2:85" x14ac:dyDescent="0.25">
      <c r="B36" t="s">
        <v>116</v>
      </c>
    </row>
    <row r="38" spans="2:85" x14ac:dyDescent="0.25">
      <c r="B38" t="s">
        <v>117</v>
      </c>
      <c r="C38" s="1">
        <v>0.13</v>
      </c>
    </row>
    <row r="39" spans="2:85" x14ac:dyDescent="0.25">
      <c r="B39" t="s">
        <v>119</v>
      </c>
      <c r="C39">
        <v>300000</v>
      </c>
      <c r="D39">
        <v>12</v>
      </c>
      <c r="E39">
        <f>C39*D39</f>
        <v>3600000</v>
      </c>
    </row>
    <row r="40" spans="2:85" x14ac:dyDescent="0.25">
      <c r="AC40">
        <v>25</v>
      </c>
      <c r="AD40">
        <v>26</v>
      </c>
      <c r="AE40">
        <v>27</v>
      </c>
      <c r="AF40">
        <v>28</v>
      </c>
      <c r="AG40">
        <v>29</v>
      </c>
      <c r="AH40">
        <v>30</v>
      </c>
      <c r="AI40">
        <v>31</v>
      </c>
      <c r="AJ40">
        <v>32</v>
      </c>
      <c r="AK40">
        <v>33</v>
      </c>
      <c r="AL40">
        <v>34</v>
      </c>
      <c r="AM40">
        <v>35</v>
      </c>
      <c r="AN40">
        <v>36</v>
      </c>
      <c r="AO40">
        <v>37</v>
      </c>
      <c r="AP40">
        <v>38</v>
      </c>
      <c r="AQ40">
        <v>39</v>
      </c>
      <c r="AR40">
        <v>40</v>
      </c>
      <c r="AS40" s="17">
        <v>41</v>
      </c>
      <c r="AT40">
        <v>42</v>
      </c>
      <c r="AU40">
        <v>43</v>
      </c>
      <c r="AV40">
        <v>44</v>
      </c>
      <c r="AW40">
        <v>45</v>
      </c>
      <c r="AX40">
        <v>46</v>
      </c>
      <c r="AY40">
        <v>47</v>
      </c>
      <c r="AZ40">
        <v>48</v>
      </c>
      <c r="BA40">
        <v>49</v>
      </c>
      <c r="BB40">
        <v>50</v>
      </c>
      <c r="BC40">
        <v>51</v>
      </c>
      <c r="BD40">
        <v>52</v>
      </c>
      <c r="BE40">
        <v>53</v>
      </c>
      <c r="BF40">
        <v>54</v>
      </c>
      <c r="BG40">
        <v>55</v>
      </c>
      <c r="BH40">
        <v>56</v>
      </c>
      <c r="BI40">
        <v>57</v>
      </c>
      <c r="BJ40">
        <v>58</v>
      </c>
      <c r="BK40">
        <v>59</v>
      </c>
      <c r="BL40">
        <v>60</v>
      </c>
      <c r="BM40">
        <v>61</v>
      </c>
      <c r="BN40">
        <v>62</v>
      </c>
      <c r="BO40">
        <v>63</v>
      </c>
      <c r="BP40">
        <v>64</v>
      </c>
      <c r="BQ40">
        <v>65</v>
      </c>
      <c r="BR40">
        <v>66</v>
      </c>
      <c r="BS40">
        <v>67</v>
      </c>
      <c r="BT40">
        <v>68</v>
      </c>
      <c r="BU40">
        <v>69</v>
      </c>
      <c r="BV40">
        <v>70</v>
      </c>
      <c r="BW40">
        <v>71</v>
      </c>
      <c r="BX40">
        <v>72</v>
      </c>
      <c r="BY40">
        <v>73</v>
      </c>
      <c r="BZ40">
        <v>74</v>
      </c>
      <c r="CA40">
        <v>75</v>
      </c>
      <c r="CB40">
        <v>76</v>
      </c>
      <c r="CC40">
        <v>77</v>
      </c>
      <c r="CD40">
        <v>78</v>
      </c>
      <c r="CE40">
        <v>79</v>
      </c>
      <c r="CF40">
        <v>80</v>
      </c>
      <c r="CG40" t="s">
        <v>4</v>
      </c>
    </row>
    <row r="41" spans="2:85" x14ac:dyDescent="0.25">
      <c r="B41" t="s">
        <v>118</v>
      </c>
      <c r="C41">
        <v>679996.94409822964</v>
      </c>
      <c r="AC41">
        <v>0</v>
      </c>
      <c r="AD41">
        <f t="shared" ref="AD41:AR41" si="106">$C$41</f>
        <v>679996.94409822964</v>
      </c>
      <c r="AE41">
        <f t="shared" si="106"/>
        <v>679996.94409822964</v>
      </c>
      <c r="AF41">
        <f t="shared" si="106"/>
        <v>679996.94409822964</v>
      </c>
      <c r="AG41">
        <f t="shared" si="106"/>
        <v>679996.94409822964</v>
      </c>
      <c r="AH41">
        <f t="shared" si="106"/>
        <v>679996.94409822964</v>
      </c>
      <c r="AI41">
        <f t="shared" si="106"/>
        <v>679996.94409822964</v>
      </c>
      <c r="AJ41">
        <f t="shared" si="106"/>
        <v>679996.94409822964</v>
      </c>
      <c r="AK41">
        <f t="shared" si="106"/>
        <v>679996.94409822964</v>
      </c>
      <c r="AL41">
        <f t="shared" si="106"/>
        <v>679996.94409822964</v>
      </c>
      <c r="AM41">
        <f t="shared" si="106"/>
        <v>679996.94409822964</v>
      </c>
      <c r="AN41">
        <f t="shared" si="106"/>
        <v>679996.94409822964</v>
      </c>
      <c r="AO41">
        <f t="shared" si="106"/>
        <v>679996.94409822964</v>
      </c>
      <c r="AP41">
        <f t="shared" si="106"/>
        <v>679996.94409822964</v>
      </c>
      <c r="AQ41">
        <f t="shared" si="106"/>
        <v>679996.94409822964</v>
      </c>
      <c r="AR41">
        <f t="shared" si="106"/>
        <v>679996.94409822964</v>
      </c>
      <c r="AS41" s="17">
        <f>$E$39</f>
        <v>3600000</v>
      </c>
      <c r="AT41" s="17">
        <f t="shared" ref="AT41:CF41" si="107">$E$39</f>
        <v>3600000</v>
      </c>
      <c r="AU41" s="17">
        <f t="shared" si="107"/>
        <v>3600000</v>
      </c>
      <c r="AV41" s="17">
        <f t="shared" si="107"/>
        <v>3600000</v>
      </c>
      <c r="AW41" s="17">
        <f t="shared" si="107"/>
        <v>3600000</v>
      </c>
      <c r="AX41" s="17">
        <f t="shared" si="107"/>
        <v>3600000</v>
      </c>
      <c r="AY41" s="17">
        <f t="shared" si="107"/>
        <v>3600000</v>
      </c>
      <c r="AZ41" s="17">
        <f t="shared" si="107"/>
        <v>3600000</v>
      </c>
      <c r="BA41" s="17">
        <f t="shared" si="107"/>
        <v>3600000</v>
      </c>
      <c r="BB41" s="17">
        <f t="shared" si="107"/>
        <v>3600000</v>
      </c>
      <c r="BC41" s="17">
        <f t="shared" si="107"/>
        <v>3600000</v>
      </c>
      <c r="BD41" s="17">
        <f t="shared" si="107"/>
        <v>3600000</v>
      </c>
      <c r="BE41" s="17">
        <f t="shared" si="107"/>
        <v>3600000</v>
      </c>
      <c r="BF41" s="17">
        <f t="shared" si="107"/>
        <v>3600000</v>
      </c>
      <c r="BG41" s="17">
        <f t="shared" si="107"/>
        <v>3600000</v>
      </c>
      <c r="BH41" s="17">
        <f t="shared" si="107"/>
        <v>3600000</v>
      </c>
      <c r="BI41" s="17">
        <f t="shared" si="107"/>
        <v>3600000</v>
      </c>
      <c r="BJ41" s="17">
        <f t="shared" si="107"/>
        <v>3600000</v>
      </c>
      <c r="BK41" s="17">
        <f t="shared" si="107"/>
        <v>3600000</v>
      </c>
      <c r="BL41" s="17">
        <f t="shared" si="107"/>
        <v>3600000</v>
      </c>
      <c r="BM41" s="17">
        <f t="shared" si="107"/>
        <v>3600000</v>
      </c>
      <c r="BN41" s="17">
        <f t="shared" si="107"/>
        <v>3600000</v>
      </c>
      <c r="BO41" s="17">
        <f t="shared" si="107"/>
        <v>3600000</v>
      </c>
      <c r="BP41" s="17">
        <f t="shared" si="107"/>
        <v>3600000</v>
      </c>
      <c r="BQ41" s="17">
        <f t="shared" si="107"/>
        <v>3600000</v>
      </c>
      <c r="BR41" s="17">
        <f t="shared" si="107"/>
        <v>3600000</v>
      </c>
      <c r="BS41" s="17">
        <f t="shared" si="107"/>
        <v>3600000</v>
      </c>
      <c r="BT41" s="17">
        <f t="shared" si="107"/>
        <v>3600000</v>
      </c>
      <c r="BU41" s="17">
        <f t="shared" si="107"/>
        <v>3600000</v>
      </c>
      <c r="BV41" s="17">
        <f t="shared" si="107"/>
        <v>3600000</v>
      </c>
      <c r="BW41" s="17">
        <f t="shared" si="107"/>
        <v>3600000</v>
      </c>
      <c r="BX41" s="17">
        <f t="shared" si="107"/>
        <v>3600000</v>
      </c>
      <c r="BY41" s="17">
        <f t="shared" si="107"/>
        <v>3600000</v>
      </c>
      <c r="BZ41" s="17">
        <f t="shared" si="107"/>
        <v>3600000</v>
      </c>
      <c r="CA41" s="17">
        <f t="shared" si="107"/>
        <v>3600000</v>
      </c>
      <c r="CB41" s="17">
        <f t="shared" si="107"/>
        <v>3600000</v>
      </c>
      <c r="CC41" s="17">
        <f t="shared" si="107"/>
        <v>3600000</v>
      </c>
      <c r="CD41" s="17">
        <f t="shared" si="107"/>
        <v>3600000</v>
      </c>
      <c r="CE41" s="17">
        <f t="shared" si="107"/>
        <v>3600000</v>
      </c>
      <c r="CF41" s="17">
        <f t="shared" si="107"/>
        <v>3600000</v>
      </c>
    </row>
    <row r="42" spans="2:85" x14ac:dyDescent="0.25">
      <c r="AC42">
        <f>AC41*(1+$C$38)^(40-AC40)</f>
        <v>0</v>
      </c>
      <c r="AD42">
        <f>AD41*(1+$C$38)^(40-AD40)</f>
        <v>3763614.8180515277</v>
      </c>
      <c r="AE42">
        <f t="shared" ref="AE42:AR42" si="108">AE41*(1+$C$38)^(40-AE40)</f>
        <v>3330632.5823464859</v>
      </c>
      <c r="AF42">
        <f t="shared" si="108"/>
        <v>2947462.4622535273</v>
      </c>
      <c r="AG42">
        <f t="shared" si="108"/>
        <v>2608373.8604013519</v>
      </c>
      <c r="AH42">
        <f t="shared" si="108"/>
        <v>2308295.4516826128</v>
      </c>
      <c r="AI42">
        <f t="shared" si="108"/>
        <v>2042739.3377722239</v>
      </c>
      <c r="AJ42">
        <f t="shared" si="108"/>
        <v>1807733.9272320566</v>
      </c>
      <c r="AK42">
        <f t="shared" si="108"/>
        <v>1599764.5373735016</v>
      </c>
      <c r="AL42">
        <f t="shared" si="108"/>
        <v>1415720.8295340722</v>
      </c>
      <c r="AM42">
        <f t="shared" si="108"/>
        <v>1252850.2916230729</v>
      </c>
      <c r="AN42">
        <f t="shared" si="108"/>
        <v>1108717.0722328082</v>
      </c>
      <c r="AO42">
        <f t="shared" si="108"/>
        <v>981165.55064850289</v>
      </c>
      <c r="AP42">
        <f t="shared" si="108"/>
        <v>868288.09791902918</v>
      </c>
      <c r="AQ42">
        <f t="shared" si="108"/>
        <v>768396.54683099943</v>
      </c>
      <c r="AR42">
        <f t="shared" si="108"/>
        <v>679996.94409822964</v>
      </c>
      <c r="AS42" s="17">
        <f>AS41/(1+$C$38)^(AS40-$AR$40)</f>
        <v>3185840.7079646019</v>
      </c>
      <c r="AT42">
        <f>AT41/(1+$C$38)^(AT40-$AR$40)</f>
        <v>2819328.0601456659</v>
      </c>
      <c r="AU42">
        <f t="shared" ref="AU42:CF42" si="109">AU41/(1+$C$38)^(AU40-$AR$40)</f>
        <v>2494980.5841997047</v>
      </c>
      <c r="AV42">
        <f t="shared" si="109"/>
        <v>2207947.4196457565</v>
      </c>
      <c r="AW42">
        <f t="shared" si="109"/>
        <v>1953935.7695980149</v>
      </c>
      <c r="AX42">
        <f t="shared" si="109"/>
        <v>1729146.6987593055</v>
      </c>
      <c r="AY42">
        <f t="shared" si="109"/>
        <v>1530218.3174861113</v>
      </c>
      <c r="AZ42">
        <f t="shared" si="109"/>
        <v>1354175.5022000985</v>
      </c>
      <c r="BA42">
        <f t="shared" si="109"/>
        <v>1198385.4001770783</v>
      </c>
      <c r="BB42">
        <f t="shared" si="109"/>
        <v>1060518.0532540518</v>
      </c>
      <c r="BC42">
        <f t="shared" si="109"/>
        <v>938511.55155225843</v>
      </c>
      <c r="BD42">
        <f t="shared" si="109"/>
        <v>830541.19606394565</v>
      </c>
      <c r="BE42">
        <f t="shared" si="109"/>
        <v>734992.20890614658</v>
      </c>
      <c r="BF42">
        <f t="shared" si="109"/>
        <v>650435.58310278482</v>
      </c>
      <c r="BG42">
        <f t="shared" si="109"/>
        <v>575606.710710429</v>
      </c>
      <c r="BH42">
        <f t="shared" si="109"/>
        <v>509386.46965524694</v>
      </c>
      <c r="BI42">
        <f t="shared" si="109"/>
        <v>450784.48642057256</v>
      </c>
      <c r="BJ42">
        <f t="shared" si="109"/>
        <v>398924.32426599349</v>
      </c>
      <c r="BK42">
        <f t="shared" si="109"/>
        <v>353030.37545663147</v>
      </c>
      <c r="BL42">
        <f t="shared" si="109"/>
        <v>312416.26146604557</v>
      </c>
      <c r="BM42">
        <f t="shared" si="109"/>
        <v>276474.56766906689</v>
      </c>
      <c r="BN42">
        <f t="shared" si="109"/>
        <v>244667.75899917429</v>
      </c>
      <c r="BO42">
        <f t="shared" si="109"/>
        <v>216520.14070723389</v>
      </c>
      <c r="BP42">
        <f t="shared" si="109"/>
        <v>191610.74398870257</v>
      </c>
      <c r="BQ42">
        <f t="shared" si="109"/>
        <v>169567.03007849786</v>
      </c>
      <c r="BR42">
        <f t="shared" si="109"/>
        <v>150059.31865353795</v>
      </c>
      <c r="BS42">
        <f t="shared" si="109"/>
        <v>132795.85721552034</v>
      </c>
      <c r="BT42">
        <f t="shared" si="109"/>
        <v>117518.45771284986</v>
      </c>
      <c r="BU42">
        <f t="shared" si="109"/>
        <v>103998.63514411492</v>
      </c>
      <c r="BV42">
        <f t="shared" si="109"/>
        <v>92034.190393022087</v>
      </c>
      <c r="BW42">
        <f t="shared" si="109"/>
        <v>81446.186188515116</v>
      </c>
      <c r="BX42">
        <f t="shared" si="109"/>
        <v>72076.270963287723</v>
      </c>
      <c r="BY42">
        <f t="shared" si="109"/>
        <v>63784.310586980297</v>
      </c>
      <c r="BZ42">
        <f t="shared" si="109"/>
        <v>56446.292554849824</v>
      </c>
      <c r="CA42">
        <f t="shared" si="109"/>
        <v>49952.471287477725</v>
      </c>
      <c r="CB42">
        <f t="shared" si="109"/>
        <v>44205.726803077639</v>
      </c>
      <c r="CC42">
        <f t="shared" si="109"/>
        <v>39120.11221511296</v>
      </c>
      <c r="CD42">
        <f t="shared" si="109"/>
        <v>34619.568331958377</v>
      </c>
      <c r="CE42">
        <f t="shared" si="109"/>
        <v>30636.786134476442</v>
      </c>
      <c r="CF42">
        <f t="shared" si="109"/>
        <v>27112.200119005702</v>
      </c>
      <c r="CG42">
        <f>SUM(AS42:CF42)</f>
        <v>27483752.306776911</v>
      </c>
    </row>
    <row r="45" spans="2:85" x14ac:dyDescent="0.25">
      <c r="AR45" t="s">
        <v>66</v>
      </c>
      <c r="AS45" s="2">
        <f>SUM(AS42:CF42)</f>
        <v>27483752.306776911</v>
      </c>
    </row>
    <row r="46" spans="2:85" x14ac:dyDescent="0.25">
      <c r="AR46" t="s">
        <v>65</v>
      </c>
      <c r="AS46">
        <f>SUM(AD42:AR42)</f>
        <v>27483752.310000006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BAD2-955A-4F03-BA07-1A966AD9705C}">
  <dimension ref="A8:L13"/>
  <sheetViews>
    <sheetView tabSelected="1" zoomScale="160" zoomScaleNormal="160" workbookViewId="0">
      <selection activeCell="G12" sqref="G12"/>
    </sheetView>
  </sheetViews>
  <sheetFormatPr defaultRowHeight="15" x14ac:dyDescent="0.25"/>
  <cols>
    <col min="5" max="6" width="11.85546875" customWidth="1"/>
    <col min="7" max="7" width="13.85546875" customWidth="1"/>
  </cols>
  <sheetData>
    <row r="8" spans="1:12" ht="27.75" customHeight="1" x14ac:dyDescent="0.25">
      <c r="A8" t="s">
        <v>41</v>
      </c>
      <c r="B8">
        <v>1000</v>
      </c>
      <c r="D8" s="6" t="s">
        <v>42</v>
      </c>
      <c r="E8" s="6" t="s">
        <v>43</v>
      </c>
      <c r="F8" s="6" t="s">
        <v>49</v>
      </c>
      <c r="G8" s="31" t="s">
        <v>44</v>
      </c>
      <c r="H8" s="31" t="s">
        <v>45</v>
      </c>
      <c r="I8" s="31" t="s">
        <v>50</v>
      </c>
      <c r="J8" s="31" t="s">
        <v>46</v>
      </c>
      <c r="K8" s="31" t="s">
        <v>47</v>
      </c>
      <c r="L8" s="31" t="s">
        <v>48</v>
      </c>
    </row>
    <row r="9" spans="1:12" x14ac:dyDescent="0.25">
      <c r="A9" t="s">
        <v>40</v>
      </c>
      <c r="B9">
        <v>4</v>
      </c>
      <c r="D9" s="6">
        <v>0</v>
      </c>
      <c r="E9">
        <v>1000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4">
        <v>1000</v>
      </c>
    </row>
    <row r="10" spans="1:12" x14ac:dyDescent="0.25">
      <c r="D10" s="6">
        <v>1</v>
      </c>
      <c r="E10" s="4">
        <f>L9</f>
        <v>1000</v>
      </c>
      <c r="F10" s="5">
        <v>0.15</v>
      </c>
      <c r="G10" s="4">
        <f>E10*F10</f>
        <v>150</v>
      </c>
      <c r="H10">
        <f>G10</f>
        <v>150</v>
      </c>
      <c r="I10" s="5">
        <v>0.15</v>
      </c>
      <c r="J10">
        <f>$E$9*I10</f>
        <v>150</v>
      </c>
      <c r="K10">
        <f>J10+H10</f>
        <v>300</v>
      </c>
      <c r="L10">
        <f>E10+G10-K10</f>
        <v>850</v>
      </c>
    </row>
    <row r="11" spans="1:12" x14ac:dyDescent="0.25">
      <c r="D11" s="6">
        <v>2</v>
      </c>
      <c r="E11">
        <f>L10</f>
        <v>850</v>
      </c>
      <c r="F11" s="5">
        <v>0.2</v>
      </c>
      <c r="G11" s="4">
        <f>E11*F11</f>
        <v>170</v>
      </c>
      <c r="H11">
        <f t="shared" ref="H11:H13" si="0">G11</f>
        <v>170</v>
      </c>
      <c r="I11" s="5">
        <v>0.25</v>
      </c>
      <c r="J11">
        <f>$E$9*I11</f>
        <v>250</v>
      </c>
      <c r="K11">
        <f t="shared" ref="K11:K13" si="1">J11+H11</f>
        <v>420</v>
      </c>
      <c r="L11">
        <f t="shared" ref="L11:L13" si="2">E11+G11-K11</f>
        <v>600</v>
      </c>
    </row>
    <row r="12" spans="1:12" x14ac:dyDescent="0.25">
      <c r="D12" s="6">
        <v>3</v>
      </c>
      <c r="E12">
        <f t="shared" ref="E12:E13" si="3">L11</f>
        <v>600</v>
      </c>
      <c r="F12" s="5">
        <v>0.2</v>
      </c>
      <c r="G12" s="4">
        <f>E12*F12</f>
        <v>120</v>
      </c>
      <c r="H12">
        <f t="shared" si="0"/>
        <v>120</v>
      </c>
      <c r="I12" s="5">
        <v>0.3</v>
      </c>
      <c r="J12">
        <f>E9*I12</f>
        <v>300</v>
      </c>
      <c r="K12">
        <f t="shared" si="1"/>
        <v>420</v>
      </c>
      <c r="L12">
        <f t="shared" si="2"/>
        <v>300</v>
      </c>
    </row>
    <row r="13" spans="1:12" x14ac:dyDescent="0.25">
      <c r="D13" s="6">
        <v>4</v>
      </c>
      <c r="E13">
        <f t="shared" si="3"/>
        <v>300</v>
      </c>
      <c r="F13" s="5">
        <v>0.15</v>
      </c>
      <c r="G13" s="4">
        <f>E13*F13</f>
        <v>45</v>
      </c>
      <c r="H13">
        <f t="shared" si="0"/>
        <v>45</v>
      </c>
      <c r="I13" s="5">
        <v>0.3</v>
      </c>
      <c r="J13">
        <f>E9*I13</f>
        <v>300</v>
      </c>
      <c r="K13">
        <f t="shared" si="1"/>
        <v>345</v>
      </c>
      <c r="L13" s="2">
        <f t="shared" si="2"/>
        <v>0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13CD8-A499-40BA-BA12-5E6C2EB8C74E}">
  <dimension ref="B6:M12"/>
  <sheetViews>
    <sheetView zoomScale="160" zoomScaleNormal="160" workbookViewId="0">
      <selection activeCell="L12" sqref="L12"/>
    </sheetView>
  </sheetViews>
  <sheetFormatPr defaultRowHeight="15" x14ac:dyDescent="0.25"/>
  <cols>
    <col min="8" max="8" width="10.28515625" customWidth="1"/>
    <col min="12" max="12" width="13.140625" bestFit="1" customWidth="1"/>
  </cols>
  <sheetData>
    <row r="6" spans="2:13" ht="30" customHeight="1" x14ac:dyDescent="0.25">
      <c r="B6" t="s">
        <v>51</v>
      </c>
      <c r="C6">
        <v>10000</v>
      </c>
      <c r="E6" s="31" t="s">
        <v>42</v>
      </c>
      <c r="F6" s="31" t="s">
        <v>43</v>
      </c>
      <c r="G6" s="31" t="s">
        <v>49</v>
      </c>
      <c r="H6" s="31" t="s">
        <v>44</v>
      </c>
      <c r="I6" s="31" t="s">
        <v>45</v>
      </c>
      <c r="J6" s="31" t="s">
        <v>46</v>
      </c>
      <c r="K6" s="31" t="s">
        <v>47</v>
      </c>
      <c r="L6" s="31" t="s">
        <v>48</v>
      </c>
    </row>
    <row r="7" spans="2:13" x14ac:dyDescent="0.25">
      <c r="B7" t="s">
        <v>40</v>
      </c>
      <c r="C7">
        <v>5</v>
      </c>
      <c r="E7" s="4">
        <v>0</v>
      </c>
      <c r="F7">
        <v>10000</v>
      </c>
      <c r="G7" s="1">
        <v>0</v>
      </c>
      <c r="I7">
        <v>0</v>
      </c>
      <c r="J7">
        <v>0</v>
      </c>
      <c r="K7">
        <v>0</v>
      </c>
      <c r="L7">
        <v>10000</v>
      </c>
    </row>
    <row r="8" spans="2:13" x14ac:dyDescent="0.25">
      <c r="B8" t="s">
        <v>52</v>
      </c>
      <c r="C8" s="1">
        <v>0.15</v>
      </c>
      <c r="E8" s="4">
        <v>1</v>
      </c>
      <c r="F8">
        <f>L7</f>
        <v>10000</v>
      </c>
      <c r="G8" s="1">
        <v>0.15</v>
      </c>
      <c r="H8">
        <f>F8*G8</f>
        <v>1500</v>
      </c>
      <c r="I8">
        <f>H8</f>
        <v>1500</v>
      </c>
      <c r="J8">
        <f>K8-I8</f>
        <v>1483.1555246152843</v>
      </c>
      <c r="K8">
        <f t="shared" ref="K8:K12" si="0">$C$11</f>
        <v>2983.1555246152843</v>
      </c>
      <c r="L8">
        <f>F8+H8-K8</f>
        <v>8516.8444753847161</v>
      </c>
    </row>
    <row r="9" spans="2:13" x14ac:dyDescent="0.25">
      <c r="E9" s="4">
        <v>2</v>
      </c>
      <c r="F9">
        <f>L8</f>
        <v>8516.8444753847161</v>
      </c>
      <c r="G9" s="1">
        <v>0.15</v>
      </c>
      <c r="H9">
        <f>F9*G9</f>
        <v>1277.5266713077074</v>
      </c>
      <c r="I9">
        <f>H9</f>
        <v>1277.5266713077074</v>
      </c>
      <c r="J9">
        <f>K9-I9</f>
        <v>1705.6288533075769</v>
      </c>
      <c r="K9">
        <f>$C$11</f>
        <v>2983.1555246152843</v>
      </c>
      <c r="L9">
        <f t="shared" ref="L9:L12" si="1">F9+H9-K9</f>
        <v>6811.2156220771394</v>
      </c>
    </row>
    <row r="10" spans="2:13" x14ac:dyDescent="0.25">
      <c r="E10" s="4">
        <v>3</v>
      </c>
      <c r="F10">
        <f t="shared" ref="F10:F12" si="2">L9</f>
        <v>6811.2156220771394</v>
      </c>
      <c r="G10" s="1">
        <v>0.15</v>
      </c>
      <c r="H10">
        <f t="shared" ref="H10:H12" si="3">F10*G10</f>
        <v>1021.6823433115709</v>
      </c>
      <c r="I10">
        <f t="shared" ref="I10:I12" si="4">H10</f>
        <v>1021.6823433115709</v>
      </c>
      <c r="J10">
        <f t="shared" ref="J10:J12" si="5">K10-I10</f>
        <v>1961.4731813037133</v>
      </c>
      <c r="K10">
        <f t="shared" si="0"/>
        <v>2983.1555246152843</v>
      </c>
      <c r="L10">
        <f t="shared" si="1"/>
        <v>4849.7424407734252</v>
      </c>
    </row>
    <row r="11" spans="2:13" x14ac:dyDescent="0.25">
      <c r="B11" t="s">
        <v>2</v>
      </c>
      <c r="C11">
        <f>C6*(C8/((1-(1+C8)^(-5))))</f>
        <v>2983.1555246152843</v>
      </c>
      <c r="E11" s="4">
        <v>4</v>
      </c>
      <c r="F11">
        <f t="shared" si="2"/>
        <v>4849.7424407734252</v>
      </c>
      <c r="G11" s="1">
        <v>0.15</v>
      </c>
      <c r="H11">
        <f t="shared" si="3"/>
        <v>727.46136611601378</v>
      </c>
      <c r="I11">
        <f t="shared" si="4"/>
        <v>727.46136611601378</v>
      </c>
      <c r="J11">
        <f t="shared" si="5"/>
        <v>2255.6941584992705</v>
      </c>
      <c r="K11">
        <f t="shared" si="0"/>
        <v>2983.1555246152843</v>
      </c>
      <c r="L11">
        <f t="shared" si="1"/>
        <v>2594.0482822741546</v>
      </c>
    </row>
    <row r="12" spans="2:13" x14ac:dyDescent="0.25">
      <c r="E12" s="4">
        <v>5</v>
      </c>
      <c r="F12">
        <f t="shared" si="2"/>
        <v>2594.0482822741546</v>
      </c>
      <c r="G12" s="1">
        <v>0.15</v>
      </c>
      <c r="H12">
        <f t="shared" si="3"/>
        <v>389.1072423411232</v>
      </c>
      <c r="I12">
        <f t="shared" si="4"/>
        <v>389.1072423411232</v>
      </c>
      <c r="J12">
        <f t="shared" si="5"/>
        <v>2594.048282274161</v>
      </c>
      <c r="K12">
        <f t="shared" si="0"/>
        <v>2983.1555246152843</v>
      </c>
      <c r="L12" s="2">
        <f t="shared" si="1"/>
        <v>-6.3664629124104977E-12</v>
      </c>
      <c r="M12" t="s">
        <v>53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A5BC8-02E7-43D4-B8CC-BEC8C4342AB0}">
  <dimension ref="A6:K12"/>
  <sheetViews>
    <sheetView zoomScale="160" zoomScaleNormal="160" workbookViewId="0">
      <selection activeCell="G16" sqref="G16"/>
    </sheetView>
  </sheetViews>
  <sheetFormatPr defaultRowHeight="15" x14ac:dyDescent="0.25"/>
  <cols>
    <col min="6" max="6" width="9.28515625" customWidth="1"/>
    <col min="7" max="7" width="11" customWidth="1"/>
    <col min="10" max="10" width="9.5703125" customWidth="1"/>
  </cols>
  <sheetData>
    <row r="6" spans="1:11" ht="30.75" customHeight="1" x14ac:dyDescent="0.25">
      <c r="D6" s="31" t="s">
        <v>42</v>
      </c>
      <c r="E6" s="31" t="s">
        <v>43</v>
      </c>
      <c r="F6" s="31" t="s">
        <v>49</v>
      </c>
      <c r="G6" s="31" t="s">
        <v>44</v>
      </c>
      <c r="H6" s="31" t="s">
        <v>45</v>
      </c>
      <c r="I6" s="31" t="s">
        <v>46</v>
      </c>
      <c r="J6" s="31" t="s">
        <v>47</v>
      </c>
      <c r="K6" s="31" t="s">
        <v>48</v>
      </c>
    </row>
    <row r="7" spans="1:11" x14ac:dyDescent="0.25">
      <c r="D7" s="6">
        <v>0</v>
      </c>
      <c r="E7">
        <v>10000</v>
      </c>
      <c r="F7" s="5">
        <v>0</v>
      </c>
      <c r="G7">
        <f>E7*F7</f>
        <v>0</v>
      </c>
      <c r="H7">
        <v>0</v>
      </c>
      <c r="I7" s="4">
        <v>0</v>
      </c>
      <c r="J7">
        <v>0</v>
      </c>
      <c r="K7">
        <v>10000</v>
      </c>
    </row>
    <row r="8" spans="1:11" x14ac:dyDescent="0.25">
      <c r="A8" t="s">
        <v>41</v>
      </c>
      <c r="B8">
        <v>10000</v>
      </c>
      <c r="D8" s="6">
        <v>1</v>
      </c>
      <c r="E8">
        <f>K7</f>
        <v>10000</v>
      </c>
      <c r="F8" s="5">
        <f>$B$10</f>
        <v>0.15</v>
      </c>
      <c r="G8">
        <f>E8*F8</f>
        <v>1500</v>
      </c>
      <c r="H8">
        <f>G8</f>
        <v>1500</v>
      </c>
      <c r="I8" s="4">
        <f>$B$12</f>
        <v>2000</v>
      </c>
      <c r="J8">
        <f>I8+H8</f>
        <v>3500</v>
      </c>
      <c r="K8">
        <f>E8+G8-J8</f>
        <v>8000</v>
      </c>
    </row>
    <row r="9" spans="1:11" x14ac:dyDescent="0.25">
      <c r="A9" t="s">
        <v>40</v>
      </c>
      <c r="B9">
        <v>5</v>
      </c>
      <c r="D9" s="6">
        <v>2</v>
      </c>
      <c r="E9">
        <f t="shared" ref="E9:E12" si="0">K8</f>
        <v>8000</v>
      </c>
      <c r="F9" s="5">
        <f t="shared" ref="F9:F12" si="1">$B$10</f>
        <v>0.15</v>
      </c>
      <c r="G9">
        <f t="shared" ref="G9:G12" si="2">E9*F9</f>
        <v>1200</v>
      </c>
      <c r="H9">
        <f t="shared" ref="H9:H12" si="3">G9</f>
        <v>1200</v>
      </c>
      <c r="I9" s="4">
        <f t="shared" ref="I9:I12" si="4">$B$12</f>
        <v>2000</v>
      </c>
      <c r="J9">
        <f t="shared" ref="J9:J12" si="5">I9+H9</f>
        <v>3200</v>
      </c>
      <c r="K9">
        <f t="shared" ref="K9:K12" si="6">E9+G9-J9</f>
        <v>6000</v>
      </c>
    </row>
    <row r="10" spans="1:11" x14ac:dyDescent="0.25">
      <c r="A10" t="s">
        <v>52</v>
      </c>
      <c r="B10" s="1">
        <v>0.15</v>
      </c>
      <c r="D10" s="6">
        <v>3</v>
      </c>
      <c r="E10">
        <f t="shared" si="0"/>
        <v>6000</v>
      </c>
      <c r="F10" s="5">
        <f t="shared" si="1"/>
        <v>0.15</v>
      </c>
      <c r="G10">
        <f t="shared" si="2"/>
        <v>900</v>
      </c>
      <c r="H10">
        <f t="shared" si="3"/>
        <v>900</v>
      </c>
      <c r="I10" s="4">
        <f t="shared" si="4"/>
        <v>2000</v>
      </c>
      <c r="J10">
        <f t="shared" si="5"/>
        <v>2900</v>
      </c>
      <c r="K10">
        <f t="shared" si="6"/>
        <v>4000</v>
      </c>
    </row>
    <row r="11" spans="1:11" x14ac:dyDescent="0.25">
      <c r="D11" s="6">
        <v>4</v>
      </c>
      <c r="E11">
        <f t="shared" si="0"/>
        <v>4000</v>
      </c>
      <c r="F11" s="5">
        <f t="shared" si="1"/>
        <v>0.15</v>
      </c>
      <c r="G11">
        <f t="shared" si="2"/>
        <v>600</v>
      </c>
      <c r="H11">
        <f>G11</f>
        <v>600</v>
      </c>
      <c r="I11" s="4">
        <f t="shared" si="4"/>
        <v>2000</v>
      </c>
      <c r="J11">
        <f t="shared" si="5"/>
        <v>2600</v>
      </c>
      <c r="K11">
        <f t="shared" si="6"/>
        <v>2000</v>
      </c>
    </row>
    <row r="12" spans="1:11" x14ac:dyDescent="0.25">
      <c r="A12" t="s">
        <v>2</v>
      </c>
      <c r="B12">
        <f>B8/B9</f>
        <v>2000</v>
      </c>
      <c r="D12" s="6">
        <v>5</v>
      </c>
      <c r="E12">
        <f t="shared" si="0"/>
        <v>2000</v>
      </c>
      <c r="F12" s="5">
        <f t="shared" si="1"/>
        <v>0.15</v>
      </c>
      <c r="G12">
        <f t="shared" si="2"/>
        <v>300</v>
      </c>
      <c r="H12">
        <f t="shared" si="3"/>
        <v>300</v>
      </c>
      <c r="I12" s="4">
        <f t="shared" si="4"/>
        <v>2000</v>
      </c>
      <c r="J12">
        <f t="shared" si="5"/>
        <v>2300</v>
      </c>
      <c r="K12" s="2">
        <f t="shared" si="6"/>
        <v>0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47BD5-E75E-478F-9753-E3E7B8E955A0}">
  <dimension ref="A3:L15"/>
  <sheetViews>
    <sheetView zoomScale="205" zoomScaleNormal="205" workbookViewId="0">
      <selection activeCell="K14" sqref="K14"/>
    </sheetView>
  </sheetViews>
  <sheetFormatPr defaultRowHeight="15" x14ac:dyDescent="0.25"/>
  <cols>
    <col min="6" max="6" width="8.85546875" customWidth="1"/>
    <col min="7" max="7" width="10.7109375" customWidth="1"/>
  </cols>
  <sheetData>
    <row r="3" spans="1:12" x14ac:dyDescent="0.25">
      <c r="L3" t="s">
        <v>55</v>
      </c>
    </row>
    <row r="5" spans="1:12" ht="29.25" customHeight="1" x14ac:dyDescent="0.25">
      <c r="A5" t="s">
        <v>41</v>
      </c>
      <c r="B5">
        <v>10000</v>
      </c>
      <c r="D5" s="31" t="s">
        <v>42</v>
      </c>
      <c r="E5" s="31" t="s">
        <v>43</v>
      </c>
      <c r="F5" s="31" t="s">
        <v>49</v>
      </c>
      <c r="G5" s="31" t="s">
        <v>44</v>
      </c>
      <c r="H5" s="31" t="s">
        <v>45</v>
      </c>
      <c r="I5" s="31" t="s">
        <v>46</v>
      </c>
      <c r="J5" s="31" t="s">
        <v>47</v>
      </c>
      <c r="K5" s="31" t="s">
        <v>48</v>
      </c>
    </row>
    <row r="6" spans="1:12" x14ac:dyDescent="0.25">
      <c r="A6" t="s">
        <v>40</v>
      </c>
      <c r="B6">
        <v>5</v>
      </c>
      <c r="D6">
        <v>0</v>
      </c>
      <c r="E6">
        <v>10000</v>
      </c>
      <c r="F6" s="1">
        <v>0</v>
      </c>
      <c r="G6">
        <v>0</v>
      </c>
      <c r="H6">
        <v>0</v>
      </c>
      <c r="I6">
        <v>0</v>
      </c>
      <c r="J6">
        <v>0</v>
      </c>
      <c r="K6">
        <v>10000</v>
      </c>
    </row>
    <row r="7" spans="1:12" x14ac:dyDescent="0.25">
      <c r="A7" t="s">
        <v>54</v>
      </c>
      <c r="B7" s="1">
        <v>0.12</v>
      </c>
      <c r="D7">
        <v>1</v>
      </c>
      <c r="E7">
        <f>K6</f>
        <v>10000</v>
      </c>
      <c r="F7" s="1">
        <f>$B$7</f>
        <v>0.12</v>
      </c>
      <c r="G7">
        <f>E7*F7</f>
        <v>1200</v>
      </c>
      <c r="H7" s="32">
        <v>1200</v>
      </c>
      <c r="I7">
        <v>0</v>
      </c>
      <c r="J7">
        <f>I7+H7</f>
        <v>1200</v>
      </c>
      <c r="K7">
        <f>E7+G7-J7</f>
        <v>10000</v>
      </c>
    </row>
    <row r="8" spans="1:12" x14ac:dyDescent="0.25">
      <c r="D8">
        <v>2</v>
      </c>
      <c r="E8">
        <f t="shared" ref="E8:E11" si="0">K7</f>
        <v>10000</v>
      </c>
      <c r="F8" s="1">
        <f t="shared" ref="F8:F11" si="1">$B$7</f>
        <v>0.12</v>
      </c>
      <c r="G8">
        <f t="shared" ref="G8:G11" si="2">E8*F8</f>
        <v>1200</v>
      </c>
      <c r="H8">
        <f t="shared" ref="H8:H11" si="3">G8</f>
        <v>1200</v>
      </c>
      <c r="I8">
        <f>B9</f>
        <v>2500</v>
      </c>
      <c r="J8">
        <f t="shared" ref="J8:J11" si="4">I8+H8</f>
        <v>3700</v>
      </c>
      <c r="K8">
        <f t="shared" ref="K8:K11" si="5">E8+G8-J8</f>
        <v>7500</v>
      </c>
    </row>
    <row r="9" spans="1:12" x14ac:dyDescent="0.25">
      <c r="A9" t="s">
        <v>2</v>
      </c>
      <c r="B9">
        <f>B5/(B6-1)</f>
        <v>2500</v>
      </c>
      <c r="D9">
        <v>3</v>
      </c>
      <c r="E9">
        <f t="shared" si="0"/>
        <v>7500</v>
      </c>
      <c r="F9" s="1">
        <f t="shared" si="1"/>
        <v>0.12</v>
      </c>
      <c r="G9">
        <f t="shared" si="2"/>
        <v>900</v>
      </c>
      <c r="H9">
        <f t="shared" si="3"/>
        <v>900</v>
      </c>
      <c r="I9">
        <v>2500</v>
      </c>
      <c r="J9">
        <f t="shared" si="4"/>
        <v>3400</v>
      </c>
      <c r="K9">
        <f t="shared" si="5"/>
        <v>5000</v>
      </c>
    </row>
    <row r="10" spans="1:12" x14ac:dyDescent="0.25">
      <c r="B10" t="s">
        <v>56</v>
      </c>
      <c r="D10">
        <v>4</v>
      </c>
      <c r="E10">
        <f t="shared" si="0"/>
        <v>5000</v>
      </c>
      <c r="F10" s="1">
        <f t="shared" si="1"/>
        <v>0.12</v>
      </c>
      <c r="G10">
        <f t="shared" si="2"/>
        <v>600</v>
      </c>
      <c r="H10">
        <f t="shared" si="3"/>
        <v>600</v>
      </c>
      <c r="I10">
        <v>2500</v>
      </c>
      <c r="J10">
        <f t="shared" si="4"/>
        <v>3100</v>
      </c>
      <c r="K10">
        <f t="shared" si="5"/>
        <v>2500</v>
      </c>
    </row>
    <row r="11" spans="1:12" x14ac:dyDescent="0.25">
      <c r="D11">
        <v>5</v>
      </c>
      <c r="E11">
        <f t="shared" si="0"/>
        <v>2500</v>
      </c>
      <c r="F11" s="1">
        <f t="shared" si="1"/>
        <v>0.12</v>
      </c>
      <c r="G11">
        <f t="shared" si="2"/>
        <v>300</v>
      </c>
      <c r="H11">
        <f t="shared" si="3"/>
        <v>300</v>
      </c>
      <c r="I11">
        <v>2500</v>
      </c>
      <c r="J11">
        <f t="shared" si="4"/>
        <v>2800</v>
      </c>
      <c r="K11" s="2">
        <f t="shared" si="5"/>
        <v>0</v>
      </c>
    </row>
    <row r="13" spans="1:12" x14ac:dyDescent="0.25">
      <c r="E13" t="s">
        <v>120</v>
      </c>
    </row>
    <row r="14" spans="1:12" x14ac:dyDescent="0.25">
      <c r="D14">
        <v>1</v>
      </c>
      <c r="E14">
        <v>10000</v>
      </c>
      <c r="F14">
        <v>1200</v>
      </c>
      <c r="J14">
        <v>11200</v>
      </c>
    </row>
    <row r="15" spans="1:12" x14ac:dyDescent="0.25">
      <c r="D15">
        <v>2</v>
      </c>
      <c r="E15">
        <f>J14</f>
        <v>11200</v>
      </c>
      <c r="F15">
        <f>E15*F7</f>
        <v>1344</v>
      </c>
      <c r="G15">
        <f>F15</f>
        <v>1344</v>
      </c>
      <c r="H15" s="2">
        <f>J14/4</f>
        <v>2800</v>
      </c>
      <c r="I15">
        <f>G15+H15</f>
        <v>4144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0BD4-0451-42DD-B84F-3B9637F323EF}">
  <dimension ref="B10:I15"/>
  <sheetViews>
    <sheetView zoomScale="175" zoomScaleNormal="175" workbookViewId="0">
      <selection activeCell="I19" sqref="I19"/>
    </sheetView>
  </sheetViews>
  <sheetFormatPr defaultRowHeight="15" x14ac:dyDescent="0.25"/>
  <cols>
    <col min="2" max="2" width="15.140625" customWidth="1"/>
    <col min="4" max="4" width="10.5703125" customWidth="1"/>
    <col min="6" max="6" width="13" customWidth="1"/>
  </cols>
  <sheetData>
    <row r="10" spans="2:9" x14ac:dyDescent="0.25">
      <c r="B10" t="s">
        <v>42</v>
      </c>
      <c r="C10">
        <v>0</v>
      </c>
      <c r="E10">
        <v>1</v>
      </c>
      <c r="G10">
        <v>2</v>
      </c>
      <c r="I10">
        <v>3</v>
      </c>
    </row>
    <row r="11" spans="2:9" x14ac:dyDescent="0.25">
      <c r="B11" t="s">
        <v>57</v>
      </c>
      <c r="C11">
        <v>1</v>
      </c>
      <c r="E11" s="2">
        <f>C11*(1+D12)</f>
        <v>1.18</v>
      </c>
      <c r="G11" s="2">
        <f>E11*(1+F12)</f>
        <v>1.3216000000000001</v>
      </c>
      <c r="I11">
        <v>5.57</v>
      </c>
    </row>
    <row r="12" spans="2:9" x14ac:dyDescent="0.25">
      <c r="B12" t="s">
        <v>58</v>
      </c>
      <c r="D12" s="1">
        <v>0.18</v>
      </c>
      <c r="F12" s="1">
        <v>0.12</v>
      </c>
      <c r="H12" s="2">
        <f>I11/G11/100</f>
        <v>4.2145883777239712E-2</v>
      </c>
    </row>
    <row r="13" spans="2:9" x14ac:dyDescent="0.25">
      <c r="B13" t="s">
        <v>26</v>
      </c>
      <c r="D13" s="1">
        <v>0.06</v>
      </c>
      <c r="F13" s="3">
        <v>0.01</v>
      </c>
      <c r="H13" s="1">
        <v>0.11</v>
      </c>
    </row>
    <row r="14" spans="2:9" x14ac:dyDescent="0.25">
      <c r="B14" t="s">
        <v>59</v>
      </c>
      <c r="D14" s="29">
        <f>((1+D12)/(1+D13))-1</f>
        <v>0.1132075471698113</v>
      </c>
      <c r="F14" s="1">
        <v>0.06</v>
      </c>
      <c r="H14">
        <f>((1+H12)/(1+H13))-1</f>
        <v>-6.1129834434919261E-2</v>
      </c>
    </row>
    <row r="15" spans="2:9" x14ac:dyDescent="0.25">
      <c r="B15" t="s">
        <v>60</v>
      </c>
      <c r="C15">
        <v>1</v>
      </c>
      <c r="E15" s="2">
        <f>C15*(1+D14)</f>
        <v>1.1132075471698113</v>
      </c>
      <c r="G15" s="2"/>
      <c r="H15" s="2"/>
      <c r="I15" s="2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82090-6A1E-43FD-AEE4-111472A01453}">
  <dimension ref="A6:AB16"/>
  <sheetViews>
    <sheetView zoomScale="145" zoomScaleNormal="145" workbookViewId="0">
      <selection activeCell="C16" sqref="C16"/>
    </sheetView>
  </sheetViews>
  <sheetFormatPr defaultRowHeight="15" x14ac:dyDescent="0.25"/>
  <cols>
    <col min="2" max="2" width="12.140625" customWidth="1"/>
  </cols>
  <sheetData>
    <row r="6" spans="1:28" x14ac:dyDescent="0.25">
      <c r="A6" t="s">
        <v>41</v>
      </c>
      <c r="B6">
        <v>2000</v>
      </c>
      <c r="E6" t="s">
        <v>69</v>
      </c>
    </row>
    <row r="7" spans="1:28" x14ac:dyDescent="0.25">
      <c r="A7" t="s">
        <v>54</v>
      </c>
      <c r="B7" s="1">
        <v>0.1</v>
      </c>
    </row>
    <row r="8" spans="1:28" x14ac:dyDescent="0.25">
      <c r="A8" t="s">
        <v>61</v>
      </c>
      <c r="B8">
        <f>B7/12</f>
        <v>8.3333333333333332E-3</v>
      </c>
      <c r="C8">
        <f>0.1/12</f>
        <v>8.3333333333333332E-3</v>
      </c>
    </row>
    <row r="9" spans="1:28" x14ac:dyDescent="0.25">
      <c r="B9" s="28">
        <v>8.3332999999999996E-5</v>
      </c>
      <c r="D9">
        <v>0</v>
      </c>
      <c r="E9">
        <v>1</v>
      </c>
      <c r="F9">
        <v>2</v>
      </c>
      <c r="G9">
        <v>3</v>
      </c>
      <c r="H9">
        <v>4</v>
      </c>
      <c r="I9">
        <v>5</v>
      </c>
      <c r="J9">
        <v>6</v>
      </c>
      <c r="K9">
        <v>7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S9">
        <v>15</v>
      </c>
      <c r="T9">
        <v>16</v>
      </c>
      <c r="U9">
        <v>17</v>
      </c>
      <c r="V9">
        <v>18</v>
      </c>
      <c r="W9">
        <v>19</v>
      </c>
      <c r="X9">
        <v>20</v>
      </c>
      <c r="Y9">
        <v>21</v>
      </c>
      <c r="Z9">
        <v>22</v>
      </c>
      <c r="AA9">
        <v>23</v>
      </c>
      <c r="AB9">
        <v>24</v>
      </c>
    </row>
    <row r="10" spans="1:28" x14ac:dyDescent="0.25">
      <c r="C10" t="s">
        <v>13</v>
      </c>
      <c r="D10" s="2">
        <f>$C$13</f>
        <v>88.218924213350277</v>
      </c>
      <c r="E10" s="2">
        <f t="shared" ref="E10:AB10" si="0">$C$13</f>
        <v>88.218924213350277</v>
      </c>
      <c r="F10" s="2">
        <f t="shared" si="0"/>
        <v>88.218924213350277</v>
      </c>
      <c r="G10" s="2">
        <f t="shared" si="0"/>
        <v>88.218924213350277</v>
      </c>
      <c r="H10" s="2">
        <f t="shared" si="0"/>
        <v>88.218924213350277</v>
      </c>
      <c r="I10" s="2">
        <f t="shared" si="0"/>
        <v>88.218924213350277</v>
      </c>
      <c r="J10" s="2">
        <f t="shared" si="0"/>
        <v>88.218924213350277</v>
      </c>
      <c r="K10" s="2">
        <f t="shared" si="0"/>
        <v>88.218924213350277</v>
      </c>
      <c r="L10" s="2">
        <f t="shared" si="0"/>
        <v>88.218924213350277</v>
      </c>
      <c r="M10" s="2">
        <f t="shared" si="0"/>
        <v>88.218924213350277</v>
      </c>
      <c r="N10" s="2">
        <f t="shared" si="0"/>
        <v>88.218924213350277</v>
      </c>
      <c r="O10" s="2">
        <f t="shared" si="0"/>
        <v>88.218924213350277</v>
      </c>
      <c r="P10" s="2">
        <f t="shared" si="0"/>
        <v>88.218924213350277</v>
      </c>
      <c r="Q10" s="2">
        <f t="shared" si="0"/>
        <v>88.218924213350277</v>
      </c>
      <c r="R10" s="2">
        <f t="shared" si="0"/>
        <v>88.218924213350277</v>
      </c>
      <c r="S10" s="2">
        <f t="shared" si="0"/>
        <v>88.218924213350277</v>
      </c>
      <c r="T10" s="2">
        <f t="shared" si="0"/>
        <v>88.218924213350277</v>
      </c>
      <c r="U10" s="2">
        <f t="shared" si="0"/>
        <v>88.218924213350277</v>
      </c>
      <c r="V10" s="2">
        <f t="shared" si="0"/>
        <v>88.218924213350277</v>
      </c>
      <c r="W10" s="2">
        <f t="shared" si="0"/>
        <v>88.218924213350277</v>
      </c>
      <c r="X10" s="2">
        <f t="shared" si="0"/>
        <v>88.218924213350277</v>
      </c>
      <c r="Y10" s="2">
        <f t="shared" si="0"/>
        <v>88.218924213350277</v>
      </c>
      <c r="Z10" s="2">
        <f t="shared" si="0"/>
        <v>88.218924213350277</v>
      </c>
      <c r="AA10" s="2">
        <f t="shared" si="0"/>
        <v>88.218924213350277</v>
      </c>
      <c r="AB10" s="2">
        <f t="shared" si="0"/>
        <v>88.218924213350277</v>
      </c>
    </row>
    <row r="11" spans="1:28" x14ac:dyDescent="0.25">
      <c r="C11" t="s">
        <v>3</v>
      </c>
      <c r="D11">
        <f>D10*(1+$B$8)^($AB$9-D9)</f>
        <v>107.66157773224813</v>
      </c>
      <c r="E11">
        <f>E10*(1+$B$8)^($AB$9-E9)</f>
        <v>106.77181262702294</v>
      </c>
      <c r="F11">
        <f t="shared" ref="F11:AB11" si="1">F10*(1+$B$8)^($AB$9-F9)</f>
        <v>105.88940095241946</v>
      </c>
      <c r="G11">
        <f t="shared" si="1"/>
        <v>105.01428193628374</v>
      </c>
      <c r="H11">
        <f t="shared" si="1"/>
        <v>104.14639530871116</v>
      </c>
      <c r="I11">
        <f t="shared" si="1"/>
        <v>103.28568129789538</v>
      </c>
      <c r="J11">
        <f t="shared" si="1"/>
        <v>102.43208062601197</v>
      </c>
      <c r="K11">
        <f t="shared" si="1"/>
        <v>101.58553450513581</v>
      </c>
      <c r="L11">
        <f t="shared" si="1"/>
        <v>100.74598463319255</v>
      </c>
      <c r="M11">
        <f t="shared" si="1"/>
        <v>99.91337318994303</v>
      </c>
      <c r="N11">
        <f t="shared" si="1"/>
        <v>99.087642833001354</v>
      </c>
      <c r="O11">
        <f t="shared" si="1"/>
        <v>98.268736693885629</v>
      </c>
      <c r="P11">
        <f t="shared" si="1"/>
        <v>97.456598374101475</v>
      </c>
      <c r="Q11">
        <f t="shared" si="1"/>
        <v>96.651171941257658</v>
      </c>
      <c r="R11">
        <f t="shared" si="1"/>
        <v>95.85240192521421</v>
      </c>
      <c r="S11">
        <f t="shared" si="1"/>
        <v>95.060233314262035</v>
      </c>
      <c r="T11">
        <f t="shared" si="1"/>
        <v>94.27461155133426</v>
      </c>
      <c r="U11">
        <f t="shared" si="1"/>
        <v>93.495482530248836</v>
      </c>
      <c r="V11">
        <f t="shared" si="1"/>
        <v>92.722792591982341</v>
      </c>
      <c r="W11">
        <f t="shared" si="1"/>
        <v>91.956488520974204</v>
      </c>
      <c r="X11">
        <f t="shared" si="1"/>
        <v>91.196517541462029</v>
      </c>
      <c r="Y11">
        <f t="shared" si="1"/>
        <v>90.442827313846649</v>
      </c>
      <c r="Z11">
        <f t="shared" si="1"/>
        <v>89.695365931087593</v>
      </c>
      <c r="AA11">
        <f t="shared" si="1"/>
        <v>88.954081915128199</v>
      </c>
      <c r="AB11">
        <f t="shared" si="1"/>
        <v>88.218924213350277</v>
      </c>
    </row>
    <row r="13" spans="1:28" x14ac:dyDescent="0.25">
      <c r="B13" t="s">
        <v>70</v>
      </c>
      <c r="C13">
        <v>88.218924213350277</v>
      </c>
    </row>
    <row r="14" spans="1:28" x14ac:dyDescent="0.25">
      <c r="C14" t="s">
        <v>4</v>
      </c>
    </row>
    <row r="15" spans="1:28" x14ac:dyDescent="0.25">
      <c r="B15" t="s">
        <v>65</v>
      </c>
      <c r="C15">
        <f>SUM(D11:AB11)</f>
        <v>2440.7800000000011</v>
      </c>
    </row>
    <row r="16" spans="1:28" x14ac:dyDescent="0.25">
      <c r="B16" t="s">
        <v>66</v>
      </c>
      <c r="C16">
        <f>B6*(1+B8)^(24)</f>
        <v>2440.7819227511181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A4752-212B-4AE4-A796-793D5C015C6F}">
  <dimension ref="A6:G9"/>
  <sheetViews>
    <sheetView zoomScale="175" zoomScaleNormal="175" workbookViewId="0">
      <selection activeCell="J7" sqref="J7"/>
    </sheetView>
  </sheetViews>
  <sheetFormatPr defaultRowHeight="15" x14ac:dyDescent="0.25"/>
  <sheetData>
    <row r="6" spans="1:7" x14ac:dyDescent="0.25">
      <c r="C6">
        <v>0</v>
      </c>
      <c r="D6">
        <v>1</v>
      </c>
      <c r="E6">
        <v>2</v>
      </c>
      <c r="F6">
        <v>3</v>
      </c>
      <c r="G6" t="s">
        <v>4</v>
      </c>
    </row>
    <row r="7" spans="1:7" x14ac:dyDescent="0.25">
      <c r="A7" t="s">
        <v>54</v>
      </c>
      <c r="B7" s="28">
        <v>8.2000000000000003E-2</v>
      </c>
      <c r="C7" s="2">
        <f>G8/((1+B7)^(3))</f>
        <v>5135.6501066774345</v>
      </c>
      <c r="D7">
        <v>2000</v>
      </c>
      <c r="E7">
        <v>2000</v>
      </c>
      <c r="F7">
        <v>2000</v>
      </c>
    </row>
    <row r="8" spans="1:7" x14ac:dyDescent="0.25">
      <c r="A8" t="s">
        <v>3</v>
      </c>
      <c r="D8">
        <f>D7*(1+$B$7)^($F$6-D6)</f>
        <v>2341.4480000000003</v>
      </c>
      <c r="E8">
        <f t="shared" ref="E8:F8" si="0">E7*(1+$B$7)^($F$6-E6)</f>
        <v>2164</v>
      </c>
      <c r="F8">
        <f t="shared" si="0"/>
        <v>2000</v>
      </c>
      <c r="G8">
        <f>SUM(D8:F8)</f>
        <v>6505.4480000000003</v>
      </c>
    </row>
    <row r="9" spans="1:7" x14ac:dyDescent="0.25">
      <c r="A9" t="s">
        <v>13</v>
      </c>
      <c r="D9">
        <f>D7/((1+$B$7)^(D6))</f>
        <v>1848.4288354898335</v>
      </c>
      <c r="E9">
        <f t="shared" ref="E9:F9" si="1">E7/((1+$B$7)^(E6))</f>
        <v>1708.3445799351512</v>
      </c>
      <c r="F9">
        <f t="shared" si="1"/>
        <v>1578.87669125245</v>
      </c>
      <c r="G9" s="2">
        <f>SUM(D9:F9)</f>
        <v>5135.6501066774345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884B2-0C0A-4FC7-AD0F-165867150FEB}">
  <dimension ref="A7:BX18"/>
  <sheetViews>
    <sheetView zoomScale="145" zoomScaleNormal="145" workbookViewId="0">
      <selection activeCell="H19" sqref="H19"/>
    </sheetView>
  </sheetViews>
  <sheetFormatPr defaultRowHeight="15" x14ac:dyDescent="0.25"/>
  <sheetData>
    <row r="7" spans="1:76" x14ac:dyDescent="0.25">
      <c r="A7" t="s">
        <v>41</v>
      </c>
      <c r="B7">
        <v>2000</v>
      </c>
      <c r="D7">
        <v>0</v>
      </c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 t="s">
        <v>4</v>
      </c>
    </row>
    <row r="8" spans="1:76" x14ac:dyDescent="0.25">
      <c r="A8" t="s">
        <v>54</v>
      </c>
      <c r="B8" s="1">
        <v>0.04</v>
      </c>
      <c r="C8" t="s">
        <v>13</v>
      </c>
      <c r="D8">
        <v>2000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76" x14ac:dyDescent="0.25">
      <c r="A9" t="s">
        <v>62</v>
      </c>
      <c r="B9">
        <f>B8/12</f>
        <v>3.3333333333333335E-3</v>
      </c>
      <c r="C9" t="s">
        <v>3</v>
      </c>
      <c r="L9" t="s">
        <v>65</v>
      </c>
    </row>
    <row r="10" spans="1:76" x14ac:dyDescent="0.25">
      <c r="K10">
        <v>5000</v>
      </c>
      <c r="L10" t="s">
        <v>66</v>
      </c>
    </row>
    <row r="12" spans="1:76" x14ac:dyDescent="0.25">
      <c r="A12" t="s">
        <v>62</v>
      </c>
      <c r="B12" t="s">
        <v>67</v>
      </c>
      <c r="D12">
        <v>0</v>
      </c>
      <c r="E12">
        <v>1</v>
      </c>
      <c r="F12">
        <v>2</v>
      </c>
      <c r="G12">
        <v>3</v>
      </c>
      <c r="H12">
        <v>4</v>
      </c>
      <c r="I12">
        <v>5</v>
      </c>
      <c r="J12">
        <v>6</v>
      </c>
      <c r="K12">
        <v>7</v>
      </c>
      <c r="L12">
        <v>8</v>
      </c>
      <c r="M12">
        <v>9</v>
      </c>
      <c r="N12">
        <v>10</v>
      </c>
      <c r="O12">
        <v>11</v>
      </c>
      <c r="P12">
        <v>12</v>
      </c>
      <c r="Q12">
        <v>13</v>
      </c>
      <c r="R12">
        <v>14</v>
      </c>
      <c r="S12">
        <v>15</v>
      </c>
      <c r="T12">
        <v>16</v>
      </c>
      <c r="U12">
        <v>17</v>
      </c>
      <c r="V12">
        <v>18</v>
      </c>
      <c r="W12">
        <v>19</v>
      </c>
      <c r="X12">
        <v>20</v>
      </c>
      <c r="Y12">
        <v>21</v>
      </c>
      <c r="Z12">
        <v>22</v>
      </c>
      <c r="AA12">
        <v>23</v>
      </c>
      <c r="AB12">
        <v>24</v>
      </c>
      <c r="AC12">
        <v>25</v>
      </c>
      <c r="AD12">
        <v>26</v>
      </c>
      <c r="AE12">
        <v>27</v>
      </c>
      <c r="AF12">
        <v>28</v>
      </c>
      <c r="AG12">
        <v>29</v>
      </c>
      <c r="AH12">
        <v>30</v>
      </c>
      <c r="AI12">
        <v>31</v>
      </c>
      <c r="AJ12">
        <v>32</v>
      </c>
      <c r="AK12">
        <v>33</v>
      </c>
      <c r="AL12">
        <v>34</v>
      </c>
      <c r="AM12">
        <v>35</v>
      </c>
      <c r="AN12">
        <v>36</v>
      </c>
      <c r="AO12">
        <v>37</v>
      </c>
      <c r="AP12">
        <v>38</v>
      </c>
      <c r="AQ12">
        <v>39</v>
      </c>
      <c r="AR12">
        <v>40</v>
      </c>
      <c r="AS12">
        <v>41</v>
      </c>
      <c r="AT12">
        <v>42</v>
      </c>
      <c r="AU12">
        <v>43</v>
      </c>
      <c r="AV12">
        <v>44</v>
      </c>
      <c r="AW12">
        <v>45</v>
      </c>
      <c r="AX12">
        <v>46</v>
      </c>
      <c r="AY12">
        <v>47</v>
      </c>
      <c r="AZ12">
        <v>48</v>
      </c>
      <c r="BA12">
        <v>49</v>
      </c>
      <c r="BB12">
        <v>50</v>
      </c>
      <c r="BC12">
        <v>51</v>
      </c>
      <c r="BD12">
        <v>52</v>
      </c>
      <c r="BE12">
        <v>53</v>
      </c>
      <c r="BF12">
        <v>54</v>
      </c>
      <c r="BG12">
        <v>55</v>
      </c>
      <c r="BH12">
        <v>56</v>
      </c>
      <c r="BI12">
        <v>57</v>
      </c>
      <c r="BJ12">
        <v>58</v>
      </c>
      <c r="BK12">
        <v>59</v>
      </c>
      <c r="BL12">
        <v>60</v>
      </c>
      <c r="BM12">
        <v>61</v>
      </c>
      <c r="BN12">
        <v>62</v>
      </c>
      <c r="BO12">
        <v>63</v>
      </c>
      <c r="BP12">
        <v>64</v>
      </c>
      <c r="BQ12">
        <v>65</v>
      </c>
      <c r="BR12">
        <v>66</v>
      </c>
      <c r="BS12">
        <v>67</v>
      </c>
      <c r="BT12">
        <v>68</v>
      </c>
      <c r="BU12">
        <v>69</v>
      </c>
      <c r="BV12">
        <v>70</v>
      </c>
      <c r="BW12">
        <v>71</v>
      </c>
      <c r="BX12">
        <v>72</v>
      </c>
    </row>
    <row r="13" spans="1:76" x14ac:dyDescent="0.25">
      <c r="A13" s="28">
        <v>3.3E-3</v>
      </c>
      <c r="B13">
        <v>72</v>
      </c>
      <c r="C13" t="s">
        <v>13</v>
      </c>
      <c r="D13" s="2">
        <f>$B$16</f>
        <v>29.913456439437823</v>
      </c>
      <c r="E13" s="2">
        <f t="shared" ref="E13:BP13" si="0">$B$16</f>
        <v>29.913456439437823</v>
      </c>
      <c r="F13" s="2">
        <f t="shared" si="0"/>
        <v>29.913456439437823</v>
      </c>
      <c r="G13" s="2">
        <f t="shared" si="0"/>
        <v>29.913456439437823</v>
      </c>
      <c r="H13" s="2">
        <f t="shared" si="0"/>
        <v>29.913456439437823</v>
      </c>
      <c r="I13" s="2">
        <f t="shared" si="0"/>
        <v>29.913456439437823</v>
      </c>
      <c r="J13" s="2">
        <f t="shared" si="0"/>
        <v>29.913456439437823</v>
      </c>
      <c r="K13" s="2">
        <f t="shared" si="0"/>
        <v>29.913456439437823</v>
      </c>
      <c r="L13" s="2">
        <f t="shared" si="0"/>
        <v>29.913456439437823</v>
      </c>
      <c r="M13" s="2">
        <f t="shared" si="0"/>
        <v>29.913456439437823</v>
      </c>
      <c r="N13" s="2">
        <f t="shared" si="0"/>
        <v>29.913456439437823</v>
      </c>
      <c r="O13" s="2">
        <f t="shared" si="0"/>
        <v>29.913456439437823</v>
      </c>
      <c r="P13" s="2">
        <f t="shared" si="0"/>
        <v>29.913456439437823</v>
      </c>
      <c r="Q13" s="2">
        <f t="shared" si="0"/>
        <v>29.913456439437823</v>
      </c>
      <c r="R13" s="2">
        <f t="shared" si="0"/>
        <v>29.913456439437823</v>
      </c>
      <c r="S13" s="2">
        <f t="shared" si="0"/>
        <v>29.913456439437823</v>
      </c>
      <c r="T13" s="2">
        <f t="shared" si="0"/>
        <v>29.913456439437823</v>
      </c>
      <c r="U13" s="2">
        <f t="shared" si="0"/>
        <v>29.913456439437823</v>
      </c>
      <c r="V13" s="2">
        <f t="shared" si="0"/>
        <v>29.913456439437823</v>
      </c>
      <c r="W13" s="2">
        <f t="shared" si="0"/>
        <v>29.913456439437823</v>
      </c>
      <c r="X13" s="2">
        <f t="shared" si="0"/>
        <v>29.913456439437823</v>
      </c>
      <c r="Y13" s="2">
        <f t="shared" si="0"/>
        <v>29.913456439437823</v>
      </c>
      <c r="Z13" s="2">
        <f t="shared" si="0"/>
        <v>29.913456439437823</v>
      </c>
      <c r="AA13" s="2">
        <f t="shared" si="0"/>
        <v>29.913456439437823</v>
      </c>
      <c r="AB13" s="2">
        <f t="shared" si="0"/>
        <v>29.913456439437823</v>
      </c>
      <c r="AC13" s="2">
        <f t="shared" si="0"/>
        <v>29.913456439437823</v>
      </c>
      <c r="AD13" s="2">
        <f t="shared" si="0"/>
        <v>29.913456439437823</v>
      </c>
      <c r="AE13" s="2">
        <f t="shared" si="0"/>
        <v>29.913456439437823</v>
      </c>
      <c r="AF13" s="2">
        <f t="shared" si="0"/>
        <v>29.913456439437823</v>
      </c>
      <c r="AG13" s="2">
        <f t="shared" si="0"/>
        <v>29.913456439437823</v>
      </c>
      <c r="AH13" s="2">
        <f t="shared" si="0"/>
        <v>29.913456439437823</v>
      </c>
      <c r="AI13" s="2">
        <f t="shared" si="0"/>
        <v>29.913456439437823</v>
      </c>
      <c r="AJ13" s="2">
        <f t="shared" si="0"/>
        <v>29.913456439437823</v>
      </c>
      <c r="AK13" s="2">
        <f t="shared" si="0"/>
        <v>29.913456439437823</v>
      </c>
      <c r="AL13" s="2">
        <f t="shared" si="0"/>
        <v>29.913456439437823</v>
      </c>
      <c r="AM13" s="2">
        <f t="shared" si="0"/>
        <v>29.913456439437823</v>
      </c>
      <c r="AN13" s="2">
        <f t="shared" si="0"/>
        <v>29.913456439437823</v>
      </c>
      <c r="AO13" s="2">
        <f t="shared" si="0"/>
        <v>29.913456439437823</v>
      </c>
      <c r="AP13" s="2">
        <f t="shared" si="0"/>
        <v>29.913456439437823</v>
      </c>
      <c r="AQ13" s="2">
        <f t="shared" si="0"/>
        <v>29.913456439437823</v>
      </c>
      <c r="AR13" s="2">
        <f t="shared" si="0"/>
        <v>29.913456439437823</v>
      </c>
      <c r="AS13" s="2">
        <f t="shared" si="0"/>
        <v>29.913456439437823</v>
      </c>
      <c r="AT13" s="2">
        <f t="shared" si="0"/>
        <v>29.913456439437823</v>
      </c>
      <c r="AU13" s="2">
        <f t="shared" si="0"/>
        <v>29.913456439437823</v>
      </c>
      <c r="AV13" s="2">
        <f t="shared" si="0"/>
        <v>29.913456439437823</v>
      </c>
      <c r="AW13" s="2">
        <f t="shared" si="0"/>
        <v>29.913456439437823</v>
      </c>
      <c r="AX13" s="2">
        <f t="shared" si="0"/>
        <v>29.913456439437823</v>
      </c>
      <c r="AY13" s="2">
        <f t="shared" si="0"/>
        <v>29.913456439437823</v>
      </c>
      <c r="AZ13" s="2">
        <f t="shared" si="0"/>
        <v>29.913456439437823</v>
      </c>
      <c r="BA13" s="2">
        <f t="shared" si="0"/>
        <v>29.913456439437823</v>
      </c>
      <c r="BB13" s="2">
        <f t="shared" si="0"/>
        <v>29.913456439437823</v>
      </c>
      <c r="BC13" s="2">
        <f t="shared" si="0"/>
        <v>29.913456439437823</v>
      </c>
      <c r="BD13" s="2">
        <f t="shared" si="0"/>
        <v>29.913456439437823</v>
      </c>
      <c r="BE13" s="2">
        <f t="shared" si="0"/>
        <v>29.913456439437823</v>
      </c>
      <c r="BF13" s="2">
        <f t="shared" si="0"/>
        <v>29.913456439437823</v>
      </c>
      <c r="BG13" s="2">
        <f t="shared" si="0"/>
        <v>29.913456439437823</v>
      </c>
      <c r="BH13" s="2">
        <f t="shared" si="0"/>
        <v>29.913456439437823</v>
      </c>
      <c r="BI13" s="2">
        <f t="shared" si="0"/>
        <v>29.913456439437823</v>
      </c>
      <c r="BJ13" s="2">
        <f t="shared" si="0"/>
        <v>29.913456439437823</v>
      </c>
      <c r="BK13" s="2">
        <f t="shared" si="0"/>
        <v>29.913456439437823</v>
      </c>
      <c r="BL13" s="2">
        <f t="shared" si="0"/>
        <v>29.913456439437823</v>
      </c>
      <c r="BM13" s="2">
        <f t="shared" si="0"/>
        <v>29.913456439437823</v>
      </c>
      <c r="BN13" s="2">
        <f t="shared" si="0"/>
        <v>29.913456439437823</v>
      </c>
      <c r="BO13" s="2">
        <f t="shared" si="0"/>
        <v>29.913456439437823</v>
      </c>
      <c r="BP13" s="2">
        <f t="shared" si="0"/>
        <v>29.913456439437823</v>
      </c>
      <c r="BQ13" s="2">
        <f t="shared" ref="BQ13:BX13" si="1">$B$16</f>
        <v>29.913456439437823</v>
      </c>
      <c r="BR13" s="2">
        <f t="shared" si="1"/>
        <v>29.913456439437823</v>
      </c>
      <c r="BS13" s="2">
        <f t="shared" si="1"/>
        <v>29.913456439437823</v>
      </c>
      <c r="BT13" s="2">
        <f t="shared" si="1"/>
        <v>29.913456439437823</v>
      </c>
      <c r="BU13" s="2">
        <f t="shared" si="1"/>
        <v>29.913456439437823</v>
      </c>
      <c r="BV13" s="2">
        <f t="shared" si="1"/>
        <v>29.913456439437823</v>
      </c>
      <c r="BW13" s="2">
        <f t="shared" si="1"/>
        <v>29.913456439437823</v>
      </c>
      <c r="BX13" s="2">
        <f t="shared" si="1"/>
        <v>29.913456439437823</v>
      </c>
    </row>
    <row r="14" spans="1:76" x14ac:dyDescent="0.25">
      <c r="C14" t="s">
        <v>3</v>
      </c>
      <c r="D14">
        <f>D13*(1+$A$13)^($B$13-D12)</f>
        <v>37.921462612815731</v>
      </c>
      <c r="E14">
        <f t="shared" ref="E14:BP14" si="2">E13*(1+$A$13)^($B$13-E12)</f>
        <v>37.796733392620084</v>
      </c>
      <c r="F14">
        <f t="shared" si="2"/>
        <v>37.672414425017514</v>
      </c>
      <c r="G14">
        <f t="shared" si="2"/>
        <v>37.54850436062744</v>
      </c>
      <c r="H14">
        <f t="shared" si="2"/>
        <v>37.42500185450757</v>
      </c>
      <c r="I14">
        <f t="shared" si="2"/>
        <v>37.301905566139304</v>
      </c>
      <c r="J14">
        <f t="shared" si="2"/>
        <v>37.179214159413235</v>
      </c>
      <c r="K14">
        <f t="shared" si="2"/>
        <v>37.056926302614599</v>
      </c>
      <c r="L14">
        <f t="shared" si="2"/>
        <v>36.935040668408853</v>
      </c>
      <c r="M14">
        <f t="shared" si="2"/>
        <v>36.813555933827217</v>
      </c>
      <c r="N14">
        <f t="shared" si="2"/>
        <v>36.692470780252371</v>
      </c>
      <c r="O14">
        <f t="shared" si="2"/>
        <v>36.571783893404138</v>
      </c>
      <c r="P14">
        <f t="shared" si="2"/>
        <v>36.45149396332517</v>
      </c>
      <c r="Q14">
        <f t="shared" si="2"/>
        <v>36.331599684366758</v>
      </c>
      <c r="R14">
        <f t="shared" si="2"/>
        <v>36.212099755174677</v>
      </c>
      <c r="S14">
        <f t="shared" si="2"/>
        <v>36.092992878675041</v>
      </c>
      <c r="T14">
        <f t="shared" si="2"/>
        <v>35.97427776206024</v>
      </c>
      <c r="U14">
        <f t="shared" si="2"/>
        <v>35.855953116774884</v>
      </c>
      <c r="V14">
        <f t="shared" si="2"/>
        <v>35.738017658501825</v>
      </c>
      <c r="W14">
        <f t="shared" si="2"/>
        <v>35.620470107148229</v>
      </c>
      <c r="X14">
        <f t="shared" si="2"/>
        <v>35.503309186831686</v>
      </c>
      <c r="Y14">
        <f t="shared" si="2"/>
        <v>35.386533625866321</v>
      </c>
      <c r="Z14">
        <f t="shared" si="2"/>
        <v>35.270142156749046</v>
      </c>
      <c r="AA14">
        <f t="shared" si="2"/>
        <v>35.154133516145762</v>
      </c>
      <c r="AB14">
        <f t="shared" si="2"/>
        <v>35.038506444877662</v>
      </c>
      <c r="AC14">
        <f t="shared" si="2"/>
        <v>34.923259687907567</v>
      </c>
      <c r="AD14">
        <f t="shared" si="2"/>
        <v>34.808391994326286</v>
      </c>
      <c r="AE14">
        <f t="shared" si="2"/>
        <v>34.693902117339064</v>
      </c>
      <c r="AF14">
        <f t="shared" si="2"/>
        <v>34.579788814252034</v>
      </c>
      <c r="AG14">
        <f t="shared" si="2"/>
        <v>34.466050846458721</v>
      </c>
      <c r="AH14">
        <f t="shared" si="2"/>
        <v>34.352686979426608</v>
      </c>
      <c r="AI14">
        <f t="shared" si="2"/>
        <v>34.239695982683742</v>
      </c>
      <c r="AJ14">
        <f t="shared" si="2"/>
        <v>34.127076629805387</v>
      </c>
      <c r="AK14">
        <f t="shared" si="2"/>
        <v>34.014827698400659</v>
      </c>
      <c r="AL14">
        <f t="shared" si="2"/>
        <v>33.902947970099326</v>
      </c>
      <c r="AM14">
        <f t="shared" si="2"/>
        <v>33.791436230538551</v>
      </c>
      <c r="AN14">
        <f t="shared" si="2"/>
        <v>33.680291269349695</v>
      </c>
      <c r="AO14">
        <f t="shared" si="2"/>
        <v>33.569511880145214</v>
      </c>
      <c r="AP14">
        <f t="shared" si="2"/>
        <v>33.459096860505539</v>
      </c>
      <c r="AQ14">
        <f t="shared" si="2"/>
        <v>33.349045011966048</v>
      </c>
      <c r="AR14">
        <f t="shared" si="2"/>
        <v>33.239355140004037</v>
      </c>
      <c r="AS14">
        <f t="shared" si="2"/>
        <v>33.130026054025748</v>
      </c>
      <c r="AT14">
        <f t="shared" si="2"/>
        <v>33.021056567353469</v>
      </c>
      <c r="AU14">
        <f t="shared" si="2"/>
        <v>32.912445497212673</v>
      </c>
      <c r="AV14">
        <f t="shared" si="2"/>
        <v>32.804191664719099</v>
      </c>
      <c r="AW14">
        <f t="shared" si="2"/>
        <v>32.696293894866038</v>
      </c>
      <c r="AX14">
        <f t="shared" si="2"/>
        <v>32.588751016511544</v>
      </c>
      <c r="AY14">
        <f t="shared" si="2"/>
        <v>32.481561862365737</v>
      </c>
      <c r="AZ14">
        <f t="shared" si="2"/>
        <v>32.374725268978104</v>
      </c>
      <c r="BA14">
        <f t="shared" si="2"/>
        <v>32.268240076724908</v>
      </c>
      <c r="BB14">
        <f t="shared" si="2"/>
        <v>32.162105129796579</v>
      </c>
      <c r="BC14">
        <f t="shared" si="2"/>
        <v>32.056319276185164</v>
      </c>
      <c r="BD14">
        <f t="shared" si="2"/>
        <v>31.950881367671844</v>
      </c>
      <c r="BE14">
        <f t="shared" si="2"/>
        <v>31.845790259814457</v>
      </c>
      <c r="BF14">
        <f t="shared" si="2"/>
        <v>31.741044811935065</v>
      </c>
      <c r="BG14">
        <f t="shared" si="2"/>
        <v>31.636643887107606</v>
      </c>
      <c r="BH14">
        <f t="shared" si="2"/>
        <v>31.532586352145525</v>
      </c>
      <c r="BI14">
        <f t="shared" si="2"/>
        <v>31.428871077589481</v>
      </c>
      <c r="BJ14">
        <f t="shared" si="2"/>
        <v>31.325496937695082</v>
      </c>
      <c r="BK14">
        <f t="shared" si="2"/>
        <v>31.222462810420694</v>
      </c>
      <c r="BL14">
        <f t="shared" si="2"/>
        <v>31.119767577415221</v>
      </c>
      <c r="BM14">
        <f t="shared" si="2"/>
        <v>31.017410124005998</v>
      </c>
      <c r="BN14">
        <f t="shared" si="2"/>
        <v>30.915389339186678</v>
      </c>
      <c r="BO14">
        <f t="shared" si="2"/>
        <v>30.813704115605177</v>
      </c>
      <c r="BP14">
        <f t="shared" si="2"/>
        <v>30.712353349551655</v>
      </c>
      <c r="BQ14">
        <f t="shared" ref="BQ14:BX14" si="3">BQ13*(1+$A$13)^($B$13-BQ12)</f>
        <v>30.611335940946532</v>
      </c>
      <c r="BR14">
        <f t="shared" si="3"/>
        <v>30.510650793328544</v>
      </c>
      <c r="BS14">
        <f t="shared" si="3"/>
        <v>30.410296813842859</v>
      </c>
      <c r="BT14">
        <f t="shared" si="3"/>
        <v>30.310272913229202</v>
      </c>
      <c r="BU14">
        <f t="shared" si="3"/>
        <v>30.210578005810024</v>
      </c>
      <c r="BV14">
        <f t="shared" si="3"/>
        <v>30.111211009478744</v>
      </c>
      <c r="BW14">
        <f t="shared" si="3"/>
        <v>30.012170845687969</v>
      </c>
      <c r="BX14">
        <f t="shared" si="3"/>
        <v>29.913456439437823</v>
      </c>
    </row>
    <row r="16" spans="1:76" x14ac:dyDescent="0.25">
      <c r="A16" t="s">
        <v>68</v>
      </c>
      <c r="B16">
        <v>29.913456439437823</v>
      </c>
      <c r="E16" t="s">
        <v>4</v>
      </c>
    </row>
    <row r="17" spans="4:5" x14ac:dyDescent="0.25">
      <c r="D17" t="s">
        <v>65</v>
      </c>
      <c r="E17">
        <f>SUM(D14:BX14)</f>
        <v>2464.5899999999992</v>
      </c>
    </row>
    <row r="18" spans="4:5" x14ac:dyDescent="0.25">
      <c r="D18" t="s">
        <v>66</v>
      </c>
      <c r="E18">
        <f>5000-B7*(1+A13)^(B13)</f>
        <v>2464.5883741592515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2D2D-79F0-4C69-B426-D991CA3BA68C}">
  <dimension ref="B3:O19"/>
  <sheetViews>
    <sheetView zoomScale="220" zoomScaleNormal="220" workbookViewId="0">
      <selection activeCell="K8" sqref="K8"/>
    </sheetView>
  </sheetViews>
  <sheetFormatPr defaultRowHeight="15" x14ac:dyDescent="0.25"/>
  <sheetData>
    <row r="3" spans="2:15" x14ac:dyDescent="0.25">
      <c r="I3" t="s">
        <v>80</v>
      </c>
    </row>
    <row r="7" spans="2:15" x14ac:dyDescent="0.25">
      <c r="O7">
        <f>O11/((1+5%)^(3))</f>
        <v>369.7070665000694</v>
      </c>
    </row>
    <row r="8" spans="2:15" x14ac:dyDescent="0.25">
      <c r="L8" t="s">
        <v>81</v>
      </c>
    </row>
    <row r="10" spans="2:15" x14ac:dyDescent="0.25">
      <c r="B10" s="6" t="s">
        <v>14</v>
      </c>
      <c r="C10" s="6" t="s">
        <v>1</v>
      </c>
      <c r="D10" s="6">
        <v>0</v>
      </c>
      <c r="E10" s="6">
        <v>1</v>
      </c>
      <c r="F10" s="6">
        <v>2</v>
      </c>
      <c r="G10" s="6">
        <v>3</v>
      </c>
      <c r="H10" s="6">
        <v>4</v>
      </c>
      <c r="J10" s="6">
        <v>0</v>
      </c>
      <c r="K10" s="6">
        <v>1</v>
      </c>
      <c r="L10" s="6">
        <v>2</v>
      </c>
      <c r="M10" s="6">
        <v>3</v>
      </c>
      <c r="N10" s="6">
        <v>4</v>
      </c>
      <c r="O10" t="s">
        <v>4</v>
      </c>
    </row>
    <row r="11" spans="2:15" x14ac:dyDescent="0.25">
      <c r="B11" s="4" t="s">
        <v>2</v>
      </c>
      <c r="C11" s="5">
        <v>0.05</v>
      </c>
      <c r="D11" s="4">
        <v>0</v>
      </c>
      <c r="E11" s="4">
        <v>50</v>
      </c>
      <c r="F11" s="4">
        <v>100</v>
      </c>
      <c r="G11" s="4">
        <v>125</v>
      </c>
      <c r="H11" s="4">
        <v>150</v>
      </c>
      <c r="J11">
        <f>D11*(1+$C$11)^($M$10-J10)</f>
        <v>0</v>
      </c>
      <c r="K11">
        <f t="shared" ref="K11:N11" si="0">E11*(1+$C$11)^($M$10-K10)</f>
        <v>55.125</v>
      </c>
      <c r="L11">
        <f t="shared" si="0"/>
        <v>105</v>
      </c>
      <c r="M11">
        <f t="shared" si="0"/>
        <v>125</v>
      </c>
      <c r="N11">
        <f t="shared" si="0"/>
        <v>142.85714285714286</v>
      </c>
      <c r="O11" s="2">
        <f>SUM(J11:N11)</f>
        <v>427.98214285714289</v>
      </c>
    </row>
    <row r="12" spans="2:15" x14ac:dyDescent="0.25">
      <c r="B12" s="4" t="s">
        <v>5</v>
      </c>
      <c r="C12" s="5">
        <v>0.15</v>
      </c>
      <c r="D12" s="4">
        <v>0</v>
      </c>
      <c r="E12" s="4">
        <v>30</v>
      </c>
      <c r="F12" s="4">
        <v>0</v>
      </c>
      <c r="G12" s="4">
        <v>30</v>
      </c>
      <c r="H12" s="4">
        <v>45</v>
      </c>
      <c r="J12">
        <f>D12*(1+$C$12)^($M$10-J10)</f>
        <v>0</v>
      </c>
      <c r="K12">
        <f>E12*(1+$C$12)^($M$10-K10)</f>
        <v>39.674999999999997</v>
      </c>
      <c r="L12">
        <f t="shared" ref="L12:M12" si="1">F12*(1+$C$12)^($M$10-L10)</f>
        <v>0</v>
      </c>
      <c r="M12">
        <f t="shared" si="1"/>
        <v>30</v>
      </c>
      <c r="N12">
        <f>H12*(1+$C$12)^($M$10-N10)</f>
        <v>39.130434782608702</v>
      </c>
      <c r="O12" s="2">
        <f>SUM(J12:N12)</f>
        <v>108.8054347826087</v>
      </c>
    </row>
    <row r="13" spans="2:15" x14ac:dyDescent="0.25">
      <c r="B13" s="4" t="s">
        <v>6</v>
      </c>
      <c r="C13" s="5">
        <v>0.1</v>
      </c>
      <c r="D13" s="4">
        <v>0</v>
      </c>
      <c r="E13" s="4">
        <v>50</v>
      </c>
      <c r="F13" s="4">
        <v>75</v>
      </c>
      <c r="G13" s="4">
        <v>125</v>
      </c>
      <c r="H13" s="4">
        <v>150</v>
      </c>
      <c r="J13">
        <f>D13*(1+$C$13)^($M$10-J10)</f>
        <v>0</v>
      </c>
      <c r="K13">
        <f t="shared" ref="K13:M13" si="2">E13*(1+$C$13)^($M$10-K10)</f>
        <v>60.500000000000007</v>
      </c>
      <c r="L13">
        <f t="shared" si="2"/>
        <v>82.5</v>
      </c>
      <c r="M13">
        <f t="shared" si="2"/>
        <v>125</v>
      </c>
      <c r="N13">
        <f>H13*(1+$C$13)^($M$10-N10)</f>
        <v>136.36363636363635</v>
      </c>
      <c r="O13" s="2">
        <f>SUM(J13:N13)</f>
        <v>404.36363636363637</v>
      </c>
    </row>
    <row r="14" spans="2:15" x14ac:dyDescent="0.25">
      <c r="B14" s="4" t="s">
        <v>7</v>
      </c>
      <c r="C14" s="5">
        <v>0.1</v>
      </c>
      <c r="D14" s="4">
        <v>0</v>
      </c>
      <c r="E14" s="4">
        <v>150</v>
      </c>
      <c r="F14" s="4">
        <v>125</v>
      </c>
      <c r="G14" s="4">
        <v>75</v>
      </c>
      <c r="H14" s="4">
        <v>50</v>
      </c>
      <c r="J14">
        <f>D14*(1+$C$14)^($M$10-J10)</f>
        <v>0</v>
      </c>
      <c r="K14">
        <f t="shared" ref="K14:N14" si="3">E14*(1+$C$14)^($M$10-K10)</f>
        <v>181.50000000000003</v>
      </c>
      <c r="L14">
        <f t="shared" si="3"/>
        <v>137.5</v>
      </c>
      <c r="M14">
        <f t="shared" si="3"/>
        <v>75</v>
      </c>
      <c r="N14">
        <f t="shared" si="3"/>
        <v>45.454545454545453</v>
      </c>
      <c r="O14" s="2">
        <f t="shared" ref="O14:O19" si="4">SUM(J14:N14)</f>
        <v>439.45454545454544</v>
      </c>
    </row>
    <row r="15" spans="2:15" x14ac:dyDescent="0.25">
      <c r="B15" s="4" t="s">
        <v>8</v>
      </c>
      <c r="C15" s="5">
        <v>0.18</v>
      </c>
      <c r="D15" s="4">
        <v>-1750</v>
      </c>
      <c r="E15" s="4">
        <v>50</v>
      </c>
      <c r="F15" s="4">
        <v>200</v>
      </c>
      <c r="G15" s="4">
        <v>500</v>
      </c>
      <c r="H15" s="4">
        <v>1000</v>
      </c>
      <c r="J15">
        <f>D15*(1+$C$15)^($M$10-J10)</f>
        <v>-2875.3059999999996</v>
      </c>
      <c r="K15">
        <f t="shared" ref="K15:N15" si="5">E15*(1+$C$15)^($M$10-K10)</f>
        <v>69.61999999999999</v>
      </c>
      <c r="L15">
        <f t="shared" si="5"/>
        <v>236</v>
      </c>
      <c r="M15">
        <f t="shared" si="5"/>
        <v>500</v>
      </c>
      <c r="N15">
        <f t="shared" si="5"/>
        <v>847.45762711864415</v>
      </c>
      <c r="O15" s="2">
        <f t="shared" si="4"/>
        <v>-1222.2283728813554</v>
      </c>
    </row>
    <row r="16" spans="2:15" x14ac:dyDescent="0.25">
      <c r="B16" s="4" t="s">
        <v>9</v>
      </c>
      <c r="C16" s="5">
        <v>0.35</v>
      </c>
      <c r="D16" s="4">
        <v>-1500</v>
      </c>
      <c r="E16" s="4">
        <v>500</v>
      </c>
      <c r="F16" s="4">
        <v>1200</v>
      </c>
      <c r="G16" s="4">
        <v>-750</v>
      </c>
      <c r="H16" s="4">
        <v>1000</v>
      </c>
      <c r="J16">
        <f>D16*(1+$C$16)^($M$10-J10)</f>
        <v>-3690.5625000000005</v>
      </c>
      <c r="K16">
        <f t="shared" ref="K16:N16" si="6">E16*(1+$C$16)^($M$10-K10)</f>
        <v>911.25000000000011</v>
      </c>
      <c r="L16">
        <f t="shared" si="6"/>
        <v>1620</v>
      </c>
      <c r="M16">
        <f t="shared" si="6"/>
        <v>-750</v>
      </c>
      <c r="N16">
        <f t="shared" si="6"/>
        <v>740.74074074074065</v>
      </c>
      <c r="O16" s="2">
        <f t="shared" si="4"/>
        <v>-1168.5717592592598</v>
      </c>
    </row>
    <row r="17" spans="2:15" x14ac:dyDescent="0.25">
      <c r="B17" s="4" t="s">
        <v>10</v>
      </c>
      <c r="C17" s="5">
        <v>0.37</v>
      </c>
      <c r="D17" s="4">
        <v>-1500</v>
      </c>
      <c r="E17" s="4">
        <v>-1200</v>
      </c>
      <c r="F17" s="4">
        <v>400</v>
      </c>
      <c r="G17" s="4">
        <v>-1300</v>
      </c>
      <c r="H17" s="4">
        <v>400</v>
      </c>
      <c r="J17">
        <f>D17*(1+$C$17)^($M$10-J10)</f>
        <v>-3857.029500000001</v>
      </c>
      <c r="K17">
        <f t="shared" ref="K17:N17" si="7">E17*(1+$C$17)^($M$10-K10)</f>
        <v>-2252.2800000000002</v>
      </c>
      <c r="L17">
        <f t="shared" si="7"/>
        <v>548</v>
      </c>
      <c r="M17">
        <f t="shared" si="7"/>
        <v>-1300</v>
      </c>
      <c r="N17">
        <f t="shared" si="7"/>
        <v>291.97080291970804</v>
      </c>
      <c r="O17" s="2">
        <f t="shared" si="4"/>
        <v>-6569.3386970802931</v>
      </c>
    </row>
    <row r="18" spans="2:15" x14ac:dyDescent="0.25">
      <c r="B18" s="4" t="s">
        <v>11</v>
      </c>
      <c r="C18" s="5">
        <v>0.15</v>
      </c>
      <c r="D18" s="4">
        <v>-1500</v>
      </c>
      <c r="E18" s="4">
        <v>300</v>
      </c>
      <c r="F18" s="4">
        <v>500</v>
      </c>
      <c r="G18" s="4">
        <v>800</v>
      </c>
      <c r="H18" s="4">
        <v>1000</v>
      </c>
      <c r="J18">
        <f>D18*(1+$C$18)^($M$10-J10)</f>
        <v>-2281.3124999999991</v>
      </c>
      <c r="K18">
        <f t="shared" ref="K18:N18" si="8">E18*(1+$C$18)^($M$10-K10)</f>
        <v>396.74999999999994</v>
      </c>
      <c r="L18">
        <f t="shared" si="8"/>
        <v>575</v>
      </c>
      <c r="M18">
        <f t="shared" si="8"/>
        <v>800</v>
      </c>
      <c r="N18">
        <f t="shared" si="8"/>
        <v>869.56521739130449</v>
      </c>
      <c r="O18" s="2">
        <f t="shared" si="4"/>
        <v>360.0027173913054</v>
      </c>
    </row>
    <row r="19" spans="2:15" x14ac:dyDescent="0.25">
      <c r="B19" s="4" t="s">
        <v>12</v>
      </c>
      <c r="C19" s="5">
        <v>0.3</v>
      </c>
      <c r="D19" s="4">
        <v>-1500</v>
      </c>
      <c r="E19" s="4">
        <v>300</v>
      </c>
      <c r="F19" s="4">
        <v>500</v>
      </c>
      <c r="G19" s="4">
        <v>800</v>
      </c>
      <c r="H19" s="4">
        <v>1000</v>
      </c>
      <c r="J19">
        <f>D19*(1+$C$19)^($M$10-J10)</f>
        <v>-3295.5000000000009</v>
      </c>
      <c r="K19">
        <f t="shared" ref="K19:N19" si="9">E19*(1+$C$19)^($M$10-K10)</f>
        <v>507.00000000000006</v>
      </c>
      <c r="L19">
        <f t="shared" si="9"/>
        <v>650</v>
      </c>
      <c r="M19">
        <f t="shared" si="9"/>
        <v>800</v>
      </c>
      <c r="N19">
        <f t="shared" si="9"/>
        <v>769.23076923076917</v>
      </c>
      <c r="O19" s="2">
        <f t="shared" si="4"/>
        <v>-569.26923076923174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92CC9-6820-4DB0-8D8E-AAD8A4BDA168}">
  <dimension ref="B3:M12"/>
  <sheetViews>
    <sheetView zoomScale="190" zoomScaleNormal="190" workbookViewId="0">
      <selection activeCell="E9" sqref="E9"/>
    </sheetView>
  </sheetViews>
  <sheetFormatPr defaultRowHeight="15" x14ac:dyDescent="0.25"/>
  <sheetData>
    <row r="3" spans="2:13" x14ac:dyDescent="0.25">
      <c r="M3" t="s">
        <v>63</v>
      </c>
    </row>
    <row r="6" spans="2:13" x14ac:dyDescent="0.25">
      <c r="C6">
        <v>0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 t="s">
        <v>4</v>
      </c>
    </row>
    <row r="7" spans="2:13" x14ac:dyDescent="0.25">
      <c r="D7">
        <v>800</v>
      </c>
      <c r="E7">
        <v>800</v>
      </c>
      <c r="F7">
        <v>800</v>
      </c>
      <c r="G7">
        <v>800</v>
      </c>
      <c r="H7">
        <v>800</v>
      </c>
      <c r="I7">
        <v>800</v>
      </c>
      <c r="J7">
        <v>800</v>
      </c>
    </row>
    <row r="8" spans="2:13" x14ac:dyDescent="0.25">
      <c r="B8" s="3">
        <v>4.9312660675247769E-2</v>
      </c>
      <c r="D8">
        <f>800*(1+$B$8)^($J$6-D6)</f>
        <v>1067.8726526304952</v>
      </c>
      <c r="E8">
        <f t="shared" ref="E8:J8" si="0">800*(1+$B$8)^($J$6-E6)</f>
        <v>1017.6877613802005</v>
      </c>
      <c r="F8">
        <f t="shared" si="0"/>
        <v>969.86131924235417</v>
      </c>
      <c r="G8">
        <f t="shared" si="0"/>
        <v>924.28249042400239</v>
      </c>
      <c r="H8">
        <f t="shared" si="0"/>
        <v>880.84564788269427</v>
      </c>
      <c r="I8">
        <f t="shared" si="0"/>
        <v>839.45012854019831</v>
      </c>
      <c r="J8">
        <f t="shared" si="0"/>
        <v>800</v>
      </c>
    </row>
    <row r="9" spans="2:13" x14ac:dyDescent="0.25">
      <c r="K9">
        <f>SUM(D8:J8)</f>
        <v>6500.0000000999444</v>
      </c>
    </row>
    <row r="12" spans="2:13" x14ac:dyDescent="0.25">
      <c r="B12" s="2" t="s">
        <v>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9A85F-85C0-4579-B2A0-7A18539B1F15}">
  <dimension ref="A2:N14"/>
  <sheetViews>
    <sheetView zoomScale="190" zoomScaleNormal="190" workbookViewId="0">
      <selection activeCell="E15" sqref="E15"/>
    </sheetView>
  </sheetViews>
  <sheetFormatPr defaultRowHeight="15" x14ac:dyDescent="0.25"/>
  <cols>
    <col min="9" max="11" width="9.28515625" bestFit="1" customWidth="1"/>
    <col min="12" max="13" width="9.85546875" bestFit="1" customWidth="1"/>
    <col min="14" max="14" width="11.28515625" customWidth="1"/>
  </cols>
  <sheetData>
    <row r="2" spans="1:14" x14ac:dyDescent="0.25">
      <c r="I2" s="2" t="s">
        <v>82</v>
      </c>
    </row>
    <row r="4" spans="1:14" x14ac:dyDescent="0.25">
      <c r="A4" t="s">
        <v>16</v>
      </c>
    </row>
    <row r="5" spans="1:14" x14ac:dyDescent="0.25">
      <c r="A5" s="6" t="s">
        <v>1</v>
      </c>
      <c r="B5" s="6">
        <v>0</v>
      </c>
      <c r="C5" s="6">
        <v>1</v>
      </c>
      <c r="D5" s="6">
        <v>2</v>
      </c>
      <c r="E5" s="6">
        <v>3</v>
      </c>
      <c r="F5" s="6">
        <v>4</v>
      </c>
      <c r="H5" s="6" t="s">
        <v>13</v>
      </c>
      <c r="I5" s="6">
        <v>0</v>
      </c>
      <c r="J5" s="6">
        <v>1</v>
      </c>
      <c r="K5" s="6">
        <v>2</v>
      </c>
      <c r="L5" s="6">
        <v>3</v>
      </c>
      <c r="M5" s="6">
        <v>4</v>
      </c>
      <c r="N5" t="s">
        <v>4</v>
      </c>
    </row>
    <row r="6" spans="1:14" x14ac:dyDescent="0.25">
      <c r="A6" s="5">
        <v>0.05</v>
      </c>
      <c r="B6" s="4">
        <v>0</v>
      </c>
      <c r="C6" s="4">
        <v>55.125</v>
      </c>
      <c r="D6" s="4">
        <v>105</v>
      </c>
      <c r="E6" s="4">
        <v>125</v>
      </c>
      <c r="F6" s="4">
        <v>142.85714285714286</v>
      </c>
      <c r="H6" s="4" t="s">
        <v>2</v>
      </c>
      <c r="I6" s="9">
        <f>B6/((1+$A$6)^(3))</f>
        <v>0</v>
      </c>
      <c r="J6" s="9">
        <f>C6/((1+$A$6)^(3))</f>
        <v>47.619047619047613</v>
      </c>
      <c r="K6" s="9">
        <f t="shared" ref="K6:M6" si="0">D6/((1+$A$6)^(3))</f>
        <v>90.702947845804985</v>
      </c>
      <c r="L6" s="9">
        <f t="shared" si="0"/>
        <v>107.9796998164345</v>
      </c>
      <c r="M6" s="9">
        <f t="shared" si="0"/>
        <v>123.40537121878229</v>
      </c>
      <c r="N6" s="34">
        <f>SUM(I6:M6)</f>
        <v>369.7070665000694</v>
      </c>
    </row>
    <row r="7" spans="1:14" x14ac:dyDescent="0.25">
      <c r="A7" s="5">
        <v>0.15</v>
      </c>
      <c r="B7" s="4">
        <v>0</v>
      </c>
      <c r="C7" s="4">
        <v>39.674999999999997</v>
      </c>
      <c r="D7" s="4">
        <v>0</v>
      </c>
      <c r="E7" s="4">
        <v>30</v>
      </c>
      <c r="F7" s="4">
        <v>39.130434782608702</v>
      </c>
      <c r="H7" s="4" t="s">
        <v>5</v>
      </c>
      <c r="I7" s="9">
        <f>B7/((1+$A$7)^(3))</f>
        <v>0</v>
      </c>
      <c r="J7" s="9">
        <f t="shared" ref="J7:M7" si="1">C7/((1+$A$7)^(3))</f>
        <v>26.086956521739136</v>
      </c>
      <c r="K7" s="9">
        <f t="shared" si="1"/>
        <v>0</v>
      </c>
      <c r="L7" s="9">
        <f t="shared" si="1"/>
        <v>19.725486972959651</v>
      </c>
      <c r="M7" s="9">
        <f t="shared" si="1"/>
        <v>25.728896051686505</v>
      </c>
      <c r="N7" s="34">
        <f t="shared" ref="N7:N14" si="2">SUM(I7:M7)</f>
        <v>71.541339546385288</v>
      </c>
    </row>
    <row r="8" spans="1:14" x14ac:dyDescent="0.25">
      <c r="A8" s="5">
        <v>0.1</v>
      </c>
      <c r="B8" s="4">
        <v>0</v>
      </c>
      <c r="C8" s="4">
        <v>60.500000000000007</v>
      </c>
      <c r="D8" s="4">
        <v>82.5</v>
      </c>
      <c r="E8" s="4">
        <v>125</v>
      </c>
      <c r="F8" s="4">
        <v>136.36363636363635</v>
      </c>
      <c r="H8" s="4" t="s">
        <v>6</v>
      </c>
      <c r="I8" s="9">
        <f>B8/((1+$A$8)^(3))</f>
        <v>0</v>
      </c>
      <c r="J8" s="9">
        <f t="shared" ref="J8:M8" si="3">C8/((1+$A$8)^(3))</f>
        <v>45.454545454545446</v>
      </c>
      <c r="K8" s="9">
        <f t="shared" si="3"/>
        <v>61.983471074380148</v>
      </c>
      <c r="L8" s="9">
        <f t="shared" si="3"/>
        <v>93.914350112697193</v>
      </c>
      <c r="M8" s="9">
        <f t="shared" si="3"/>
        <v>102.45201830476056</v>
      </c>
      <c r="N8" s="34">
        <f t="shared" si="2"/>
        <v>303.80438494638332</v>
      </c>
    </row>
    <row r="9" spans="1:14" x14ac:dyDescent="0.25">
      <c r="A9" s="5">
        <v>0.1</v>
      </c>
      <c r="B9" s="4">
        <v>0</v>
      </c>
      <c r="C9" s="4">
        <v>181.50000000000003</v>
      </c>
      <c r="D9" s="4">
        <v>137.5</v>
      </c>
      <c r="E9" s="4">
        <v>75</v>
      </c>
      <c r="F9" s="4">
        <v>45.454545454545453</v>
      </c>
      <c r="H9" s="4" t="s">
        <v>7</v>
      </c>
      <c r="I9" s="9">
        <f>B9/((1+$A$9)^(3))</f>
        <v>0</v>
      </c>
      <c r="J9" s="9">
        <f t="shared" ref="J9:M9" si="4">C9/((1+$A$9)^(3))</f>
        <v>136.36363636363635</v>
      </c>
      <c r="K9" s="9">
        <f t="shared" si="4"/>
        <v>103.30578512396691</v>
      </c>
      <c r="L9" s="9">
        <f t="shared" si="4"/>
        <v>56.348610067618317</v>
      </c>
      <c r="M9" s="9">
        <f t="shared" si="4"/>
        <v>34.150672768253521</v>
      </c>
      <c r="N9" s="34">
        <f t="shared" si="2"/>
        <v>330.16870432347508</v>
      </c>
    </row>
    <row r="10" spans="1:14" x14ac:dyDescent="0.25">
      <c r="A10" s="5">
        <v>0.18</v>
      </c>
      <c r="B10" s="4">
        <v>-2875.3059999999996</v>
      </c>
      <c r="C10" s="4">
        <v>69.61999999999999</v>
      </c>
      <c r="D10" s="4">
        <v>236</v>
      </c>
      <c r="E10" s="4">
        <v>500</v>
      </c>
      <c r="F10" s="4">
        <v>847.45762711864415</v>
      </c>
      <c r="H10" s="4" t="s">
        <v>8</v>
      </c>
      <c r="I10" s="9">
        <f>B10/((1+$A$10)^(3))</f>
        <v>-1750</v>
      </c>
      <c r="J10" s="9">
        <f t="shared" ref="J10:M10" si="5">C10/((1+$A$10)^(3))</f>
        <v>42.372881355932201</v>
      </c>
      <c r="K10" s="9">
        <f t="shared" si="5"/>
        <v>143.63688595231258</v>
      </c>
      <c r="L10" s="9">
        <f t="shared" si="5"/>
        <v>304.31543633964526</v>
      </c>
      <c r="M10" s="9">
        <f t="shared" si="5"/>
        <v>515.78887515194117</v>
      </c>
      <c r="N10" s="34">
        <f t="shared" si="2"/>
        <v>-743.88592120016904</v>
      </c>
    </row>
    <row r="11" spans="1:14" x14ac:dyDescent="0.25">
      <c r="A11" s="5">
        <v>0.35</v>
      </c>
      <c r="B11" s="4">
        <v>-3690.5625000000005</v>
      </c>
      <c r="C11" s="4">
        <v>911.25000000000011</v>
      </c>
      <c r="D11" s="4">
        <v>1620</v>
      </c>
      <c r="E11" s="4">
        <v>-750</v>
      </c>
      <c r="F11" s="4">
        <v>740.74074074074065</v>
      </c>
      <c r="H11" s="4" t="s">
        <v>9</v>
      </c>
      <c r="I11" s="9">
        <f>B11/((1+$A$11)^(3))</f>
        <v>-1500</v>
      </c>
      <c r="J11" s="9">
        <f t="shared" ref="J11:M11" si="6">C11/((1+$A$11)^(3))</f>
        <v>370.37037037037038</v>
      </c>
      <c r="K11" s="9">
        <f t="shared" si="6"/>
        <v>658.43621399176948</v>
      </c>
      <c r="L11" s="9">
        <f t="shared" si="6"/>
        <v>-304.83158055174511</v>
      </c>
      <c r="M11" s="9">
        <f t="shared" si="6"/>
        <v>301.0682277054272</v>
      </c>
      <c r="N11" s="34">
        <f t="shared" si="2"/>
        <v>-474.95676848417799</v>
      </c>
    </row>
    <row r="12" spans="1:14" x14ac:dyDescent="0.25">
      <c r="A12" s="5">
        <v>0.37</v>
      </c>
      <c r="B12" s="4">
        <v>-3857.029500000001</v>
      </c>
      <c r="C12" s="4">
        <v>-2252.2800000000002</v>
      </c>
      <c r="D12" s="4">
        <v>548</v>
      </c>
      <c r="E12" s="4">
        <v>-1300</v>
      </c>
      <c r="F12" s="4">
        <v>291.97080291970804</v>
      </c>
      <c r="H12" s="4" t="s">
        <v>10</v>
      </c>
      <c r="I12" s="9">
        <f>B12/((1+$A$12)^(3))</f>
        <v>-1500</v>
      </c>
      <c r="J12" s="9">
        <f t="shared" ref="J12:M12" si="7">C12/((1+$A$12)^(3))</f>
        <v>-875.91240875912399</v>
      </c>
      <c r="K12" s="9">
        <f t="shared" si="7"/>
        <v>213.11737439394742</v>
      </c>
      <c r="L12" s="9">
        <f t="shared" si="7"/>
        <v>-505.57041370826943</v>
      </c>
      <c r="M12" s="9">
        <f t="shared" si="7"/>
        <v>113.54753817142492</v>
      </c>
      <c r="N12" s="34">
        <f t="shared" si="2"/>
        <v>-2554.8179099020208</v>
      </c>
    </row>
    <row r="13" spans="1:14" x14ac:dyDescent="0.25">
      <c r="A13" s="5">
        <v>0.15</v>
      </c>
      <c r="B13" s="4">
        <v>-2281.3124999999991</v>
      </c>
      <c r="C13" s="4">
        <v>396.74999999999994</v>
      </c>
      <c r="D13" s="4">
        <v>575</v>
      </c>
      <c r="E13" s="4">
        <v>800</v>
      </c>
      <c r="F13" s="4">
        <v>869.56521739130449</v>
      </c>
      <c r="H13" s="4" t="s">
        <v>11</v>
      </c>
      <c r="I13" s="9">
        <f>B13/((1+$A$13)^(3))</f>
        <v>-1499.9999999999998</v>
      </c>
      <c r="J13" s="9">
        <f t="shared" ref="J13:M13" si="8">C13/((1+$A$13)^(3))</f>
        <v>260.86956521739137</v>
      </c>
      <c r="K13" s="9">
        <f t="shared" si="8"/>
        <v>378.07183364839329</v>
      </c>
      <c r="L13" s="9">
        <f t="shared" si="8"/>
        <v>526.01298594559069</v>
      </c>
      <c r="M13" s="9">
        <f t="shared" si="8"/>
        <v>571.7532455930334</v>
      </c>
      <c r="N13" s="34">
        <f t="shared" si="2"/>
        <v>236.70763040440886</v>
      </c>
    </row>
    <row r="14" spans="1:14" x14ac:dyDescent="0.25">
      <c r="A14" s="5">
        <v>0.3</v>
      </c>
      <c r="B14" s="4">
        <v>-3295.5000000000009</v>
      </c>
      <c r="C14" s="4">
        <v>507.00000000000006</v>
      </c>
      <c r="D14" s="4">
        <v>650</v>
      </c>
      <c r="E14" s="4">
        <v>800</v>
      </c>
      <c r="F14" s="4">
        <v>769.23076923076917</v>
      </c>
      <c r="H14" s="4" t="s">
        <v>12</v>
      </c>
      <c r="I14" s="9">
        <f>B14/((1+$A$14)^(3))</f>
        <v>-1500</v>
      </c>
      <c r="J14" s="9">
        <f t="shared" ref="J14:M14" si="9">C14/((1+$A$14)^(3))</f>
        <v>230.76923076923075</v>
      </c>
      <c r="K14" s="9">
        <f t="shared" si="9"/>
        <v>295.85798816568041</v>
      </c>
      <c r="L14" s="9">
        <f t="shared" si="9"/>
        <v>364.13290851160667</v>
      </c>
      <c r="M14" s="9">
        <f t="shared" si="9"/>
        <v>350.12779664577562</v>
      </c>
      <c r="N14" s="34">
        <f t="shared" si="2"/>
        <v>-259.11207590770658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00C62-9819-4B01-8B0C-1A107EA5B31B}">
  <dimension ref="B9:L15"/>
  <sheetViews>
    <sheetView zoomScale="175" zoomScaleNormal="175" workbookViewId="0">
      <selection activeCell="L13" sqref="L13"/>
    </sheetView>
  </sheetViews>
  <sheetFormatPr defaultRowHeight="15" x14ac:dyDescent="0.25"/>
  <sheetData>
    <row r="9" spans="2:12" x14ac:dyDescent="0.25">
      <c r="B9" s="6"/>
      <c r="C9" s="6">
        <v>1</v>
      </c>
      <c r="D9" s="6">
        <v>2</v>
      </c>
      <c r="E9" s="6">
        <v>3</v>
      </c>
      <c r="F9" s="6">
        <v>4</v>
      </c>
      <c r="H9" s="6">
        <v>0</v>
      </c>
      <c r="I9" s="6">
        <v>1</v>
      </c>
      <c r="J9" s="6">
        <v>2</v>
      </c>
      <c r="K9" s="6">
        <v>3</v>
      </c>
      <c r="L9" s="6">
        <v>4</v>
      </c>
    </row>
    <row r="10" spans="2:12" x14ac:dyDescent="0.25">
      <c r="B10" s="4" t="s">
        <v>2</v>
      </c>
      <c r="C10" s="5">
        <v>0.1</v>
      </c>
      <c r="D10" s="5">
        <v>0.1</v>
      </c>
      <c r="E10" s="5">
        <v>0.1</v>
      </c>
      <c r="F10" s="5">
        <v>0.1</v>
      </c>
      <c r="H10" t="s">
        <v>17</v>
      </c>
      <c r="I10" s="9">
        <f>1/((1+C10)^(I9-$H$9))</f>
        <v>0.90909090909090906</v>
      </c>
      <c r="J10" s="9">
        <f t="shared" ref="J10:L15" si="0">1/((1+D10)^(J9-$H$9))</f>
        <v>0.82644628099173545</v>
      </c>
      <c r="K10" s="9">
        <f>1/((1+E10)^(K9-$H$9))</f>
        <v>0.75131480090157754</v>
      </c>
      <c r="L10" s="9">
        <f t="shared" si="0"/>
        <v>0.68301345536507052</v>
      </c>
    </row>
    <row r="11" spans="2:12" x14ac:dyDescent="0.25">
      <c r="B11" s="4" t="s">
        <v>5</v>
      </c>
      <c r="C11" s="5">
        <v>0.15</v>
      </c>
      <c r="D11" s="5">
        <v>0.15</v>
      </c>
      <c r="E11" s="5">
        <v>0.2</v>
      </c>
      <c r="F11" s="5">
        <v>0.2</v>
      </c>
      <c r="I11" s="34">
        <f>1/((1+C11))</f>
        <v>0.86956521739130443</v>
      </c>
      <c r="J11" s="34">
        <f>1/((1+C11)*(1+D11))</f>
        <v>0.7561436672967865</v>
      </c>
      <c r="K11" s="34">
        <f>1/((1+E11)*(1+D11)*(1+C11))</f>
        <v>0.63011972274732209</v>
      </c>
      <c r="L11" s="34">
        <f>1/((1+F11)*(1+E11)*(1+D11)*(1+C11))</f>
        <v>0.52509976895610178</v>
      </c>
    </row>
    <row r="12" spans="2:12" x14ac:dyDescent="0.25">
      <c r="B12" s="4" t="s">
        <v>6</v>
      </c>
      <c r="C12" s="5">
        <v>0.25</v>
      </c>
      <c r="D12" s="5">
        <v>0.2</v>
      </c>
      <c r="E12" s="5">
        <v>0.15</v>
      </c>
      <c r="F12" s="5">
        <v>0.15</v>
      </c>
      <c r="I12" s="9">
        <f>1/((1+C12))</f>
        <v>0.8</v>
      </c>
      <c r="J12" s="9">
        <f>1/((1+D12)*(1+C12))</f>
        <v>0.66666666666666663</v>
      </c>
      <c r="K12" s="9">
        <f>1/((1+E12)*(1+D12)*(1+C12))</f>
        <v>0.57971014492753625</v>
      </c>
      <c r="L12" s="9">
        <f>1/((1+F12)*(1+E12)*(1+D12)*(1+C12))</f>
        <v>0.50409577819785767</v>
      </c>
    </row>
    <row r="13" spans="2:12" x14ac:dyDescent="0.25">
      <c r="B13" s="4" t="s">
        <v>7</v>
      </c>
      <c r="C13" s="5">
        <v>0.12</v>
      </c>
      <c r="D13" s="5">
        <v>0.14000000000000001</v>
      </c>
      <c r="E13" s="5">
        <v>0.16</v>
      </c>
      <c r="F13" s="5">
        <v>0.16</v>
      </c>
      <c r="I13" s="9">
        <f t="shared" ref="I13:I15" si="1">1/((1+C13)^(I12-$H$9))</f>
        <v>0.91332549698752696</v>
      </c>
      <c r="J13" s="9">
        <f t="shared" si="0"/>
        <v>0.9163543217739637</v>
      </c>
      <c r="K13" s="9">
        <f t="shared" ref="K13:K15" si="2">1/((1+E13)^(K12-$H$9))</f>
        <v>0.91755699354521736</v>
      </c>
      <c r="L13" s="9">
        <f t="shared" si="0"/>
        <v>0.92791244567469766</v>
      </c>
    </row>
    <row r="14" spans="2:12" x14ac:dyDescent="0.25">
      <c r="B14" s="4" t="s">
        <v>8</v>
      </c>
      <c r="C14" s="5">
        <v>0.13</v>
      </c>
      <c r="D14" s="5">
        <v>0.15</v>
      </c>
      <c r="E14" s="5">
        <v>0.15</v>
      </c>
      <c r="F14" s="5">
        <v>0.15</v>
      </c>
      <c r="I14" s="9">
        <f t="shared" si="1"/>
        <v>0.89438005191194359</v>
      </c>
      <c r="J14" s="9">
        <f t="shared" si="0"/>
        <v>0.87979050714339813</v>
      </c>
      <c r="K14" s="9">
        <f t="shared" si="2"/>
        <v>0.87964263757080363</v>
      </c>
      <c r="L14" s="9">
        <f t="shared" si="0"/>
        <v>0.87837045328645402</v>
      </c>
    </row>
    <row r="15" spans="2:12" x14ac:dyDescent="0.25">
      <c r="B15" s="4" t="s">
        <v>9</v>
      </c>
      <c r="C15" s="5">
        <v>0.4</v>
      </c>
      <c r="D15" s="5">
        <v>0.4</v>
      </c>
      <c r="E15" s="5">
        <v>0.4</v>
      </c>
      <c r="F15" s="5">
        <v>0.4</v>
      </c>
      <c r="I15" s="9">
        <f t="shared" si="1"/>
        <v>0.7401265777068925</v>
      </c>
      <c r="J15" s="9">
        <f t="shared" si="0"/>
        <v>0.74376877429102839</v>
      </c>
      <c r="K15" s="9">
        <f t="shared" si="2"/>
        <v>0.74380578068755321</v>
      </c>
      <c r="L15" s="9">
        <f t="shared" si="0"/>
        <v>0.74412423839537334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673E0-9DCE-4121-9F76-3E19C7BD5D50}">
  <dimension ref="B2:P20"/>
  <sheetViews>
    <sheetView zoomScale="175" zoomScaleNormal="175" workbookViewId="0">
      <selection activeCell="P8" sqref="P8"/>
    </sheetView>
  </sheetViews>
  <sheetFormatPr defaultRowHeight="15" x14ac:dyDescent="0.25"/>
  <sheetData>
    <row r="2" spans="9:16" x14ac:dyDescent="0.25">
      <c r="I2" s="10"/>
      <c r="J2" s="11">
        <v>0</v>
      </c>
      <c r="K2" s="11">
        <v>1</v>
      </c>
      <c r="L2" s="11">
        <v>2</v>
      </c>
      <c r="M2" s="11">
        <v>3</v>
      </c>
      <c r="N2" s="12">
        <v>4</v>
      </c>
    </row>
    <row r="3" spans="9:16" x14ac:dyDescent="0.25">
      <c r="I3" s="13" t="s">
        <v>18</v>
      </c>
      <c r="J3" s="14"/>
      <c r="K3" s="15">
        <v>0.1</v>
      </c>
      <c r="L3" s="15">
        <v>0.15</v>
      </c>
      <c r="M3" s="15">
        <v>0.2</v>
      </c>
      <c r="N3" s="16">
        <v>0.25</v>
      </c>
      <c r="P3" t="s">
        <v>83</v>
      </c>
    </row>
    <row r="4" spans="9:16" x14ac:dyDescent="0.25">
      <c r="I4" s="17" t="s">
        <v>19</v>
      </c>
      <c r="K4">
        <v>1250</v>
      </c>
      <c r="L4">
        <v>1500</v>
      </c>
      <c r="M4">
        <v>1750</v>
      </c>
      <c r="N4" s="18">
        <v>2000</v>
      </c>
    </row>
    <row r="5" spans="9:16" x14ac:dyDescent="0.25">
      <c r="I5" s="22" t="s">
        <v>13</v>
      </c>
      <c r="J5" s="20"/>
      <c r="K5" s="20">
        <f>K4/((1+K3)^(K2))</f>
        <v>1136.3636363636363</v>
      </c>
      <c r="L5" s="20">
        <f>L4/((1+K3)*(1+L3))</f>
        <v>1185.7707509881425</v>
      </c>
      <c r="M5" s="20">
        <f>M4/((1+K3)*(1+L3)*(1+M3))</f>
        <v>1152.8326745718052</v>
      </c>
      <c r="N5" s="21">
        <f>N4/((1+K3)*(1+L3)*(1+M3)*(1+N3))</f>
        <v>1054.0184453227932</v>
      </c>
      <c r="O5" s="2">
        <f>SUM(K5:N5)</f>
        <v>4528.985507246377</v>
      </c>
    </row>
    <row r="7" spans="9:16" x14ac:dyDescent="0.25">
      <c r="I7" s="10"/>
      <c r="J7" s="11">
        <v>0</v>
      </c>
      <c r="K7" s="11">
        <v>1</v>
      </c>
      <c r="L7" s="11">
        <v>2</v>
      </c>
      <c r="M7" s="11">
        <v>3</v>
      </c>
      <c r="N7" s="12">
        <v>4</v>
      </c>
    </row>
    <row r="8" spans="9:16" x14ac:dyDescent="0.25">
      <c r="I8" s="13" t="s">
        <v>18</v>
      </c>
      <c r="J8" s="14"/>
      <c r="K8" s="15">
        <v>0.25</v>
      </c>
      <c r="L8" s="15">
        <v>0.2</v>
      </c>
      <c r="M8" s="15">
        <v>0.15</v>
      </c>
      <c r="N8" s="16">
        <v>0.1</v>
      </c>
    </row>
    <row r="9" spans="9:16" x14ac:dyDescent="0.25">
      <c r="I9" s="17" t="s">
        <v>19</v>
      </c>
      <c r="J9">
        <v>-4200</v>
      </c>
      <c r="K9">
        <v>1250</v>
      </c>
      <c r="L9">
        <v>1500</v>
      </c>
      <c r="M9">
        <v>1750</v>
      </c>
      <c r="N9" s="18">
        <v>2000</v>
      </c>
    </row>
    <row r="10" spans="9:16" x14ac:dyDescent="0.25">
      <c r="I10" s="22" t="s">
        <v>13</v>
      </c>
      <c r="J10" s="20">
        <v>-4200</v>
      </c>
      <c r="K10" s="20">
        <f>K9/(1+K8)</f>
        <v>1000</v>
      </c>
      <c r="L10" s="20">
        <f>L9/((1+L8)*(1+K8))</f>
        <v>1000</v>
      </c>
      <c r="M10" s="20">
        <f>M9/((1+M8)*(1+L8)*(1+K8))</f>
        <v>1014.4927536231885</v>
      </c>
      <c r="N10" s="21">
        <f>N9/((1+N8)*(1+M8)*(1+L8)*(1+K8))</f>
        <v>1054.0184453227932</v>
      </c>
      <c r="O10" s="2">
        <f>SUM(J10:N10)</f>
        <v>-131.48880105401827</v>
      </c>
    </row>
    <row r="12" spans="9:16" x14ac:dyDescent="0.25">
      <c r="I12" s="10"/>
      <c r="J12" s="11">
        <v>0</v>
      </c>
      <c r="K12" s="11">
        <v>1</v>
      </c>
      <c r="L12" s="11">
        <v>2</v>
      </c>
      <c r="M12" s="11">
        <v>3</v>
      </c>
      <c r="N12" s="12">
        <v>4</v>
      </c>
    </row>
    <row r="13" spans="9:16" x14ac:dyDescent="0.25">
      <c r="I13" s="13" t="s">
        <v>18</v>
      </c>
      <c r="J13" s="14"/>
      <c r="K13" s="15">
        <v>0.16</v>
      </c>
      <c r="L13" s="15">
        <v>0.14000000000000001</v>
      </c>
      <c r="M13" s="15">
        <v>0.12</v>
      </c>
      <c r="N13" s="16">
        <v>0.1</v>
      </c>
    </row>
    <row r="14" spans="9:16" x14ac:dyDescent="0.25">
      <c r="I14" s="17" t="s">
        <v>19</v>
      </c>
      <c r="J14">
        <v>-4200</v>
      </c>
      <c r="K14">
        <v>1250</v>
      </c>
      <c r="L14">
        <v>1500</v>
      </c>
      <c r="M14">
        <v>1750</v>
      </c>
      <c r="N14" s="18">
        <v>2000</v>
      </c>
    </row>
    <row r="15" spans="9:16" x14ac:dyDescent="0.25">
      <c r="I15" s="22" t="s">
        <v>13</v>
      </c>
      <c r="J15" s="20">
        <v>-4200</v>
      </c>
      <c r="K15" s="20">
        <f>K14/((1+K13)^(K12))</f>
        <v>1077.5862068965519</v>
      </c>
      <c r="L15" s="20">
        <f>L14/((1+L13)*(1+K13))</f>
        <v>1134.3012704174228</v>
      </c>
      <c r="M15" s="20">
        <f>M14/((1+M13)*(1+L13)*(1+K13))</f>
        <v>1181.5638233514819</v>
      </c>
      <c r="N15" s="21">
        <f>N14/((1+N13)*(1+M13)*(1+L13)*(1+K13))</f>
        <v>1227.5987775080332</v>
      </c>
      <c r="O15" s="2">
        <f>SUM(J15:N15)</f>
        <v>421.05007817348951</v>
      </c>
    </row>
    <row r="17" spans="2:15" x14ac:dyDescent="0.25">
      <c r="B17" s="2" t="s">
        <v>20</v>
      </c>
      <c r="I17" s="10"/>
      <c r="J17" s="11">
        <v>0</v>
      </c>
      <c r="K17" s="11">
        <v>1</v>
      </c>
      <c r="L17" s="11">
        <v>2</v>
      </c>
      <c r="M17" s="11">
        <v>3</v>
      </c>
      <c r="N17" s="12">
        <v>4</v>
      </c>
    </row>
    <row r="18" spans="2:15" x14ac:dyDescent="0.25">
      <c r="I18" s="13" t="s">
        <v>18</v>
      </c>
      <c r="J18" s="14"/>
      <c r="K18" s="15">
        <v>0.15</v>
      </c>
      <c r="L18" s="15">
        <v>0.1</v>
      </c>
      <c r="M18" s="15">
        <v>0.1</v>
      </c>
      <c r="N18" s="16">
        <v>0.1</v>
      </c>
    </row>
    <row r="19" spans="2:15" x14ac:dyDescent="0.25">
      <c r="I19" s="17" t="s">
        <v>19</v>
      </c>
      <c r="J19">
        <v>-3000</v>
      </c>
      <c r="K19">
        <v>1750</v>
      </c>
      <c r="L19">
        <v>2500</v>
      </c>
      <c r="M19">
        <v>-500</v>
      </c>
      <c r="N19" s="18">
        <v>875</v>
      </c>
    </row>
    <row r="20" spans="2:15" x14ac:dyDescent="0.25">
      <c r="I20" s="22" t="s">
        <v>13</v>
      </c>
      <c r="J20" s="20">
        <v>-3000</v>
      </c>
      <c r="K20" s="20">
        <f>K19/((1+K18)^(K17))</f>
        <v>1521.7391304347827</v>
      </c>
      <c r="L20" s="20">
        <f>L19/((1+L18)*(1+K18))</f>
        <v>1976.2845849802372</v>
      </c>
      <c r="M20" s="20">
        <f>M19/((1+M18)*(1+L18)*(1+K18))</f>
        <v>-359.32446999640672</v>
      </c>
      <c r="N20" s="21">
        <f>N19/((1+N18)*(1+M18)*(1+L18)*(1+K18))</f>
        <v>571.65256590337424</v>
      </c>
      <c r="O20" s="2">
        <f>SUM(J20:N20)</f>
        <v>710.3518113219875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38CE9-CAC5-435B-B070-8A72D17EC7ED}">
  <dimension ref="B8:H12"/>
  <sheetViews>
    <sheetView zoomScale="205" zoomScaleNormal="205" workbookViewId="0">
      <selection activeCell="H14" sqref="H14"/>
    </sheetView>
  </sheetViews>
  <sheetFormatPr defaultRowHeight="15" x14ac:dyDescent="0.25"/>
  <sheetData>
    <row r="8" spans="2:8" x14ac:dyDescent="0.25">
      <c r="B8" s="6" t="s">
        <v>21</v>
      </c>
      <c r="C8" s="6">
        <v>0</v>
      </c>
      <c r="D8" s="6">
        <v>1</v>
      </c>
      <c r="E8" s="6">
        <v>2</v>
      </c>
      <c r="F8" s="6">
        <v>3</v>
      </c>
      <c r="G8" s="6">
        <v>4</v>
      </c>
      <c r="H8" t="s">
        <v>4</v>
      </c>
    </row>
    <row r="9" spans="2:8" x14ac:dyDescent="0.25">
      <c r="B9" s="4" t="s">
        <v>14</v>
      </c>
      <c r="C9" s="4"/>
      <c r="D9" s="4">
        <v>2500</v>
      </c>
      <c r="E9" s="4">
        <v>2500</v>
      </c>
      <c r="F9" s="4">
        <v>2500</v>
      </c>
      <c r="G9" s="4">
        <v>2500</v>
      </c>
    </row>
    <row r="10" spans="2:8" x14ac:dyDescent="0.25">
      <c r="B10" s="4" t="s">
        <v>22</v>
      </c>
      <c r="C10" s="4"/>
      <c r="D10" s="5">
        <v>0.15</v>
      </c>
      <c r="E10" s="5">
        <v>0.15</v>
      </c>
      <c r="F10" s="5">
        <v>0.15</v>
      </c>
      <c r="G10" s="5">
        <v>0.15</v>
      </c>
    </row>
    <row r="11" spans="2:8" x14ac:dyDescent="0.25">
      <c r="B11" t="s">
        <v>23</v>
      </c>
      <c r="C11" s="2">
        <v>1</v>
      </c>
      <c r="D11" s="34">
        <f>1/((1+D10)^(D8))</f>
        <v>0.86956521739130443</v>
      </c>
      <c r="E11" s="34">
        <f>1/((1+E10)^(E8))</f>
        <v>0.7561436672967865</v>
      </c>
      <c r="F11" s="34">
        <f t="shared" ref="F11:G11" si="0">1/((1+F10)^(F8))</f>
        <v>0.65751623243198831</v>
      </c>
      <c r="G11" s="34">
        <f t="shared" si="0"/>
        <v>0.57175324559303342</v>
      </c>
    </row>
    <row r="12" spans="2:8" x14ac:dyDescent="0.25">
      <c r="B12" t="s">
        <v>13</v>
      </c>
      <c r="D12" s="2">
        <f>D9*D11</f>
        <v>2173.913043478261</v>
      </c>
      <c r="E12" s="2">
        <f>E9*E11</f>
        <v>1890.3591682419662</v>
      </c>
      <c r="F12" s="2">
        <f>F9*F11</f>
        <v>1643.7905810799707</v>
      </c>
      <c r="G12" s="2">
        <f t="shared" ref="G12" si="1">G9*G11</f>
        <v>1429.3831139825836</v>
      </c>
      <c r="H12" s="2">
        <f>SUM(D12:G12)</f>
        <v>7137.4459067827811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D2170-B103-4C21-923C-377BA32B9594}">
  <dimension ref="B7:H14"/>
  <sheetViews>
    <sheetView zoomScale="175" zoomScaleNormal="175" workbookViewId="0">
      <selection activeCell="J11" sqref="J11"/>
    </sheetView>
  </sheetViews>
  <sheetFormatPr defaultRowHeight="15" x14ac:dyDescent="0.25"/>
  <sheetData>
    <row r="7" spans="2:8" x14ac:dyDescent="0.25">
      <c r="B7" s="6" t="s">
        <v>21</v>
      </c>
      <c r="C7" s="6">
        <v>0</v>
      </c>
      <c r="D7" s="6">
        <v>1</v>
      </c>
      <c r="E7" s="6">
        <v>2</v>
      </c>
      <c r="F7" s="6">
        <v>3</v>
      </c>
      <c r="G7" s="6">
        <v>4</v>
      </c>
      <c r="H7" t="s">
        <v>4</v>
      </c>
    </row>
    <row r="8" spans="2:8" x14ac:dyDescent="0.25">
      <c r="B8" s="4" t="s">
        <v>14</v>
      </c>
      <c r="C8" s="4">
        <v>10000</v>
      </c>
      <c r="D8" s="4">
        <v>10000</v>
      </c>
      <c r="E8" s="4">
        <v>10000</v>
      </c>
      <c r="F8" s="4">
        <v>10000</v>
      </c>
      <c r="G8" s="4">
        <v>10000</v>
      </c>
    </row>
    <row r="9" spans="2:8" x14ac:dyDescent="0.25">
      <c r="B9" s="4" t="s">
        <v>22</v>
      </c>
      <c r="C9" s="4"/>
      <c r="D9" s="5">
        <v>0.2</v>
      </c>
      <c r="E9" s="5">
        <v>0.2</v>
      </c>
      <c r="F9" s="5">
        <v>0.2</v>
      </c>
      <c r="G9" s="5">
        <v>0.2</v>
      </c>
    </row>
    <row r="10" spans="2:8" x14ac:dyDescent="0.25">
      <c r="B10" t="s">
        <v>23</v>
      </c>
      <c r="C10" s="2">
        <f>1/((1+0%)^(C7))</f>
        <v>1</v>
      </c>
      <c r="D10" s="2">
        <f>1/((1+D9)^(D7))</f>
        <v>0.83333333333333337</v>
      </c>
      <c r="E10" s="2">
        <f>1/((1+E9)^(E7))</f>
        <v>0.69444444444444442</v>
      </c>
      <c r="F10" s="2">
        <f t="shared" ref="F10" si="0">1/((1+F9)^(F7))</f>
        <v>0.57870370370370372</v>
      </c>
      <c r="G10" s="2">
        <f>1/((1+G9)^(G7))</f>
        <v>0.48225308641975312</v>
      </c>
    </row>
    <row r="11" spans="2:8" x14ac:dyDescent="0.25">
      <c r="B11" t="s">
        <v>13</v>
      </c>
      <c r="C11" s="2">
        <f>C8*C10</f>
        <v>10000</v>
      </c>
      <c r="D11" s="2">
        <f t="shared" ref="D11:G11" si="1">D8*D10</f>
        <v>8333.3333333333339</v>
      </c>
      <c r="E11" s="2">
        <f t="shared" si="1"/>
        <v>6944.4444444444443</v>
      </c>
      <c r="F11" s="2">
        <f t="shared" si="1"/>
        <v>5787.0370370370374</v>
      </c>
      <c r="G11" s="2">
        <f t="shared" si="1"/>
        <v>4822.5308641975316</v>
      </c>
      <c r="H11" s="2">
        <f>SUM(C11:G11)</f>
        <v>35887.345679012345</v>
      </c>
    </row>
    <row r="14" spans="2:8" x14ac:dyDescent="0.25">
      <c r="B14" s="2" t="s">
        <v>78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E2DD6-CEAB-4C4A-8875-CEBBD5B9485E}">
  <dimension ref="B8:H11"/>
  <sheetViews>
    <sheetView zoomScale="220" zoomScaleNormal="220" workbookViewId="0">
      <selection activeCell="H11" sqref="H11"/>
    </sheetView>
  </sheetViews>
  <sheetFormatPr defaultRowHeight="15" x14ac:dyDescent="0.25"/>
  <sheetData>
    <row r="8" spans="2:8" x14ac:dyDescent="0.25">
      <c r="B8" s="6" t="s">
        <v>24</v>
      </c>
      <c r="C8" s="6">
        <v>0</v>
      </c>
      <c r="D8" s="6">
        <v>1</v>
      </c>
      <c r="E8" s="6">
        <v>2</v>
      </c>
      <c r="F8" s="6">
        <v>3</v>
      </c>
      <c r="G8" s="6">
        <v>4</v>
      </c>
      <c r="H8" s="6" t="s">
        <v>4</v>
      </c>
    </row>
    <row r="9" spans="2:8" x14ac:dyDescent="0.25">
      <c r="B9" s="4" t="s">
        <v>14</v>
      </c>
      <c r="C9" s="4"/>
      <c r="D9" s="4">
        <v>2500</v>
      </c>
      <c r="E9" s="4">
        <v>2500</v>
      </c>
      <c r="F9" s="4">
        <v>2500</v>
      </c>
      <c r="G9" s="4">
        <v>2500</v>
      </c>
    </row>
    <row r="10" spans="2:8" x14ac:dyDescent="0.25">
      <c r="B10" s="4" t="s">
        <v>22</v>
      </c>
      <c r="C10" s="4"/>
      <c r="D10" s="5">
        <v>0.15</v>
      </c>
      <c r="E10" s="5">
        <v>0.15</v>
      </c>
      <c r="F10" s="5">
        <v>0.15</v>
      </c>
      <c r="G10" s="5">
        <v>0.15</v>
      </c>
    </row>
    <row r="11" spans="2:8" x14ac:dyDescent="0.25">
      <c r="B11" t="s">
        <v>13</v>
      </c>
      <c r="D11" s="2">
        <f>D9/((1+D10)^(D8))</f>
        <v>2173.913043478261</v>
      </c>
      <c r="E11" s="2">
        <f>E9/((1+E10)^(E8))</f>
        <v>1890.3591682419662</v>
      </c>
      <c r="F11" s="2">
        <f t="shared" ref="F11:G11" si="0">F9/((1+F10)^(F8))</f>
        <v>1643.7905810799709</v>
      </c>
      <c r="G11" s="2">
        <f t="shared" si="0"/>
        <v>1429.3831139825834</v>
      </c>
      <c r="H11" s="2">
        <f>SUM(D11:G11)</f>
        <v>7137.445906782782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ex1g</vt:lpstr>
      <vt:lpstr>ex2</vt:lpstr>
      <vt:lpstr>ex3g</vt:lpstr>
      <vt:lpstr>ex4</vt:lpstr>
      <vt:lpstr>ex5</vt:lpstr>
      <vt:lpstr>ex6g</vt:lpstr>
      <vt:lpstr>ex7g</vt:lpstr>
      <vt:lpstr>ex8</vt:lpstr>
      <vt:lpstr>ex9</vt:lpstr>
      <vt:lpstr>ex10</vt:lpstr>
      <vt:lpstr>ex11g</vt:lpstr>
      <vt:lpstr>ex12g</vt:lpstr>
      <vt:lpstr>ex13g</vt:lpstr>
      <vt:lpstr>ex14g</vt:lpstr>
      <vt:lpstr>ex15g</vt:lpstr>
      <vt:lpstr>ex16</vt:lpstr>
      <vt:lpstr>ex17g</vt:lpstr>
      <vt:lpstr>ex18</vt:lpstr>
      <vt:lpstr>ex19g</vt:lpstr>
      <vt:lpstr>ex20g</vt:lpstr>
      <vt:lpstr>ex21g</vt:lpstr>
      <vt:lpstr>ex22g</vt:lpstr>
      <vt:lpstr>ex23</vt:lpstr>
      <vt:lpstr>ex24</vt:lpstr>
      <vt:lpstr>ex25g</vt:lpstr>
      <vt:lpstr>ex26b</vt:lpstr>
      <vt:lpstr>ex27g</vt:lpstr>
      <vt:lpstr>ex28</vt:lpstr>
      <vt:lpstr>ex29g</vt:lpstr>
      <vt:lpstr>ex30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dcterms:created xsi:type="dcterms:W3CDTF">2023-02-26T17:01:02Z</dcterms:created>
  <dcterms:modified xsi:type="dcterms:W3CDTF">2023-03-17T02:06:31Z</dcterms:modified>
</cp:coreProperties>
</file>