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navarro\Documents\Impartación Clases\EIGP (POSG-Ingenierías)\Material\"/>
    </mc:Choice>
  </mc:AlternateContent>
  <xr:revisionPtr revIDLastSave="0" documentId="13_ncr:1_{DAC600F1-8823-4F6A-9E04-F9E4D027ECA0}" xr6:coauthVersionLast="36" xr6:coauthVersionMax="36" xr10:uidLastSave="{00000000-0000-0000-0000-000000000000}"/>
  <bookViews>
    <workbookView xWindow="480" yWindow="480" windowWidth="25128" windowHeight="15060" tabRatio="747" firstSheet="12" activeTab="20" xr2:uid="{00000000-000D-0000-FFFF-FFFF00000000}"/>
  </bookViews>
  <sheets>
    <sheet name="PR_1" sheetId="1" r:id="rId1"/>
    <sheet name="PR_2" sheetId="35" r:id="rId2"/>
    <sheet name="PR_3" sheetId="3" r:id="rId3"/>
    <sheet name="PR_4" sheetId="36" r:id="rId4"/>
    <sheet name="PR_5" sheetId="4" r:id="rId5"/>
    <sheet name="PR_6" sheetId="5" r:id="rId6"/>
    <sheet name="PR_7" sheetId="6" r:id="rId7"/>
    <sheet name="PR_8" sheetId="7" r:id="rId8"/>
    <sheet name="PR_9_10" sheetId="8" r:id="rId9"/>
    <sheet name="PR_11" sheetId="9" r:id="rId10"/>
    <sheet name="PR_12" sheetId="10" r:id="rId11"/>
    <sheet name="PR_13" sheetId="12" r:id="rId12"/>
    <sheet name="PR_14" sheetId="14" r:id="rId13"/>
    <sheet name="PR_15" sheetId="16" r:id="rId14"/>
    <sheet name="PR_16" sheetId="18" r:id="rId15"/>
    <sheet name="PR_17" sheetId="19" r:id="rId16"/>
    <sheet name="PR_18" sheetId="20" r:id="rId17"/>
    <sheet name="PR_19" sheetId="23" r:id="rId18"/>
    <sheet name="PR_20" sheetId="24" r:id="rId19"/>
    <sheet name="PR_21" sheetId="25" r:id="rId20"/>
    <sheet name="PR_21 (2)" sheetId="37" r:id="rId21"/>
    <sheet name="PR_22" sheetId="22" r:id="rId22"/>
    <sheet name="PR_23" sheetId="26" r:id="rId23"/>
    <sheet name="PR_24" sheetId="27" r:id="rId24"/>
    <sheet name="PR_25" sheetId="29" r:id="rId25"/>
    <sheet name="PR26" sheetId="31" r:id="rId26"/>
    <sheet name="PR27" sheetId="32" r:id="rId27"/>
    <sheet name="PR28" sheetId="33" r:id="rId28"/>
    <sheet name="PR29" sheetId="34" r:id="rId29"/>
    <sheet name="PR_30" sheetId="30" r:id="rId30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2" i="37" l="1"/>
  <c r="BG9" i="37"/>
  <c r="BG10" i="37" s="1"/>
  <c r="BH9" i="37"/>
  <c r="BH10" i="37" s="1"/>
  <c r="S12" i="37"/>
  <c r="T12" i="37"/>
  <c r="U12" i="37"/>
  <c r="V12" i="37"/>
  <c r="W12" i="37"/>
  <c r="X12" i="37"/>
  <c r="Y12" i="37"/>
  <c r="Z12" i="37"/>
  <c r="AA12" i="37"/>
  <c r="AB12" i="37"/>
  <c r="AC12" i="37"/>
  <c r="N32" i="25"/>
  <c r="D31" i="25"/>
  <c r="E31" i="25"/>
  <c r="F31" i="25"/>
  <c r="G31" i="25"/>
  <c r="H31" i="25"/>
  <c r="I31" i="25"/>
  <c r="J31" i="25"/>
  <c r="K31" i="25"/>
  <c r="L31" i="25"/>
  <c r="M31" i="25"/>
  <c r="C32" i="25"/>
  <c r="D29" i="25"/>
  <c r="E29" i="25" s="1"/>
  <c r="F29" i="25" s="1"/>
  <c r="G29" i="25" s="1"/>
  <c r="H29" i="25" s="1"/>
  <c r="I29" i="25" s="1"/>
  <c r="J29" i="25" s="1"/>
  <c r="K29" i="25" s="1"/>
  <c r="L29" i="25" s="1"/>
  <c r="M29" i="25" s="1"/>
  <c r="D14" i="24"/>
  <c r="E12" i="24"/>
  <c r="D12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C15" i="24" s="1"/>
  <c r="D32" i="25" l="1"/>
  <c r="E32" i="25" s="1"/>
  <c r="F32" i="25" s="1"/>
  <c r="G32" i="25" s="1"/>
  <c r="H32" i="25" s="1"/>
  <c r="I32" i="25" s="1"/>
  <c r="J32" i="25" s="1"/>
  <c r="K32" i="25" s="1"/>
  <c r="L32" i="25" s="1"/>
  <c r="M32" i="25" s="1"/>
  <c r="C13" i="37" l="1"/>
  <c r="R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D12" i="37"/>
  <c r="D13" i="37" s="1"/>
  <c r="AI9" i="37"/>
  <c r="AI10" i="37" s="1"/>
  <c r="AJ9" i="37"/>
  <c r="AJ10" i="37" s="1"/>
  <c r="AK9" i="37"/>
  <c r="AK10" i="37" s="1"/>
  <c r="AQ9" i="37"/>
  <c r="AQ10" i="37" s="1"/>
  <c r="AR9" i="37"/>
  <c r="AR10" i="37" s="1"/>
  <c r="AS9" i="37"/>
  <c r="AS10" i="37" s="1"/>
  <c r="AY9" i="37"/>
  <c r="AY10" i="37" s="1"/>
  <c r="AZ9" i="37"/>
  <c r="AZ10" i="37" s="1"/>
  <c r="BA9" i="37"/>
  <c r="BA10" i="37" s="1"/>
  <c r="D7" i="37"/>
  <c r="E7" i="37" s="1"/>
  <c r="F7" i="37" s="1"/>
  <c r="G7" i="37" s="1"/>
  <c r="H7" i="37" s="1"/>
  <c r="I7" i="37" s="1"/>
  <c r="J7" i="37" s="1"/>
  <c r="K7" i="37" s="1"/>
  <c r="L7" i="37" s="1"/>
  <c r="M7" i="37" s="1"/>
  <c r="N7" i="37" s="1"/>
  <c r="O7" i="37" s="1"/>
  <c r="P7" i="37" s="1"/>
  <c r="Q7" i="37" s="1"/>
  <c r="R7" i="37" s="1"/>
  <c r="S7" i="37" s="1"/>
  <c r="T7" i="37" s="1"/>
  <c r="U7" i="37" s="1"/>
  <c r="V7" i="37" s="1"/>
  <c r="W7" i="37" s="1"/>
  <c r="X7" i="37" s="1"/>
  <c r="Y7" i="37" s="1"/>
  <c r="Z7" i="37" s="1"/>
  <c r="AA7" i="37" s="1"/>
  <c r="AB7" i="37" s="1"/>
  <c r="AC7" i="37" s="1"/>
  <c r="AD7" i="37" s="1"/>
  <c r="AE7" i="37" s="1"/>
  <c r="AF7" i="37" s="1"/>
  <c r="AG7" i="37" s="1"/>
  <c r="AH7" i="37" s="1"/>
  <c r="AI7" i="37" s="1"/>
  <c r="AJ7" i="37" s="1"/>
  <c r="AK7" i="37" s="1"/>
  <c r="AL7" i="37" s="1"/>
  <c r="AM7" i="37" s="1"/>
  <c r="AN7" i="37" s="1"/>
  <c r="AO7" i="37" s="1"/>
  <c r="AP7" i="37" s="1"/>
  <c r="AQ7" i="37" s="1"/>
  <c r="AR7" i="37" s="1"/>
  <c r="AS7" i="37" s="1"/>
  <c r="AT7" i="37" s="1"/>
  <c r="AU7" i="37" s="1"/>
  <c r="AV7" i="37" s="1"/>
  <c r="AW7" i="37" s="1"/>
  <c r="AX7" i="37" s="1"/>
  <c r="AY7" i="37" s="1"/>
  <c r="AZ7" i="37" s="1"/>
  <c r="BA7" i="37" s="1"/>
  <c r="BB7" i="37" s="1"/>
  <c r="BC7" i="37" s="1"/>
  <c r="BD7" i="37" s="1"/>
  <c r="BE7" i="37" s="1"/>
  <c r="BF7" i="37" s="1"/>
  <c r="BG7" i="37" s="1"/>
  <c r="BH7" i="37" s="1"/>
  <c r="D6" i="37"/>
  <c r="E6" i="37" s="1"/>
  <c r="F6" i="37" s="1"/>
  <c r="G6" i="37" s="1"/>
  <c r="H6" i="37" s="1"/>
  <c r="I6" i="37" s="1"/>
  <c r="J6" i="37" s="1"/>
  <c r="K6" i="37" s="1"/>
  <c r="L6" i="37" s="1"/>
  <c r="M6" i="37" s="1"/>
  <c r="N6" i="37" s="1"/>
  <c r="O6" i="37" s="1"/>
  <c r="P6" i="37" s="1"/>
  <c r="Q6" i="37" s="1"/>
  <c r="R6" i="37" s="1"/>
  <c r="S6" i="37" s="1"/>
  <c r="T6" i="37" s="1"/>
  <c r="U6" i="37" s="1"/>
  <c r="V6" i="37" s="1"/>
  <c r="W6" i="37" s="1"/>
  <c r="X6" i="37" s="1"/>
  <c r="Y6" i="37" s="1"/>
  <c r="Z6" i="37" s="1"/>
  <c r="AA6" i="37" s="1"/>
  <c r="AB6" i="37" s="1"/>
  <c r="AC6" i="37" s="1"/>
  <c r="AD6" i="37" s="1"/>
  <c r="AE6" i="37" s="1"/>
  <c r="AF6" i="37" s="1"/>
  <c r="AG6" i="37" s="1"/>
  <c r="AH6" i="37" s="1"/>
  <c r="AI6" i="37" s="1"/>
  <c r="AJ6" i="37" s="1"/>
  <c r="AK6" i="37" s="1"/>
  <c r="AL6" i="37" s="1"/>
  <c r="AM6" i="37" s="1"/>
  <c r="AN6" i="37" s="1"/>
  <c r="AO6" i="37" s="1"/>
  <c r="AP6" i="37" s="1"/>
  <c r="AQ6" i="37" s="1"/>
  <c r="AR6" i="37" s="1"/>
  <c r="AS6" i="37" s="1"/>
  <c r="AT6" i="37" s="1"/>
  <c r="AU6" i="37" s="1"/>
  <c r="AV6" i="37" s="1"/>
  <c r="AW6" i="37" s="1"/>
  <c r="AX6" i="37" s="1"/>
  <c r="AY6" i="37" s="1"/>
  <c r="AZ6" i="37" s="1"/>
  <c r="BA6" i="37" s="1"/>
  <c r="BB6" i="37" s="1"/>
  <c r="BC6" i="37" s="1"/>
  <c r="BD6" i="37" s="1"/>
  <c r="BE6" i="37" s="1"/>
  <c r="BF6" i="37" s="1"/>
  <c r="BG6" i="37" s="1"/>
  <c r="BH6" i="37" s="1"/>
  <c r="L17" i="23"/>
  <c r="K17" i="23"/>
  <c r="E13" i="37" l="1"/>
  <c r="F13" i="37" s="1"/>
  <c r="G13" i="37" s="1"/>
  <c r="H13" i="37" s="1"/>
  <c r="I13" i="37" s="1"/>
  <c r="J13" i="37" s="1"/>
  <c r="K13" i="37" s="1"/>
  <c r="L13" i="37" s="1"/>
  <c r="M13" i="37" s="1"/>
  <c r="N13" i="37" s="1"/>
  <c r="O13" i="37" s="1"/>
  <c r="P13" i="37" s="1"/>
  <c r="Q13" i="37" s="1"/>
  <c r="R13" i="37" s="1"/>
  <c r="S13" i="37" s="1"/>
  <c r="T13" i="37" s="1"/>
  <c r="U13" i="37" s="1"/>
  <c r="V13" i="37" s="1"/>
  <c r="W13" i="37" s="1"/>
  <c r="X13" i="37" s="1"/>
  <c r="Y13" i="37" s="1"/>
  <c r="Z13" i="37" s="1"/>
  <c r="AA13" i="37" s="1"/>
  <c r="AB13" i="37" s="1"/>
  <c r="AC13" i="37" s="1"/>
  <c r="AD13" i="37" s="1"/>
  <c r="BF9" i="37"/>
  <c r="BF10" i="37" s="1"/>
  <c r="AX9" i="37"/>
  <c r="AX10" i="37" s="1"/>
  <c r="AP9" i="37"/>
  <c r="AP10" i="37" s="1"/>
  <c r="AH9" i="37"/>
  <c r="AH10" i="37" s="1"/>
  <c r="BE9" i="37"/>
  <c r="BE10" i="37" s="1"/>
  <c r="AW9" i="37"/>
  <c r="AW10" i="37" s="1"/>
  <c r="AO9" i="37"/>
  <c r="AO10" i="37" s="1"/>
  <c r="AG9" i="37"/>
  <c r="AG10" i="37" s="1"/>
  <c r="BD9" i="37"/>
  <c r="BD10" i="37" s="1"/>
  <c r="AV9" i="37"/>
  <c r="AV10" i="37" s="1"/>
  <c r="AN9" i="37"/>
  <c r="AN10" i="37" s="1"/>
  <c r="AF9" i="37"/>
  <c r="AF10" i="37" s="1"/>
  <c r="BC9" i="37"/>
  <c r="BC10" i="37" s="1"/>
  <c r="AU9" i="37"/>
  <c r="AU10" i="37" s="1"/>
  <c r="AM9" i="37"/>
  <c r="AM10" i="37" s="1"/>
  <c r="AE9" i="37"/>
  <c r="AE10" i="37" s="1"/>
  <c r="BB9" i="37"/>
  <c r="BB10" i="37" s="1"/>
  <c r="AT9" i="37"/>
  <c r="AT10" i="37" s="1"/>
  <c r="AL9" i="37"/>
  <c r="AL10" i="37" s="1"/>
  <c r="L37" i="19"/>
  <c r="L36" i="19"/>
  <c r="L35" i="19"/>
  <c r="J37" i="19"/>
  <c r="J36" i="19"/>
  <c r="J35" i="19"/>
  <c r="F41" i="19"/>
  <c r="E41" i="19"/>
  <c r="D41" i="19"/>
  <c r="D35" i="19"/>
  <c r="D39" i="19" s="1"/>
  <c r="D13" i="14"/>
  <c r="F13" i="14"/>
  <c r="E12" i="12"/>
  <c r="H11" i="10"/>
  <c r="I11" i="10"/>
  <c r="D16" i="10"/>
  <c r="E16" i="10" s="1"/>
  <c r="F16" i="10" s="1"/>
  <c r="E10" i="8"/>
  <c r="F10" i="8"/>
  <c r="G10" i="8"/>
  <c r="D10" i="8"/>
  <c r="F9" i="5"/>
  <c r="E9" i="5"/>
  <c r="D9" i="5"/>
  <c r="D7" i="5"/>
  <c r="G14" i="4"/>
  <c r="F14" i="4"/>
  <c r="E14" i="4"/>
  <c r="D14" i="4"/>
  <c r="D11" i="4"/>
  <c r="E11" i="4" s="1"/>
  <c r="L5" i="3"/>
  <c r="M5" i="36"/>
  <c r="J5" i="3"/>
  <c r="H5" i="3"/>
  <c r="AD11" i="37" l="1"/>
  <c r="AD15" i="37" s="1"/>
  <c r="D36" i="19"/>
  <c r="E35" i="19"/>
  <c r="E39" i="19" s="1"/>
  <c r="N22" i="30"/>
  <c r="O14" i="30"/>
  <c r="P20" i="29"/>
  <c r="P17" i="29"/>
  <c r="P18" i="29"/>
  <c r="P19" i="29"/>
  <c r="M15" i="29"/>
  <c r="N15" i="29" s="1"/>
  <c r="O15" i="29" s="1"/>
  <c r="Q15" i="29" s="1"/>
  <c r="L16" i="29" s="1"/>
  <c r="M16" i="29" s="1"/>
  <c r="N16" i="29" s="1"/>
  <c r="O16" i="29" s="1"/>
  <c r="Q16" i="29" s="1"/>
  <c r="L17" i="29" s="1"/>
  <c r="L15" i="29"/>
  <c r="P16" i="29"/>
  <c r="P15" i="29"/>
  <c r="M12" i="29"/>
  <c r="C24" i="29"/>
  <c r="C15" i="29"/>
  <c r="G19" i="26"/>
  <c r="I19" i="26"/>
  <c r="H19" i="26"/>
  <c r="E14" i="26"/>
  <c r="F14" i="26" s="1"/>
  <c r="G14" i="26" s="1"/>
  <c r="I18" i="22"/>
  <c r="O21" i="22"/>
  <c r="O19" i="22"/>
  <c r="O20" i="22"/>
  <c r="O18" i="22"/>
  <c r="L18" i="22"/>
  <c r="M18" i="22" s="1"/>
  <c r="N18" i="22" s="1"/>
  <c r="P18" i="22" s="1"/>
  <c r="Q17" i="22"/>
  <c r="O17" i="22"/>
  <c r="M17" i="22"/>
  <c r="N17" i="22" s="1"/>
  <c r="L17" i="22"/>
  <c r="E21" i="22"/>
  <c r="D14" i="19"/>
  <c r="E12" i="19"/>
  <c r="F12" i="19" s="1"/>
  <c r="G12" i="19" s="1"/>
  <c r="D14" i="18"/>
  <c r="D13" i="16"/>
  <c r="D16" i="14"/>
  <c r="D20" i="14"/>
  <c r="F12" i="12"/>
  <c r="C19" i="8"/>
  <c r="D9" i="8"/>
  <c r="G9" i="5"/>
  <c r="L11" i="4"/>
  <c r="L12" i="4" s="1"/>
  <c r="K11" i="4"/>
  <c r="K12" i="4" s="1"/>
  <c r="M21" i="36"/>
  <c r="M19" i="36"/>
  <c r="M17" i="36"/>
  <c r="M15" i="36"/>
  <c r="M13" i="36"/>
  <c r="M11" i="36"/>
  <c r="M9" i="36"/>
  <c r="M7" i="36"/>
  <c r="K5" i="36"/>
  <c r="K7" i="36"/>
  <c r="K9" i="36"/>
  <c r="K11" i="36"/>
  <c r="K13" i="36"/>
  <c r="K15" i="36"/>
  <c r="K17" i="36"/>
  <c r="K19" i="36"/>
  <c r="K21" i="36"/>
  <c r="K3" i="36"/>
  <c r="J7" i="3"/>
  <c r="J9" i="3"/>
  <c r="J11" i="3"/>
  <c r="J13" i="3"/>
  <c r="J15" i="3"/>
  <c r="J17" i="3"/>
  <c r="J19" i="3"/>
  <c r="J21" i="3"/>
  <c r="G21" i="3"/>
  <c r="G19" i="3"/>
  <c r="G17" i="3"/>
  <c r="G15" i="3"/>
  <c r="G13" i="3"/>
  <c r="G11" i="3"/>
  <c r="G9" i="3"/>
  <c r="G7" i="3"/>
  <c r="G5" i="3"/>
  <c r="H21" i="36"/>
  <c r="G21" i="36"/>
  <c r="F21" i="36"/>
  <c r="E21" i="36"/>
  <c r="D21" i="36"/>
  <c r="H19" i="36"/>
  <c r="G19" i="36"/>
  <c r="F19" i="36"/>
  <c r="E19" i="36"/>
  <c r="D19" i="36"/>
  <c r="H17" i="36"/>
  <c r="G17" i="36"/>
  <c r="F17" i="36"/>
  <c r="E17" i="36"/>
  <c r="D17" i="36"/>
  <c r="H15" i="36"/>
  <c r="G15" i="36"/>
  <c r="F15" i="36"/>
  <c r="E15" i="36"/>
  <c r="D15" i="36"/>
  <c r="H13" i="36"/>
  <c r="G13" i="36"/>
  <c r="F13" i="36"/>
  <c r="E13" i="36"/>
  <c r="D13" i="36"/>
  <c r="H11" i="36"/>
  <c r="G11" i="36"/>
  <c r="F11" i="36"/>
  <c r="E11" i="36"/>
  <c r="D11" i="36"/>
  <c r="H9" i="36"/>
  <c r="G9" i="36"/>
  <c r="F9" i="36"/>
  <c r="E9" i="36"/>
  <c r="D9" i="36"/>
  <c r="H7" i="36"/>
  <c r="G7" i="36"/>
  <c r="F7" i="36"/>
  <c r="E7" i="36"/>
  <c r="D7" i="36"/>
  <c r="H5" i="36"/>
  <c r="G5" i="36"/>
  <c r="F5" i="36"/>
  <c r="E5" i="36"/>
  <c r="D5" i="36"/>
  <c r="I5" i="36" s="1"/>
  <c r="E5" i="3"/>
  <c r="E14" i="35"/>
  <c r="F14" i="35"/>
  <c r="G14" i="35"/>
  <c r="H14" i="35"/>
  <c r="D14" i="35"/>
  <c r="F8" i="35"/>
  <c r="G8" i="35"/>
  <c r="H8" i="35"/>
  <c r="E8" i="35"/>
  <c r="D18" i="1"/>
  <c r="E22" i="35"/>
  <c r="F22" i="35"/>
  <c r="G22" i="35"/>
  <c r="H22" i="35"/>
  <c r="D22" i="35"/>
  <c r="J22" i="35" s="1"/>
  <c r="E18" i="35"/>
  <c r="F18" i="35"/>
  <c r="G18" i="35"/>
  <c r="H18" i="35"/>
  <c r="D18" i="35"/>
  <c r="E16" i="35"/>
  <c r="F16" i="35"/>
  <c r="G16" i="35"/>
  <c r="H16" i="35"/>
  <c r="D16" i="35"/>
  <c r="F12" i="35"/>
  <c r="G12" i="35"/>
  <c r="H12" i="35"/>
  <c r="E12" i="35"/>
  <c r="F10" i="35"/>
  <c r="G10" i="35"/>
  <c r="H10" i="35"/>
  <c r="E10" i="35"/>
  <c r="J10" i="35" s="1"/>
  <c r="E21" i="1"/>
  <c r="J21" i="1" s="1"/>
  <c r="F21" i="1"/>
  <c r="G21" i="1"/>
  <c r="H21" i="1"/>
  <c r="D21" i="1"/>
  <c r="E18" i="1"/>
  <c r="F18" i="1"/>
  <c r="G18" i="1"/>
  <c r="H18" i="1"/>
  <c r="J18" i="1"/>
  <c r="E15" i="1"/>
  <c r="F15" i="1"/>
  <c r="G15" i="1"/>
  <c r="H15" i="1"/>
  <c r="D15" i="1"/>
  <c r="J15" i="1" s="1"/>
  <c r="J12" i="1"/>
  <c r="E12" i="1"/>
  <c r="F12" i="1"/>
  <c r="G12" i="1"/>
  <c r="H12" i="1"/>
  <c r="D12" i="1"/>
  <c r="G6" i="1"/>
  <c r="D9" i="1"/>
  <c r="F9" i="1"/>
  <c r="G9" i="1"/>
  <c r="H9" i="1"/>
  <c r="E9" i="1"/>
  <c r="D6" i="1"/>
  <c r="F6" i="1"/>
  <c r="H6" i="1"/>
  <c r="E6" i="1"/>
  <c r="E36" i="19" l="1"/>
  <c r="F35" i="19"/>
  <c r="I17" i="36"/>
  <c r="I13" i="36"/>
  <c r="M11" i="4"/>
  <c r="M12" i="4" s="1"/>
  <c r="M17" i="29"/>
  <c r="N17" i="29" s="1"/>
  <c r="O17" i="29"/>
  <c r="Q17" i="29" s="1"/>
  <c r="L18" i="29" s="1"/>
  <c r="M18" i="29" s="1"/>
  <c r="N18" i="29" s="1"/>
  <c r="O18" i="29" s="1"/>
  <c r="Q18" i="29" s="1"/>
  <c r="L19" i="29" s="1"/>
  <c r="P17" i="22"/>
  <c r="Q18" i="22"/>
  <c r="L19" i="22" s="1"/>
  <c r="G13" i="19"/>
  <c r="E21" i="19"/>
  <c r="I7" i="36"/>
  <c r="I11" i="36"/>
  <c r="I15" i="36"/>
  <c r="I21" i="36"/>
  <c r="I9" i="36"/>
  <c r="I19" i="36"/>
  <c r="J14" i="35"/>
  <c r="J12" i="35"/>
  <c r="J16" i="35"/>
  <c r="J18" i="35"/>
  <c r="J6" i="1"/>
  <c r="J9" i="1"/>
  <c r="F36" i="19" l="1"/>
  <c r="C33" i="19" s="1"/>
  <c r="F39" i="19"/>
  <c r="M19" i="29"/>
  <c r="N19" i="29" s="1"/>
  <c r="O19" i="29" s="1"/>
  <c r="Q19" i="29" s="1"/>
  <c r="Q19" i="22"/>
  <c r="L20" i="22" s="1"/>
  <c r="M19" i="22"/>
  <c r="N19" i="22" s="1"/>
  <c r="M20" i="22" l="1"/>
  <c r="N20" i="22" s="1"/>
  <c r="P20" i="22" s="1"/>
  <c r="Q20" i="22"/>
  <c r="P19" i="22"/>
  <c r="D12" i="22"/>
  <c r="N21" i="22" l="1"/>
  <c r="P21" i="22"/>
  <c r="E11" i="26"/>
  <c r="D12" i="18"/>
  <c r="C16" i="16"/>
  <c r="D12" i="10"/>
  <c r="E12" i="10" s="1"/>
  <c r="E7" i="5"/>
  <c r="E8" i="5"/>
  <c r="E14" i="5"/>
  <c r="D14" i="5"/>
  <c r="I17" i="26" l="1"/>
  <c r="I18" i="26"/>
  <c r="I16" i="26"/>
  <c r="I15" i="26"/>
  <c r="I14" i="26"/>
  <c r="H14" i="26" s="1"/>
  <c r="J14" i="26" s="1"/>
  <c r="E15" i="26" s="1"/>
  <c r="F15" i="26" s="1"/>
  <c r="G15" i="26" s="1"/>
  <c r="E17" i="19"/>
  <c r="E16" i="19"/>
  <c r="D8" i="8"/>
  <c r="D9" i="7"/>
  <c r="D10" i="7" s="1"/>
  <c r="E9" i="7"/>
  <c r="D8" i="5"/>
  <c r="F5" i="3"/>
  <c r="E20" i="35"/>
  <c r="F20" i="35"/>
  <c r="G20" i="35"/>
  <c r="H20" i="35"/>
  <c r="D20" i="35"/>
  <c r="F6" i="35"/>
  <c r="G6" i="35"/>
  <c r="H6" i="35"/>
  <c r="E6" i="35"/>
  <c r="H15" i="26" l="1"/>
  <c r="J15" i="26" s="1"/>
  <c r="E16" i="26" s="1"/>
  <c r="E18" i="19"/>
  <c r="E23" i="19" s="1"/>
  <c r="J6" i="35"/>
  <c r="J20" i="35"/>
  <c r="J8" i="35"/>
  <c r="D13" i="30"/>
  <c r="E13" i="30" s="1"/>
  <c r="F13" i="30" s="1"/>
  <c r="G13" i="30" s="1"/>
  <c r="H13" i="30" s="1"/>
  <c r="I13" i="30" s="1"/>
  <c r="D24" i="29"/>
  <c r="E24" i="29" s="1"/>
  <c r="G24" i="29" s="1"/>
  <c r="G17" i="22"/>
  <c r="E11" i="12"/>
  <c r="C20" i="8"/>
  <c r="D20" i="8"/>
  <c r="D29" i="4"/>
  <c r="E29" i="4" s="1"/>
  <c r="D25" i="4"/>
  <c r="E25" i="4" s="1"/>
  <c r="D21" i="4"/>
  <c r="E21" i="4" s="1"/>
  <c r="D17" i="4"/>
  <c r="E17" i="4" s="1"/>
  <c r="D7" i="4"/>
  <c r="D8" i="4" s="1"/>
  <c r="D12" i="4" l="1"/>
  <c r="F11" i="4"/>
  <c r="G11" i="4" s="1"/>
  <c r="G16" i="30"/>
  <c r="E16" i="30"/>
  <c r="D16" i="30"/>
  <c r="C16" i="30"/>
  <c r="F16" i="30"/>
  <c r="F16" i="26"/>
  <c r="G16" i="26" s="1"/>
  <c r="H16" i="26" s="1"/>
  <c r="J16" i="26" s="1"/>
  <c r="E17" i="26" s="1"/>
  <c r="F17" i="26" s="1"/>
  <c r="G17" i="26" s="1"/>
  <c r="H17" i="26" s="1"/>
  <c r="J17" i="26" s="1"/>
  <c r="E18" i="26" s="1"/>
  <c r="F18" i="26" s="1"/>
  <c r="G18" i="26" s="1"/>
  <c r="H18" i="26" s="1"/>
  <c r="J18" i="26" s="1"/>
  <c r="F12" i="10"/>
  <c r="H24" i="29"/>
  <c r="F22" i="29" s="1"/>
  <c r="H16" i="30"/>
  <c r="I16" i="30"/>
  <c r="F29" i="4"/>
  <c r="E30" i="4"/>
  <c r="D30" i="4"/>
  <c r="F25" i="4"/>
  <c r="E26" i="4"/>
  <c r="D26" i="4"/>
  <c r="F21" i="4"/>
  <c r="E22" i="4"/>
  <c r="D22" i="4"/>
  <c r="F17" i="4"/>
  <c r="E18" i="4"/>
  <c r="D18" i="4"/>
  <c r="C10" i="32"/>
  <c r="C11" i="32" s="1"/>
  <c r="C12" i="32" s="1"/>
  <c r="F14" i="10" l="1"/>
  <c r="F18" i="10"/>
  <c r="I17" i="30"/>
  <c r="J17" i="30" s="1"/>
  <c r="C25" i="29"/>
  <c r="D25" i="29" s="1"/>
  <c r="E25" i="29" s="1"/>
  <c r="G25" i="29" s="1"/>
  <c r="F28" i="29"/>
  <c r="F27" i="29"/>
  <c r="F26" i="29"/>
  <c r="F25" i="29"/>
  <c r="E12" i="4"/>
  <c r="G29" i="4"/>
  <c r="G30" i="4" s="1"/>
  <c r="F30" i="4"/>
  <c r="G25" i="4"/>
  <c r="G26" i="4" s="1"/>
  <c r="F26" i="4"/>
  <c r="G21" i="4"/>
  <c r="G22" i="4" s="1"/>
  <c r="F22" i="4"/>
  <c r="G17" i="4"/>
  <c r="G18" i="4" s="1"/>
  <c r="F18" i="4"/>
  <c r="D6" i="5"/>
  <c r="H25" i="29" l="1"/>
  <c r="C26" i="29" s="1"/>
  <c r="H26" i="29" s="1"/>
  <c r="C27" i="29" s="1"/>
  <c r="F13" i="19"/>
  <c r="E13" i="19"/>
  <c r="E6" i="5"/>
  <c r="G12" i="4"/>
  <c r="F12" i="4"/>
  <c r="O15" i="30"/>
  <c r="G16" i="23"/>
  <c r="D26" i="29" l="1"/>
  <c r="E26" i="29" s="1"/>
  <c r="G26" i="29" s="1"/>
  <c r="F26" i="19"/>
  <c r="O16" i="30"/>
  <c r="M16" i="30" s="1"/>
  <c r="H27" i="29"/>
  <c r="C28" i="29" s="1"/>
  <c r="D27" i="29"/>
  <c r="E27" i="29" s="1"/>
  <c r="G27" i="29" s="1"/>
  <c r="F6" i="5"/>
  <c r="E20" i="8"/>
  <c r="H20" i="8" s="1"/>
  <c r="F20" i="8"/>
  <c r="G20" i="8"/>
  <c r="D19" i="8"/>
  <c r="E19" i="8"/>
  <c r="F19" i="8"/>
  <c r="G19" i="8"/>
  <c r="H9" i="8"/>
  <c r="E9" i="8"/>
  <c r="F9" i="8"/>
  <c r="G9" i="8"/>
  <c r="H21" i="3"/>
  <c r="H19" i="3"/>
  <c r="H17" i="3"/>
  <c r="H15" i="3"/>
  <c r="H13" i="3"/>
  <c r="H11" i="3"/>
  <c r="H9" i="3"/>
  <c r="H7" i="3"/>
  <c r="E26" i="19" l="1"/>
  <c r="E27" i="19" s="1"/>
  <c r="F27" i="19" s="1"/>
  <c r="G26" i="19"/>
  <c r="H28" i="29"/>
  <c r="D28" i="29"/>
  <c r="E28" i="29" s="1"/>
  <c r="G28" i="29" s="1"/>
  <c r="G29" i="29" s="1"/>
  <c r="F7" i="5"/>
  <c r="F8" i="5" s="1"/>
  <c r="H8" i="5" s="1"/>
  <c r="G6" i="5"/>
  <c r="G7" i="5" s="1"/>
  <c r="G8" i="5" s="1"/>
  <c r="G27" i="19" l="1"/>
  <c r="D17" i="25"/>
  <c r="D18" i="25" s="1"/>
  <c r="D16" i="25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24" i="5"/>
  <c r="D24" i="5"/>
  <c r="E7" i="4"/>
  <c r="E8" i="4" s="1"/>
  <c r="G7" i="4"/>
  <c r="G8" i="4" s="1"/>
  <c r="F7" i="4"/>
  <c r="F8" i="4" s="1"/>
  <c r="G17" i="23"/>
  <c r="G15" i="23"/>
  <c r="D13" i="27"/>
  <c r="H13" i="27" s="1"/>
  <c r="D14" i="27" s="1"/>
  <c r="D9" i="27"/>
  <c r="F18" i="27" s="1"/>
  <c r="F14" i="27"/>
  <c r="H12" i="25"/>
  <c r="H13" i="25" s="1"/>
  <c r="E20" i="22"/>
  <c r="D11" i="22"/>
  <c r="E19" i="22" s="1"/>
  <c r="D10" i="22"/>
  <c r="E18" i="22" s="1"/>
  <c r="D9" i="22"/>
  <c r="E17" i="22" s="1"/>
  <c r="D13" i="20"/>
  <c r="D14" i="20" s="1"/>
  <c r="D15" i="20" s="1"/>
  <c r="D16" i="20" s="1"/>
  <c r="D17" i="20" s="1"/>
  <c r="D13" i="18"/>
  <c r="C9" i="6"/>
  <c r="G9" i="6"/>
  <c r="F9" i="6"/>
  <c r="E9" i="6"/>
  <c r="D9" i="6"/>
  <c r="F21" i="3"/>
  <c r="E21" i="3"/>
  <c r="D21" i="3"/>
  <c r="F19" i="3"/>
  <c r="E19" i="3"/>
  <c r="D19" i="3"/>
  <c r="F17" i="3"/>
  <c r="E17" i="3"/>
  <c r="D17" i="3"/>
  <c r="F15" i="3"/>
  <c r="E15" i="3"/>
  <c r="D15" i="3"/>
  <c r="F13" i="3"/>
  <c r="E13" i="3"/>
  <c r="D13" i="3"/>
  <c r="F11" i="3"/>
  <c r="E11" i="3"/>
  <c r="D11" i="3"/>
  <c r="F9" i="3"/>
  <c r="E9" i="3"/>
  <c r="D9" i="3"/>
  <c r="E7" i="3"/>
  <c r="F7" i="3"/>
  <c r="D7" i="3"/>
  <c r="D5" i="3"/>
  <c r="D5" i="9"/>
  <c r="G6" i="9"/>
  <c r="F7" i="9"/>
  <c r="C7" i="9"/>
  <c r="E6" i="9"/>
  <c r="G24" i="5"/>
  <c r="F24" i="5"/>
  <c r="G9" i="7"/>
  <c r="G10" i="7" s="1"/>
  <c r="F9" i="7"/>
  <c r="F10" i="7" s="1"/>
  <c r="E10" i="7"/>
  <c r="C9" i="7"/>
  <c r="C10" i="7" s="1"/>
  <c r="G8" i="8"/>
  <c r="F8" i="8"/>
  <c r="E8" i="8"/>
  <c r="D19" i="5"/>
  <c r="E19" i="5"/>
  <c r="F19" i="5"/>
  <c r="G19" i="5"/>
  <c r="C14" i="5"/>
  <c r="F14" i="5"/>
  <c r="G14" i="5"/>
  <c r="C13" i="24" l="1"/>
  <c r="C16" i="24" s="1"/>
  <c r="F15" i="27"/>
  <c r="F16" i="27"/>
  <c r="I17" i="22"/>
  <c r="H17" i="22"/>
  <c r="F19" i="27"/>
  <c r="F17" i="27"/>
  <c r="K13" i="25"/>
  <c r="K14" i="25"/>
  <c r="F11" i="12"/>
  <c r="E10" i="6"/>
  <c r="E11" i="6" s="1"/>
  <c r="H9" i="5"/>
  <c r="H8" i="8"/>
  <c r="H19" i="8"/>
  <c r="H24" i="5"/>
  <c r="H19" i="5"/>
  <c r="H14" i="5"/>
  <c r="D14" i="25"/>
  <c r="D15" i="29"/>
  <c r="H15" i="29" s="1"/>
  <c r="F13" i="29" s="1"/>
  <c r="F16" i="29" s="1"/>
  <c r="H10" i="7"/>
  <c r="E14" i="27"/>
  <c r="G14" i="27" s="1"/>
  <c r="H14" i="27"/>
  <c r="D15" i="27" s="1"/>
  <c r="C10" i="6"/>
  <c r="G10" i="6"/>
  <c r="G11" i="6" s="1"/>
  <c r="F10" i="6"/>
  <c r="F11" i="6" s="1"/>
  <c r="D10" i="6"/>
  <c r="D11" i="6" s="1"/>
  <c r="H11" i="6" l="1"/>
  <c r="G11" i="12"/>
  <c r="G12" i="12" s="1"/>
  <c r="C16" i="29"/>
  <c r="G18" i="22"/>
  <c r="D18" i="22"/>
  <c r="E15" i="27"/>
  <c r="G15" i="27" s="1"/>
  <c r="H15" i="27"/>
  <c r="D16" i="27" s="1"/>
  <c r="H18" i="22" l="1"/>
  <c r="G19" i="22"/>
  <c r="H19" i="22" s="1"/>
  <c r="D19" i="22"/>
  <c r="I19" i="22" s="1"/>
  <c r="D16" i="29"/>
  <c r="E16" i="29" s="1"/>
  <c r="E16" i="27"/>
  <c r="G16" i="27" s="1"/>
  <c r="H16" i="27"/>
  <c r="D17" i="27" s="1"/>
  <c r="F18" i="29"/>
  <c r="F17" i="29"/>
  <c r="H16" i="29"/>
  <c r="C17" i="29" s="1"/>
  <c r="F19" i="29"/>
  <c r="G16" i="29" l="1"/>
  <c r="H17" i="29"/>
  <c r="C18" i="29" s="1"/>
  <c r="D17" i="29"/>
  <c r="E17" i="29" s="1"/>
  <c r="G17" i="29" s="1"/>
  <c r="E17" i="27"/>
  <c r="G17" i="27" s="1"/>
  <c r="H17" i="27"/>
  <c r="D18" i="27" s="1"/>
  <c r="D20" i="22"/>
  <c r="I20" i="22" s="1"/>
  <c r="G20" i="22"/>
  <c r="H20" i="22" s="1"/>
  <c r="G21" i="22" l="1"/>
  <c r="H21" i="22" s="1"/>
  <c r="H18" i="27"/>
  <c r="E18" i="27"/>
  <c r="G18" i="27" s="1"/>
  <c r="G19" i="27" s="1"/>
  <c r="D18" i="29"/>
  <c r="E18" i="29" s="1"/>
  <c r="G18" i="29" s="1"/>
  <c r="H18" i="29"/>
  <c r="C19" i="29" s="1"/>
  <c r="D19" i="29" l="1"/>
  <c r="E19" i="29" s="1"/>
  <c r="G19" i="29" s="1"/>
  <c r="G20" i="29" s="1"/>
  <c r="H19" i="29"/>
</calcChain>
</file>

<file path=xl/sharedStrings.xml><?xml version="1.0" encoding="utf-8"?>
<sst xmlns="http://schemas.openxmlformats.org/spreadsheetml/2006/main" count="376" uniqueCount="174">
  <si>
    <t>1. Obtener el Valor Futuro en el año 4 de los siguientes flujos de efectivo, así como la suma de los mismos:</t>
  </si>
  <si>
    <t>A</t>
  </si>
  <si>
    <t>B</t>
  </si>
  <si>
    <t>C</t>
  </si>
  <si>
    <t>D</t>
  </si>
  <si>
    <t>E</t>
  </si>
  <si>
    <t>F</t>
  </si>
  <si>
    <t>r</t>
  </si>
  <si>
    <t>VF</t>
  </si>
  <si>
    <t>VP</t>
  </si>
  <si>
    <t xml:space="preserve">2.- Obtener el Valor Presente de los siguientes flujos de efectivo: </t>
  </si>
  <si>
    <t>G</t>
  </si>
  <si>
    <t>H</t>
  </si>
  <si>
    <t>I</t>
  </si>
  <si>
    <t>4.- Obtener el VP para los resultados de los problema 3.</t>
  </si>
  <si>
    <t xml:space="preserve">5.- Obtener el Factor de Valor Presente para cada uno de los años. </t>
  </si>
  <si>
    <t>6.- Obtener el Valor Presente de cada uno de los siguientes flujos:</t>
  </si>
  <si>
    <t>TASA</t>
  </si>
  <si>
    <t>FLUJO</t>
  </si>
  <si>
    <t>TOTAL</t>
  </si>
  <si>
    <t xml:space="preserve">7.- Dado el siguiente flujo de efectivo y tasas de interés, obtener: </t>
  </si>
  <si>
    <t xml:space="preserve">8.- Dado el siguiente flujo de efectivo y tasas de interés, obtener: </t>
  </si>
  <si>
    <t xml:space="preserve">9.- Dado el siguiente flujo de efectivo y tasas de interés, obtener: </t>
  </si>
  <si>
    <t xml:space="preserve">10.- Repetir el ejercicio 9 con la siguiente información: </t>
  </si>
  <si>
    <t xml:space="preserve">11.- Obtener la tasa que se presenta como incógnita: </t>
  </si>
  <si>
    <t>Inflación</t>
  </si>
  <si>
    <t>Tasa Real</t>
  </si>
  <si>
    <t>Tasa Nominal</t>
  </si>
  <si>
    <t>FACTOR VP</t>
  </si>
  <si>
    <t>Año</t>
  </si>
  <si>
    <t>Flujo de efectivo</t>
  </si>
  <si>
    <t>Tasa de interés</t>
  </si>
  <si>
    <t>14.- Un producto tiene a inicios del año un precio de $3,500 y a finales de éste su precio será de $4,375. Utilizando los conceptos de valor futuro, determinar el incremento en el precio</t>
  </si>
  <si>
    <t>16.- Un producto vale el día de hoy$ 5,500. Si la inflación durante el último año fue del 15%, aplicando las fórmulas de valor presente obtener el precio del producto hace un año.</t>
  </si>
  <si>
    <t>18.- Se otorga un crédito por $ 1,000 a un plazo de un año y una tasa de interés del 25%. Obtener el valor de la deuda al finalizar el año.</t>
  </si>
  <si>
    <t xml:space="preserve">23.- Obtener una tabla de amortización con pagos nivelados para un crédito por $10,000, a cinco años y una tasa de interés del 15% anual.
</t>
  </si>
  <si>
    <t xml:space="preserve">23.- Obtener una tabla de amortización con pagos nivelados para un crédito por $10,000, a cinco años y una tasa de interés del 15% anual.
24.- Repetir el ejercicio anterior con pagos iguales de capital.
</t>
  </si>
  <si>
    <t>FACTOR</t>
  </si>
  <si>
    <t>(1+r)^n</t>
  </si>
  <si>
    <t>(1+r)</t>
  </si>
  <si>
    <t>factor</t>
  </si>
  <si>
    <t>año</t>
  </si>
  <si>
    <t>precio inicio de año</t>
  </si>
  <si>
    <t>precio final</t>
  </si>
  <si>
    <t>i</t>
  </si>
  <si>
    <t>t</t>
  </si>
  <si>
    <t>inflación</t>
  </si>
  <si>
    <t>VALOR HACE UN AÑO</t>
  </si>
  <si>
    <t>AÑO</t>
  </si>
  <si>
    <t>Valor Futuro</t>
  </si>
  <si>
    <t>Importe de sueldo</t>
  </si>
  <si>
    <t>Capital</t>
  </si>
  <si>
    <t>(1+r)^-n</t>
  </si>
  <si>
    <t>1-(1+r)^-n</t>
  </si>
  <si>
    <t>r/1-(1+r)</t>
  </si>
  <si>
    <t>años</t>
  </si>
  <si>
    <t>Pago 1er año</t>
  </si>
  <si>
    <t>Pago 2do año</t>
  </si>
  <si>
    <t>Pago 3er año</t>
  </si>
  <si>
    <t>Pago 4to año</t>
  </si>
  <si>
    <t>No</t>
  </si>
  <si>
    <t>SALDO FINAL</t>
  </si>
  <si>
    <t>PAGO</t>
  </si>
  <si>
    <t>MILLONES</t>
  </si>
  <si>
    <t>CAPITAL</t>
  </si>
  <si>
    <t>INTERESES</t>
  </si>
  <si>
    <t>P</t>
  </si>
  <si>
    <t>A=</t>
  </si>
  <si>
    <t>Partes función</t>
  </si>
  <si>
    <t>(1+i)^n</t>
  </si>
  <si>
    <t>(1+i)^n-1</t>
  </si>
  <si>
    <t>factor de perpetuidad</t>
  </si>
  <si>
    <t>1/r</t>
  </si>
  <si>
    <t>ahorro anual por 10 años</t>
  </si>
  <si>
    <t>No.</t>
  </si>
  <si>
    <t>Saldo inicial</t>
  </si>
  <si>
    <t>intereses</t>
  </si>
  <si>
    <t>pago interés</t>
  </si>
  <si>
    <t>saldo final</t>
  </si>
  <si>
    <t>Saldo Inicial</t>
  </si>
  <si>
    <t>Pago total</t>
  </si>
  <si>
    <t>Intereses</t>
  </si>
  <si>
    <t>Saldo final</t>
  </si>
  <si>
    <t>P=</t>
  </si>
  <si>
    <t>Pago a Capital</t>
  </si>
  <si>
    <t>Amortización</t>
  </si>
  <si>
    <t>año de gracia</t>
  </si>
  <si>
    <t>pagos iguales de capital</t>
  </si>
  <si>
    <t>pago total</t>
  </si>
  <si>
    <t>pago a capital</t>
  </si>
  <si>
    <t>Pago a capital</t>
  </si>
  <si>
    <t>Vpi</t>
  </si>
  <si>
    <t>Costo</t>
  </si>
  <si>
    <t>ok</t>
  </si>
  <si>
    <t>a)</t>
  </si>
  <si>
    <t>b)</t>
  </si>
  <si>
    <t>c)</t>
  </si>
  <si>
    <t>monto mínimo del pago</t>
  </si>
  <si>
    <t>perpetuidad</t>
  </si>
  <si>
    <t>(1+i)</t>
  </si>
  <si>
    <t>a= (Uso de formula excel)</t>
  </si>
  <si>
    <t>Flujos</t>
  </si>
  <si>
    <t>Flujo</t>
  </si>
  <si>
    <t>Opción</t>
  </si>
  <si>
    <t>17.- En enero de 2009 el importe del sueldo de un empleado era de $11,809.70 mensuales. En enero de 2012 se incrementó su sueldo a $25,666.50. Si la inflación anual para 2009, 2010 y 2011 fue de 6.5%, 3.5% y 4.0%; obtener el sueldo de 2012 en términos del de 2009.</t>
  </si>
  <si>
    <t>19.- En un año un acreditado efectuará un pago por $1,250 millones
($1,000 de capital y $250 de intereses). El acreditado ofrece el pago del
crédito el día de hoy. Determinar el monto mínimo del pago si:
• Los recursos que se obtengan pueden ser colocados al 25%.
• Los recursos que se obtengan pueden ser aplicados al pago de un crédito con un
costo del 30%.
• Los recursos que se obtengan pueden ser colocados al 15%.</t>
  </si>
  <si>
    <t>20.- Dentro de exactamente 20 años el señor Ramos recibirá una pensión de $ 10,000 por año. La pensión continuará por 20 años. ¿Cuánto vale la pensión el día de hoy, suponiendo una tasa de interés real a largo plazo del 5% anual?</t>
  </si>
  <si>
    <t>22.- Obtener la tabla de amortización de un crédito a cuatro año por $ 1,000, para el cual se conviene que el pago de capital sea del 15% del monto para el primer año, del 25% para el segundo y del 30% para el tercer y cuarto año. Se estima que las tasas de interés serán del 15%, 20%, 20% y 15% anual.</t>
  </si>
  <si>
    <r>
      <t xml:space="preserve">21.- El señor Hernández se retirará en 1O años. El desea ahorrar suficiente para contar con $20,000 anuales de manera </t>
    </r>
    <r>
      <rPr>
        <sz val="16"/>
        <color rgb="FFFF0000"/>
        <rFont val="Arial"/>
        <family val="2"/>
      </rPr>
      <t>perpetua</t>
    </r>
    <r>
      <rPr>
        <sz val="16"/>
        <color theme="1"/>
        <rFont val="Arial"/>
        <family val="2"/>
      </rPr>
      <t xml:space="preserve"> una vez que se retire. La tasa de interés a la que puede ahorrar es del 10% anual. ¿Qué cantidad debe ahorrar cada año? Suponga que el primer retiro se efectúa en el año 11.</t>
    </r>
  </si>
  <si>
    <t>VP año 20</t>
  </si>
  <si>
    <t>VP año 0</t>
  </si>
  <si>
    <t>Vencido</t>
  </si>
  <si>
    <t>Anticipado</t>
  </si>
  <si>
    <t>13.- La tarifa por kilómetro de una carretera es de $2.80. Utilizando el ejemplo anterior, obtener la tarifa final para los próximos tres años.</t>
  </si>
  <si>
    <r>
      <t>3. Obtener el</t>
    </r>
    <r>
      <rPr>
        <b/>
        <sz val="12"/>
        <color theme="1"/>
        <rFont val="Arial"/>
        <family val="2"/>
      </rPr>
      <t xml:space="preserve"> valor equivalente</t>
    </r>
    <r>
      <rPr>
        <sz val="12"/>
        <color theme="1"/>
        <rFont val="Arial"/>
        <family val="2"/>
      </rPr>
      <t xml:space="preserve"> del flujo de efectivo al año 3: </t>
    </r>
  </si>
  <si>
    <t>tasa</t>
  </si>
  <si>
    <t>vf</t>
  </si>
  <si>
    <t>n</t>
  </si>
  <si>
    <t>=</t>
  </si>
  <si>
    <t>conveniente para el banco</t>
  </si>
  <si>
    <t>vp</t>
  </si>
  <si>
    <t>tasa nominal</t>
  </si>
  <si>
    <t>tasa efectiva</t>
  </si>
  <si>
    <t>pagos</t>
  </si>
  <si>
    <t>tasa efectiva mensual</t>
  </si>
  <si>
    <t>A mensual</t>
  </si>
  <si>
    <t>Periodos</t>
  </si>
  <si>
    <t>Indice de Precios</t>
  </si>
  <si>
    <t>% de Pagos a Capital</t>
  </si>
  <si>
    <t>Pago Intereses</t>
  </si>
  <si>
    <t>Tasa anual</t>
  </si>
  <si>
    <t>i (TN)</t>
  </si>
  <si>
    <t>i (INF)</t>
  </si>
  <si>
    <t>i (TR)</t>
  </si>
  <si>
    <t>factor = 1 / (1+r)^n (si r es cte.)</t>
  </si>
  <si>
    <t>factor = 1 / (1+r1)*(1+r2)*….(1+rn)</t>
  </si>
  <si>
    <t>Pago Principal</t>
  </si>
  <si>
    <t>Valor Equivalente año 3</t>
  </si>
  <si>
    <t>´=  (1+r1)*(1+r2)*….(1+rn)</t>
  </si>
  <si>
    <t>Valor Presente</t>
  </si>
  <si>
    <t>TR=((1+TN)/(1+INF))-1</t>
  </si>
  <si>
    <t>INF=((1+TN)/(1+TR))-1</t>
  </si>
  <si>
    <t>TN=((1+TR)*(1+INF))-1</t>
  </si>
  <si>
    <t>precio inicio</t>
  </si>
  <si>
    <t>i (Tasa Nominal)</t>
  </si>
  <si>
    <t>15.- Supóngase que para el ejercicio anterior la inflación durante el año fue del 15%, obtener la tasa real de incremento en el precio.</t>
  </si>
  <si>
    <t>Saldo
Incial</t>
  </si>
  <si>
    <t>Interes
Generado</t>
  </si>
  <si>
    <t>Pago
Interes</t>
  </si>
  <si>
    <t>Pago
Capital</t>
  </si>
  <si>
    <t>Saldo
Final</t>
  </si>
  <si>
    <t>Tasa Interes</t>
  </si>
  <si>
    <t>Pago
Total</t>
  </si>
  <si>
    <t>Monto</t>
  </si>
  <si>
    <t>AÑO DE GRACIA intereses y capital</t>
  </si>
  <si>
    <t>AÑO DE GRACIA capital</t>
  </si>
  <si>
    <t xml:space="preserve">25.- Obtener la tabla de amortización de un crédito por $10,000, con una tasa de interés del 12%, a cinco años incluyendo uno de gracia y pagos iguales de capital.
</t>
  </si>
  <si>
    <t>a) El factor de descuento del valor presente para cada uno de los años.</t>
  </si>
  <si>
    <t>b) El valor presente de cada uno de los flujos y la suma de los valores presentes.</t>
  </si>
  <si>
    <t>Factor</t>
  </si>
  <si>
    <t xml:space="preserve">12.- Un economista proyecta las siguientes inflaciones anuales para los próximos 3 años: 5.0%, 6.5%, 4.5%. Obtener aplicando los conceptos de valor futuro, el índice de precios asociado a las proyecciones de inflación señaladas. Base 1 </t>
  </si>
  <si>
    <t>Geométrico</t>
  </si>
  <si>
    <t>Aritmético</t>
  </si>
  <si>
    <t>Índice de Precios</t>
  </si>
  <si>
    <t>Factor Descuento</t>
  </si>
  <si>
    <t>Sueldo</t>
  </si>
  <si>
    <t>tasa real</t>
  </si>
  <si>
    <t>Edad</t>
  </si>
  <si>
    <t>Plazo</t>
  </si>
  <si>
    <t>Disposición</t>
  </si>
  <si>
    <t>Anualidad</t>
  </si>
  <si>
    <t>Saldo</t>
  </si>
  <si>
    <t>Anulidad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</si>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</sst>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00_-;\-* #,##0.0000_-;_-* &quot;-&quot;??_-;_-@_-"/>
    <numFmt numFmtId="165" formatCode="_-&quot;$&quot;* #,##0_-;\-&quot;$&quot;* #,##0_-;_-&quot;$&quot;* &quot;-&quot;??_-;_-@_-"/>
    <numFmt numFmtId="166" formatCode="0.0%"/>
    <numFmt numFmtId="167" formatCode="0.000"/>
    <numFmt numFmtId="168" formatCode="&quot;$&quot;#,##0.000;[Red]\-&quot;$&quot;#,##0.000"/>
    <numFmt numFmtId="169" formatCode="0.0000"/>
    <numFmt numFmtId="170" formatCode="_-* #,##0_-;\-* #,##0_-;_-* &quot;-&quot;??_-;_-@_-"/>
    <numFmt numFmtId="171" formatCode="_-* #,##0.0000000_-;\-* #,##0.0000000_-;_-* &quot;-&quot;??_-;_-@_-"/>
    <numFmt numFmtId="172" formatCode="0.0000000%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Arial"/>
      <family val="2"/>
    </font>
    <font>
      <b/>
      <i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Arial"/>
      <family val="2"/>
    </font>
    <font>
      <sz val="16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317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7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3" xfId="0" applyBorder="1"/>
    <xf numFmtId="9" fontId="0" fillId="0" borderId="0" xfId="0" applyNumberFormat="1" applyBorder="1"/>
    <xf numFmtId="0" fontId="0" fillId="0" borderId="0" xfId="0" applyBorder="1"/>
    <xf numFmtId="0" fontId="0" fillId="0" borderId="8" xfId="0" applyBorder="1"/>
    <xf numFmtId="0" fontId="4" fillId="0" borderId="0" xfId="0" applyFont="1"/>
    <xf numFmtId="0" fontId="4" fillId="0" borderId="1" xfId="0" applyFont="1" applyBorder="1"/>
    <xf numFmtId="9" fontId="0" fillId="0" borderId="0" xfId="2" applyFont="1"/>
    <xf numFmtId="44" fontId="0" fillId="0" borderId="0" xfId="1" applyFont="1"/>
    <xf numFmtId="44" fontId="4" fillId="0" borderId="0" xfId="1" applyFont="1"/>
    <xf numFmtId="0" fontId="10" fillId="0" borderId="0" xfId="0" applyFont="1"/>
    <xf numFmtId="0" fontId="0" fillId="0" borderId="0" xfId="0" applyAlignment="1">
      <alignment horizontal="right"/>
    </xf>
    <xf numFmtId="0" fontId="0" fillId="5" borderId="0" xfId="0" applyFill="1"/>
    <xf numFmtId="0" fontId="12" fillId="5" borderId="0" xfId="0" applyFont="1" applyFill="1"/>
    <xf numFmtId="9" fontId="12" fillId="5" borderId="0" xfId="0" applyNumberFormat="1" applyFont="1" applyFill="1"/>
    <xf numFmtId="0" fontId="4" fillId="0" borderId="5" xfId="0" applyFont="1" applyBorder="1"/>
    <xf numFmtId="43" fontId="0" fillId="0" borderId="0" xfId="137" applyFont="1"/>
    <xf numFmtId="43" fontId="0" fillId="8" borderId="0" xfId="137" applyFont="1" applyFill="1"/>
    <xf numFmtId="0" fontId="0" fillId="9" borderId="0" xfId="0" applyFill="1"/>
    <xf numFmtId="0" fontId="4" fillId="9" borderId="0" xfId="0" applyFont="1" applyFill="1"/>
    <xf numFmtId="0" fontId="4" fillId="0" borderId="0" xfId="0" applyFont="1" applyAlignment="1">
      <alignment horizontal="center"/>
    </xf>
    <xf numFmtId="0" fontId="0" fillId="2" borderId="0" xfId="0" applyFill="1"/>
    <xf numFmtId="44" fontId="0" fillId="2" borderId="0" xfId="1" applyFont="1" applyFill="1"/>
    <xf numFmtId="10" fontId="0" fillId="0" borderId="0" xfId="0" applyNumberFormat="1"/>
    <xf numFmtId="44" fontId="0" fillId="0" borderId="0" xfId="0" applyNumberFormat="1"/>
    <xf numFmtId="0" fontId="4" fillId="0" borderId="0" xfId="0" applyFont="1" applyAlignment="1">
      <alignment horizontal="center" vertical="center"/>
    </xf>
    <xf numFmtId="43" fontId="0" fillId="0" borderId="0" xfId="137" applyFont="1" applyBorder="1"/>
    <xf numFmtId="43" fontId="0" fillId="0" borderId="0" xfId="0" applyNumberFormat="1" applyBorder="1"/>
    <xf numFmtId="0" fontId="4" fillId="0" borderId="15" xfId="0" applyFont="1" applyBorder="1" applyAlignment="1">
      <alignment horizontal="center" vertical="center"/>
    </xf>
    <xf numFmtId="43" fontId="4" fillId="0" borderId="16" xfId="137" applyFont="1" applyBorder="1" applyAlignment="1">
      <alignment horizontal="center" vertical="center" wrapText="1"/>
    </xf>
    <xf numFmtId="43" fontId="4" fillId="0" borderId="17" xfId="137" applyFont="1" applyBorder="1" applyAlignment="1">
      <alignment horizontal="center" vertical="center" wrapText="1"/>
    </xf>
    <xf numFmtId="3" fontId="0" fillId="0" borderId="0" xfId="0" applyNumberFormat="1"/>
    <xf numFmtId="44" fontId="4" fillId="2" borderId="0" xfId="1" applyFont="1" applyFill="1"/>
    <xf numFmtId="44" fontId="4" fillId="10" borderId="0" xfId="1" applyFont="1" applyFill="1"/>
    <xf numFmtId="0" fontId="4" fillId="10" borderId="0" xfId="0" applyFont="1" applyFill="1"/>
    <xf numFmtId="10" fontId="5" fillId="4" borderId="0" xfId="2" applyNumberFormat="1" applyFont="1" applyFill="1"/>
    <xf numFmtId="9" fontId="0" fillId="0" borderId="13" xfId="0" applyNumberFormat="1" applyBorder="1"/>
    <xf numFmtId="0" fontId="4" fillId="0" borderId="0" xfId="0" applyFont="1" applyBorder="1" applyAlignment="1">
      <alignment horizontal="center" vertical="center"/>
    </xf>
    <xf numFmtId="43" fontId="4" fillId="0" borderId="0" xfId="137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44" fontId="0" fillId="0" borderId="0" xfId="1" applyFont="1" applyBorder="1"/>
    <xf numFmtId="44" fontId="0" fillId="0" borderId="13" xfId="1" applyFont="1" applyBorder="1"/>
    <xf numFmtId="44" fontId="0" fillId="0" borderId="11" xfId="1" applyFont="1" applyBorder="1"/>
    <xf numFmtId="44" fontId="0" fillId="0" borderId="14" xfId="1" applyFont="1" applyBorder="1"/>
    <xf numFmtId="8" fontId="0" fillId="0" borderId="0" xfId="0" applyNumberFormat="1"/>
    <xf numFmtId="44" fontId="0" fillId="0" borderId="18" xfId="1" applyFont="1" applyBorder="1"/>
    <xf numFmtId="44" fontId="0" fillId="0" borderId="18" xfId="0" applyNumberFormat="1" applyBorder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1" applyNumberFormat="1" applyFont="1"/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5" borderId="0" xfId="0" applyFill="1" applyAlignment="1">
      <alignment horizontal="center"/>
    </xf>
    <xf numFmtId="9" fontId="0" fillId="5" borderId="0" xfId="0" applyNumberFormat="1" applyFill="1" applyAlignment="1">
      <alignment horizontal="center"/>
    </xf>
    <xf numFmtId="0" fontId="4" fillId="0" borderId="7" xfId="0" applyFont="1" applyBorder="1"/>
    <xf numFmtId="9" fontId="0" fillId="0" borderId="0" xfId="2" applyFont="1" applyBorder="1"/>
    <xf numFmtId="9" fontId="0" fillId="0" borderId="6" xfId="2" applyFont="1" applyBorder="1"/>
    <xf numFmtId="9" fontId="0" fillId="0" borderId="8" xfId="2" applyFont="1" applyBorder="1"/>
    <xf numFmtId="9" fontId="0" fillId="0" borderId="9" xfId="2" applyFont="1" applyBorder="1"/>
    <xf numFmtId="0" fontId="4" fillId="0" borderId="2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165" fontId="0" fillId="0" borderId="3" xfId="1" applyNumberFormat="1" applyFont="1" applyBorder="1"/>
    <xf numFmtId="165" fontId="0" fillId="0" borderId="4" xfId="1" applyNumberFormat="1" applyFont="1" applyBorder="1"/>
    <xf numFmtId="0" fontId="4" fillId="0" borderId="19" xfId="0" applyFont="1" applyBorder="1" applyAlignment="1">
      <alignment horizontal="right"/>
    </xf>
    <xf numFmtId="165" fontId="4" fillId="10" borderId="0" xfId="1" applyNumberFormat="1" applyFont="1" applyFill="1"/>
    <xf numFmtId="166" fontId="0" fillId="0" borderId="0" xfId="0" applyNumberFormat="1"/>
    <xf numFmtId="164" fontId="0" fillId="0" borderId="0" xfId="137" applyNumberFormat="1" applyFont="1"/>
    <xf numFmtId="44" fontId="0" fillId="0" borderId="0" xfId="1" applyNumberFormat="1" applyFont="1"/>
    <xf numFmtId="0" fontId="4" fillId="11" borderId="0" xfId="0" applyFont="1" applyFill="1" applyBorder="1" applyAlignment="1">
      <alignment horizontal="left"/>
    </xf>
    <xf numFmtId="0" fontId="0" fillId="11" borderId="0" xfId="0" applyFill="1"/>
    <xf numFmtId="44" fontId="0" fillId="11" borderId="0" xfId="1" applyFont="1" applyFill="1"/>
    <xf numFmtId="10" fontId="0" fillId="0" borderId="0" xfId="2" applyNumberFormat="1" applyFont="1"/>
    <xf numFmtId="164" fontId="0" fillId="0" borderId="0" xfId="137" applyNumberFormat="1" applyFont="1" applyBorder="1"/>
    <xf numFmtId="0" fontId="1" fillId="0" borderId="0" xfId="314"/>
    <xf numFmtId="167" fontId="0" fillId="0" borderId="0" xfId="0" applyNumberFormat="1"/>
    <xf numFmtId="168" fontId="0" fillId="0" borderId="0" xfId="0" applyNumberFormat="1"/>
    <xf numFmtId="0" fontId="0" fillId="0" borderId="23" xfId="0" applyBorder="1" applyAlignment="1">
      <alignment horizontal="center"/>
    </xf>
    <xf numFmtId="9" fontId="0" fillId="0" borderId="22" xfId="2" applyFont="1" applyBorder="1"/>
    <xf numFmtId="43" fontId="0" fillId="8" borderId="0" xfId="137" applyFont="1" applyFill="1" applyBorder="1"/>
    <xf numFmtId="0" fontId="0" fillId="0" borderId="22" xfId="0" applyBorder="1" applyAlignment="1">
      <alignment horizontal="center"/>
    </xf>
    <xf numFmtId="44" fontId="0" fillId="0" borderId="6" xfId="1" applyFont="1" applyBorder="1"/>
    <xf numFmtId="44" fontId="0" fillId="0" borderId="22" xfId="1" applyFont="1" applyBorder="1"/>
    <xf numFmtId="43" fontId="0" fillId="0" borderId="22" xfId="137" applyFont="1" applyBorder="1"/>
    <xf numFmtId="0" fontId="0" fillId="0" borderId="24" xfId="0" applyBorder="1"/>
    <xf numFmtId="0" fontId="0" fillId="0" borderId="11" xfId="0" applyBorder="1"/>
    <xf numFmtId="0" fontId="0" fillId="0" borderId="16" xfId="0" applyBorder="1"/>
    <xf numFmtId="169" fontId="0" fillId="0" borderId="0" xfId="0" applyNumberFormat="1"/>
    <xf numFmtId="169" fontId="0" fillId="0" borderId="0" xfId="137" applyNumberFormat="1" applyFont="1"/>
    <xf numFmtId="10" fontId="0" fillId="9" borderId="0" xfId="2" applyNumberFormat="1" applyFont="1" applyFill="1"/>
    <xf numFmtId="44" fontId="0" fillId="6" borderId="0" xfId="1" applyFont="1" applyFill="1"/>
    <xf numFmtId="44" fontId="0" fillId="6" borderId="18" xfId="1" applyFont="1" applyFill="1" applyBorder="1"/>
    <xf numFmtId="10" fontId="0" fillId="6" borderId="0" xfId="2" applyNumberFormat="1" applyFont="1" applyFill="1"/>
    <xf numFmtId="44" fontId="0" fillId="6" borderId="0" xfId="0" applyNumberFormat="1" applyFill="1"/>
    <xf numFmtId="0" fontId="4" fillId="0" borderId="2" xfId="314" applyFont="1" applyBorder="1" applyAlignment="1">
      <alignment horizontal="center"/>
    </xf>
    <xf numFmtId="0" fontId="4" fillId="0" borderId="3" xfId="314" applyFont="1" applyBorder="1" applyAlignment="1">
      <alignment horizontal="center"/>
    </xf>
    <xf numFmtId="0" fontId="4" fillId="0" borderId="4" xfId="314" applyFont="1" applyBorder="1" applyAlignment="1">
      <alignment horizontal="center"/>
    </xf>
    <xf numFmtId="0" fontId="20" fillId="3" borderId="3" xfId="314" applyFont="1" applyFill="1" applyBorder="1" applyAlignment="1">
      <alignment horizontal="center" vertical="center"/>
    </xf>
    <xf numFmtId="0" fontId="1" fillId="0" borderId="2" xfId="314" applyBorder="1" applyAlignment="1">
      <alignment horizontal="center"/>
    </xf>
    <xf numFmtId="9" fontId="1" fillId="0" borderId="3" xfId="314" applyNumberFormat="1" applyBorder="1" applyAlignment="1">
      <alignment horizontal="center"/>
    </xf>
    <xf numFmtId="0" fontId="1" fillId="0" borderId="7" xfId="314" applyBorder="1" applyAlignment="1">
      <alignment horizontal="center"/>
    </xf>
    <xf numFmtId="9" fontId="1" fillId="0" borderId="8" xfId="314" applyNumberFormat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4" fillId="2" borderId="0" xfId="137" applyNumberFormat="1" applyFont="1" applyFill="1"/>
    <xf numFmtId="0" fontId="4" fillId="8" borderId="1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64" fontId="4" fillId="2" borderId="13" xfId="137" applyNumberFormat="1" applyFont="1" applyFill="1" applyBorder="1"/>
    <xf numFmtId="0" fontId="17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170" fontId="0" fillId="0" borderId="0" xfId="137" applyNumberFormat="1" applyFont="1" applyBorder="1"/>
    <xf numFmtId="0" fontId="0" fillId="11" borderId="2" xfId="0" applyFill="1" applyBorder="1" applyAlignment="1">
      <alignment horizontal="center"/>
    </xf>
    <xf numFmtId="9" fontId="0" fillId="11" borderId="3" xfId="0" applyNumberFormat="1" applyFill="1" applyBorder="1" applyAlignment="1">
      <alignment horizontal="center"/>
    </xf>
    <xf numFmtId="165" fontId="0" fillId="11" borderId="3" xfId="1" applyNumberFormat="1" applyFont="1" applyFill="1" applyBorder="1"/>
    <xf numFmtId="165" fontId="0" fillId="11" borderId="4" xfId="1" applyNumberFormat="1" applyFont="1" applyFill="1" applyBorder="1"/>
    <xf numFmtId="0" fontId="0" fillId="11" borderId="7" xfId="0" applyFill="1" applyBorder="1" applyAlignment="1">
      <alignment horizontal="center"/>
    </xf>
    <xf numFmtId="9" fontId="0" fillId="11" borderId="8" xfId="0" applyNumberForma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9" fontId="0" fillId="12" borderId="3" xfId="0" applyNumberFormat="1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9" fontId="0" fillId="12" borderId="8" xfId="0" applyNumberForma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9" fontId="0" fillId="14" borderId="3" xfId="0" applyNumberFormat="1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9" fontId="0" fillId="14" borderId="8" xfId="0" applyNumberFormat="1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9" fontId="0" fillId="13" borderId="3" xfId="0" applyNumberFormat="1" applyFill="1" applyBorder="1" applyAlignment="1">
      <alignment horizontal="center"/>
    </xf>
    <xf numFmtId="165" fontId="0" fillId="13" borderId="3" xfId="1" applyNumberFormat="1" applyFont="1" applyFill="1" applyBorder="1"/>
    <xf numFmtId="165" fontId="0" fillId="13" borderId="4" xfId="1" applyNumberFormat="1" applyFont="1" applyFill="1" applyBorder="1"/>
    <xf numFmtId="0" fontId="0" fillId="13" borderId="7" xfId="0" applyFill="1" applyBorder="1" applyAlignment="1">
      <alignment horizontal="center"/>
    </xf>
    <xf numFmtId="9" fontId="0" fillId="13" borderId="8" xfId="0" applyNumberFormat="1" applyFill="1" applyBorder="1" applyAlignment="1">
      <alignment horizontal="center"/>
    </xf>
    <xf numFmtId="165" fontId="0" fillId="13" borderId="8" xfId="1" applyNumberFormat="1" applyFont="1" applyFill="1" applyBorder="1"/>
    <xf numFmtId="165" fontId="0" fillId="13" borderId="9" xfId="1" applyNumberFormat="1" applyFont="1" applyFill="1" applyBorder="1"/>
    <xf numFmtId="0" fontId="0" fillId="15" borderId="2" xfId="0" applyFill="1" applyBorder="1" applyAlignment="1">
      <alignment horizontal="center"/>
    </xf>
    <xf numFmtId="9" fontId="0" fillId="15" borderId="3" xfId="0" applyNumberFormat="1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9" fontId="0" fillId="15" borderId="8" xfId="0" applyNumberForma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9" fontId="0" fillId="16" borderId="3" xfId="0" applyNumberFormat="1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9" fontId="0" fillId="16" borderId="8" xfId="0" applyNumberFormat="1" applyFill="1" applyBorder="1" applyAlignment="1">
      <alignment horizontal="center"/>
    </xf>
    <xf numFmtId="165" fontId="0" fillId="0" borderId="0" xfId="1" applyNumberFormat="1" applyFont="1" applyBorder="1"/>
    <xf numFmtId="165" fontId="0" fillId="0" borderId="0" xfId="0" applyNumberFormat="1"/>
    <xf numFmtId="165" fontId="0" fillId="0" borderId="13" xfId="1" applyNumberFormat="1" applyFont="1" applyBorder="1"/>
    <xf numFmtId="0" fontId="13" fillId="8" borderId="23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4" fillId="0" borderId="15" xfId="0" applyFont="1" applyBorder="1"/>
    <xf numFmtId="0" fontId="0" fillId="0" borderId="25" xfId="0" applyBorder="1" applyAlignment="1">
      <alignment horizontal="center"/>
    </xf>
    <xf numFmtId="170" fontId="0" fillId="0" borderId="0" xfId="137" applyNumberFormat="1" applyFont="1"/>
    <xf numFmtId="0" fontId="9" fillId="0" borderId="0" xfId="0" applyFont="1" applyAlignment="1">
      <alignment horizontal="center"/>
    </xf>
    <xf numFmtId="165" fontId="4" fillId="10" borderId="0" xfId="1" applyNumberFormat="1" applyFont="1" applyFill="1" applyAlignment="1">
      <alignment horizontal="center"/>
    </xf>
    <xf numFmtId="165" fontId="0" fillId="11" borderId="0" xfId="1" applyNumberFormat="1" applyFont="1" applyFill="1"/>
    <xf numFmtId="165" fontId="4" fillId="11" borderId="0" xfId="1" applyNumberFormat="1" applyFont="1" applyFill="1" applyAlignment="1">
      <alignment horizontal="center"/>
    </xf>
    <xf numFmtId="0" fontId="0" fillId="16" borderId="19" xfId="0" applyFill="1" applyBorder="1"/>
    <xf numFmtId="164" fontId="0" fillId="16" borderId="20" xfId="137" applyNumberFormat="1" applyFont="1" applyFill="1" applyBorder="1"/>
    <xf numFmtId="164" fontId="0" fillId="16" borderId="21" xfId="137" applyNumberFormat="1" applyFont="1" applyFill="1" applyBorder="1"/>
    <xf numFmtId="10" fontId="4" fillId="9" borderId="0" xfId="2" applyNumberFormat="1" applyFont="1" applyFill="1"/>
    <xf numFmtId="44" fontId="4" fillId="16" borderId="0" xfId="0" applyNumberFormat="1" applyFont="1" applyFill="1"/>
    <xf numFmtId="44" fontId="5" fillId="14" borderId="0" xfId="0" applyNumberFormat="1" applyFont="1" applyFill="1"/>
    <xf numFmtId="44" fontId="4" fillId="0" borderId="0" xfId="0" applyNumberFormat="1" applyFont="1"/>
    <xf numFmtId="44" fontId="0" fillId="0" borderId="22" xfId="0" applyNumberFormat="1" applyBorder="1"/>
    <xf numFmtId="44" fontId="0" fillId="0" borderId="24" xfId="0" applyNumberFormat="1" applyBorder="1"/>
    <xf numFmtId="44" fontId="0" fillId="0" borderId="0" xfId="0" applyNumberFormat="1" applyBorder="1"/>
    <xf numFmtId="44" fontId="0" fillId="0" borderId="11" xfId="0" applyNumberFormat="1" applyBorder="1"/>
    <xf numFmtId="44" fontId="0" fillId="0" borderId="13" xfId="0" applyNumberFormat="1" applyBorder="1"/>
    <xf numFmtId="44" fontId="0" fillId="0" borderId="14" xfId="0" applyNumberFormat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2" borderId="0" xfId="1" applyNumberFormat="1" applyFont="1" applyFill="1"/>
    <xf numFmtId="165" fontId="0" fillId="6" borderId="0" xfId="1" applyNumberFormat="1" applyFont="1" applyFill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0" fillId="0" borderId="32" xfId="0" applyBorder="1"/>
    <xf numFmtId="0" fontId="0" fillId="0" borderId="34" xfId="0" applyBorder="1"/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22" fillId="0" borderId="0" xfId="0" applyFont="1"/>
    <xf numFmtId="165" fontId="11" fillId="0" borderId="0" xfId="1" applyNumberFormat="1" applyFont="1" applyBorder="1"/>
    <xf numFmtId="165" fontId="0" fillId="0" borderId="33" xfId="1" applyNumberFormat="1" applyFont="1" applyBorder="1"/>
    <xf numFmtId="165" fontId="22" fillId="0" borderId="0" xfId="1" applyNumberFormat="1" applyFont="1"/>
    <xf numFmtId="165" fontId="1" fillId="0" borderId="0" xfId="1" applyNumberFormat="1" applyFont="1" applyBorder="1"/>
    <xf numFmtId="165" fontId="4" fillId="0" borderId="33" xfId="1" applyNumberFormat="1" applyFont="1" applyBorder="1"/>
    <xf numFmtId="0" fontId="4" fillId="0" borderId="28" xfId="0" applyFont="1" applyBorder="1" applyAlignment="1">
      <alignment horizontal="center" vertical="center"/>
    </xf>
    <xf numFmtId="165" fontId="1" fillId="0" borderId="30" xfId="1" applyNumberFormat="1" applyFont="1" applyBorder="1"/>
    <xf numFmtId="165" fontId="0" fillId="0" borderId="30" xfId="1" applyNumberFormat="1" applyFont="1" applyBorder="1"/>
    <xf numFmtId="165" fontId="0" fillId="0" borderId="35" xfId="1" applyNumberFormat="1" applyFont="1" applyBorder="1"/>
    <xf numFmtId="165" fontId="0" fillId="0" borderId="34" xfId="1" applyNumberFormat="1" applyFont="1" applyBorder="1"/>
    <xf numFmtId="0" fontId="4" fillId="0" borderId="36" xfId="0" applyFont="1" applyBorder="1" applyAlignment="1">
      <alignment horizontal="center"/>
    </xf>
    <xf numFmtId="44" fontId="0" fillId="11" borderId="8" xfId="1" applyNumberFormat="1" applyFont="1" applyFill="1" applyBorder="1"/>
    <xf numFmtId="44" fontId="0" fillId="11" borderId="9" xfId="1" applyNumberFormat="1" applyFont="1" applyFill="1" applyBorder="1"/>
    <xf numFmtId="44" fontId="4" fillId="11" borderId="0" xfId="1" applyNumberFormat="1" applyFont="1" applyFill="1"/>
    <xf numFmtId="44" fontId="0" fillId="11" borderId="8" xfId="1" applyFont="1" applyFill="1" applyBorder="1"/>
    <xf numFmtId="44" fontId="4" fillId="12" borderId="0" xfId="1" applyFont="1" applyFill="1"/>
    <xf numFmtId="44" fontId="3" fillId="14" borderId="0" xfId="1" applyFont="1" applyFill="1"/>
    <xf numFmtId="44" fontId="4" fillId="13" borderId="0" xfId="1" applyFont="1" applyFill="1"/>
    <xf numFmtId="44" fontId="4" fillId="15" borderId="0" xfId="1" applyFont="1" applyFill="1"/>
    <xf numFmtId="44" fontId="3" fillId="2" borderId="0" xfId="1" applyFont="1" applyFill="1"/>
    <xf numFmtId="44" fontId="0" fillId="16" borderId="3" xfId="1" applyFont="1" applyFill="1" applyBorder="1"/>
    <xf numFmtId="44" fontId="0" fillId="16" borderId="4" xfId="1" applyFont="1" applyFill="1" applyBorder="1"/>
    <xf numFmtId="44" fontId="0" fillId="15" borderId="3" xfId="1" applyFont="1" applyFill="1" applyBorder="1"/>
    <xf numFmtId="44" fontId="0" fillId="15" borderId="4" xfId="1" applyFont="1" applyFill="1" applyBorder="1"/>
    <xf numFmtId="44" fontId="0" fillId="15" borderId="8" xfId="1" applyFont="1" applyFill="1" applyBorder="1"/>
    <xf numFmtId="44" fontId="0" fillId="15" borderId="9" xfId="1" applyFont="1" applyFill="1" applyBorder="1"/>
    <xf numFmtId="44" fontId="0" fillId="16" borderId="8" xfId="1" applyFont="1" applyFill="1" applyBorder="1"/>
    <xf numFmtId="44" fontId="0" fillId="16" borderId="9" xfId="1" applyFont="1" applyFill="1" applyBorder="1"/>
    <xf numFmtId="44" fontId="0" fillId="14" borderId="3" xfId="1" applyFont="1" applyFill="1" applyBorder="1"/>
    <xf numFmtId="44" fontId="0" fillId="14" borderId="4" xfId="1" applyFont="1" applyFill="1" applyBorder="1"/>
    <xf numFmtId="44" fontId="0" fillId="14" borderId="8" xfId="1" applyFont="1" applyFill="1" applyBorder="1"/>
    <xf numFmtId="44" fontId="0" fillId="14" borderId="9" xfId="1" applyFont="1" applyFill="1" applyBorder="1"/>
    <xf numFmtId="44" fontId="0" fillId="12" borderId="3" xfId="1" applyFont="1" applyFill="1" applyBorder="1"/>
    <xf numFmtId="44" fontId="0" fillId="12" borderId="4" xfId="1" applyFont="1" applyFill="1" applyBorder="1"/>
    <xf numFmtId="44" fontId="0" fillId="12" borderId="8" xfId="1" applyFont="1" applyFill="1" applyBorder="1"/>
    <xf numFmtId="44" fontId="0" fillId="12" borderId="9" xfId="1" applyFont="1" applyFill="1" applyBorder="1"/>
    <xf numFmtId="44" fontId="0" fillId="0" borderId="3" xfId="1" applyFont="1" applyBorder="1"/>
    <xf numFmtId="44" fontId="1" fillId="0" borderId="3" xfId="1" applyFont="1" applyBorder="1"/>
    <xf numFmtId="44" fontId="1" fillId="0" borderId="4" xfId="1" applyFont="1" applyBorder="1"/>
    <xf numFmtId="44" fontId="0" fillId="0" borderId="8" xfId="1" applyFont="1" applyBorder="1"/>
    <xf numFmtId="44" fontId="1" fillId="0" borderId="8" xfId="1" applyFont="1" applyBorder="1"/>
    <xf numFmtId="44" fontId="21" fillId="3" borderId="9" xfId="1" applyFont="1" applyFill="1" applyBorder="1"/>
    <xf numFmtId="44" fontId="0" fillId="5" borderId="0" xfId="1" applyFont="1" applyFill="1"/>
    <xf numFmtId="44" fontId="1" fillId="6" borderId="0" xfId="1" applyFont="1" applyFill="1"/>
    <xf numFmtId="44" fontId="4" fillId="6" borderId="0" xfId="1" applyFont="1" applyFill="1"/>
    <xf numFmtId="44" fontId="0" fillId="7" borderId="0" xfId="1" applyFont="1" applyFill="1"/>
    <xf numFmtId="44" fontId="4" fillId="0" borderId="0" xfId="1" applyFont="1" applyAlignment="1">
      <alignment horizontal="center"/>
    </xf>
    <xf numFmtId="44" fontId="12" fillId="5" borderId="6" xfId="1" applyFont="1" applyFill="1" applyBorder="1"/>
    <xf numFmtId="44" fontId="4" fillId="6" borderId="9" xfId="1" applyFont="1" applyFill="1" applyBorder="1"/>
    <xf numFmtId="43" fontId="0" fillId="0" borderId="0" xfId="0" applyNumberFormat="1"/>
    <xf numFmtId="44" fontId="0" fillId="0" borderId="16" xfId="1" applyFont="1" applyBorder="1"/>
    <xf numFmtId="44" fontId="0" fillId="0" borderId="9" xfId="1" applyFont="1" applyBorder="1"/>
    <xf numFmtId="44" fontId="9" fillId="16" borderId="14" xfId="1" applyFont="1" applyFill="1" applyBorder="1"/>
    <xf numFmtId="44" fontId="9" fillId="16" borderId="17" xfId="1" applyFont="1" applyFill="1" applyBorder="1"/>
    <xf numFmtId="0" fontId="4" fillId="0" borderId="25" xfId="0" applyFont="1" applyBorder="1" applyAlignment="1">
      <alignment horizontal="center"/>
    </xf>
    <xf numFmtId="170" fontId="13" fillId="16" borderId="0" xfId="0" applyNumberFormat="1" applyFont="1" applyFill="1"/>
    <xf numFmtId="169" fontId="4" fillId="16" borderId="0" xfId="137" applyNumberFormat="1" applyFont="1" applyFill="1"/>
    <xf numFmtId="0" fontId="0" fillId="16" borderId="0" xfId="0" applyFill="1"/>
    <xf numFmtId="170" fontId="0" fillId="16" borderId="0" xfId="0" applyNumberFormat="1" applyFill="1"/>
    <xf numFmtId="164" fontId="4" fillId="16" borderId="0" xfId="137" applyNumberFormat="1" applyFont="1" applyFill="1"/>
    <xf numFmtId="165" fontId="4" fillId="16" borderId="0" xfId="1" applyNumberFormat="1" applyFont="1" applyFill="1"/>
    <xf numFmtId="165" fontId="9" fillId="16" borderId="0" xfId="1" applyNumberFormat="1" applyFont="1" applyFill="1"/>
    <xf numFmtId="166" fontId="0" fillId="0" borderId="0" xfId="2" applyNumberFormat="1" applyFont="1"/>
    <xf numFmtId="171" fontId="0" fillId="0" borderId="0" xfId="0" applyNumberFormat="1"/>
    <xf numFmtId="172" fontId="0" fillId="0" borderId="0" xfId="2" applyNumberFormat="1" applyFont="1" applyAlignment="1">
      <alignment horizontal="center"/>
    </xf>
    <xf numFmtId="44" fontId="0" fillId="2" borderId="0" xfId="1" applyNumberFormat="1" applyFont="1" applyFill="1"/>
    <xf numFmtId="4" fontId="0" fillId="0" borderId="22" xfId="0" applyNumberFormat="1" applyBorder="1"/>
    <xf numFmtId="4" fontId="0" fillId="0" borderId="22" xfId="1" applyNumberFormat="1" applyFont="1" applyBorder="1"/>
    <xf numFmtId="4" fontId="0" fillId="2" borderId="22" xfId="0" applyNumberFormat="1" applyFill="1" applyBorder="1"/>
    <xf numFmtId="4" fontId="0" fillId="0" borderId="24" xfId="0" applyNumberFormat="1" applyBorder="1"/>
    <xf numFmtId="4" fontId="0" fillId="0" borderId="0" xfId="0" applyNumberFormat="1" applyBorder="1"/>
    <xf numFmtId="4" fontId="0" fillId="0" borderId="0" xfId="1" applyNumberFormat="1" applyFont="1" applyBorder="1"/>
    <xf numFmtId="4" fontId="0" fillId="2" borderId="0" xfId="0" applyNumberFormat="1" applyFill="1" applyBorder="1"/>
    <xf numFmtId="4" fontId="0" fillId="0" borderId="11" xfId="0" applyNumberFormat="1" applyBorder="1"/>
    <xf numFmtId="4" fontId="0" fillId="0" borderId="13" xfId="0" applyNumberFormat="1" applyBorder="1"/>
    <xf numFmtId="4" fontId="0" fillId="0" borderId="13" xfId="1" applyNumberFormat="1" applyFont="1" applyBorder="1"/>
    <xf numFmtId="4" fontId="0" fillId="2" borderId="13" xfId="0" applyNumberFormat="1" applyFill="1" applyBorder="1"/>
    <xf numFmtId="4" fontId="0" fillId="0" borderId="14" xfId="0" applyNumberFormat="1" applyBorder="1"/>
    <xf numFmtId="4" fontId="0" fillId="0" borderId="0" xfId="0" applyNumberFormat="1"/>
    <xf numFmtId="0" fontId="0" fillId="0" borderId="0" xfId="0" applyAlignment="1">
      <alignment horizontal="left"/>
    </xf>
    <xf numFmtId="0" fontId="8" fillId="0" borderId="0" xfId="314" applyFont="1" applyAlignment="1">
      <alignment horizontal="left"/>
    </xf>
    <xf numFmtId="0" fontId="17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5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5" fillId="0" borderId="22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165" fontId="4" fillId="0" borderId="0" xfId="1" applyNumberFormat="1" applyFont="1"/>
  </cellXfs>
  <cellStyles count="317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Millares" xfId="137" builtinId="3"/>
    <cellStyle name="Moneda" xfId="1" builtinId="4"/>
    <cellStyle name="Moneda 2" xfId="315" xr:uid="{00000000-0005-0000-0000-000038010000}"/>
    <cellStyle name="Normal" xfId="0" builtinId="0"/>
    <cellStyle name="Normal 2" xfId="314" xr:uid="{00000000-0005-0000-0000-00003A010000}"/>
    <cellStyle name="Porcentaje" xfId="2" builtinId="5"/>
    <cellStyle name="Porcentaje 2" xfId="316" xr:uid="{00000000-0005-0000-0000-00003C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539460</xdr:colOff>
      <xdr:row>4</xdr:row>
      <xdr:rowOff>193964</xdr:rowOff>
    </xdr:from>
    <xdr:to>
      <xdr:col>13</xdr:col>
      <xdr:colOff>710805</xdr:colOff>
      <xdr:row>20</xdr:row>
      <xdr:rowOff>183486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4642" y="1066800"/>
          <a:ext cx="6135727" cy="32037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16934</xdr:colOff>
      <xdr:row>4</xdr:row>
      <xdr:rowOff>169334</xdr:rowOff>
    </xdr:from>
    <xdr:to>
      <xdr:col>24</xdr:col>
      <xdr:colOff>203096</xdr:colOff>
      <xdr:row>43</xdr:row>
      <xdr:rowOff>49655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33601" y="948267"/>
          <a:ext cx="6172095" cy="31907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762000</xdr:colOff>
      <xdr:row>8</xdr:row>
      <xdr:rowOff>68580</xdr:rowOff>
    </xdr:from>
    <xdr:to>
      <xdr:col>16</xdr:col>
      <xdr:colOff>357962</xdr:colOff>
      <xdr:row>12</xdr:row>
      <xdr:rowOff>261411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1006"/>
        <a:stretch/>
      </xdr:blipFill>
      <xdr:spPr>
        <a:xfrm>
          <a:off x="7246620" y="1653540"/>
          <a:ext cx="4716602" cy="9929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419100</xdr:colOff>
      <xdr:row>2</xdr:row>
      <xdr:rowOff>180975</xdr:rowOff>
    </xdr:from>
    <xdr:to>
      <xdr:col>17</xdr:col>
      <xdr:colOff>106502</xdr:colOff>
      <xdr:row>7</xdr:row>
      <xdr:rowOff>173781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1006"/>
        <a:stretch/>
      </xdr:blipFill>
      <xdr:spPr>
        <a:xfrm>
          <a:off x="11287125" y="581025"/>
          <a:ext cx="4716602" cy="9929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161925</xdr:rowOff>
    </xdr:from>
    <xdr:to>
      <xdr:col>6</xdr:col>
      <xdr:colOff>762635</xdr:colOff>
      <xdr:row>6</xdr:row>
      <xdr:rowOff>192405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361950"/>
          <a:ext cx="5334635" cy="10306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</xdr:row>
      <xdr:rowOff>85725</xdr:rowOff>
    </xdr:from>
    <xdr:to>
      <xdr:col>10</xdr:col>
      <xdr:colOff>19050</xdr:colOff>
      <xdr:row>4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 txBox="1"/>
      </xdr:nvSpPr>
      <xdr:spPr>
        <a:xfrm>
          <a:off x="752475" y="285750"/>
          <a:ext cx="7648575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27.- ¿Cuál será la mensualidad a pagar si tomo prestado $2,000 por dos años al 10% anual, capitalizado mensualmente? Encuentre la tasa de interés efectiva.</a:t>
          </a:r>
        </a:p>
        <a:p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133350</xdr:rowOff>
    </xdr:from>
    <xdr:to>
      <xdr:col>8</xdr:col>
      <xdr:colOff>714375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 txBox="1"/>
      </xdr:nvSpPr>
      <xdr:spPr>
        <a:xfrm>
          <a:off x="1181100" y="333375"/>
          <a:ext cx="623887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28.- ¿Cuánto tengo que depositar hoy para poder retirar $2,000 al principio de cada uno de los próximos 3 años? La tasa de interés es 8.2% anual. </a:t>
          </a:r>
        </a:p>
        <a:p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357188</xdr:colOff>
      <xdr:row>2</xdr:row>
      <xdr:rowOff>23813</xdr:rowOff>
    </xdr:from>
    <xdr:to>
      <xdr:col>9</xdr:col>
      <xdr:colOff>28575</xdr:colOff>
      <xdr:row>5</xdr:row>
      <xdr:rowOff>71438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 txBox="1"/>
      </xdr:nvSpPr>
      <xdr:spPr>
        <a:xfrm>
          <a:off x="357188" y="428626"/>
          <a:ext cx="7172325" cy="6548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29.- Tengo $2,000 depositados en estos momentos y mi meta es tener ahorrado $5,000 en el año 6.  ¿Cuánto tendría que depositar mensualmente para lograr mi meta? La tasa de interés es 4% anual, capitalizada mensualmente. </a:t>
          </a:r>
        </a:p>
        <a:p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2</xdr:row>
      <xdr:rowOff>19050</xdr:rowOff>
    </xdr:from>
    <xdr:to>
      <xdr:col>10</xdr:col>
      <xdr:colOff>167575</xdr:colOff>
      <xdr:row>5</xdr:row>
      <xdr:rowOff>161832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419100"/>
          <a:ext cx="6383167" cy="74285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601980</xdr:colOff>
          <xdr:row>5</xdr:row>
          <xdr:rowOff>30480</xdr:rowOff>
        </xdr:from>
        <xdr:to>
          <xdr:col>14</xdr:col>
          <xdr:colOff>678180</xdr:colOff>
          <xdr:row>9</xdr:row>
          <xdr:rowOff>45720</xdr:rowOff>
        </xdr:to>
        <xdr:sp macro="" textlink="">
          <xdr:nvSpPr>
            <xdr:cNvPr id="47105" name="Object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00000000-0008-0000-1D00-000001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851657</xdr:colOff>
      <xdr:row>2</xdr:row>
      <xdr:rowOff>82853</xdr:rowOff>
    </xdr:from>
    <xdr:to>
      <xdr:col>15</xdr:col>
      <xdr:colOff>524935</xdr:colOff>
      <xdr:row>4</xdr:row>
      <xdr:rowOff>26299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SpPr txBox="1"/>
      </xdr:nvSpPr>
      <xdr:spPr>
        <a:xfrm>
          <a:off x="8073724" y="472320"/>
          <a:ext cx="3542544" cy="3329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s-MX" sz="1600" spc="-100">
              <a:solidFill>
                <a:srgbClr val="FF0000"/>
              </a:solidFill>
              <a:latin typeface="+mj-lt"/>
              <a:ea typeface="+mj-ea"/>
              <a:cs typeface="+mj-cs"/>
            </a:rPr>
            <a:t>Valor Futuro de una Anualidades Vencidas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N21"/>
  <sheetViews>
    <sheetView zoomScale="150" zoomScaleNormal="150" workbookViewId="0"/>
  </sheetViews>
  <sheetFormatPr baseColWidth="10" defaultRowHeight="15.6" x14ac:dyDescent="0.3"/>
  <cols>
    <col min="1" max="1" width="11" customWidth="1"/>
    <col min="2" max="2" width="5.796875" bestFit="1" customWidth="1"/>
    <col min="3" max="3" width="4.296875" bestFit="1" customWidth="1"/>
    <col min="4" max="8" width="10.09765625" bestFit="1" customWidth="1"/>
    <col min="10" max="10" width="10.09765625" bestFit="1" customWidth="1"/>
    <col min="11" max="11" width="1.8984375" bestFit="1" customWidth="1"/>
  </cols>
  <sheetData>
    <row r="2" spans="2:14" x14ac:dyDescent="0.3">
      <c r="B2" s="264" t="s">
        <v>0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</row>
    <row r="4" spans="2:14" ht="16.2" thickBot="1" x14ac:dyDescent="0.35">
      <c r="B4" s="52" t="s">
        <v>101</v>
      </c>
      <c r="C4" s="53" t="s">
        <v>7</v>
      </c>
      <c r="D4" s="53">
        <v>0</v>
      </c>
      <c r="E4" s="53">
        <v>1</v>
      </c>
      <c r="F4" s="53">
        <v>2</v>
      </c>
      <c r="G4" s="53">
        <v>3</v>
      </c>
      <c r="H4" s="54">
        <v>4</v>
      </c>
      <c r="J4" s="195" t="s">
        <v>8</v>
      </c>
    </row>
    <row r="5" spans="2:14" ht="16.2" thickTop="1" x14ac:dyDescent="0.3">
      <c r="B5" s="116" t="s">
        <v>1</v>
      </c>
      <c r="C5" s="117">
        <v>0.05</v>
      </c>
      <c r="D5" s="118"/>
      <c r="E5" s="118">
        <v>50</v>
      </c>
      <c r="F5" s="118">
        <v>100</v>
      </c>
      <c r="G5" s="118">
        <v>125</v>
      </c>
      <c r="H5" s="119">
        <v>150</v>
      </c>
    </row>
    <row r="6" spans="2:14" x14ac:dyDescent="0.3">
      <c r="B6" s="120"/>
      <c r="C6" s="121"/>
      <c r="D6" s="199">
        <f>D5*(1+$C$5)^($H$4-D4)</f>
        <v>0</v>
      </c>
      <c r="E6" s="196">
        <f>E5*(1+$C$5)^($H$4-E4)</f>
        <v>57.881250000000009</v>
      </c>
      <c r="F6" s="196">
        <f t="shared" ref="F6:H6" si="0">F5*(1+$C$5)^($H$4-F4)</f>
        <v>110.25</v>
      </c>
      <c r="G6" s="196">
        <f>G5*(1+$C$5)^($H$4-G4)</f>
        <v>131.25</v>
      </c>
      <c r="H6" s="197">
        <f t="shared" si="0"/>
        <v>150</v>
      </c>
      <c r="J6" s="198">
        <f>SUM(D6:H6)</f>
        <v>449.38125000000002</v>
      </c>
    </row>
    <row r="8" spans="2:14" x14ac:dyDescent="0.3">
      <c r="B8" s="122" t="s">
        <v>2</v>
      </c>
      <c r="C8" s="123">
        <v>0.15</v>
      </c>
      <c r="D8" s="217"/>
      <c r="E8" s="217">
        <v>30</v>
      </c>
      <c r="F8" s="217">
        <v>0</v>
      </c>
      <c r="G8" s="217">
        <v>30</v>
      </c>
      <c r="H8" s="218">
        <v>45</v>
      </c>
    </row>
    <row r="9" spans="2:14" x14ac:dyDescent="0.3">
      <c r="B9" s="124"/>
      <c r="C9" s="125"/>
      <c r="D9" s="219">
        <f>D8*(1+$C$8)^($H$4-D4)</f>
        <v>0</v>
      </c>
      <c r="E9" s="219">
        <f>E8*(1+$C$8)^($H$4-E4)</f>
        <v>45.626249999999985</v>
      </c>
      <c r="F9" s="219">
        <f t="shared" ref="F9:H9" si="1">F8*(1+$C$8)^($H$4-F4)</f>
        <v>0</v>
      </c>
      <c r="G9" s="219">
        <f t="shared" si="1"/>
        <v>34.5</v>
      </c>
      <c r="H9" s="220">
        <f t="shared" si="1"/>
        <v>45</v>
      </c>
      <c r="J9" s="200">
        <f>SUM(D9:H9)</f>
        <v>125.12624999999998</v>
      </c>
    </row>
    <row r="11" spans="2:14" x14ac:dyDescent="0.3">
      <c r="B11" s="126" t="s">
        <v>3</v>
      </c>
      <c r="C11" s="127">
        <v>0.1</v>
      </c>
      <c r="D11" s="213"/>
      <c r="E11" s="213">
        <v>50</v>
      </c>
      <c r="F11" s="213">
        <v>75</v>
      </c>
      <c r="G11" s="213">
        <v>125</v>
      </c>
      <c r="H11" s="214">
        <v>150</v>
      </c>
    </row>
    <row r="12" spans="2:14" x14ac:dyDescent="0.3">
      <c r="B12" s="128"/>
      <c r="C12" s="129"/>
      <c r="D12" s="215">
        <f>D11*(1+$C$11)^($H$4-D4)</f>
        <v>0</v>
      </c>
      <c r="E12" s="215">
        <f t="shared" ref="E12:H12" si="2">E11*(1+$C$11)^($H$4-E4)</f>
        <v>66.550000000000026</v>
      </c>
      <c r="F12" s="215">
        <f t="shared" si="2"/>
        <v>90.750000000000014</v>
      </c>
      <c r="G12" s="215">
        <f t="shared" si="2"/>
        <v>137.5</v>
      </c>
      <c r="H12" s="216">
        <f t="shared" si="2"/>
        <v>150</v>
      </c>
      <c r="J12" s="201">
        <f>SUM(D12:H12)</f>
        <v>444.80000000000007</v>
      </c>
    </row>
    <row r="14" spans="2:14" x14ac:dyDescent="0.3">
      <c r="B14" s="130" t="s">
        <v>4</v>
      </c>
      <c r="C14" s="131">
        <v>0.1</v>
      </c>
      <c r="D14" s="132"/>
      <c r="E14" s="132">
        <v>150</v>
      </c>
      <c r="F14" s="132">
        <v>125</v>
      </c>
      <c r="G14" s="132">
        <v>75</v>
      </c>
      <c r="H14" s="133">
        <v>50</v>
      </c>
    </row>
    <row r="15" spans="2:14" x14ac:dyDescent="0.3">
      <c r="B15" s="134"/>
      <c r="C15" s="135"/>
      <c r="D15" s="136">
        <f>D14*(1+$C$14)^($H$4-D4)</f>
        <v>0</v>
      </c>
      <c r="E15" s="136">
        <f t="shared" ref="E15:H15" si="3">E14*(1+$C$14)^($H$4-E4)</f>
        <v>199.65000000000006</v>
      </c>
      <c r="F15" s="136">
        <f t="shared" si="3"/>
        <v>151.25000000000003</v>
      </c>
      <c r="G15" s="136">
        <f t="shared" si="3"/>
        <v>82.5</v>
      </c>
      <c r="H15" s="137">
        <f t="shared" si="3"/>
        <v>50</v>
      </c>
      <c r="J15" s="202">
        <f>SUM(D15:H15)</f>
        <v>483.40000000000009</v>
      </c>
    </row>
    <row r="17" spans="2:10" x14ac:dyDescent="0.3">
      <c r="B17" s="138" t="s">
        <v>5</v>
      </c>
      <c r="C17" s="139">
        <v>0.18</v>
      </c>
      <c r="D17" s="207">
        <v>-1750</v>
      </c>
      <c r="E17" s="207">
        <v>50</v>
      </c>
      <c r="F17" s="207">
        <v>200</v>
      </c>
      <c r="G17" s="207">
        <v>500</v>
      </c>
      <c r="H17" s="208">
        <v>1000</v>
      </c>
    </row>
    <row r="18" spans="2:10" x14ac:dyDescent="0.3">
      <c r="B18" s="140"/>
      <c r="C18" s="141"/>
      <c r="D18" s="209">
        <f>D17*(1+$C$17)^($H$4-D4)</f>
        <v>-3392.8610799999992</v>
      </c>
      <c r="E18" s="209">
        <f t="shared" ref="E18:H18" si="4">E17*(1+$C$17)^($H$4-E4)</f>
        <v>82.151599999999988</v>
      </c>
      <c r="F18" s="209">
        <f t="shared" si="4"/>
        <v>278.47999999999996</v>
      </c>
      <c r="G18" s="209">
        <f t="shared" si="4"/>
        <v>590</v>
      </c>
      <c r="H18" s="210">
        <f t="shared" si="4"/>
        <v>1000</v>
      </c>
      <c r="J18" s="203">
        <f>SUM(D18:H18)</f>
        <v>-1442.2294799999991</v>
      </c>
    </row>
    <row r="20" spans="2:10" x14ac:dyDescent="0.3">
      <c r="B20" s="142" t="s">
        <v>6</v>
      </c>
      <c r="C20" s="143">
        <v>0.35</v>
      </c>
      <c r="D20" s="205">
        <v>-1500</v>
      </c>
      <c r="E20" s="205">
        <v>500</v>
      </c>
      <c r="F20" s="205">
        <v>1200</v>
      </c>
      <c r="G20" s="205">
        <v>-750</v>
      </c>
      <c r="H20" s="206">
        <v>1000</v>
      </c>
    </row>
    <row r="21" spans="2:10" x14ac:dyDescent="0.3">
      <c r="B21" s="144"/>
      <c r="C21" s="145"/>
      <c r="D21" s="211">
        <f>D20*(1+$C$20)^($H$4-D4)</f>
        <v>-4982.2593750000015</v>
      </c>
      <c r="E21" s="211">
        <f t="shared" ref="E21:H21" si="5">E20*(1+$C$20)^($H$4-E4)</f>
        <v>1230.1875000000002</v>
      </c>
      <c r="F21" s="211">
        <f t="shared" si="5"/>
        <v>2187.0000000000005</v>
      </c>
      <c r="G21" s="211">
        <f t="shared" si="5"/>
        <v>-1012.5000000000001</v>
      </c>
      <c r="H21" s="212">
        <f t="shared" si="5"/>
        <v>1000</v>
      </c>
      <c r="J21" s="204">
        <f>SUM(D21:H21)</f>
        <v>-1577.571875000001</v>
      </c>
    </row>
  </sheetData>
  <mergeCells count="1">
    <mergeCell ref="B2:N2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B2:K7"/>
  <sheetViews>
    <sheetView zoomScale="160" zoomScaleNormal="160" workbookViewId="0">
      <selection activeCell="E6" sqref="E6"/>
    </sheetView>
  </sheetViews>
  <sheetFormatPr baseColWidth="10" defaultRowHeight="15.6" x14ac:dyDescent="0.3"/>
  <cols>
    <col min="2" max="2" width="12.296875" bestFit="1" customWidth="1"/>
    <col min="3" max="7" width="6.796875" bestFit="1" customWidth="1"/>
    <col min="8" max="8" width="19.296875" bestFit="1" customWidth="1"/>
  </cols>
  <sheetData>
    <row r="2" spans="2:11" ht="22.8" x14ac:dyDescent="0.4">
      <c r="B2" s="270" t="s">
        <v>24</v>
      </c>
      <c r="C2" s="270"/>
      <c r="D2" s="270"/>
      <c r="E2" s="270"/>
      <c r="F2" s="270"/>
      <c r="G2" s="270"/>
      <c r="H2" s="270"/>
      <c r="I2" s="270"/>
      <c r="J2" s="270"/>
      <c r="K2" s="270"/>
    </row>
    <row r="4" spans="2:11" x14ac:dyDescent="0.3">
      <c r="B4" t="s">
        <v>103</v>
      </c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11" x14ac:dyDescent="0.3">
      <c r="B5" t="s">
        <v>25</v>
      </c>
      <c r="C5" s="25">
        <v>0.15</v>
      </c>
      <c r="D5" s="37">
        <f>+((1+D7)/(1+D6))-1</f>
        <v>8.6956521739130599E-2</v>
      </c>
      <c r="E5" s="25">
        <v>0.15</v>
      </c>
      <c r="F5" s="25">
        <v>0.35</v>
      </c>
      <c r="G5" s="25">
        <v>0.25</v>
      </c>
      <c r="H5" t="s">
        <v>141</v>
      </c>
    </row>
    <row r="6" spans="2:11" x14ac:dyDescent="0.3">
      <c r="B6" t="s">
        <v>26</v>
      </c>
      <c r="C6" s="25">
        <v>0.1</v>
      </c>
      <c r="D6" s="25">
        <v>0.15</v>
      </c>
      <c r="E6" s="37">
        <f>+((1+E7)/(1+E5))-1</f>
        <v>8.6956521739130599E-2</v>
      </c>
      <c r="F6" s="25">
        <v>0.15</v>
      </c>
      <c r="G6" s="37">
        <f>+((1+G7)/(1+G5))-1</f>
        <v>8.0000000000000071E-2</v>
      </c>
      <c r="H6" t="s">
        <v>140</v>
      </c>
    </row>
    <row r="7" spans="2:11" x14ac:dyDescent="0.3">
      <c r="B7" t="s">
        <v>27</v>
      </c>
      <c r="C7" s="37">
        <f>+((1+C6)*(1+C5))-1</f>
        <v>0.2649999999999999</v>
      </c>
      <c r="D7" s="25">
        <v>0.25</v>
      </c>
      <c r="E7" s="25">
        <v>0.25</v>
      </c>
      <c r="F7" s="37">
        <f>+((1+F6)*(1+F5))-1</f>
        <v>0.55249999999999999</v>
      </c>
      <c r="G7" s="25">
        <v>0.35</v>
      </c>
      <c r="H7" t="s">
        <v>142</v>
      </c>
    </row>
  </sheetData>
  <mergeCells count="1">
    <mergeCell ref="B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2:J18"/>
  <sheetViews>
    <sheetView zoomScale="140" zoomScaleNormal="140" workbookViewId="0"/>
  </sheetViews>
  <sheetFormatPr baseColWidth="10" defaultRowHeight="15.6" x14ac:dyDescent="0.3"/>
  <cols>
    <col min="2" max="2" width="14.8984375" bestFit="1" customWidth="1"/>
    <col min="3" max="3" width="11.09765625" bestFit="1" customWidth="1"/>
    <col min="4" max="5" width="7.59765625" bestFit="1" customWidth="1"/>
    <col min="6" max="6" width="11.09765625" bestFit="1" customWidth="1"/>
    <col min="8" max="9" width="10.796875" bestFit="1" customWidth="1"/>
  </cols>
  <sheetData>
    <row r="2" spans="2:10" ht="21" customHeight="1" x14ac:dyDescent="0.3">
      <c r="B2" s="271" t="s">
        <v>160</v>
      </c>
      <c r="C2" s="271"/>
      <c r="D2" s="271"/>
      <c r="E2" s="271"/>
      <c r="F2" s="271"/>
      <c r="G2" s="271"/>
      <c r="H2" s="271"/>
      <c r="I2" s="271"/>
      <c r="J2" s="271"/>
    </row>
    <row r="3" spans="2:10" x14ac:dyDescent="0.3">
      <c r="B3" s="271"/>
      <c r="C3" s="271"/>
      <c r="D3" s="271"/>
      <c r="E3" s="271"/>
      <c r="F3" s="271"/>
      <c r="G3" s="271"/>
      <c r="H3" s="271"/>
      <c r="I3" s="271"/>
      <c r="J3" s="271"/>
    </row>
    <row r="4" spans="2:10" x14ac:dyDescent="0.3">
      <c r="B4" s="271"/>
      <c r="C4" s="271"/>
      <c r="D4" s="271"/>
      <c r="E4" s="271"/>
      <c r="F4" s="271"/>
      <c r="G4" s="271"/>
      <c r="H4" s="271"/>
      <c r="I4" s="271"/>
      <c r="J4" s="271"/>
    </row>
    <row r="5" spans="2:10" x14ac:dyDescent="0.3">
      <c r="B5" s="271"/>
      <c r="C5" s="271"/>
      <c r="D5" s="271"/>
      <c r="E5" s="271"/>
      <c r="F5" s="271"/>
      <c r="G5" s="271"/>
      <c r="H5" s="271"/>
      <c r="I5" s="271"/>
      <c r="J5" s="271"/>
    </row>
    <row r="6" spans="2:10" x14ac:dyDescent="0.3">
      <c r="B6" s="271"/>
      <c r="C6" s="271"/>
      <c r="D6" s="271"/>
      <c r="E6" s="271"/>
      <c r="F6" s="271"/>
      <c r="G6" s="271"/>
      <c r="H6" s="271"/>
      <c r="I6" s="271"/>
      <c r="J6" s="271"/>
    </row>
    <row r="7" spans="2:10" x14ac:dyDescent="0.3">
      <c r="B7" s="271"/>
      <c r="C7" s="271"/>
      <c r="D7" s="271"/>
      <c r="E7" s="271"/>
      <c r="F7" s="271"/>
      <c r="G7" s="271"/>
      <c r="H7" s="271"/>
      <c r="I7" s="271"/>
      <c r="J7" s="271"/>
    </row>
    <row r="10" spans="2:10" x14ac:dyDescent="0.3">
      <c r="B10" t="s">
        <v>126</v>
      </c>
      <c r="C10">
        <v>0</v>
      </c>
      <c r="D10">
        <v>1</v>
      </c>
      <c r="E10">
        <v>2</v>
      </c>
      <c r="F10">
        <v>3</v>
      </c>
      <c r="H10" s="49" t="s">
        <v>161</v>
      </c>
      <c r="I10" s="49" t="s">
        <v>162</v>
      </c>
    </row>
    <row r="11" spans="2:10" x14ac:dyDescent="0.3">
      <c r="B11" t="s">
        <v>25</v>
      </c>
      <c r="D11" s="69">
        <v>0.05</v>
      </c>
      <c r="E11" s="69">
        <v>6.5000000000000002E-2</v>
      </c>
      <c r="F11" s="69">
        <v>4.4999999999999998E-2</v>
      </c>
      <c r="H11" s="249">
        <f>(F12^(1/3))-1</f>
        <v>5.3299146885809723E-2</v>
      </c>
      <c r="I11" s="249">
        <f>(D11+E11+F11)/3</f>
        <v>5.3333333333333337E-2</v>
      </c>
    </row>
    <row r="12" spans="2:10" x14ac:dyDescent="0.3">
      <c r="B12" s="159" t="s">
        <v>163</v>
      </c>
      <c r="C12" s="160">
        <v>1</v>
      </c>
      <c r="D12" s="160">
        <f>C12*(1+D11)</f>
        <v>1.05</v>
      </c>
      <c r="E12" s="160">
        <f>D12*(1+E11)</f>
        <v>1.11825</v>
      </c>
      <c r="F12" s="161">
        <f>E12*(1+F11)</f>
        <v>1.1685712499999998</v>
      </c>
    </row>
    <row r="14" spans="2:10" x14ac:dyDescent="0.3">
      <c r="C14" s="10">
        <v>15000</v>
      </c>
      <c r="D14" s="18"/>
      <c r="F14" s="10">
        <f>C14*F12</f>
        <v>17528.568749999999</v>
      </c>
    </row>
    <row r="16" spans="2:10" x14ac:dyDescent="0.3">
      <c r="C16" s="70">
        <v>1</v>
      </c>
      <c r="D16" s="70">
        <f>C16*(1+H11)</f>
        <v>1.0532991468858097</v>
      </c>
      <c r="E16" s="70">
        <f>D16*(1+H11)</f>
        <v>1.1094390928303746</v>
      </c>
      <c r="F16" s="70">
        <f>E16*(1+H11)</f>
        <v>1.1685712500000003</v>
      </c>
    </row>
    <row r="18" spans="6:6" x14ac:dyDescent="0.3">
      <c r="F18" s="248">
        <f>F12-F16</f>
        <v>0</v>
      </c>
    </row>
  </sheetData>
  <mergeCells count="1">
    <mergeCell ref="B2:J7"/>
  </mergeCells>
  <phoneticPr fontId="1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2:J12"/>
  <sheetViews>
    <sheetView zoomScale="110" zoomScaleNormal="110" workbookViewId="0"/>
  </sheetViews>
  <sheetFormatPr baseColWidth="10" defaultRowHeight="15.6" x14ac:dyDescent="0.3"/>
  <cols>
    <col min="3" max="3" width="15" bestFit="1" customWidth="1"/>
    <col min="4" max="7" width="7.59765625" bestFit="1" customWidth="1"/>
  </cols>
  <sheetData>
    <row r="2" spans="2:10" ht="21" customHeight="1" x14ac:dyDescent="0.3">
      <c r="B2" s="271" t="s">
        <v>113</v>
      </c>
      <c r="C2" s="271"/>
      <c r="D2" s="271"/>
      <c r="E2" s="271"/>
      <c r="F2" s="271"/>
      <c r="G2" s="271"/>
      <c r="H2" s="271"/>
      <c r="I2" s="271"/>
      <c r="J2" s="271"/>
    </row>
    <row r="3" spans="2:10" x14ac:dyDescent="0.3">
      <c r="B3" s="271"/>
      <c r="C3" s="271"/>
      <c r="D3" s="271"/>
      <c r="E3" s="271"/>
      <c r="F3" s="271"/>
      <c r="G3" s="271"/>
      <c r="H3" s="271"/>
      <c r="I3" s="271"/>
      <c r="J3" s="271"/>
    </row>
    <row r="4" spans="2:10" x14ac:dyDescent="0.3">
      <c r="B4" s="271"/>
      <c r="C4" s="271"/>
      <c r="D4" s="271"/>
      <c r="E4" s="271"/>
      <c r="F4" s="271"/>
      <c r="G4" s="271"/>
      <c r="H4" s="271"/>
      <c r="I4" s="271"/>
      <c r="J4" s="271"/>
    </row>
    <row r="5" spans="2:10" x14ac:dyDescent="0.3">
      <c r="B5" s="271"/>
      <c r="C5" s="271"/>
      <c r="D5" s="271"/>
      <c r="E5" s="271"/>
      <c r="F5" s="271"/>
      <c r="G5" s="271"/>
      <c r="H5" s="271"/>
      <c r="I5" s="271"/>
      <c r="J5" s="271"/>
    </row>
    <row r="6" spans="2:10" x14ac:dyDescent="0.3">
      <c r="B6" s="271"/>
      <c r="C6" s="271"/>
      <c r="D6" s="271"/>
      <c r="E6" s="271"/>
      <c r="F6" s="271"/>
      <c r="G6" s="271"/>
      <c r="H6" s="271"/>
      <c r="I6" s="271"/>
      <c r="J6" s="271"/>
    </row>
    <row r="7" spans="2:10" x14ac:dyDescent="0.3">
      <c r="B7" s="271"/>
      <c r="C7" s="271"/>
      <c r="D7" s="271"/>
      <c r="E7" s="271"/>
      <c r="F7" s="271"/>
      <c r="G7" s="271"/>
      <c r="H7" s="271"/>
      <c r="I7" s="271"/>
      <c r="J7" s="271"/>
    </row>
    <row r="9" spans="2:10" x14ac:dyDescent="0.3">
      <c r="C9" s="22" t="s">
        <v>41</v>
      </c>
      <c r="D9" s="22">
        <v>0</v>
      </c>
      <c r="E9" s="22">
        <v>1</v>
      </c>
      <c r="F9" s="22">
        <v>2</v>
      </c>
      <c r="G9" s="22">
        <v>3</v>
      </c>
      <c r="H9" s="22"/>
    </row>
    <row r="10" spans="2:10" x14ac:dyDescent="0.3">
      <c r="C10" s="7" t="s">
        <v>46</v>
      </c>
      <c r="D10" s="7"/>
      <c r="E10" s="69">
        <v>0.05</v>
      </c>
      <c r="F10" s="69">
        <v>6.5000000000000002E-2</v>
      </c>
      <c r="G10" s="69">
        <v>4.4999999999999998E-2</v>
      </c>
    </row>
    <row r="11" spans="2:10" x14ac:dyDescent="0.3">
      <c r="C11" s="7" t="s">
        <v>127</v>
      </c>
      <c r="D11" s="70">
        <v>1</v>
      </c>
      <c r="E11" s="70">
        <f>+(D11+E10)</f>
        <v>1.05</v>
      </c>
      <c r="F11" s="70">
        <f>+E11*(1+F10)</f>
        <v>1.11825</v>
      </c>
      <c r="G11" s="70">
        <f>+F11*(1+G10)</f>
        <v>1.1685712499999998</v>
      </c>
    </row>
    <row r="12" spans="2:10" x14ac:dyDescent="0.3">
      <c r="C12" s="36" t="s">
        <v>49</v>
      </c>
      <c r="D12" s="35">
        <v>2.8</v>
      </c>
      <c r="E12" s="35">
        <f>+D12*E11</f>
        <v>2.94</v>
      </c>
      <c r="F12" s="35">
        <f>+D12*F11</f>
        <v>3.1310999999999996</v>
      </c>
      <c r="G12" s="35">
        <f>+D12*G11</f>
        <v>3.2719994999999993</v>
      </c>
    </row>
  </sheetData>
  <mergeCells count="1">
    <mergeCell ref="B2:J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B2:J21"/>
  <sheetViews>
    <sheetView zoomScale="110" zoomScaleNormal="110" workbookViewId="0"/>
  </sheetViews>
  <sheetFormatPr baseColWidth="10" defaultRowHeight="15.6" x14ac:dyDescent="0.3"/>
  <cols>
    <col min="2" max="2" width="3.19921875" bestFit="1" customWidth="1"/>
    <col min="3" max="3" width="18.3984375" bestFit="1" customWidth="1"/>
    <col min="4" max="4" width="13.09765625" bestFit="1" customWidth="1"/>
    <col min="5" max="5" width="5.5" bestFit="1" customWidth="1"/>
    <col min="6" max="6" width="10.8984375" bestFit="1" customWidth="1"/>
  </cols>
  <sheetData>
    <row r="2" spans="2:10" ht="21" customHeight="1" x14ac:dyDescent="0.3">
      <c r="B2" s="271" t="s">
        <v>32</v>
      </c>
      <c r="C2" s="271"/>
      <c r="D2" s="271"/>
      <c r="E2" s="271"/>
      <c r="F2" s="271"/>
      <c r="G2" s="271"/>
      <c r="H2" s="271"/>
      <c r="I2" s="271"/>
      <c r="J2" s="271"/>
    </row>
    <row r="3" spans="2:10" ht="15.6" customHeight="1" x14ac:dyDescent="0.3">
      <c r="B3" s="271"/>
      <c r="C3" s="271"/>
      <c r="D3" s="271"/>
      <c r="E3" s="271"/>
      <c r="F3" s="271"/>
      <c r="G3" s="271"/>
      <c r="H3" s="271"/>
      <c r="I3" s="271"/>
      <c r="J3" s="271"/>
    </row>
    <row r="4" spans="2:10" ht="15.6" customHeight="1" x14ac:dyDescent="0.3">
      <c r="B4" s="271"/>
      <c r="C4" s="271"/>
      <c r="D4" s="271"/>
      <c r="E4" s="271"/>
      <c r="F4" s="271"/>
      <c r="G4" s="271"/>
      <c r="H4" s="271"/>
      <c r="I4" s="271"/>
      <c r="J4" s="271"/>
    </row>
    <row r="5" spans="2:10" ht="15.6" customHeight="1" x14ac:dyDescent="0.3">
      <c r="B5" s="271"/>
      <c r="C5" s="271"/>
      <c r="D5" s="271"/>
      <c r="E5" s="271"/>
      <c r="F5" s="271"/>
      <c r="G5" s="271"/>
      <c r="H5" s="271"/>
      <c r="I5" s="271"/>
      <c r="J5" s="271"/>
    </row>
    <row r="6" spans="2:10" ht="15.6" customHeight="1" x14ac:dyDescent="0.3">
      <c r="B6" s="271"/>
      <c r="C6" s="271"/>
      <c r="D6" s="271"/>
      <c r="E6" s="271"/>
      <c r="F6" s="271"/>
      <c r="G6" s="271"/>
      <c r="H6" s="271"/>
      <c r="I6" s="271"/>
      <c r="J6" s="271"/>
    </row>
    <row r="7" spans="2:10" ht="15.6" customHeight="1" x14ac:dyDescent="0.3">
      <c r="B7" s="271"/>
      <c r="C7" s="271"/>
      <c r="D7" s="271"/>
      <c r="E7" s="271"/>
      <c r="F7" s="271"/>
      <c r="G7" s="271"/>
      <c r="H7" s="271"/>
      <c r="I7" s="271"/>
      <c r="J7" s="271"/>
    </row>
    <row r="11" spans="2:10" x14ac:dyDescent="0.3">
      <c r="B11" t="s">
        <v>9</v>
      </c>
      <c r="C11" t="s">
        <v>143</v>
      </c>
      <c r="D11" s="10">
        <v>3500</v>
      </c>
    </row>
    <row r="12" spans="2:10" x14ac:dyDescent="0.3">
      <c r="B12" t="s">
        <v>8</v>
      </c>
      <c r="C12" t="s">
        <v>43</v>
      </c>
      <c r="D12" s="10">
        <v>4375</v>
      </c>
    </row>
    <row r="13" spans="2:10" x14ac:dyDescent="0.3">
      <c r="B13" s="20" t="s">
        <v>44</v>
      </c>
      <c r="D13" s="92">
        <f>((D12/D11)^(1/C14))-1</f>
        <v>0.25</v>
      </c>
      <c r="F13">
        <f>(D12/D11)-1</f>
        <v>0.25</v>
      </c>
    </row>
    <row r="14" spans="2:10" x14ac:dyDescent="0.3">
      <c r="B14" t="s">
        <v>45</v>
      </c>
      <c r="C14">
        <v>1</v>
      </c>
      <c r="D14" t="s">
        <v>41</v>
      </c>
    </row>
    <row r="16" spans="2:10" x14ac:dyDescent="0.3">
      <c r="D16">
        <f>(D12/D11)-1</f>
        <v>0.25</v>
      </c>
    </row>
    <row r="18" spans="2:4" x14ac:dyDescent="0.3">
      <c r="B18" t="s">
        <v>9</v>
      </c>
      <c r="C18" t="s">
        <v>143</v>
      </c>
      <c r="D18" s="10">
        <v>3500</v>
      </c>
    </row>
    <row r="19" spans="2:4" x14ac:dyDescent="0.3">
      <c r="B19" t="s">
        <v>8</v>
      </c>
      <c r="C19" t="s">
        <v>43</v>
      </c>
      <c r="D19" s="10">
        <v>4375</v>
      </c>
    </row>
    <row r="20" spans="2:4" x14ac:dyDescent="0.3">
      <c r="B20" s="20" t="s">
        <v>44</v>
      </c>
      <c r="D20" s="92">
        <f>((D19/D18)^(1/C21))-1</f>
        <v>4.5639552591273169E-2</v>
      </c>
    </row>
    <row r="21" spans="2:4" x14ac:dyDescent="0.3">
      <c r="B21" t="s">
        <v>45</v>
      </c>
      <c r="C21">
        <v>5</v>
      </c>
      <c r="D21" t="s">
        <v>41</v>
      </c>
    </row>
  </sheetData>
  <mergeCells count="1">
    <mergeCell ref="B2:J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B2:J16"/>
  <sheetViews>
    <sheetView zoomScale="140" zoomScaleNormal="140" workbookViewId="0"/>
  </sheetViews>
  <sheetFormatPr baseColWidth="10" defaultRowHeight="15.6" x14ac:dyDescent="0.3"/>
  <cols>
    <col min="2" max="2" width="14.5" bestFit="1" customWidth="1"/>
    <col min="3" max="3" width="17.3984375" bestFit="1" customWidth="1"/>
    <col min="4" max="4" width="10.09765625" bestFit="1" customWidth="1"/>
    <col min="5" max="5" width="5.09765625" bestFit="1" customWidth="1"/>
  </cols>
  <sheetData>
    <row r="2" spans="2:10" ht="21" customHeight="1" x14ac:dyDescent="0.3">
      <c r="B2" s="271" t="s">
        <v>145</v>
      </c>
      <c r="C2" s="271"/>
      <c r="D2" s="271"/>
      <c r="E2" s="271"/>
      <c r="F2" s="271"/>
      <c r="G2" s="271"/>
      <c r="H2" s="271"/>
      <c r="I2" s="271"/>
      <c r="J2" s="271"/>
    </row>
    <row r="3" spans="2:10" x14ac:dyDescent="0.3">
      <c r="B3" s="271"/>
      <c r="C3" s="271"/>
      <c r="D3" s="271"/>
      <c r="E3" s="271"/>
      <c r="F3" s="271"/>
      <c r="G3" s="271"/>
      <c r="H3" s="271"/>
      <c r="I3" s="271"/>
      <c r="J3" s="271"/>
    </row>
    <row r="4" spans="2:10" x14ac:dyDescent="0.3">
      <c r="B4" s="271"/>
      <c r="C4" s="271"/>
      <c r="D4" s="271"/>
      <c r="E4" s="271"/>
      <c r="F4" s="271"/>
      <c r="G4" s="271"/>
      <c r="H4" s="271"/>
      <c r="I4" s="271"/>
      <c r="J4" s="271"/>
    </row>
    <row r="5" spans="2:10" x14ac:dyDescent="0.3">
      <c r="B5" s="271"/>
      <c r="C5" s="271"/>
      <c r="D5" s="271"/>
      <c r="E5" s="271"/>
      <c r="F5" s="271"/>
      <c r="G5" s="271"/>
      <c r="H5" s="271"/>
      <c r="I5" s="271"/>
      <c r="J5" s="271"/>
    </row>
    <row r="6" spans="2:10" x14ac:dyDescent="0.3">
      <c r="B6" s="271"/>
      <c r="C6" s="271"/>
      <c r="D6" s="271"/>
      <c r="E6" s="271"/>
      <c r="F6" s="271"/>
      <c r="G6" s="271"/>
      <c r="H6" s="271"/>
      <c r="I6" s="271"/>
      <c r="J6" s="271"/>
    </row>
    <row r="7" spans="2:10" x14ac:dyDescent="0.3">
      <c r="B7" s="271"/>
      <c r="C7" s="271"/>
      <c r="D7" s="271"/>
      <c r="E7" s="271"/>
      <c r="F7" s="271"/>
      <c r="G7" s="271"/>
      <c r="H7" s="271"/>
      <c r="I7" s="271"/>
      <c r="J7" s="271"/>
    </row>
    <row r="11" spans="2:10" x14ac:dyDescent="0.3">
      <c r="B11" t="s">
        <v>9</v>
      </c>
      <c r="C11" t="s">
        <v>42</v>
      </c>
      <c r="D11" s="51">
        <v>3500</v>
      </c>
    </row>
    <row r="12" spans="2:10" x14ac:dyDescent="0.3">
      <c r="B12" t="s">
        <v>8</v>
      </c>
      <c r="C12" t="s">
        <v>43</v>
      </c>
      <c r="D12" s="51">
        <v>4375</v>
      </c>
    </row>
    <row r="13" spans="2:10" x14ac:dyDescent="0.3">
      <c r="B13" t="s">
        <v>144</v>
      </c>
      <c r="D13" s="75">
        <f>((D12/D11)^(1/C14))-1</f>
        <v>0.25</v>
      </c>
    </row>
    <row r="14" spans="2:10" x14ac:dyDescent="0.3">
      <c r="B14" t="s">
        <v>45</v>
      </c>
      <c r="C14">
        <v>1</v>
      </c>
      <c r="D14" t="s">
        <v>41</v>
      </c>
    </row>
    <row r="15" spans="2:10" x14ac:dyDescent="0.3">
      <c r="B15" t="s">
        <v>25</v>
      </c>
      <c r="C15" s="75">
        <v>0.15</v>
      </c>
    </row>
    <row r="16" spans="2:10" x14ac:dyDescent="0.3">
      <c r="B16" s="21" t="s">
        <v>26</v>
      </c>
      <c r="C16" s="162">
        <f>+((1+D13)/(1+C15))-1</f>
        <v>8.6956521739130599E-2</v>
      </c>
    </row>
  </sheetData>
  <mergeCells count="1">
    <mergeCell ref="B2:J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B2:J14"/>
  <sheetViews>
    <sheetView zoomScale="150" zoomScaleNormal="150" workbookViewId="0"/>
  </sheetViews>
  <sheetFormatPr baseColWidth="10" defaultRowHeight="15.6" x14ac:dyDescent="0.3"/>
  <cols>
    <col min="3" max="3" width="19.5" customWidth="1"/>
  </cols>
  <sheetData>
    <row r="2" spans="2:10" ht="21" customHeight="1" x14ac:dyDescent="0.3">
      <c r="B2" s="272" t="s">
        <v>33</v>
      </c>
      <c r="C2" s="272"/>
      <c r="D2" s="272"/>
      <c r="E2" s="272"/>
      <c r="F2" s="272"/>
      <c r="G2" s="272"/>
      <c r="H2" s="272"/>
      <c r="I2" s="272"/>
      <c r="J2" s="272"/>
    </row>
    <row r="3" spans="2:10" x14ac:dyDescent="0.3">
      <c r="B3" s="272"/>
      <c r="C3" s="272"/>
      <c r="D3" s="272"/>
      <c r="E3" s="272"/>
      <c r="F3" s="272"/>
      <c r="G3" s="272"/>
      <c r="H3" s="272"/>
      <c r="I3" s="272"/>
      <c r="J3" s="272"/>
    </row>
    <row r="4" spans="2:10" x14ac:dyDescent="0.3">
      <c r="B4" s="272"/>
      <c r="C4" s="272"/>
      <c r="D4" s="272"/>
      <c r="E4" s="272"/>
      <c r="F4" s="272"/>
      <c r="G4" s="272"/>
      <c r="H4" s="272"/>
      <c r="I4" s="272"/>
      <c r="J4" s="272"/>
    </row>
    <row r="5" spans="2:10" x14ac:dyDescent="0.3">
      <c r="B5" s="272"/>
      <c r="C5" s="272"/>
      <c r="D5" s="272"/>
      <c r="E5" s="272"/>
      <c r="F5" s="272"/>
      <c r="G5" s="272"/>
      <c r="H5" s="272"/>
      <c r="I5" s="272"/>
      <c r="J5" s="272"/>
    </row>
    <row r="6" spans="2:10" x14ac:dyDescent="0.3">
      <c r="B6" s="272"/>
      <c r="C6" s="272"/>
      <c r="D6" s="272"/>
      <c r="E6" s="272"/>
      <c r="F6" s="272"/>
      <c r="G6" s="272"/>
      <c r="H6" s="272"/>
      <c r="I6" s="272"/>
      <c r="J6" s="272"/>
    </row>
    <row r="7" spans="2:10" x14ac:dyDescent="0.3">
      <c r="B7" s="272"/>
      <c r="C7" s="272"/>
      <c r="D7" s="272"/>
      <c r="E7" s="272"/>
      <c r="F7" s="272"/>
      <c r="G7" s="272"/>
      <c r="H7" s="272"/>
      <c r="I7" s="272"/>
      <c r="J7" s="272"/>
    </row>
    <row r="10" spans="2:10" x14ac:dyDescent="0.3">
      <c r="C10" t="s">
        <v>8</v>
      </c>
      <c r="D10" s="10">
        <v>5500</v>
      </c>
    </row>
    <row r="11" spans="2:10" x14ac:dyDescent="0.3">
      <c r="C11" t="s">
        <v>46</v>
      </c>
      <c r="D11" s="1">
        <v>0.15</v>
      </c>
    </row>
    <row r="12" spans="2:10" x14ac:dyDescent="0.3">
      <c r="C12" t="s">
        <v>37</v>
      </c>
      <c r="D12">
        <f>1/(1+D11)</f>
        <v>0.86956521739130443</v>
      </c>
    </row>
    <row r="13" spans="2:10" x14ac:dyDescent="0.3">
      <c r="C13" s="23" t="s">
        <v>47</v>
      </c>
      <c r="D13" s="24">
        <f>+D10*D12</f>
        <v>4782.608695652174</v>
      </c>
    </row>
    <row r="14" spans="2:10" x14ac:dyDescent="0.3">
      <c r="C14" s="23" t="s">
        <v>47</v>
      </c>
      <c r="D14" s="24">
        <f>D10/(1+D11)</f>
        <v>4782.608695652174</v>
      </c>
    </row>
  </sheetData>
  <mergeCells count="1">
    <mergeCell ref="B2:J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B2:M41"/>
  <sheetViews>
    <sheetView zoomScale="110" zoomScaleNormal="110" workbookViewId="0"/>
  </sheetViews>
  <sheetFormatPr baseColWidth="10" defaultRowHeight="15.6" x14ac:dyDescent="0.3"/>
  <cols>
    <col min="2" max="2" width="15.3984375" bestFit="1" customWidth="1"/>
    <col min="3" max="3" width="16.3984375" bestFit="1" customWidth="1"/>
    <col min="4" max="4" width="11.19921875" bestFit="1" customWidth="1"/>
    <col min="5" max="5" width="11.09765625" bestFit="1" customWidth="1"/>
    <col min="6" max="6" width="12.09765625" bestFit="1" customWidth="1"/>
    <col min="7" max="7" width="11.19921875" bestFit="1" customWidth="1"/>
  </cols>
  <sheetData>
    <row r="2" spans="3:13" ht="15.6" customHeight="1" x14ac:dyDescent="0.3">
      <c r="C2" s="271" t="s">
        <v>104</v>
      </c>
      <c r="D2" s="271"/>
      <c r="E2" s="271"/>
      <c r="F2" s="271"/>
      <c r="G2" s="271"/>
      <c r="H2" s="271"/>
      <c r="I2" s="271"/>
      <c r="J2" s="271"/>
      <c r="K2" s="271"/>
      <c r="L2" s="271"/>
      <c r="M2" s="271"/>
    </row>
    <row r="3" spans="3:13" ht="15.6" customHeight="1" x14ac:dyDescent="0.3"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</row>
    <row r="4" spans="3:13" ht="15.6" customHeight="1" x14ac:dyDescent="0.3"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3:13" ht="15.6" customHeight="1" x14ac:dyDescent="0.3"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</row>
    <row r="6" spans="3:13" ht="15.6" hidden="1" customHeight="1" x14ac:dyDescent="0.3"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</row>
    <row r="7" spans="3:13" ht="15.6" hidden="1" customHeight="1" x14ac:dyDescent="0.3">
      <c r="C7" s="271"/>
      <c r="D7" s="271"/>
      <c r="E7" s="271"/>
      <c r="F7" s="271"/>
      <c r="G7" s="271"/>
      <c r="H7" s="271"/>
      <c r="I7" s="271"/>
      <c r="J7" s="271"/>
      <c r="K7" s="271"/>
      <c r="L7" s="271"/>
      <c r="M7" s="271"/>
    </row>
    <row r="8" spans="3:13" hidden="1" x14ac:dyDescent="0.3"/>
    <row r="9" spans="3:13" hidden="1" x14ac:dyDescent="0.3">
      <c r="C9" s="7" t="s">
        <v>48</v>
      </c>
      <c r="D9" s="27">
        <v>2009</v>
      </c>
      <c r="E9" s="27">
        <v>2010</v>
      </c>
      <c r="F9" s="27">
        <v>2011</v>
      </c>
      <c r="G9" s="27">
        <v>2012</v>
      </c>
    </row>
    <row r="10" spans="3:13" hidden="1" x14ac:dyDescent="0.3">
      <c r="C10" s="7" t="s">
        <v>25</v>
      </c>
      <c r="D10" s="25"/>
      <c r="E10" s="25">
        <v>6.5000000000000002E-2</v>
      </c>
      <c r="F10" s="25">
        <v>3.5000000000000003E-2</v>
      </c>
      <c r="G10" s="25">
        <v>0.04</v>
      </c>
    </row>
    <row r="11" spans="3:13" hidden="1" x14ac:dyDescent="0.3">
      <c r="C11" s="7" t="s">
        <v>50</v>
      </c>
      <c r="D11" s="164">
        <v>11809.7</v>
      </c>
      <c r="G11" s="163">
        <v>25666.5</v>
      </c>
    </row>
    <row r="12" spans="3:13" hidden="1" x14ac:dyDescent="0.3">
      <c r="C12" s="7" t="s">
        <v>40</v>
      </c>
      <c r="E12" s="70">
        <f>+(1+E10)</f>
        <v>1.0649999999999999</v>
      </c>
      <c r="F12" s="70">
        <f>+E12*(1+F10)</f>
        <v>1.1022749999999999</v>
      </c>
      <c r="G12" s="70">
        <f>+F12*(1+G10)</f>
        <v>1.146366</v>
      </c>
    </row>
    <row r="13" spans="3:13" hidden="1" x14ac:dyDescent="0.3">
      <c r="E13" s="10">
        <f>D11*E12</f>
        <v>12577.3305</v>
      </c>
      <c r="F13" s="10">
        <f>D11*F12</f>
        <v>13017.537067499999</v>
      </c>
      <c r="G13" s="164">
        <f>$G$12*D11</f>
        <v>13538.238550200002</v>
      </c>
    </row>
    <row r="14" spans="3:13" hidden="1" x14ac:dyDescent="0.3">
      <c r="C14" s="7" t="s">
        <v>9</v>
      </c>
      <c r="D14" s="163">
        <f>G11/((1+E10)*(1+F10)*(1+G10))</f>
        <v>22389.446302489781</v>
      </c>
      <c r="E14" s="10"/>
      <c r="F14" s="10"/>
    </row>
    <row r="15" spans="3:13" hidden="1" x14ac:dyDescent="0.3"/>
    <row r="16" spans="3:13" hidden="1" x14ac:dyDescent="0.3">
      <c r="C16" t="s">
        <v>9</v>
      </c>
      <c r="D16" t="s">
        <v>143</v>
      </c>
      <c r="E16" s="10">
        <f>D11</f>
        <v>11809.7</v>
      </c>
    </row>
    <row r="17" spans="3:10" hidden="1" x14ac:dyDescent="0.3">
      <c r="C17" t="s">
        <v>8</v>
      </c>
      <c r="D17" t="s">
        <v>43</v>
      </c>
      <c r="E17" s="10">
        <f>G11</f>
        <v>25666.5</v>
      </c>
    </row>
    <row r="18" spans="3:10" hidden="1" x14ac:dyDescent="0.3">
      <c r="C18" s="20" t="s">
        <v>131</v>
      </c>
      <c r="E18" s="92">
        <f>((E17/E16)^(1/D19))-1</f>
        <v>0.29531659130632826</v>
      </c>
    </row>
    <row r="19" spans="3:10" hidden="1" x14ac:dyDescent="0.3">
      <c r="C19" t="s">
        <v>45</v>
      </c>
      <c r="D19">
        <v>3</v>
      </c>
      <c r="E19" t="s">
        <v>41</v>
      </c>
    </row>
    <row r="20" spans="3:10" hidden="1" x14ac:dyDescent="0.3"/>
    <row r="21" spans="3:10" hidden="1" x14ac:dyDescent="0.3">
      <c r="C21" s="20" t="s">
        <v>132</v>
      </c>
      <c r="E21" s="92">
        <f>(G12^(1/3))-1</f>
        <v>4.6584822374098778E-2</v>
      </c>
    </row>
    <row r="22" spans="3:10" hidden="1" x14ac:dyDescent="0.3"/>
    <row r="23" spans="3:10" hidden="1" x14ac:dyDescent="0.3">
      <c r="C23" s="20" t="s">
        <v>133</v>
      </c>
      <c r="E23" s="92">
        <f>((1+E18)/(1+E21))-1</f>
        <v>0.23766040134998345</v>
      </c>
    </row>
    <row r="24" spans="3:10" hidden="1" x14ac:dyDescent="0.3"/>
    <row r="25" spans="3:10" hidden="1" x14ac:dyDescent="0.3">
      <c r="C25" s="22" t="s">
        <v>41</v>
      </c>
      <c r="D25" s="22">
        <v>0</v>
      </c>
      <c r="E25" s="22">
        <v>1</v>
      </c>
      <c r="F25" s="22">
        <v>2</v>
      </c>
      <c r="G25" s="22">
        <v>3</v>
      </c>
    </row>
    <row r="26" spans="3:10" hidden="1" x14ac:dyDescent="0.3">
      <c r="C26" s="7" t="s">
        <v>46</v>
      </c>
      <c r="D26" s="7"/>
      <c r="E26" s="25">
        <f>$E$21</f>
        <v>4.6584822374098778E-2</v>
      </c>
      <c r="F26" s="25">
        <f t="shared" ref="F26:G26" si="0">$E$21</f>
        <v>4.6584822374098778E-2</v>
      </c>
      <c r="G26" s="25">
        <f t="shared" si="0"/>
        <v>4.6584822374098778E-2</v>
      </c>
    </row>
    <row r="27" spans="3:10" hidden="1" x14ac:dyDescent="0.3">
      <c r="C27" s="7" t="s">
        <v>127</v>
      </c>
      <c r="D27" s="70">
        <v>1</v>
      </c>
      <c r="E27" s="70">
        <f>+(D27+E26)</f>
        <v>1.0465848223740988</v>
      </c>
      <c r="F27" s="70">
        <f>+E27*(1+F26)</f>
        <v>1.0953397904238238</v>
      </c>
      <c r="G27" s="70">
        <f>+F27*(1+G26)</f>
        <v>1.1463660000000002</v>
      </c>
    </row>
    <row r="32" spans="3:10" x14ac:dyDescent="0.3">
      <c r="C32">
        <v>2009</v>
      </c>
      <c r="D32">
        <v>2010</v>
      </c>
      <c r="E32">
        <v>2011</v>
      </c>
      <c r="F32">
        <v>2012</v>
      </c>
      <c r="I32" t="s">
        <v>8</v>
      </c>
      <c r="J32" s="10">
        <v>25666.5</v>
      </c>
    </row>
    <row r="33" spans="2:12" x14ac:dyDescent="0.3">
      <c r="B33" t="s">
        <v>165</v>
      </c>
      <c r="C33" s="10">
        <f>F33*F36</f>
        <v>22389.446302489781</v>
      </c>
      <c r="F33" s="10">
        <v>25666.5</v>
      </c>
      <c r="I33" t="s">
        <v>9</v>
      </c>
      <c r="J33" s="10">
        <v>11809.7</v>
      </c>
    </row>
    <row r="34" spans="2:12" x14ac:dyDescent="0.3">
      <c r="D34" s="247">
        <v>6.5000000000000002E-2</v>
      </c>
      <c r="E34" s="247">
        <v>3.5000000000000003E-2</v>
      </c>
      <c r="F34" s="75">
        <v>0.04</v>
      </c>
      <c r="I34" t="s">
        <v>117</v>
      </c>
      <c r="J34">
        <v>3</v>
      </c>
      <c r="L34" t="s">
        <v>8</v>
      </c>
    </row>
    <row r="35" spans="2:12" x14ac:dyDescent="0.3">
      <c r="B35" t="s">
        <v>127</v>
      </c>
      <c r="D35" s="70">
        <f>(1+D34)</f>
        <v>1.0649999999999999</v>
      </c>
      <c r="E35" s="70">
        <f>D35*(1+E34)</f>
        <v>1.1022749999999999</v>
      </c>
      <c r="F35" s="70">
        <f>E35*(1+F34)</f>
        <v>1.146366</v>
      </c>
      <c r="I35" t="s">
        <v>7</v>
      </c>
      <c r="J35" s="75">
        <f>((J32/J33)^(1/J34))-1</f>
        <v>0.29531659130632826</v>
      </c>
      <c r="K35" t="s">
        <v>121</v>
      </c>
      <c r="L35" s="10">
        <f>J33*(1+J35)^J34</f>
        <v>25666.5</v>
      </c>
    </row>
    <row r="36" spans="2:12" x14ac:dyDescent="0.3">
      <c r="B36" t="s">
        <v>164</v>
      </c>
      <c r="D36" s="234">
        <f>1/D35</f>
        <v>0.93896713615023475</v>
      </c>
      <c r="E36" s="234">
        <f t="shared" ref="E36:F36" si="1">1/E35</f>
        <v>0.90721462429974375</v>
      </c>
      <c r="F36" s="234">
        <f t="shared" si="1"/>
        <v>0.87232175413436897</v>
      </c>
      <c r="J36" s="75">
        <f>(F35^(1/J34))-1</f>
        <v>4.6584822374098778E-2</v>
      </c>
      <c r="K36" t="s">
        <v>46</v>
      </c>
      <c r="L36" s="10">
        <f>J33*(1+J36)^J34</f>
        <v>13538.238550200003</v>
      </c>
    </row>
    <row r="37" spans="2:12" x14ac:dyDescent="0.3">
      <c r="J37" s="75">
        <f>+((1+J35)/(1+J36))-1</f>
        <v>0.23766040134998345</v>
      </c>
      <c r="K37" t="s">
        <v>166</v>
      </c>
      <c r="L37" s="10">
        <f>J33*(1+J37)^J34</f>
        <v>22389.44630248977</v>
      </c>
    </row>
    <row r="39" spans="2:12" x14ac:dyDescent="0.3">
      <c r="B39" t="s">
        <v>165</v>
      </c>
      <c r="C39" s="10">
        <v>11809.7</v>
      </c>
      <c r="D39" s="10">
        <f>C39*D35</f>
        <v>12577.3305</v>
      </c>
      <c r="E39" s="10">
        <f>C39*E35</f>
        <v>13017.537067499999</v>
      </c>
      <c r="F39" s="10">
        <f>C39*F35</f>
        <v>13538.238550200002</v>
      </c>
    </row>
    <row r="41" spans="2:12" x14ac:dyDescent="0.3">
      <c r="D41" s="10">
        <f>C39*(1+D34)</f>
        <v>12577.3305</v>
      </c>
      <c r="E41" s="10">
        <f>D41*(1+E34)</f>
        <v>13017.537067499999</v>
      </c>
      <c r="F41" s="10">
        <f>E41*(1+F34)</f>
        <v>13538.2385502</v>
      </c>
    </row>
  </sheetData>
  <mergeCells count="1">
    <mergeCell ref="C2:M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B2:J17"/>
  <sheetViews>
    <sheetView zoomScaleNormal="100" workbookViewId="0"/>
  </sheetViews>
  <sheetFormatPr baseColWidth="10" defaultRowHeight="15.6" x14ac:dyDescent="0.3"/>
  <sheetData>
    <row r="2" spans="2:10" ht="21" customHeight="1" x14ac:dyDescent="0.3">
      <c r="B2" s="272" t="s">
        <v>34</v>
      </c>
      <c r="C2" s="272"/>
      <c r="D2" s="272"/>
      <c r="E2" s="272"/>
      <c r="F2" s="272"/>
      <c r="G2" s="272"/>
      <c r="H2" s="272"/>
      <c r="I2" s="272"/>
      <c r="J2" s="272"/>
    </row>
    <row r="3" spans="2:10" x14ac:dyDescent="0.3">
      <c r="B3" s="272"/>
      <c r="C3" s="272"/>
      <c r="D3" s="272"/>
      <c r="E3" s="272"/>
      <c r="F3" s="272"/>
      <c r="G3" s="272"/>
      <c r="H3" s="272"/>
      <c r="I3" s="272"/>
      <c r="J3" s="272"/>
    </row>
    <row r="4" spans="2:10" x14ac:dyDescent="0.3">
      <c r="B4" s="272"/>
      <c r="C4" s="272"/>
      <c r="D4" s="272"/>
      <c r="E4" s="272"/>
      <c r="F4" s="272"/>
      <c r="G4" s="272"/>
      <c r="H4" s="272"/>
      <c r="I4" s="272"/>
      <c r="J4" s="272"/>
    </row>
    <row r="5" spans="2:10" x14ac:dyDescent="0.3">
      <c r="B5" s="272"/>
      <c r="C5" s="272"/>
      <c r="D5" s="272"/>
      <c r="E5" s="272"/>
      <c r="F5" s="272"/>
      <c r="G5" s="272"/>
      <c r="H5" s="272"/>
      <c r="I5" s="272"/>
      <c r="J5" s="272"/>
    </row>
    <row r="6" spans="2:10" x14ac:dyDescent="0.3">
      <c r="B6" s="272"/>
      <c r="C6" s="272"/>
      <c r="D6" s="272"/>
      <c r="E6" s="272"/>
      <c r="F6" s="272"/>
      <c r="G6" s="272"/>
      <c r="H6" s="272"/>
      <c r="I6" s="272"/>
      <c r="J6" s="272"/>
    </row>
    <row r="7" spans="2:10" x14ac:dyDescent="0.3">
      <c r="B7" s="272"/>
      <c r="C7" s="272"/>
      <c r="D7" s="272"/>
      <c r="E7" s="272"/>
      <c r="F7" s="272"/>
      <c r="G7" s="272"/>
      <c r="H7" s="272"/>
      <c r="I7" s="272"/>
      <c r="J7" s="272"/>
    </row>
    <row r="9" spans="2:10" x14ac:dyDescent="0.3">
      <c r="C9" t="s">
        <v>51</v>
      </c>
      <c r="D9">
        <v>1000</v>
      </c>
    </row>
    <row r="10" spans="2:10" x14ac:dyDescent="0.3">
      <c r="C10" t="s">
        <v>45</v>
      </c>
      <c r="D10">
        <v>1</v>
      </c>
      <c r="E10" t="s">
        <v>41</v>
      </c>
    </row>
    <row r="11" spans="2:10" x14ac:dyDescent="0.3">
      <c r="C11" t="s">
        <v>44</v>
      </c>
      <c r="D11" s="1">
        <v>0.25</v>
      </c>
    </row>
    <row r="13" spans="2:10" hidden="1" x14ac:dyDescent="0.3">
      <c r="C13" t="s">
        <v>52</v>
      </c>
      <c r="D13">
        <f>+(1+D11)^-1</f>
        <v>0.8</v>
      </c>
    </row>
    <row r="14" spans="2:10" hidden="1" x14ac:dyDescent="0.3">
      <c r="C14" t="s">
        <v>53</v>
      </c>
      <c r="D14">
        <f>1-D13</f>
        <v>0.19999999999999996</v>
      </c>
    </row>
    <row r="15" spans="2:10" hidden="1" x14ac:dyDescent="0.3">
      <c r="C15" t="s">
        <v>54</v>
      </c>
      <c r="D15">
        <f>+D11/D14</f>
        <v>1.2500000000000002</v>
      </c>
    </row>
    <row r="16" spans="2:10" x14ac:dyDescent="0.3">
      <c r="C16" s="36" t="s">
        <v>1</v>
      </c>
      <c r="D16" s="35">
        <f>+D9*D15</f>
        <v>1250.0000000000002</v>
      </c>
    </row>
    <row r="17" spans="3:4" x14ac:dyDescent="0.3">
      <c r="C17" t="s">
        <v>81</v>
      </c>
      <c r="D17" s="26">
        <f>D16-D9</f>
        <v>250.00000000000023</v>
      </c>
    </row>
  </sheetData>
  <mergeCells count="1">
    <mergeCell ref="B2:J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L18"/>
  <sheetViews>
    <sheetView zoomScale="90" zoomScaleNormal="90" zoomScalePageLayoutView="150" workbookViewId="0">
      <selection activeCell="L17" sqref="L17"/>
    </sheetView>
  </sheetViews>
  <sheetFormatPr baseColWidth="10" defaultRowHeight="15.6" x14ac:dyDescent="0.3"/>
  <sheetData>
    <row r="2" spans="2:10" ht="21" customHeight="1" x14ac:dyDescent="0.3">
      <c r="B2" s="273" t="s">
        <v>105</v>
      </c>
      <c r="C2" s="273"/>
      <c r="D2" s="273"/>
      <c r="E2" s="273"/>
      <c r="F2" s="273"/>
      <c r="G2" s="273"/>
      <c r="H2" s="273"/>
      <c r="I2" s="273"/>
      <c r="J2" s="273"/>
    </row>
    <row r="3" spans="2:10" ht="15" customHeight="1" x14ac:dyDescent="0.3">
      <c r="B3" s="273"/>
      <c r="C3" s="273"/>
      <c r="D3" s="273"/>
      <c r="E3" s="273"/>
      <c r="F3" s="273"/>
      <c r="G3" s="273"/>
      <c r="H3" s="273"/>
      <c r="I3" s="273"/>
      <c r="J3" s="273"/>
    </row>
    <row r="4" spans="2:10" ht="15" customHeight="1" x14ac:dyDescent="0.3">
      <c r="B4" s="273"/>
      <c r="C4" s="273"/>
      <c r="D4" s="273"/>
      <c r="E4" s="273"/>
      <c r="F4" s="273"/>
      <c r="G4" s="273"/>
      <c r="H4" s="273"/>
      <c r="I4" s="273"/>
      <c r="J4" s="273"/>
    </row>
    <row r="5" spans="2:10" ht="15" customHeight="1" x14ac:dyDescent="0.3">
      <c r="B5" s="273"/>
      <c r="C5" s="273"/>
      <c r="D5" s="273"/>
      <c r="E5" s="273"/>
      <c r="F5" s="273"/>
      <c r="G5" s="273"/>
      <c r="H5" s="273"/>
      <c r="I5" s="273"/>
      <c r="J5" s="273"/>
    </row>
    <row r="6" spans="2:10" ht="15" customHeight="1" x14ac:dyDescent="0.3">
      <c r="B6" s="273"/>
      <c r="C6" s="273"/>
      <c r="D6" s="273"/>
      <c r="E6" s="273"/>
      <c r="F6" s="273"/>
      <c r="G6" s="273"/>
      <c r="H6" s="273"/>
      <c r="I6" s="273"/>
      <c r="J6" s="273"/>
    </row>
    <row r="7" spans="2:10" ht="15" customHeight="1" x14ac:dyDescent="0.3">
      <c r="B7" s="273"/>
      <c r="C7" s="273"/>
      <c r="D7" s="273"/>
      <c r="E7" s="273"/>
      <c r="F7" s="273"/>
      <c r="G7" s="273"/>
      <c r="H7" s="273"/>
      <c r="I7" s="273"/>
      <c r="J7" s="273"/>
    </row>
    <row r="8" spans="2:10" x14ac:dyDescent="0.3">
      <c r="B8" s="273"/>
      <c r="C8" s="273"/>
      <c r="D8" s="273"/>
      <c r="E8" s="273"/>
      <c r="F8" s="273"/>
      <c r="G8" s="273"/>
      <c r="H8" s="273"/>
      <c r="I8" s="273"/>
      <c r="J8" s="273"/>
    </row>
    <row r="9" spans="2:10" x14ac:dyDescent="0.3">
      <c r="B9" s="273"/>
      <c r="C9" s="273"/>
      <c r="D9" s="273"/>
      <c r="E9" s="273"/>
      <c r="F9" s="273"/>
      <c r="G9" s="273"/>
      <c r="H9" s="273"/>
      <c r="I9" s="273"/>
      <c r="J9" s="273"/>
    </row>
    <row r="12" spans="2:10" x14ac:dyDescent="0.3">
      <c r="C12" t="s">
        <v>62</v>
      </c>
      <c r="D12" s="10">
        <v>1250</v>
      </c>
      <c r="E12" t="s">
        <v>63</v>
      </c>
    </row>
    <row r="13" spans="2:10" x14ac:dyDescent="0.3">
      <c r="C13" t="s">
        <v>64</v>
      </c>
      <c r="D13" s="10">
        <v>1000</v>
      </c>
    </row>
    <row r="14" spans="2:10" x14ac:dyDescent="0.3">
      <c r="C14" t="s">
        <v>65</v>
      </c>
      <c r="D14" s="10">
        <v>250</v>
      </c>
    </row>
    <row r="15" spans="2:10" x14ac:dyDescent="0.3">
      <c r="B15" s="13" t="s">
        <v>94</v>
      </c>
      <c r="C15" t="s">
        <v>91</v>
      </c>
      <c r="D15" s="1">
        <v>0.25</v>
      </c>
      <c r="F15" s="7" t="s">
        <v>9</v>
      </c>
      <c r="G15" s="11">
        <f>+D12/(1+D15)</f>
        <v>1000</v>
      </c>
    </row>
    <row r="16" spans="2:10" x14ac:dyDescent="0.3">
      <c r="B16" s="13" t="s">
        <v>95</v>
      </c>
      <c r="C16" t="s">
        <v>92</v>
      </c>
      <c r="D16" s="1">
        <v>0.3</v>
      </c>
      <c r="F16" s="7" t="s">
        <v>9</v>
      </c>
      <c r="G16" s="11">
        <f>+D12/(1+D16)</f>
        <v>961.53846153846155</v>
      </c>
      <c r="H16" t="s">
        <v>97</v>
      </c>
    </row>
    <row r="17" spans="2:12" x14ac:dyDescent="0.3">
      <c r="B17" s="13" t="s">
        <v>96</v>
      </c>
      <c r="C17" t="s">
        <v>91</v>
      </c>
      <c r="D17" s="1">
        <v>0.15</v>
      </c>
      <c r="F17" s="7" t="s">
        <v>9</v>
      </c>
      <c r="G17" s="35">
        <f>+D12/(1+D17)</f>
        <v>1086.9565217391305</v>
      </c>
      <c r="H17" t="s">
        <v>119</v>
      </c>
      <c r="K17" s="26">
        <f>G17*(1+D16)</f>
        <v>1413.0434782608697</v>
      </c>
      <c r="L17" s="26">
        <f>K17-D12</f>
        <v>163.04347826086973</v>
      </c>
    </row>
    <row r="18" spans="2:12" x14ac:dyDescent="0.3">
      <c r="B18" s="13"/>
    </row>
  </sheetData>
  <mergeCells count="1">
    <mergeCell ref="B2:J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X26"/>
  <sheetViews>
    <sheetView zoomScaleNormal="100" workbookViewId="0"/>
  </sheetViews>
  <sheetFormatPr baseColWidth="10" defaultRowHeight="15.6" x14ac:dyDescent="0.3"/>
  <cols>
    <col min="2" max="2" width="9.3984375" bestFit="1" customWidth="1"/>
    <col min="3" max="3" width="9.59765625" bestFit="1" customWidth="1"/>
    <col min="4" max="23" width="8.59765625" bestFit="1" customWidth="1"/>
    <col min="24" max="24" width="5.69921875" bestFit="1" customWidth="1"/>
    <col min="25" max="47" width="2.8984375" bestFit="1" customWidth="1"/>
  </cols>
  <sheetData>
    <row r="2" spans="2:24" ht="21" customHeight="1" x14ac:dyDescent="0.3">
      <c r="B2" s="271" t="s">
        <v>106</v>
      </c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</row>
    <row r="3" spans="2:24" ht="15.6" customHeight="1" x14ac:dyDescent="0.3"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</row>
    <row r="4" spans="2:24" ht="15.6" customHeight="1" x14ac:dyDescent="0.3"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</row>
    <row r="5" spans="2:24" ht="15.6" customHeight="1" x14ac:dyDescent="0.3">
      <c r="B5" s="271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</row>
    <row r="6" spans="2:24" ht="15.6" customHeight="1" x14ac:dyDescent="0.3"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</row>
    <row r="8" spans="2:24" x14ac:dyDescent="0.3">
      <c r="C8" t="s">
        <v>41</v>
      </c>
      <c r="D8">
        <v>20</v>
      </c>
      <c r="E8">
        <v>21</v>
      </c>
      <c r="F8">
        <v>22</v>
      </c>
      <c r="G8">
        <v>23</v>
      </c>
      <c r="H8">
        <v>24</v>
      </c>
      <c r="I8">
        <v>25</v>
      </c>
      <c r="J8">
        <v>26</v>
      </c>
      <c r="K8">
        <v>27</v>
      </c>
      <c r="L8">
        <v>28</v>
      </c>
      <c r="M8">
        <v>29</v>
      </c>
      <c r="N8">
        <v>30</v>
      </c>
      <c r="O8">
        <v>31</v>
      </c>
      <c r="P8">
        <v>32</v>
      </c>
      <c r="Q8">
        <v>33</v>
      </c>
      <c r="R8">
        <v>34</v>
      </c>
      <c r="S8">
        <v>35</v>
      </c>
      <c r="T8">
        <v>36</v>
      </c>
      <c r="U8">
        <v>37</v>
      </c>
      <c r="V8">
        <v>38</v>
      </c>
      <c r="W8">
        <v>39</v>
      </c>
      <c r="X8">
        <v>40</v>
      </c>
    </row>
    <row r="9" spans="2:24" x14ac:dyDescent="0.3">
      <c r="D9" s="51">
        <v>10000</v>
      </c>
      <c r="E9" s="51">
        <v>10000</v>
      </c>
      <c r="F9" s="51">
        <v>10000</v>
      </c>
      <c r="G9" s="51">
        <v>10000</v>
      </c>
      <c r="H9" s="51">
        <v>10000</v>
      </c>
      <c r="I9" s="51">
        <v>10000</v>
      </c>
      <c r="J9" s="51">
        <v>10000</v>
      </c>
      <c r="K9" s="51">
        <v>10000</v>
      </c>
      <c r="L9" s="51">
        <v>10000</v>
      </c>
      <c r="M9" s="51">
        <v>10000</v>
      </c>
      <c r="N9" s="51">
        <v>10000</v>
      </c>
      <c r="O9" s="51">
        <v>10000</v>
      </c>
      <c r="P9" s="51">
        <v>10000</v>
      </c>
      <c r="Q9" s="51">
        <v>10000</v>
      </c>
      <c r="R9" s="51">
        <v>10000</v>
      </c>
      <c r="S9" s="51">
        <v>10000</v>
      </c>
      <c r="T9" s="51">
        <v>10000</v>
      </c>
      <c r="U9" s="51">
        <v>10000</v>
      </c>
      <c r="V9" s="51">
        <v>10000</v>
      </c>
      <c r="W9" s="51">
        <v>10000</v>
      </c>
      <c r="X9" s="51">
        <v>0</v>
      </c>
    </row>
    <row r="10" spans="2:24" x14ac:dyDescent="0.3">
      <c r="D10" s="1">
        <v>0.05</v>
      </c>
      <c r="E10" s="1">
        <v>0.05</v>
      </c>
      <c r="F10" s="1">
        <v>0.05</v>
      </c>
      <c r="G10" s="1">
        <v>0.05</v>
      </c>
      <c r="H10" s="1">
        <v>0.05</v>
      </c>
      <c r="I10" s="1">
        <v>0.05</v>
      </c>
      <c r="J10" s="1">
        <v>0.05</v>
      </c>
      <c r="K10" s="1">
        <v>0.05</v>
      </c>
      <c r="L10" s="1">
        <v>0.05</v>
      </c>
      <c r="M10" s="1">
        <v>0.05</v>
      </c>
      <c r="N10" s="1">
        <v>0.05</v>
      </c>
      <c r="O10" s="1">
        <v>0.05</v>
      </c>
      <c r="P10" s="1">
        <v>0.05</v>
      </c>
      <c r="Q10" s="1">
        <v>0.05</v>
      </c>
      <c r="R10" s="1">
        <v>0.05</v>
      </c>
      <c r="S10" s="1">
        <v>0.05</v>
      </c>
      <c r="T10" s="1">
        <v>0.05</v>
      </c>
      <c r="U10" s="1">
        <v>0.05</v>
      </c>
      <c r="V10" s="1">
        <v>0.05</v>
      </c>
      <c r="W10" s="1">
        <v>0.05</v>
      </c>
      <c r="X10" s="1">
        <v>0.05</v>
      </c>
    </row>
    <row r="11" spans="2:24" x14ac:dyDescent="0.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x14ac:dyDescent="0.3">
      <c r="C12" s="51"/>
      <c r="D12" s="51">
        <f>+D9/(1+D10)^(D8-20)</f>
        <v>10000</v>
      </c>
      <c r="E12" s="51">
        <f>+E9/(1+E10)^(E8-20)</f>
        <v>9523.8095238095229</v>
      </c>
      <c r="F12" s="51">
        <f>+F9/(1+F10)^(F8-20)</f>
        <v>9070.2947845804993</v>
      </c>
      <c r="G12" s="51">
        <f>+G9/(1+G10)^(G8-20)</f>
        <v>8638.3759853147603</v>
      </c>
      <c r="H12" s="51">
        <f>+H9/(1+H10)^(H8-20)</f>
        <v>8227.0247479188201</v>
      </c>
      <c r="I12" s="51">
        <f>+I9/(1+I10)^(I8-20)</f>
        <v>7835.2616646845891</v>
      </c>
      <c r="J12" s="51">
        <f>+J9/(1+J10)^(J8-20)</f>
        <v>7462.153966366277</v>
      </c>
      <c r="K12" s="51">
        <f>+K9/(1+K10)^(K8-20)</f>
        <v>7106.8133013012148</v>
      </c>
      <c r="L12" s="51">
        <f>+L9/(1+L10)^(L8-20)</f>
        <v>6768.3936202868717</v>
      </c>
      <c r="M12" s="51">
        <f>+M9/(1+M10)^(M8-20)</f>
        <v>6446.0891621779729</v>
      </c>
      <c r="N12" s="51">
        <f>+N9/(1+N10)^(N8-20)</f>
        <v>6139.1325354075934</v>
      </c>
      <c r="O12" s="51">
        <f>+O9/(1+O10)^(O8-20)</f>
        <v>5846.7928908643744</v>
      </c>
      <c r="P12" s="51">
        <f>+P9/(1+P10)^(P8-20)</f>
        <v>5568.3741817755954</v>
      </c>
      <c r="Q12" s="51">
        <f>+Q9/(1+Q10)^(Q8-20)</f>
        <v>5303.2135064529466</v>
      </c>
      <c r="R12" s="51">
        <f>+R9/(1+R10)^(R8-20)</f>
        <v>5050.6795299551886</v>
      </c>
      <c r="S12" s="51">
        <f>+S9/(1+S10)^(S8-20)</f>
        <v>4810.1709809097019</v>
      </c>
      <c r="T12" s="51">
        <f>+T9/(1+T10)^(T8-20)</f>
        <v>4581.1152199140024</v>
      </c>
      <c r="U12" s="51">
        <f>+U9/(1+U10)^(U8-20)</f>
        <v>4362.9668761085732</v>
      </c>
      <c r="V12" s="51">
        <f>+V9/(1+V10)^(V8-20)</f>
        <v>4155.2065486748315</v>
      </c>
      <c r="W12" s="51">
        <f>+W9/(1+W10)^(W8-20)</f>
        <v>3957.3395701665063</v>
      </c>
      <c r="X12" s="51">
        <f>+X9/(1+X10)^(X8-20)</f>
        <v>0</v>
      </c>
    </row>
    <row r="13" spans="2:24" x14ac:dyDescent="0.3">
      <c r="B13" s="7" t="s">
        <v>109</v>
      </c>
      <c r="C13" s="276">
        <f>SUM(D12:X12)</f>
        <v>130853.20859666987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</row>
    <row r="14" spans="2:24" x14ac:dyDescent="0.3">
      <c r="C14" s="51"/>
      <c r="D14" s="51">
        <f>D9/(1+D10)^D8</f>
        <v>3768.8948287300059</v>
      </c>
      <c r="E14" s="51">
        <f t="shared" ref="E14:X14" si="0">E9/(1+E10)^E8</f>
        <v>3589.4236464095297</v>
      </c>
      <c r="F14" s="51">
        <f t="shared" si="0"/>
        <v>3418.498710866219</v>
      </c>
      <c r="G14" s="51">
        <f t="shared" si="0"/>
        <v>3255.7130579678269</v>
      </c>
      <c r="H14" s="51">
        <f t="shared" si="0"/>
        <v>3100.679102826502</v>
      </c>
      <c r="I14" s="51">
        <f t="shared" si="0"/>
        <v>2953.0277169776209</v>
      </c>
      <c r="J14" s="51">
        <f t="shared" si="0"/>
        <v>2812.4073495024963</v>
      </c>
      <c r="K14" s="51">
        <f t="shared" si="0"/>
        <v>2678.4831900023769</v>
      </c>
      <c r="L14" s="51">
        <f t="shared" si="0"/>
        <v>2550.9363714308356</v>
      </c>
      <c r="M14" s="51">
        <f t="shared" si="0"/>
        <v>2429.4632108865098</v>
      </c>
      <c r="N14" s="51">
        <f t="shared" si="0"/>
        <v>2313.7744865585814</v>
      </c>
      <c r="O14" s="51">
        <f t="shared" si="0"/>
        <v>2203.5947491034099</v>
      </c>
      <c r="P14" s="51">
        <f t="shared" si="0"/>
        <v>2098.6616658127714</v>
      </c>
      <c r="Q14" s="51">
        <f t="shared" si="0"/>
        <v>1998.7253960121634</v>
      </c>
      <c r="R14" s="51">
        <f t="shared" si="0"/>
        <v>1903.5479962020604</v>
      </c>
      <c r="S14" s="51">
        <f t="shared" si="0"/>
        <v>1812.9028535257717</v>
      </c>
      <c r="T14" s="51">
        <f t="shared" si="0"/>
        <v>1726.5741462150208</v>
      </c>
      <c r="U14" s="51">
        <f t="shared" si="0"/>
        <v>1644.3563297285912</v>
      </c>
      <c r="V14" s="51">
        <f t="shared" si="0"/>
        <v>1566.0536473605632</v>
      </c>
      <c r="W14" s="51">
        <f t="shared" si="0"/>
        <v>1491.4796641529169</v>
      </c>
      <c r="X14" s="51">
        <f t="shared" si="0"/>
        <v>0</v>
      </c>
    </row>
    <row r="15" spans="2:24" x14ac:dyDescent="0.3">
      <c r="B15" s="7" t="s">
        <v>110</v>
      </c>
      <c r="C15" s="276">
        <f>SUM(D14:X14)</f>
        <v>49317.19812027178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</row>
    <row r="16" spans="2:24" x14ac:dyDescent="0.3">
      <c r="C16" s="276">
        <f>C13/(1+D10)^20</f>
        <v>49317.19812027178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</row>
    <row r="17" spans="5:8" x14ac:dyDescent="0.3">
      <c r="E17" s="33"/>
      <c r="F17" s="1"/>
      <c r="H17" s="10"/>
    </row>
    <row r="18" spans="5:8" x14ac:dyDescent="0.3">
      <c r="E18" s="33"/>
      <c r="F18" s="1"/>
      <c r="H18" s="10"/>
    </row>
    <row r="19" spans="5:8" x14ac:dyDescent="0.3">
      <c r="E19" s="33"/>
      <c r="F19" s="1"/>
      <c r="H19" s="10"/>
    </row>
    <row r="20" spans="5:8" x14ac:dyDescent="0.3">
      <c r="E20" s="33"/>
      <c r="F20" s="1"/>
      <c r="H20" s="10"/>
    </row>
    <row r="21" spans="5:8" x14ac:dyDescent="0.3">
      <c r="E21" s="33"/>
      <c r="F21" s="1"/>
      <c r="H21" s="10"/>
    </row>
    <row r="22" spans="5:8" x14ac:dyDescent="0.3">
      <c r="E22" s="33"/>
      <c r="F22" s="1"/>
      <c r="H22" s="10"/>
    </row>
    <row r="23" spans="5:8" x14ac:dyDescent="0.3">
      <c r="E23" s="33"/>
      <c r="F23" s="1"/>
      <c r="H23" s="10"/>
    </row>
    <row r="24" spans="5:8" x14ac:dyDescent="0.3">
      <c r="E24" s="33"/>
      <c r="F24" s="1"/>
      <c r="H24" s="10"/>
    </row>
    <row r="25" spans="5:8" x14ac:dyDescent="0.3">
      <c r="E25" s="33"/>
      <c r="F25" s="1"/>
    </row>
    <row r="26" spans="5:8" x14ac:dyDescent="0.3">
      <c r="E26" s="33"/>
      <c r="F26" s="1"/>
    </row>
  </sheetData>
  <mergeCells count="1">
    <mergeCell ref="B2:P6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2:K22"/>
  <sheetViews>
    <sheetView zoomScale="90" zoomScaleNormal="90" workbookViewId="0"/>
  </sheetViews>
  <sheetFormatPr baseColWidth="10" defaultColWidth="11" defaultRowHeight="15.6" x14ac:dyDescent="0.3"/>
  <cols>
    <col min="1" max="1" width="11" style="77"/>
    <col min="2" max="2" width="8.5" style="77" bestFit="1" customWidth="1"/>
    <col min="3" max="3" width="11.09765625" style="77" bestFit="1" customWidth="1"/>
    <col min="4" max="4" width="12.19921875" style="77" bestFit="1" customWidth="1"/>
    <col min="5" max="6" width="10.296875" style="77" bestFit="1" customWidth="1"/>
    <col min="7" max="7" width="11.296875" style="77" bestFit="1" customWidth="1"/>
    <col min="8" max="8" width="12.8984375" style="77" bestFit="1" customWidth="1"/>
    <col min="9" max="9" width="11" style="77"/>
    <col min="10" max="10" width="14.8984375" style="77" bestFit="1" customWidth="1"/>
    <col min="11" max="11" width="11.09765625" style="77" bestFit="1" customWidth="1"/>
    <col min="12" max="12" width="12.69921875" style="77" bestFit="1" customWidth="1"/>
    <col min="13" max="14" width="11" style="77"/>
    <col min="15" max="15" width="13.59765625" style="77" bestFit="1" customWidth="1"/>
    <col min="16" max="16" width="6.8984375" style="77" bestFit="1" customWidth="1"/>
    <col min="17" max="17" width="7" style="77" bestFit="1" customWidth="1"/>
    <col min="18" max="18" width="2" style="77" bestFit="1" customWidth="1"/>
    <col min="19" max="19" width="16.796875" style="77" bestFit="1" customWidth="1"/>
    <col min="20" max="20" width="2" style="77" bestFit="1" customWidth="1"/>
    <col min="21" max="21" width="18.796875" style="77" bestFit="1" customWidth="1"/>
    <col min="22" max="22" width="6.8984375" style="77" bestFit="1" customWidth="1"/>
    <col min="23" max="16384" width="11" style="77"/>
  </cols>
  <sheetData>
    <row r="2" spans="2:11" ht="22.8" x14ac:dyDescent="0.4">
      <c r="B2" s="265" t="s">
        <v>10</v>
      </c>
      <c r="C2" s="265"/>
      <c r="D2" s="265"/>
      <c r="E2" s="265"/>
      <c r="F2" s="265"/>
      <c r="G2" s="265"/>
      <c r="H2" s="265"/>
      <c r="I2" s="265"/>
      <c r="J2" s="265"/>
      <c r="K2" s="265"/>
    </row>
    <row r="4" spans="2:11" ht="21" x14ac:dyDescent="0.3">
      <c r="B4" s="97" t="s">
        <v>101</v>
      </c>
      <c r="C4" s="98" t="s">
        <v>7</v>
      </c>
      <c r="D4" s="98">
        <v>0</v>
      </c>
      <c r="E4" s="98">
        <v>1</v>
      </c>
      <c r="F4" s="98">
        <v>2</v>
      </c>
      <c r="G4" s="98">
        <v>3</v>
      </c>
      <c r="H4" s="99">
        <v>4</v>
      </c>
      <c r="J4" s="100" t="s">
        <v>9</v>
      </c>
    </row>
    <row r="5" spans="2:11" x14ac:dyDescent="0.3">
      <c r="B5" s="101" t="s">
        <v>1</v>
      </c>
      <c r="C5" s="102">
        <v>0.05</v>
      </c>
      <c r="D5" s="221"/>
      <c r="E5" s="221">
        <v>50</v>
      </c>
      <c r="F5" s="221">
        <v>100</v>
      </c>
      <c r="G5" s="221">
        <v>125</v>
      </c>
      <c r="H5" s="221">
        <v>150</v>
      </c>
      <c r="I5" s="222"/>
      <c r="J5" s="223"/>
    </row>
    <row r="6" spans="2:11" ht="21" x14ac:dyDescent="0.4">
      <c r="B6" s="103"/>
      <c r="C6" s="104"/>
      <c r="D6" s="224"/>
      <c r="E6" s="224">
        <f>E5/(1+$C$5)^E4</f>
        <v>47.61904761904762</v>
      </c>
      <c r="F6" s="224">
        <f t="shared" ref="F6:H6" si="0">F5/(1+$C$5)^F4</f>
        <v>90.702947845804985</v>
      </c>
      <c r="G6" s="224">
        <f t="shared" si="0"/>
        <v>107.9796998164345</v>
      </c>
      <c r="H6" s="224">
        <f t="shared" si="0"/>
        <v>123.40537121878229</v>
      </c>
      <c r="I6" s="225"/>
      <c r="J6" s="226">
        <f>SUM(D6:H6)</f>
        <v>369.7070665000694</v>
      </c>
    </row>
    <row r="7" spans="2:11" x14ac:dyDescent="0.3">
      <c r="B7" s="101" t="s">
        <v>2</v>
      </c>
      <c r="C7" s="102">
        <v>0.15</v>
      </c>
      <c r="D7" s="221"/>
      <c r="E7" s="221">
        <v>30</v>
      </c>
      <c r="F7" s="221">
        <v>0</v>
      </c>
      <c r="G7" s="221">
        <v>30</v>
      </c>
      <c r="H7" s="221">
        <v>45</v>
      </c>
      <c r="I7" s="222"/>
      <c r="J7" s="223"/>
    </row>
    <row r="8" spans="2:11" ht="21" x14ac:dyDescent="0.4">
      <c r="B8" s="103"/>
      <c r="C8" s="104"/>
      <c r="D8" s="224"/>
      <c r="E8" s="224">
        <f>E7/(1+$C$7)^E4</f>
        <v>26.086956521739133</v>
      </c>
      <c r="F8" s="224">
        <f t="shared" ref="F8:H8" si="1">F7/(1+$C$7)^F4</f>
        <v>0</v>
      </c>
      <c r="G8" s="224">
        <f t="shared" si="1"/>
        <v>19.725486972959651</v>
      </c>
      <c r="H8" s="224">
        <f t="shared" si="1"/>
        <v>25.728896051686501</v>
      </c>
      <c r="I8" s="225"/>
      <c r="J8" s="226">
        <f>SUM(D8:H8)</f>
        <v>71.541339546385288</v>
      </c>
    </row>
    <row r="9" spans="2:11" x14ac:dyDescent="0.3">
      <c r="B9" s="101" t="s">
        <v>3</v>
      </c>
      <c r="C9" s="102">
        <v>0.1</v>
      </c>
      <c r="D9" s="221"/>
      <c r="E9" s="221">
        <v>50</v>
      </c>
      <c r="F9" s="221">
        <v>75</v>
      </c>
      <c r="G9" s="221">
        <v>125</v>
      </c>
      <c r="H9" s="221">
        <v>150</v>
      </c>
      <c r="I9" s="222"/>
      <c r="J9" s="223"/>
    </row>
    <row r="10" spans="2:11" ht="21" x14ac:dyDescent="0.4">
      <c r="B10" s="103"/>
      <c r="C10" s="104"/>
      <c r="D10" s="224"/>
      <c r="E10" s="224">
        <f>E9/(1+$C$9)^E4</f>
        <v>45.454545454545453</v>
      </c>
      <c r="F10" s="224">
        <f>F9/(1+$C$9)^F4</f>
        <v>61.983471074380155</v>
      </c>
      <c r="G10" s="224">
        <f>G9/(1+$C$9)^G4</f>
        <v>93.914350112697193</v>
      </c>
      <c r="H10" s="224">
        <f>H9/(1+$C$9)^H4</f>
        <v>102.45201830476057</v>
      </c>
      <c r="I10" s="225"/>
      <c r="J10" s="226">
        <f>SUM(D10:H10)</f>
        <v>303.80438494638338</v>
      </c>
    </row>
    <row r="11" spans="2:11" x14ac:dyDescent="0.3">
      <c r="B11" s="101" t="s">
        <v>4</v>
      </c>
      <c r="C11" s="102">
        <v>0.1</v>
      </c>
      <c r="D11" s="221"/>
      <c r="E11" s="221">
        <v>150</v>
      </c>
      <c r="F11" s="221">
        <v>125</v>
      </c>
      <c r="G11" s="221">
        <v>75</v>
      </c>
      <c r="H11" s="221">
        <v>50</v>
      </c>
      <c r="I11" s="222"/>
      <c r="J11" s="223"/>
    </row>
    <row r="12" spans="2:11" ht="21" x14ac:dyDescent="0.4">
      <c r="B12" s="103"/>
      <c r="C12" s="104"/>
      <c r="D12" s="224"/>
      <c r="E12" s="224">
        <f>E11/(1+$C$11)^E4</f>
        <v>136.36363636363635</v>
      </c>
      <c r="F12" s="224">
        <f>F11/(1+$C$11)^F4</f>
        <v>103.30578512396693</v>
      </c>
      <c r="G12" s="224">
        <f>G11/(1+$C$11)^G4</f>
        <v>56.348610067618317</v>
      </c>
      <c r="H12" s="224">
        <f>H11/(1+$C$11)^H4</f>
        <v>34.150672768253528</v>
      </c>
      <c r="I12" s="225"/>
      <c r="J12" s="226">
        <f>SUM(D12:H12)</f>
        <v>330.16870432347508</v>
      </c>
    </row>
    <row r="13" spans="2:11" x14ac:dyDescent="0.3">
      <c r="B13" s="101" t="s">
        <v>5</v>
      </c>
      <c r="C13" s="102">
        <v>0.18</v>
      </c>
      <c r="D13" s="221">
        <v>-1750</v>
      </c>
      <c r="E13" s="221">
        <v>50</v>
      </c>
      <c r="F13" s="221">
        <v>200</v>
      </c>
      <c r="G13" s="221">
        <v>500</v>
      </c>
      <c r="H13" s="221">
        <v>1000</v>
      </c>
      <c r="I13" s="222"/>
      <c r="J13" s="223"/>
    </row>
    <row r="14" spans="2:11" ht="21" x14ac:dyDescent="0.4">
      <c r="B14" s="103"/>
      <c r="C14" s="104"/>
      <c r="D14" s="224">
        <f>D13/(1+$C$13)^D4</f>
        <v>-1750</v>
      </c>
      <c r="E14" s="224">
        <f t="shared" ref="E14:H14" si="2">E13/(1+$C$13)^E4</f>
        <v>42.372881355932208</v>
      </c>
      <c r="F14" s="224">
        <f t="shared" si="2"/>
        <v>143.63688595231258</v>
      </c>
      <c r="G14" s="224">
        <f t="shared" si="2"/>
        <v>304.31543633964526</v>
      </c>
      <c r="H14" s="224">
        <f t="shared" si="2"/>
        <v>515.78887515194117</v>
      </c>
      <c r="I14" s="225"/>
      <c r="J14" s="226">
        <f>SUM(D14:H14)</f>
        <v>-743.88592120016904</v>
      </c>
    </row>
    <row r="15" spans="2:11" x14ac:dyDescent="0.3">
      <c r="B15" s="101" t="s">
        <v>6</v>
      </c>
      <c r="C15" s="102">
        <v>0.35</v>
      </c>
      <c r="D15" s="221">
        <v>-1500</v>
      </c>
      <c r="E15" s="221">
        <v>500</v>
      </c>
      <c r="F15" s="221">
        <v>1200</v>
      </c>
      <c r="G15" s="221">
        <v>-750</v>
      </c>
      <c r="H15" s="221">
        <v>1000</v>
      </c>
      <c r="I15" s="222"/>
      <c r="J15" s="223"/>
    </row>
    <row r="16" spans="2:11" ht="21" x14ac:dyDescent="0.4">
      <c r="B16" s="103"/>
      <c r="C16" s="104"/>
      <c r="D16" s="224">
        <f>D15/(1+$C$15)^D4</f>
        <v>-1500</v>
      </c>
      <c r="E16" s="224">
        <f>E15/(1+$C$15)^E4</f>
        <v>370.37037037037032</v>
      </c>
      <c r="F16" s="224">
        <f>F15/(1+$C$15)^F4</f>
        <v>658.43621399176948</v>
      </c>
      <c r="G16" s="224">
        <f>G15/(1+$C$15)^G4</f>
        <v>-304.83158055174511</v>
      </c>
      <c r="H16" s="224">
        <f>H15/(1+$C$15)^H4</f>
        <v>301.0682277054272</v>
      </c>
      <c r="I16" s="225"/>
      <c r="J16" s="226">
        <f>SUM(D16:H16)</f>
        <v>-474.95676848417799</v>
      </c>
    </row>
    <row r="17" spans="2:10" x14ac:dyDescent="0.3">
      <c r="B17" s="101" t="s">
        <v>11</v>
      </c>
      <c r="C17" s="102">
        <v>0.37</v>
      </c>
      <c r="D17" s="221">
        <v>-1500</v>
      </c>
      <c r="E17" s="221">
        <v>-1200</v>
      </c>
      <c r="F17" s="221">
        <v>400</v>
      </c>
      <c r="G17" s="221">
        <v>-1300</v>
      </c>
      <c r="H17" s="221">
        <v>400</v>
      </c>
      <c r="I17" s="222"/>
      <c r="J17" s="223"/>
    </row>
    <row r="18" spans="2:10" ht="21" x14ac:dyDescent="0.4">
      <c r="B18" s="103"/>
      <c r="C18" s="104"/>
      <c r="D18" s="224">
        <f>D17/(1+$C$17)^D4</f>
        <v>-1500</v>
      </c>
      <c r="E18" s="224">
        <f>E17/(1+$C$17)^E4</f>
        <v>-875.91240875912399</v>
      </c>
      <c r="F18" s="224">
        <f>F17/(1+$C$17)^F4</f>
        <v>213.11737439394744</v>
      </c>
      <c r="G18" s="224">
        <f>G17/(1+$C$17)^G4</f>
        <v>-505.57041370826943</v>
      </c>
      <c r="H18" s="224">
        <f>H17/(1+$C$17)^H4</f>
        <v>113.5475381714249</v>
      </c>
      <c r="I18" s="225"/>
      <c r="J18" s="226">
        <f>SUM(D18:H18)</f>
        <v>-2554.8179099020208</v>
      </c>
    </row>
    <row r="19" spans="2:10" x14ac:dyDescent="0.3">
      <c r="B19" s="101" t="s">
        <v>12</v>
      </c>
      <c r="C19" s="102">
        <v>0.15</v>
      </c>
      <c r="D19" s="221">
        <v>-1500</v>
      </c>
      <c r="E19" s="221">
        <v>300</v>
      </c>
      <c r="F19" s="221">
        <v>500</v>
      </c>
      <c r="G19" s="221">
        <v>800</v>
      </c>
      <c r="H19" s="221">
        <v>1000</v>
      </c>
      <c r="I19" s="222"/>
      <c r="J19" s="223"/>
    </row>
    <row r="20" spans="2:10" ht="21" x14ac:dyDescent="0.4">
      <c r="B20" s="103"/>
      <c r="C20" s="104"/>
      <c r="D20" s="224">
        <f>D19/(1+$C$19)^D4</f>
        <v>-1500</v>
      </c>
      <c r="E20" s="224">
        <f>E19/(1+$C$19)^E4</f>
        <v>260.86956521739131</v>
      </c>
      <c r="F20" s="224">
        <f>F19/(1+$C$19)^F4</f>
        <v>378.07183364839324</v>
      </c>
      <c r="G20" s="224">
        <f>G19/(1+$C$19)^G4</f>
        <v>526.01298594559069</v>
      </c>
      <c r="H20" s="224">
        <f>H19/(1+$C$19)^H4</f>
        <v>571.7532455930334</v>
      </c>
      <c r="I20" s="225"/>
      <c r="J20" s="226">
        <f>SUM(D20:H20)</f>
        <v>236.70763040440863</v>
      </c>
    </row>
    <row r="21" spans="2:10" x14ac:dyDescent="0.3">
      <c r="B21" s="101" t="s">
        <v>13</v>
      </c>
      <c r="C21" s="102">
        <v>0.3</v>
      </c>
      <c r="D21" s="221">
        <v>-1500</v>
      </c>
      <c r="E21" s="221">
        <v>300</v>
      </c>
      <c r="F21" s="221">
        <v>500</v>
      </c>
      <c r="G21" s="221">
        <v>800</v>
      </c>
      <c r="H21" s="221">
        <v>1000</v>
      </c>
      <c r="I21" s="222"/>
      <c r="J21" s="223"/>
    </row>
    <row r="22" spans="2:10" ht="21" x14ac:dyDescent="0.4">
      <c r="B22" s="103"/>
      <c r="C22" s="104"/>
      <c r="D22" s="224">
        <f>D21/(1+$C$21)^D4</f>
        <v>-1500</v>
      </c>
      <c r="E22" s="224">
        <f>E21/(1+$C$21)^E4</f>
        <v>230.76923076923077</v>
      </c>
      <c r="F22" s="224">
        <f>F21/(1+$C$21)^F4</f>
        <v>295.85798816568047</v>
      </c>
      <c r="G22" s="224">
        <f>G21/(1+$C$21)^G4</f>
        <v>364.13290851160667</v>
      </c>
      <c r="H22" s="224">
        <f>H21/(1+$C$21)^H4</f>
        <v>350.12779664577562</v>
      </c>
      <c r="I22" s="225"/>
      <c r="J22" s="226">
        <f>SUM(D22:H22)</f>
        <v>-259.11207590770658</v>
      </c>
    </row>
  </sheetData>
  <mergeCells count="1">
    <mergeCell ref="B2:K2"/>
  </mergeCells>
  <pageMargins left="0.75" right="0.75" top="1" bottom="1" header="0.5" footer="0.5"/>
  <pageSetup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N32"/>
  <sheetViews>
    <sheetView zoomScale="80" zoomScaleNormal="80" workbookViewId="0">
      <selection activeCell="N33" sqref="N33"/>
    </sheetView>
  </sheetViews>
  <sheetFormatPr baseColWidth="10" defaultRowHeight="15.6" x14ac:dyDescent="0.3"/>
  <cols>
    <col min="1" max="1" width="11.19921875" customWidth="1"/>
    <col min="2" max="2" width="9.5" bestFit="1" customWidth="1"/>
    <col min="3" max="3" width="12.8984375" bestFit="1" customWidth="1"/>
    <col min="4" max="4" width="11.09765625" bestFit="1" customWidth="1"/>
    <col min="5" max="5" width="22.3984375" bestFit="1" customWidth="1"/>
    <col min="6" max="6" width="11.09765625" bestFit="1" customWidth="1"/>
    <col min="7" max="7" width="19.3984375" bestFit="1" customWidth="1"/>
    <col min="8" max="8" width="12.09765625" bestFit="1" customWidth="1"/>
    <col min="9" max="9" width="11.09765625" bestFit="1" customWidth="1"/>
    <col min="10" max="10" width="22.3984375" bestFit="1" customWidth="1"/>
    <col min="11" max="13" width="12.09765625" bestFit="1" customWidth="1"/>
    <col min="14" max="14" width="11.09765625" bestFit="1" customWidth="1"/>
  </cols>
  <sheetData>
    <row r="2" spans="2:12" ht="21" customHeight="1" x14ac:dyDescent="0.3">
      <c r="B2" s="271" t="s">
        <v>108</v>
      </c>
      <c r="C2" s="271"/>
      <c r="D2" s="271"/>
      <c r="E2" s="271"/>
      <c r="F2" s="271"/>
      <c r="G2" s="271"/>
      <c r="H2" s="271"/>
      <c r="I2" s="271"/>
      <c r="J2" s="271"/>
    </row>
    <row r="3" spans="2:12" ht="15" customHeight="1" x14ac:dyDescent="0.3">
      <c r="B3" s="271"/>
      <c r="C3" s="271"/>
      <c r="D3" s="271"/>
      <c r="E3" s="271"/>
      <c r="F3" s="271"/>
      <c r="G3" s="271"/>
      <c r="H3" s="271"/>
      <c r="I3" s="271"/>
      <c r="J3" s="271"/>
    </row>
    <row r="4" spans="2:12" ht="15" customHeight="1" x14ac:dyDescent="0.3">
      <c r="B4" s="271"/>
      <c r="C4" s="271"/>
      <c r="D4" s="271"/>
      <c r="E4" s="271"/>
      <c r="F4" s="271"/>
      <c r="G4" s="271"/>
      <c r="H4" s="271"/>
      <c r="I4" s="271"/>
      <c r="J4" s="271"/>
    </row>
    <row r="5" spans="2:12" ht="15" customHeight="1" x14ac:dyDescent="0.3">
      <c r="B5" s="271"/>
      <c r="C5" s="271"/>
      <c r="D5" s="271"/>
      <c r="E5" s="271"/>
      <c r="F5" s="271"/>
      <c r="G5" s="271"/>
      <c r="H5" s="271"/>
      <c r="I5" s="271"/>
      <c r="J5" s="271"/>
    </row>
    <row r="6" spans="2:12" ht="15" customHeight="1" x14ac:dyDescent="0.3">
      <c r="B6" s="271"/>
      <c r="C6" s="271"/>
      <c r="D6" s="271"/>
      <c r="E6" s="271"/>
      <c r="F6" s="271"/>
      <c r="G6" s="271"/>
      <c r="H6" s="271"/>
      <c r="I6" s="271"/>
      <c r="J6" s="271"/>
    </row>
    <row r="7" spans="2:12" ht="15" customHeight="1" x14ac:dyDescent="0.3">
      <c r="B7" s="271"/>
      <c r="C7" s="271"/>
      <c r="D7" s="271"/>
      <c r="E7" s="271"/>
      <c r="F7" s="271"/>
      <c r="G7" s="271"/>
      <c r="H7" s="271"/>
      <c r="I7" s="271"/>
      <c r="J7" s="271"/>
    </row>
    <row r="8" spans="2:12" x14ac:dyDescent="0.3">
      <c r="B8" s="271"/>
      <c r="C8" s="271"/>
      <c r="D8" s="271"/>
      <c r="E8" s="271"/>
      <c r="F8" s="271"/>
      <c r="G8" s="271"/>
      <c r="H8" s="271"/>
      <c r="I8" s="271"/>
      <c r="J8" s="271"/>
    </row>
    <row r="10" spans="2:12" hidden="1" x14ac:dyDescent="0.3"/>
    <row r="11" spans="2:12" hidden="1" x14ac:dyDescent="0.3">
      <c r="C11" t="s">
        <v>45</v>
      </c>
      <c r="D11">
        <v>10</v>
      </c>
      <c r="E11" t="s">
        <v>55</v>
      </c>
      <c r="G11" t="s">
        <v>71</v>
      </c>
    </row>
    <row r="12" spans="2:12" hidden="1" x14ac:dyDescent="0.3">
      <c r="C12" t="s">
        <v>66</v>
      </c>
      <c r="D12" s="33">
        <v>20000</v>
      </c>
      <c r="G12" t="s">
        <v>72</v>
      </c>
      <c r="H12">
        <f>1/D13</f>
        <v>10</v>
      </c>
    </row>
    <row r="13" spans="2:12" hidden="1" x14ac:dyDescent="0.3">
      <c r="C13" t="s">
        <v>44</v>
      </c>
      <c r="D13" s="1">
        <v>0.1</v>
      </c>
      <c r="G13" t="s">
        <v>98</v>
      </c>
      <c r="H13" s="10">
        <f>+D12*H12</f>
        <v>200000</v>
      </c>
      <c r="J13" t="s">
        <v>100</v>
      </c>
      <c r="K13" s="46">
        <f>PMT(D13,D11,,H13,0)</f>
        <v>-12549.078976502322</v>
      </c>
      <c r="L13" t="s">
        <v>111</v>
      </c>
    </row>
    <row r="14" spans="2:12" hidden="1" x14ac:dyDescent="0.3">
      <c r="C14" s="34" t="s">
        <v>67</v>
      </c>
      <c r="D14" s="34">
        <f>+H13*(D13/(D16*D18))</f>
        <v>11408.253615002097</v>
      </c>
      <c r="E14" t="s">
        <v>73</v>
      </c>
      <c r="J14" t="s">
        <v>62</v>
      </c>
      <c r="K14" s="46">
        <f>PMT(D13,D11,,H13,1)</f>
        <v>-11408.253615002111</v>
      </c>
      <c r="L14" t="s">
        <v>112</v>
      </c>
    </row>
    <row r="15" spans="2:12" hidden="1" x14ac:dyDescent="0.3">
      <c r="C15" t="s">
        <v>68</v>
      </c>
      <c r="E15" t="s">
        <v>112</v>
      </c>
    </row>
    <row r="16" spans="2:12" hidden="1" x14ac:dyDescent="0.3">
      <c r="C16" t="s">
        <v>99</v>
      </c>
      <c r="D16" s="18">
        <f>+(1+D13)</f>
        <v>1.1000000000000001</v>
      </c>
    </row>
    <row r="17" spans="2:14" hidden="1" x14ac:dyDescent="0.3">
      <c r="C17" t="s">
        <v>69</v>
      </c>
      <c r="D17">
        <f>+(1+D13)^D11</f>
        <v>2.5937424601000019</v>
      </c>
    </row>
    <row r="18" spans="2:14" hidden="1" x14ac:dyDescent="0.3">
      <c r="C18" t="s">
        <v>70</v>
      </c>
      <c r="D18">
        <f>+D17-1</f>
        <v>1.5937424601000019</v>
      </c>
    </row>
    <row r="26" spans="2:14" x14ac:dyDescent="0.3">
      <c r="B26" t="s">
        <v>173</v>
      </c>
      <c r="C26" s="9">
        <v>0.1</v>
      </c>
    </row>
    <row r="27" spans="2:14" x14ac:dyDescent="0.3">
      <c r="B27" t="s">
        <v>170</v>
      </c>
      <c r="C27" s="74">
        <v>12549.078976502318</v>
      </c>
    </row>
    <row r="28" spans="2:14" x14ac:dyDescent="0.3">
      <c r="C28" s="9"/>
    </row>
    <row r="29" spans="2:14" x14ac:dyDescent="0.3">
      <c r="C29">
        <v>0</v>
      </c>
      <c r="D29">
        <f>C29+1</f>
        <v>1</v>
      </c>
      <c r="E29">
        <f t="shared" ref="E29:M29" si="0">D29+1</f>
        <v>2</v>
      </c>
      <c r="F29">
        <f t="shared" si="0"/>
        <v>3</v>
      </c>
      <c r="G29">
        <f t="shared" si="0"/>
        <v>4</v>
      </c>
      <c r="H29">
        <f t="shared" si="0"/>
        <v>5</v>
      </c>
      <c r="I29">
        <f t="shared" si="0"/>
        <v>6</v>
      </c>
      <c r="J29">
        <f t="shared" si="0"/>
        <v>7</v>
      </c>
      <c r="K29">
        <f t="shared" si="0"/>
        <v>8</v>
      </c>
      <c r="L29">
        <f>K29+1</f>
        <v>9</v>
      </c>
      <c r="M29">
        <f t="shared" si="0"/>
        <v>10</v>
      </c>
    </row>
    <row r="30" spans="2:14" x14ac:dyDescent="0.3">
      <c r="B30" t="s">
        <v>8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>
        <v>200000</v>
      </c>
    </row>
    <row r="31" spans="2:14" x14ac:dyDescent="0.3">
      <c r="B31" t="s">
        <v>172</v>
      </c>
      <c r="C31" s="74"/>
      <c r="D31" s="74">
        <f t="shared" ref="D31:M31" si="1">$C$27</f>
        <v>12549.078976502318</v>
      </c>
      <c r="E31" s="74">
        <f t="shared" si="1"/>
        <v>12549.078976502318</v>
      </c>
      <c r="F31" s="74">
        <f t="shared" si="1"/>
        <v>12549.078976502318</v>
      </c>
      <c r="G31" s="74">
        <f t="shared" si="1"/>
        <v>12549.078976502318</v>
      </c>
      <c r="H31" s="74">
        <f t="shared" si="1"/>
        <v>12549.078976502318</v>
      </c>
      <c r="I31" s="74">
        <f t="shared" si="1"/>
        <v>12549.078976502318</v>
      </c>
      <c r="J31" s="74">
        <f t="shared" si="1"/>
        <v>12549.078976502318</v>
      </c>
      <c r="K31" s="74">
        <f t="shared" si="1"/>
        <v>12549.078976502318</v>
      </c>
      <c r="L31" s="74">
        <f t="shared" si="1"/>
        <v>12549.078976502318</v>
      </c>
      <c r="M31" s="74">
        <f t="shared" si="1"/>
        <v>12549.078976502318</v>
      </c>
    </row>
    <row r="32" spans="2:14" x14ac:dyDescent="0.3">
      <c r="B32" t="s">
        <v>171</v>
      </c>
      <c r="C32" s="10">
        <f>C31</f>
        <v>0</v>
      </c>
      <c r="D32" s="10">
        <f>C32*(1+$C$26)+D31</f>
        <v>12549.078976502318</v>
      </c>
      <c r="E32" s="10">
        <f>D32*(1+$C$26)+E31</f>
        <v>26353.065850654872</v>
      </c>
      <c r="F32" s="10">
        <f t="shared" ref="E32:L32" si="2">E32*(1+$C$26)+F31</f>
        <v>41537.451412222683</v>
      </c>
      <c r="G32" s="10">
        <f t="shared" si="2"/>
        <v>58240.275529947277</v>
      </c>
      <c r="H32" s="10">
        <f t="shared" si="2"/>
        <v>76613.382059444324</v>
      </c>
      <c r="I32" s="10">
        <f t="shared" si="2"/>
        <v>96823.799241891087</v>
      </c>
      <c r="J32" s="10">
        <f t="shared" si="2"/>
        <v>119055.25814258252</v>
      </c>
      <c r="K32" s="10">
        <f t="shared" si="2"/>
        <v>143509.8629333431</v>
      </c>
      <c r="L32" s="10">
        <f t="shared" si="2"/>
        <v>170409.92820317973</v>
      </c>
      <c r="M32" s="10">
        <f>L32*(1+$C$26)+M31</f>
        <v>200000.00000000006</v>
      </c>
      <c r="N32" s="26">
        <f>M30-M32</f>
        <v>0</v>
      </c>
    </row>
  </sheetData>
  <mergeCells count="1">
    <mergeCell ref="B2:J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8AE04-B9ED-4D43-969A-9B4FECF0E7A5}">
  <dimension ref="B2:BH15"/>
  <sheetViews>
    <sheetView tabSelected="1" zoomScale="90" zoomScaleNormal="90" workbookViewId="0"/>
  </sheetViews>
  <sheetFormatPr baseColWidth="10" defaultRowHeight="15.6" x14ac:dyDescent="0.3"/>
  <cols>
    <col min="1" max="1" width="11.19921875" customWidth="1"/>
    <col min="2" max="2" width="10.3984375" bestFit="1" customWidth="1"/>
    <col min="3" max="3" width="11.19921875" bestFit="1" customWidth="1"/>
    <col min="4" max="6" width="8.796875" bestFit="1" customWidth="1"/>
    <col min="7" max="16" width="9.796875" bestFit="1" customWidth="1"/>
    <col min="17" max="60" width="11.19921875" bestFit="1" customWidth="1"/>
  </cols>
  <sheetData>
    <row r="2" spans="2:60" x14ac:dyDescent="0.3">
      <c r="B2" t="s">
        <v>115</v>
      </c>
      <c r="C2" s="9">
        <v>0.15</v>
      </c>
    </row>
    <row r="3" spans="2:60" x14ac:dyDescent="0.3">
      <c r="B3" t="s">
        <v>169</v>
      </c>
      <c r="C3" s="51">
        <v>1200000</v>
      </c>
      <c r="D3" s="9"/>
    </row>
    <row r="4" spans="2:60" x14ac:dyDescent="0.3">
      <c r="B4" t="s">
        <v>170</v>
      </c>
      <c r="C4" s="157">
        <v>27785.7666990871</v>
      </c>
      <c r="D4" s="9"/>
    </row>
    <row r="5" spans="2:60" x14ac:dyDescent="0.3">
      <c r="D5" s="9"/>
    </row>
    <row r="6" spans="2:60" x14ac:dyDescent="0.3">
      <c r="B6" t="s">
        <v>167</v>
      </c>
      <c r="C6">
        <v>23</v>
      </c>
      <c r="D6">
        <f>C6+1</f>
        <v>24</v>
      </c>
      <c r="E6">
        <f t="shared" ref="E6:BH6" si="0">D6+1</f>
        <v>25</v>
      </c>
      <c r="F6">
        <f t="shared" si="0"/>
        <v>26</v>
      </c>
      <c r="G6">
        <f t="shared" si="0"/>
        <v>27</v>
      </c>
      <c r="H6">
        <f t="shared" si="0"/>
        <v>28</v>
      </c>
      <c r="I6">
        <f t="shared" si="0"/>
        <v>29</v>
      </c>
      <c r="J6">
        <f t="shared" si="0"/>
        <v>30</v>
      </c>
      <c r="K6">
        <f t="shared" si="0"/>
        <v>31</v>
      </c>
      <c r="L6">
        <f t="shared" si="0"/>
        <v>32</v>
      </c>
      <c r="M6">
        <f t="shared" si="0"/>
        <v>33</v>
      </c>
      <c r="N6">
        <f t="shared" si="0"/>
        <v>34</v>
      </c>
      <c r="O6">
        <f t="shared" si="0"/>
        <v>35</v>
      </c>
      <c r="P6">
        <f t="shared" si="0"/>
        <v>36</v>
      </c>
      <c r="Q6">
        <f t="shared" si="0"/>
        <v>37</v>
      </c>
      <c r="R6">
        <f t="shared" si="0"/>
        <v>38</v>
      </c>
      <c r="S6">
        <f t="shared" si="0"/>
        <v>39</v>
      </c>
      <c r="T6">
        <f t="shared" si="0"/>
        <v>40</v>
      </c>
      <c r="U6">
        <f t="shared" si="0"/>
        <v>41</v>
      </c>
      <c r="V6">
        <f t="shared" si="0"/>
        <v>42</v>
      </c>
      <c r="W6">
        <f t="shared" si="0"/>
        <v>43</v>
      </c>
      <c r="X6">
        <f t="shared" si="0"/>
        <v>44</v>
      </c>
      <c r="Y6">
        <f t="shared" si="0"/>
        <v>45</v>
      </c>
      <c r="Z6">
        <f t="shared" si="0"/>
        <v>46</v>
      </c>
      <c r="AA6">
        <f t="shared" si="0"/>
        <v>47</v>
      </c>
      <c r="AB6">
        <f t="shared" si="0"/>
        <v>48</v>
      </c>
      <c r="AC6">
        <f t="shared" si="0"/>
        <v>49</v>
      </c>
      <c r="AD6">
        <f t="shared" si="0"/>
        <v>50</v>
      </c>
      <c r="AE6">
        <f>AD6+1</f>
        <v>51</v>
      </c>
      <c r="AF6">
        <f t="shared" si="0"/>
        <v>52</v>
      </c>
      <c r="AG6">
        <f t="shared" si="0"/>
        <v>53</v>
      </c>
      <c r="AH6">
        <f t="shared" si="0"/>
        <v>54</v>
      </c>
      <c r="AI6">
        <f t="shared" si="0"/>
        <v>55</v>
      </c>
      <c r="AJ6">
        <f t="shared" si="0"/>
        <v>56</v>
      </c>
      <c r="AK6">
        <f t="shared" si="0"/>
        <v>57</v>
      </c>
      <c r="AL6">
        <f t="shared" si="0"/>
        <v>58</v>
      </c>
      <c r="AM6">
        <f t="shared" si="0"/>
        <v>59</v>
      </c>
      <c r="AN6">
        <f t="shared" si="0"/>
        <v>60</v>
      </c>
      <c r="AO6">
        <f t="shared" si="0"/>
        <v>61</v>
      </c>
      <c r="AP6">
        <f t="shared" si="0"/>
        <v>62</v>
      </c>
      <c r="AQ6">
        <f t="shared" si="0"/>
        <v>63</v>
      </c>
      <c r="AR6">
        <f>AQ6+1</f>
        <v>64</v>
      </c>
      <c r="AS6">
        <f t="shared" si="0"/>
        <v>65</v>
      </c>
      <c r="AT6">
        <f t="shared" si="0"/>
        <v>66</v>
      </c>
      <c r="AU6">
        <f t="shared" si="0"/>
        <v>67</v>
      </c>
      <c r="AV6">
        <f t="shared" si="0"/>
        <v>68</v>
      </c>
      <c r="AW6">
        <f t="shared" si="0"/>
        <v>69</v>
      </c>
      <c r="AX6">
        <f t="shared" si="0"/>
        <v>70</v>
      </c>
      <c r="AY6">
        <f>AX6+1</f>
        <v>71</v>
      </c>
      <c r="AZ6">
        <f t="shared" si="0"/>
        <v>72</v>
      </c>
      <c r="BA6">
        <f t="shared" si="0"/>
        <v>73</v>
      </c>
      <c r="BB6">
        <f t="shared" si="0"/>
        <v>74</v>
      </c>
      <c r="BC6">
        <f t="shared" si="0"/>
        <v>75</v>
      </c>
      <c r="BD6">
        <f t="shared" si="0"/>
        <v>76</v>
      </c>
      <c r="BE6">
        <f t="shared" si="0"/>
        <v>77</v>
      </c>
      <c r="BF6">
        <f t="shared" si="0"/>
        <v>78</v>
      </c>
      <c r="BG6">
        <f t="shared" si="0"/>
        <v>79</v>
      </c>
      <c r="BH6">
        <f t="shared" si="0"/>
        <v>80</v>
      </c>
    </row>
    <row r="7" spans="2:60" x14ac:dyDescent="0.3">
      <c r="B7" t="s">
        <v>168</v>
      </c>
      <c r="C7">
        <v>0</v>
      </c>
      <c r="D7">
        <f>C7+1</f>
        <v>1</v>
      </c>
      <c r="E7">
        <f t="shared" ref="E7:BH7" si="1">D7+1</f>
        <v>2</v>
      </c>
      <c r="F7">
        <f t="shared" si="1"/>
        <v>3</v>
      </c>
      <c r="G7">
        <f t="shared" si="1"/>
        <v>4</v>
      </c>
      <c r="H7">
        <f t="shared" si="1"/>
        <v>5</v>
      </c>
      <c r="I7">
        <f t="shared" si="1"/>
        <v>6</v>
      </c>
      <c r="J7">
        <f t="shared" si="1"/>
        <v>7</v>
      </c>
      <c r="K7">
        <f t="shared" si="1"/>
        <v>8</v>
      </c>
      <c r="L7">
        <f t="shared" si="1"/>
        <v>9</v>
      </c>
      <c r="M7">
        <f t="shared" si="1"/>
        <v>10</v>
      </c>
      <c r="N7">
        <f t="shared" si="1"/>
        <v>11</v>
      </c>
      <c r="O7">
        <f t="shared" si="1"/>
        <v>12</v>
      </c>
      <c r="P7">
        <f t="shared" si="1"/>
        <v>13</v>
      </c>
      <c r="Q7">
        <f t="shared" si="1"/>
        <v>14</v>
      </c>
      <c r="R7">
        <f t="shared" si="1"/>
        <v>15</v>
      </c>
      <c r="S7">
        <f t="shared" si="1"/>
        <v>16</v>
      </c>
      <c r="T7">
        <f t="shared" si="1"/>
        <v>17</v>
      </c>
      <c r="U7">
        <f t="shared" si="1"/>
        <v>18</v>
      </c>
      <c r="V7">
        <f t="shared" si="1"/>
        <v>19</v>
      </c>
      <c r="W7">
        <f t="shared" si="1"/>
        <v>20</v>
      </c>
      <c r="X7">
        <f t="shared" si="1"/>
        <v>21</v>
      </c>
      <c r="Y7">
        <f t="shared" si="1"/>
        <v>22</v>
      </c>
      <c r="Z7">
        <f t="shared" si="1"/>
        <v>23</v>
      </c>
      <c r="AA7">
        <f t="shared" si="1"/>
        <v>24</v>
      </c>
      <c r="AB7">
        <f t="shared" si="1"/>
        <v>25</v>
      </c>
      <c r="AC7">
        <f t="shared" si="1"/>
        <v>26</v>
      </c>
      <c r="AD7">
        <f t="shared" si="1"/>
        <v>27</v>
      </c>
      <c r="AE7">
        <f t="shared" si="1"/>
        <v>28</v>
      </c>
      <c r="AF7">
        <f t="shared" si="1"/>
        <v>29</v>
      </c>
      <c r="AG7">
        <f t="shared" si="1"/>
        <v>30</v>
      </c>
      <c r="AH7">
        <f t="shared" si="1"/>
        <v>31</v>
      </c>
      <c r="AI7">
        <f t="shared" si="1"/>
        <v>32</v>
      </c>
      <c r="AJ7">
        <f t="shared" si="1"/>
        <v>33</v>
      </c>
      <c r="AK7">
        <f t="shared" si="1"/>
        <v>34</v>
      </c>
      <c r="AL7">
        <f t="shared" si="1"/>
        <v>35</v>
      </c>
      <c r="AM7">
        <f t="shared" si="1"/>
        <v>36</v>
      </c>
      <c r="AN7">
        <f t="shared" si="1"/>
        <v>37</v>
      </c>
      <c r="AO7">
        <f t="shared" si="1"/>
        <v>38</v>
      </c>
      <c r="AP7">
        <f t="shared" si="1"/>
        <v>39</v>
      </c>
      <c r="AQ7">
        <f t="shared" si="1"/>
        <v>40</v>
      </c>
      <c r="AR7">
        <f t="shared" si="1"/>
        <v>41</v>
      </c>
      <c r="AS7">
        <f t="shared" si="1"/>
        <v>42</v>
      </c>
      <c r="AT7">
        <f t="shared" si="1"/>
        <v>43</v>
      </c>
      <c r="AU7">
        <f t="shared" si="1"/>
        <v>44</v>
      </c>
      <c r="AV7">
        <f t="shared" si="1"/>
        <v>45</v>
      </c>
      <c r="AW7">
        <f t="shared" si="1"/>
        <v>46</v>
      </c>
      <c r="AX7">
        <f t="shared" si="1"/>
        <v>47</v>
      </c>
      <c r="AY7">
        <f t="shared" si="1"/>
        <v>48</v>
      </c>
      <c r="AZ7">
        <f t="shared" si="1"/>
        <v>49</v>
      </c>
      <c r="BA7">
        <f t="shared" si="1"/>
        <v>50</v>
      </c>
      <c r="BB7">
        <f t="shared" si="1"/>
        <v>51</v>
      </c>
      <c r="BC7">
        <f t="shared" si="1"/>
        <v>52</v>
      </c>
      <c r="BD7">
        <f t="shared" si="1"/>
        <v>53</v>
      </c>
      <c r="BE7">
        <f t="shared" si="1"/>
        <v>54</v>
      </c>
      <c r="BF7">
        <f t="shared" si="1"/>
        <v>55</v>
      </c>
      <c r="BG7">
        <f t="shared" si="1"/>
        <v>56</v>
      </c>
      <c r="BH7">
        <f t="shared" si="1"/>
        <v>57</v>
      </c>
    </row>
    <row r="8" spans="2:60" x14ac:dyDescent="0.3"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</row>
    <row r="9" spans="2:60" x14ac:dyDescent="0.3"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>
        <f>$C$3</f>
        <v>1200000</v>
      </c>
      <c r="AF9" s="51">
        <f>$C$3</f>
        <v>1200000</v>
      </c>
      <c r="AG9" s="51">
        <f>$C$3</f>
        <v>1200000</v>
      </c>
      <c r="AH9" s="51">
        <f>$C$3</f>
        <v>1200000</v>
      </c>
      <c r="AI9" s="51">
        <f>$C$3</f>
        <v>1200000</v>
      </c>
      <c r="AJ9" s="51">
        <f>$C$3</f>
        <v>1200000</v>
      </c>
      <c r="AK9" s="51">
        <f>$C$3</f>
        <v>1200000</v>
      </c>
      <c r="AL9" s="51">
        <f>$C$3</f>
        <v>1200000</v>
      </c>
      <c r="AM9" s="51">
        <f>$C$3</f>
        <v>1200000</v>
      </c>
      <c r="AN9" s="51">
        <f>$C$3</f>
        <v>1200000</v>
      </c>
      <c r="AO9" s="51">
        <f>$C$3</f>
        <v>1200000</v>
      </c>
      <c r="AP9" s="51">
        <f>$C$3</f>
        <v>1200000</v>
      </c>
      <c r="AQ9" s="51">
        <f>$C$3</f>
        <v>1200000</v>
      </c>
      <c r="AR9" s="51">
        <f>$C$3</f>
        <v>1200000</v>
      </c>
      <c r="AS9" s="51">
        <f>$C$3</f>
        <v>1200000</v>
      </c>
      <c r="AT9" s="51">
        <f>$C$3</f>
        <v>1200000</v>
      </c>
      <c r="AU9" s="51">
        <f>$C$3</f>
        <v>1200000</v>
      </c>
      <c r="AV9" s="51">
        <f>$C$3</f>
        <v>1200000</v>
      </c>
      <c r="AW9" s="51">
        <f>$C$3</f>
        <v>1200000</v>
      </c>
      <c r="AX9" s="51">
        <f>$C$3</f>
        <v>1200000</v>
      </c>
      <c r="AY9" s="51">
        <f>$C$3</f>
        <v>1200000</v>
      </c>
      <c r="AZ9" s="51">
        <f>$C$3</f>
        <v>1200000</v>
      </c>
      <c r="BA9" s="51">
        <f>$C$3</f>
        <v>1200000</v>
      </c>
      <c r="BB9" s="51">
        <f>$C$3</f>
        <v>1200000</v>
      </c>
      <c r="BC9" s="51">
        <f>$C$3</f>
        <v>1200000</v>
      </c>
      <c r="BD9" s="51">
        <f>$C$3</f>
        <v>1200000</v>
      </c>
      <c r="BE9" s="51">
        <f>$C$3</f>
        <v>1200000</v>
      </c>
      <c r="BF9" s="51">
        <f>$C$3</f>
        <v>1200000</v>
      </c>
      <c r="BG9" s="51">
        <f t="shared" ref="BG9:BH9" si="2">$C$3</f>
        <v>1200000</v>
      </c>
      <c r="BH9" s="51">
        <f t="shared" si="2"/>
        <v>1200000</v>
      </c>
    </row>
    <row r="10" spans="2:60" x14ac:dyDescent="0.3"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>
        <f>AE9/(1+$C$2)^(AE7-$AD$7)</f>
        <v>1043478.2608695653</v>
      </c>
      <c r="AF10" s="51">
        <f t="shared" ref="AF10:BH10" si="3">AF9/(1+$C$2)^(AF7-$AD$7)</f>
        <v>907372.40075614385</v>
      </c>
      <c r="AG10" s="51">
        <f t="shared" si="3"/>
        <v>789019.47891838604</v>
      </c>
      <c r="AH10" s="51">
        <f t="shared" si="3"/>
        <v>686103.89471164008</v>
      </c>
      <c r="AI10" s="51">
        <f t="shared" si="3"/>
        <v>596612.08235794783</v>
      </c>
      <c r="AJ10" s="51">
        <f t="shared" si="3"/>
        <v>518793.11509386776</v>
      </c>
      <c r="AK10" s="51">
        <f t="shared" si="3"/>
        <v>451124.4479077112</v>
      </c>
      <c r="AL10" s="51">
        <f t="shared" si="3"/>
        <v>392282.12861540104</v>
      </c>
      <c r="AM10" s="51">
        <f t="shared" si="3"/>
        <v>341114.89444817486</v>
      </c>
      <c r="AN10" s="51">
        <f t="shared" si="3"/>
        <v>296621.64734623901</v>
      </c>
      <c r="AO10" s="51">
        <f t="shared" si="3"/>
        <v>257931.86725759917</v>
      </c>
      <c r="AP10" s="51">
        <f t="shared" si="3"/>
        <v>224288.58022399934</v>
      </c>
      <c r="AQ10" s="51">
        <f t="shared" si="3"/>
        <v>195033.54802086897</v>
      </c>
      <c r="AR10" s="51">
        <f t="shared" si="3"/>
        <v>169594.38958336433</v>
      </c>
      <c r="AS10" s="51">
        <f t="shared" si="3"/>
        <v>147473.38224640381</v>
      </c>
      <c r="AT10" s="51">
        <f t="shared" si="3"/>
        <v>128237.72369252506</v>
      </c>
      <c r="AU10" s="51">
        <f t="shared" si="3"/>
        <v>111511.06408045659</v>
      </c>
      <c r="AV10" s="51">
        <f t="shared" si="3"/>
        <v>96966.14267865791</v>
      </c>
      <c r="AW10" s="51">
        <f t="shared" si="3"/>
        <v>84318.384937963405</v>
      </c>
      <c r="AX10" s="51">
        <f t="shared" si="3"/>
        <v>73320.334728663845</v>
      </c>
      <c r="AY10" s="51">
        <f t="shared" si="3"/>
        <v>63756.812807533774</v>
      </c>
      <c r="AZ10" s="51">
        <f t="shared" si="3"/>
        <v>55440.706789159805</v>
      </c>
      <c r="BA10" s="51">
        <f t="shared" si="3"/>
        <v>48209.310251443319</v>
      </c>
      <c r="BB10" s="51">
        <f t="shared" si="3"/>
        <v>41921.139349081153</v>
      </c>
      <c r="BC10" s="51">
        <f t="shared" si="3"/>
        <v>36453.164651374915</v>
      </c>
      <c r="BD10" s="51">
        <f t="shared" si="3"/>
        <v>31698.40404467384</v>
      </c>
      <c r="BE10" s="51">
        <f t="shared" si="3"/>
        <v>27563.829604064213</v>
      </c>
      <c r="BF10" s="51">
        <f t="shared" si="3"/>
        <v>23968.547481794973</v>
      </c>
      <c r="BG10" s="51">
        <f t="shared" si="3"/>
        <v>20842.215201560844</v>
      </c>
      <c r="BH10" s="51">
        <f t="shared" si="3"/>
        <v>18123.665392661602</v>
      </c>
    </row>
    <row r="11" spans="2:60" x14ac:dyDescent="0.3"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157">
        <f>SUM(AE10:BH10)</f>
        <v>7879175.5640489263</v>
      </c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</row>
    <row r="12" spans="2:60" x14ac:dyDescent="0.3">
      <c r="B12" t="s">
        <v>170</v>
      </c>
      <c r="C12" s="51">
        <v>0</v>
      </c>
      <c r="D12" s="51">
        <f>$C$4</f>
        <v>27785.7666990871</v>
      </c>
      <c r="E12" s="51">
        <f t="shared" ref="E12:AD12" si="4">$C$4</f>
        <v>27785.7666990871</v>
      </c>
      <c r="F12" s="51">
        <f t="shared" si="4"/>
        <v>27785.7666990871</v>
      </c>
      <c r="G12" s="51">
        <f t="shared" si="4"/>
        <v>27785.7666990871</v>
      </c>
      <c r="H12" s="51">
        <f t="shared" si="4"/>
        <v>27785.7666990871</v>
      </c>
      <c r="I12" s="51">
        <f t="shared" si="4"/>
        <v>27785.7666990871</v>
      </c>
      <c r="J12" s="51">
        <f t="shared" si="4"/>
        <v>27785.7666990871</v>
      </c>
      <c r="K12" s="51">
        <f t="shared" si="4"/>
        <v>27785.7666990871</v>
      </c>
      <c r="L12" s="51">
        <f t="shared" si="4"/>
        <v>27785.7666990871</v>
      </c>
      <c r="M12" s="51">
        <f t="shared" si="4"/>
        <v>27785.7666990871</v>
      </c>
      <c r="N12" s="51">
        <f t="shared" si="4"/>
        <v>27785.7666990871</v>
      </c>
      <c r="O12" s="51">
        <f t="shared" si="4"/>
        <v>27785.7666990871</v>
      </c>
      <c r="P12" s="51">
        <f t="shared" si="4"/>
        <v>27785.7666990871</v>
      </c>
      <c r="Q12" s="51">
        <f t="shared" si="4"/>
        <v>27785.7666990871</v>
      </c>
      <c r="R12" s="51">
        <f t="shared" si="4"/>
        <v>27785.7666990871</v>
      </c>
      <c r="S12" s="51">
        <f t="shared" si="4"/>
        <v>27785.7666990871</v>
      </c>
      <c r="T12" s="51">
        <f t="shared" si="4"/>
        <v>27785.7666990871</v>
      </c>
      <c r="U12" s="51">
        <f t="shared" si="4"/>
        <v>27785.7666990871</v>
      </c>
      <c r="V12" s="51">
        <f t="shared" si="4"/>
        <v>27785.7666990871</v>
      </c>
      <c r="W12" s="51">
        <f t="shared" si="4"/>
        <v>27785.7666990871</v>
      </c>
      <c r="X12" s="51">
        <f t="shared" si="4"/>
        <v>27785.7666990871</v>
      </c>
      <c r="Y12" s="51">
        <f t="shared" si="4"/>
        <v>27785.7666990871</v>
      </c>
      <c r="Z12" s="51">
        <f t="shared" si="4"/>
        <v>27785.7666990871</v>
      </c>
      <c r="AA12" s="51">
        <f t="shared" si="4"/>
        <v>27785.7666990871</v>
      </c>
      <c r="AB12" s="51">
        <f t="shared" si="4"/>
        <v>27785.7666990871</v>
      </c>
      <c r="AC12" s="51">
        <f t="shared" si="4"/>
        <v>27785.7666990871</v>
      </c>
      <c r="AD12" s="51">
        <f t="shared" si="4"/>
        <v>27785.7666990871</v>
      </c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</row>
    <row r="13" spans="2:60" x14ac:dyDescent="0.3">
      <c r="B13" t="s">
        <v>171</v>
      </c>
      <c r="C13" s="51">
        <f>C12</f>
        <v>0</v>
      </c>
      <c r="D13" s="51">
        <f>(C13*(1+$C$2))+D12</f>
        <v>27785.7666990871</v>
      </c>
      <c r="E13" s="51">
        <f t="shared" ref="E13:R13" si="5">(D13*(1+$C$2))+E12</f>
        <v>59739.398403037267</v>
      </c>
      <c r="F13" s="51">
        <f t="shared" si="5"/>
        <v>96486.074862579961</v>
      </c>
      <c r="G13" s="51">
        <f t="shared" si="5"/>
        <v>138744.75279105405</v>
      </c>
      <c r="H13" s="51">
        <f t="shared" si="5"/>
        <v>187342.23240879926</v>
      </c>
      <c r="I13" s="51">
        <f t="shared" si="5"/>
        <v>243229.33396920623</v>
      </c>
      <c r="J13" s="51">
        <f t="shared" si="5"/>
        <v>307499.50076367427</v>
      </c>
      <c r="K13" s="51">
        <f t="shared" si="5"/>
        <v>381410.19257731247</v>
      </c>
      <c r="L13" s="51">
        <f t="shared" si="5"/>
        <v>466407.48816299642</v>
      </c>
      <c r="M13" s="51">
        <f t="shared" si="5"/>
        <v>564154.37808653293</v>
      </c>
      <c r="N13" s="51">
        <f t="shared" si="5"/>
        <v>676563.30149859993</v>
      </c>
      <c r="O13" s="51">
        <f t="shared" si="5"/>
        <v>805833.56342247699</v>
      </c>
      <c r="P13" s="51">
        <f t="shared" si="5"/>
        <v>954494.36463493563</v>
      </c>
      <c r="Q13" s="51">
        <f t="shared" si="5"/>
        <v>1125454.2860292629</v>
      </c>
      <c r="R13" s="51">
        <f t="shared" si="5"/>
        <v>1322058.1956327395</v>
      </c>
      <c r="S13" s="51">
        <f t="shared" ref="S13" si="6">(R13*(1+$C$2))+S12</f>
        <v>1548152.6916767373</v>
      </c>
      <c r="T13" s="51">
        <f t="shared" ref="T13" si="7">(S13*(1+$C$2))+T12</f>
        <v>1808161.3621273348</v>
      </c>
      <c r="U13" s="51">
        <f t="shared" ref="U13" si="8">(T13*(1+$C$2))+U12</f>
        <v>2107171.333145522</v>
      </c>
      <c r="V13" s="51">
        <f t="shared" ref="V13" si="9">(U13*(1+$C$2))+V12</f>
        <v>2451032.7998164371</v>
      </c>
      <c r="W13" s="51">
        <f t="shared" ref="W13" si="10">(V13*(1+$C$2))+W12</f>
        <v>2846473.4864879893</v>
      </c>
      <c r="X13" s="51">
        <f t="shared" ref="X13" si="11">(W13*(1+$C$2))+X12</f>
        <v>3301230.2761602742</v>
      </c>
      <c r="Y13" s="51">
        <f t="shared" ref="Y13" si="12">(X13*(1+$C$2))+Y12</f>
        <v>3824200.5842834017</v>
      </c>
      <c r="Z13" s="51">
        <f t="shared" ref="Z13" si="13">(Y13*(1+$C$2))+Z12</f>
        <v>4425616.4386249986</v>
      </c>
      <c r="AA13" s="51">
        <f t="shared" ref="AA13" si="14">(Z13*(1+$C$2))+AA12</f>
        <v>5117244.6711178347</v>
      </c>
      <c r="AB13" s="51">
        <f t="shared" ref="AB13" si="15">(AA13*(1+$C$2))+AB12</f>
        <v>5912617.1384845963</v>
      </c>
      <c r="AC13" s="51">
        <f t="shared" ref="AC13:AD13" si="16">(AB13*(1+$C$2))+AC12</f>
        <v>6827295.475956372</v>
      </c>
      <c r="AD13" s="157">
        <f t="shared" si="16"/>
        <v>7879175.5640489142</v>
      </c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</row>
    <row r="14" spans="2:60" x14ac:dyDescent="0.3"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</row>
    <row r="15" spans="2:60" x14ac:dyDescent="0.3"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157">
        <f>AD11-AD13</f>
        <v>1.2107193470001221E-8</v>
      </c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</row>
  </sheetData>
  <pageMargins left="0.75" right="0.75" top="1" bottom="1" header="0.5" footer="0.5"/>
  <pageSetup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B1:Q29"/>
  <sheetViews>
    <sheetView zoomScaleNormal="100" workbookViewId="0">
      <selection activeCell="G19" sqref="G19"/>
    </sheetView>
  </sheetViews>
  <sheetFormatPr baseColWidth="10" defaultRowHeight="15.6" x14ac:dyDescent="0.3"/>
  <cols>
    <col min="2" max="2" width="1.8984375" bestFit="1" customWidth="1"/>
    <col min="3" max="3" width="12.296875" bestFit="1" customWidth="1"/>
    <col min="4" max="4" width="10.8984375" bestFit="1" customWidth="1"/>
    <col min="5" max="5" width="18.19921875" bestFit="1" customWidth="1"/>
    <col min="6" max="6" width="8.296875" bestFit="1" customWidth="1"/>
    <col min="7" max="7" width="13.59765625" bestFit="1" customWidth="1"/>
    <col min="8" max="8" width="10" bestFit="1" customWidth="1"/>
    <col min="9" max="9" width="10.09765625" bestFit="1" customWidth="1"/>
    <col min="10" max="10" width="5.69921875" customWidth="1"/>
    <col min="11" max="11" width="3.296875" bestFit="1" customWidth="1"/>
  </cols>
  <sheetData>
    <row r="1" spans="2:17" ht="16.2" thickBot="1" x14ac:dyDescent="0.35"/>
    <row r="2" spans="2:17" x14ac:dyDescent="0.3">
      <c r="B2" s="274" t="s">
        <v>107</v>
      </c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</row>
    <row r="3" spans="2:17" x14ac:dyDescent="0.3"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</row>
    <row r="4" spans="2:17" x14ac:dyDescent="0.3"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</row>
    <row r="5" spans="2:17" x14ac:dyDescent="0.3">
      <c r="B5" s="275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75"/>
      <c r="P5" s="275"/>
    </row>
    <row r="7" spans="2:17" x14ac:dyDescent="0.3">
      <c r="B7">
        <v>4</v>
      </c>
      <c r="C7" t="s">
        <v>55</v>
      </c>
    </row>
    <row r="8" spans="2:17" x14ac:dyDescent="0.3">
      <c r="C8" t="s">
        <v>51</v>
      </c>
      <c r="D8" s="10">
        <v>1000</v>
      </c>
      <c r="E8" t="s">
        <v>128</v>
      </c>
      <c r="F8" t="s">
        <v>151</v>
      </c>
    </row>
    <row r="9" spans="2:17" x14ac:dyDescent="0.3">
      <c r="C9" t="s">
        <v>56</v>
      </c>
      <c r="D9" s="10">
        <f>+$D$8*E9</f>
        <v>150</v>
      </c>
      <c r="E9" s="1">
        <v>0.15</v>
      </c>
      <c r="F9" s="9">
        <v>0.15</v>
      </c>
    </row>
    <row r="10" spans="2:17" x14ac:dyDescent="0.3">
      <c r="C10" t="s">
        <v>57</v>
      </c>
      <c r="D10" s="10">
        <f t="shared" ref="D10:D11" si="0">+$D$8*E10</f>
        <v>250</v>
      </c>
      <c r="E10" s="1">
        <v>0.25</v>
      </c>
      <c r="F10" s="9">
        <v>0.2</v>
      </c>
    </row>
    <row r="11" spans="2:17" x14ac:dyDescent="0.3">
      <c r="C11" t="s">
        <v>58</v>
      </c>
      <c r="D11" s="10">
        <f t="shared" si="0"/>
        <v>300</v>
      </c>
      <c r="E11" s="1">
        <v>0.3</v>
      </c>
      <c r="F11" s="9">
        <v>0.2</v>
      </c>
    </row>
    <row r="12" spans="2:17" x14ac:dyDescent="0.3">
      <c r="C12" t="s">
        <v>59</v>
      </c>
      <c r="D12" s="10">
        <f>+$D$8*E12</f>
        <v>300</v>
      </c>
      <c r="E12" s="1">
        <v>0.3</v>
      </c>
      <c r="F12" s="9">
        <v>0.15</v>
      </c>
    </row>
    <row r="14" spans="2:17" ht="16.2" thickBot="1" x14ac:dyDescent="0.35"/>
    <row r="15" spans="2:17" ht="31.8" thickBot="1" x14ac:dyDescent="0.35">
      <c r="C15" s="30" t="s">
        <v>60</v>
      </c>
      <c r="D15" s="41" t="s">
        <v>75</v>
      </c>
      <c r="E15" s="31" t="s">
        <v>136</v>
      </c>
      <c r="F15" s="31" t="s">
        <v>31</v>
      </c>
      <c r="G15" s="31" t="s">
        <v>129</v>
      </c>
      <c r="H15" s="31" t="s">
        <v>80</v>
      </c>
      <c r="I15" s="32" t="s">
        <v>61</v>
      </c>
      <c r="K15" s="30" t="s">
        <v>60</v>
      </c>
      <c r="L15" s="41" t="s">
        <v>146</v>
      </c>
      <c r="M15" s="31" t="s">
        <v>147</v>
      </c>
      <c r="N15" s="31" t="s">
        <v>148</v>
      </c>
      <c r="O15" s="31" t="s">
        <v>149</v>
      </c>
      <c r="P15" s="31" t="s">
        <v>152</v>
      </c>
      <c r="Q15" s="32" t="s">
        <v>150</v>
      </c>
    </row>
    <row r="16" spans="2:17" ht="16.2" thickBot="1" x14ac:dyDescent="0.35">
      <c r="C16" s="172">
        <v>0</v>
      </c>
      <c r="D16" s="5"/>
      <c r="E16" s="5"/>
      <c r="F16" s="5"/>
      <c r="G16" s="5"/>
      <c r="H16" s="28"/>
      <c r="I16" s="44">
        <v>1000</v>
      </c>
    </row>
    <row r="17" spans="3:17" x14ac:dyDescent="0.3">
      <c r="C17" s="172">
        <v>1</v>
      </c>
      <c r="D17" s="42">
        <v>1000</v>
      </c>
      <c r="E17" s="42">
        <f>+D9</f>
        <v>150</v>
      </c>
      <c r="F17" s="4">
        <v>0.15</v>
      </c>
      <c r="G17" s="42">
        <f>+F17*I16</f>
        <v>150</v>
      </c>
      <c r="H17" s="42">
        <f>+E17+G17</f>
        <v>300</v>
      </c>
      <c r="I17" s="44">
        <f>+D17-E17</f>
        <v>850</v>
      </c>
      <c r="K17" s="80">
        <v>1</v>
      </c>
      <c r="L17" s="166">
        <f>D8</f>
        <v>1000</v>
      </c>
      <c r="M17" s="166">
        <f>L17*F9</f>
        <v>150</v>
      </c>
      <c r="N17" s="166">
        <f>M17</f>
        <v>150</v>
      </c>
      <c r="O17" s="166">
        <f>D9</f>
        <v>150</v>
      </c>
      <c r="P17" s="166">
        <f>N17+O17</f>
        <v>300</v>
      </c>
      <c r="Q17" s="167">
        <f>L17-O17</f>
        <v>850</v>
      </c>
    </row>
    <row r="18" spans="3:17" x14ac:dyDescent="0.3">
      <c r="C18" s="172">
        <v>2</v>
      </c>
      <c r="D18" s="42">
        <f>+I17</f>
        <v>850</v>
      </c>
      <c r="E18" s="42">
        <f>+D10</f>
        <v>250</v>
      </c>
      <c r="F18" s="4">
        <v>0.2</v>
      </c>
      <c r="G18" s="42">
        <f>+F18*I17</f>
        <v>170</v>
      </c>
      <c r="H18" s="42">
        <f>+E18+G18</f>
        <v>420</v>
      </c>
      <c r="I18" s="44">
        <f>+D18-E18</f>
        <v>600</v>
      </c>
      <c r="K18" s="172">
        <v>2</v>
      </c>
      <c r="L18" s="168">
        <f>Q17</f>
        <v>850</v>
      </c>
      <c r="M18" s="168">
        <f>L18*F10</f>
        <v>170</v>
      </c>
      <c r="N18" s="168">
        <f>M18</f>
        <v>170</v>
      </c>
      <c r="O18" s="168">
        <f>D10</f>
        <v>250</v>
      </c>
      <c r="P18" s="168">
        <f>N18+O18</f>
        <v>420</v>
      </c>
      <c r="Q18" s="169">
        <f>L18-O18</f>
        <v>600</v>
      </c>
    </row>
    <row r="19" spans="3:17" x14ac:dyDescent="0.3">
      <c r="C19" s="172">
        <v>3</v>
      </c>
      <c r="D19" s="42">
        <f>+I18</f>
        <v>600</v>
      </c>
      <c r="E19" s="42">
        <f>+D11</f>
        <v>300</v>
      </c>
      <c r="F19" s="4">
        <v>0.2</v>
      </c>
      <c r="G19" s="42">
        <f>+F19*I18</f>
        <v>120</v>
      </c>
      <c r="H19" s="42">
        <f>+E19+G19</f>
        <v>420</v>
      </c>
      <c r="I19" s="44">
        <f>+D19-E19</f>
        <v>300</v>
      </c>
      <c r="K19" s="172">
        <v>3</v>
      </c>
      <c r="L19" s="168">
        <f t="shared" ref="L19:L20" si="1">Q18</f>
        <v>600</v>
      </c>
      <c r="M19" s="168">
        <f>L19*F11</f>
        <v>120</v>
      </c>
      <c r="N19" s="168">
        <f t="shared" ref="N19:N20" si="2">M19</f>
        <v>120</v>
      </c>
      <c r="O19" s="168">
        <f>D11</f>
        <v>300</v>
      </c>
      <c r="P19" s="168">
        <f t="shared" ref="P19:P20" si="3">N19+O19</f>
        <v>420</v>
      </c>
      <c r="Q19" s="169">
        <f t="shared" ref="Q19:Q20" si="4">L19-O19</f>
        <v>300</v>
      </c>
    </row>
    <row r="20" spans="3:17" ht="16.2" thickBot="1" x14ac:dyDescent="0.35">
      <c r="C20" s="173">
        <v>4</v>
      </c>
      <c r="D20" s="43">
        <f>+I19</f>
        <v>300</v>
      </c>
      <c r="E20" s="43">
        <f>+D12</f>
        <v>300</v>
      </c>
      <c r="F20" s="38">
        <v>0.15</v>
      </c>
      <c r="G20" s="43">
        <f>+F20*I19</f>
        <v>45</v>
      </c>
      <c r="H20" s="43">
        <f>+E20+G20</f>
        <v>345</v>
      </c>
      <c r="I20" s="45">
        <f>+D20-E20</f>
        <v>0</v>
      </c>
      <c r="K20" s="173">
        <v>4</v>
      </c>
      <c r="L20" s="170">
        <f t="shared" si="1"/>
        <v>300</v>
      </c>
      <c r="M20" s="170">
        <f>L20*F12</f>
        <v>45</v>
      </c>
      <c r="N20" s="170">
        <f t="shared" si="2"/>
        <v>45</v>
      </c>
      <c r="O20" s="170">
        <f>D12</f>
        <v>300</v>
      </c>
      <c r="P20" s="170">
        <f t="shared" si="3"/>
        <v>345</v>
      </c>
      <c r="Q20" s="171">
        <f t="shared" si="4"/>
        <v>0</v>
      </c>
    </row>
    <row r="21" spans="3:17" x14ac:dyDescent="0.3">
      <c r="E21" s="165">
        <f>SUM(E17:E20)</f>
        <v>1000</v>
      </c>
      <c r="G21" s="165">
        <f>SUM(G17:G20)</f>
        <v>485</v>
      </c>
      <c r="H21" s="165">
        <f>+E21+G21</f>
        <v>1485</v>
      </c>
      <c r="N21" s="165">
        <f>SUM(N17:N20)</f>
        <v>485</v>
      </c>
      <c r="O21" s="165">
        <f t="shared" ref="O21:P21" si="5">SUM(O17:O20)</f>
        <v>1000</v>
      </c>
      <c r="P21" s="165">
        <f t="shared" si="5"/>
        <v>1485</v>
      </c>
    </row>
    <row r="24" spans="3:17" x14ac:dyDescent="0.3">
      <c r="C24" s="39"/>
      <c r="D24" s="40"/>
      <c r="E24" s="40"/>
      <c r="F24" s="40"/>
      <c r="G24" s="40"/>
      <c r="H24" s="40"/>
    </row>
    <row r="25" spans="3:17" x14ac:dyDescent="0.3">
      <c r="C25" s="5"/>
      <c r="D25" s="5"/>
      <c r="E25" s="5"/>
      <c r="F25" s="5"/>
      <c r="G25" s="28"/>
      <c r="H25" s="5"/>
    </row>
    <row r="26" spans="3:17" x14ac:dyDescent="0.3">
      <c r="C26" s="5"/>
      <c r="D26" s="5"/>
      <c r="E26" s="4"/>
      <c r="F26" s="28"/>
      <c r="G26" s="29"/>
      <c r="H26" s="5"/>
    </row>
    <row r="27" spans="3:17" x14ac:dyDescent="0.3">
      <c r="C27" s="5"/>
      <c r="D27" s="5"/>
      <c r="E27" s="4"/>
      <c r="F27" s="5"/>
      <c r="G27" s="5"/>
      <c r="H27" s="5"/>
    </row>
    <row r="28" spans="3:17" x14ac:dyDescent="0.3">
      <c r="C28" s="5"/>
      <c r="D28" s="5"/>
      <c r="E28" s="4"/>
      <c r="F28" s="5"/>
      <c r="G28" s="5"/>
      <c r="H28" s="5"/>
    </row>
    <row r="29" spans="3:17" x14ac:dyDescent="0.3">
      <c r="C29" s="5"/>
      <c r="D29" s="5"/>
      <c r="E29" s="4"/>
      <c r="F29" s="5"/>
      <c r="G29" s="5"/>
      <c r="H29" s="5"/>
    </row>
  </sheetData>
  <mergeCells count="1">
    <mergeCell ref="B2:P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B2:N20"/>
  <sheetViews>
    <sheetView zoomScaleNormal="100" workbookViewId="0"/>
  </sheetViews>
  <sheetFormatPr baseColWidth="10" defaultRowHeight="15.6" x14ac:dyDescent="0.3"/>
  <cols>
    <col min="3" max="3" width="3.09765625" bestFit="1" customWidth="1"/>
    <col min="4" max="4" width="9.8984375" bestFit="1" customWidth="1"/>
    <col min="5" max="5" width="10.09765625" bestFit="1" customWidth="1"/>
    <col min="6" max="6" width="9.19921875" bestFit="1" customWidth="1"/>
    <col min="7" max="7" width="7.8984375" bestFit="1" customWidth="1"/>
    <col min="8" max="9" width="8.8984375" bestFit="1" customWidth="1"/>
    <col min="10" max="10" width="7.8984375" bestFit="1" customWidth="1"/>
  </cols>
  <sheetData>
    <row r="2" spans="2:14" x14ac:dyDescent="0.3">
      <c r="B2" s="271" t="s">
        <v>35</v>
      </c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</row>
    <row r="3" spans="2:14" x14ac:dyDescent="0.3"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</row>
    <row r="4" spans="2:14" x14ac:dyDescent="0.3"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</row>
    <row r="5" spans="2:14" x14ac:dyDescent="0.3">
      <c r="B5" s="271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</row>
    <row r="6" spans="2:14" x14ac:dyDescent="0.3"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</row>
    <row r="7" spans="2:14" x14ac:dyDescent="0.3">
      <c r="B7" s="271"/>
      <c r="C7" s="271"/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</row>
    <row r="9" spans="2:14" x14ac:dyDescent="0.3">
      <c r="D9" t="s">
        <v>83</v>
      </c>
      <c r="E9" s="33">
        <v>10000</v>
      </c>
    </row>
    <row r="10" spans="2:14" x14ac:dyDescent="0.3">
      <c r="D10" t="s">
        <v>130</v>
      </c>
      <c r="E10" s="1">
        <v>0.15</v>
      </c>
    </row>
    <row r="11" spans="2:14" x14ac:dyDescent="0.3">
      <c r="D11" s="23" t="s">
        <v>67</v>
      </c>
      <c r="E11" s="250">
        <f>+E9*(E10/((1-(1+E10)^-5)))</f>
        <v>2983.1555246152843</v>
      </c>
    </row>
    <row r="12" spans="2:14" ht="16.2" thickBot="1" x14ac:dyDescent="0.35">
      <c r="E12" s="1"/>
    </row>
    <row r="13" spans="2:14" ht="31.8" thickBot="1" x14ac:dyDescent="0.35">
      <c r="D13" s="30" t="s">
        <v>60</v>
      </c>
      <c r="E13" s="41" t="s">
        <v>146</v>
      </c>
      <c r="F13" s="31" t="s">
        <v>147</v>
      </c>
      <c r="G13" s="31" t="s">
        <v>148</v>
      </c>
      <c r="H13" s="31" t="s">
        <v>149</v>
      </c>
      <c r="I13" s="31" t="s">
        <v>152</v>
      </c>
      <c r="J13" s="32" t="s">
        <v>150</v>
      </c>
    </row>
    <row r="14" spans="2:14" x14ac:dyDescent="0.3">
      <c r="D14" s="80">
        <v>1</v>
      </c>
      <c r="E14" s="251">
        <f>E9</f>
        <v>10000</v>
      </c>
      <c r="F14" s="252">
        <f>$E$10*E14</f>
        <v>1500</v>
      </c>
      <c r="G14" s="251">
        <f>F14</f>
        <v>1500</v>
      </c>
      <c r="H14" s="251">
        <f>I14-G14</f>
        <v>1483.1555246152843</v>
      </c>
      <c r="I14" s="253">
        <f>$E$11</f>
        <v>2983.1555246152843</v>
      </c>
      <c r="J14" s="254">
        <f>E14-H14</f>
        <v>8516.8444753847161</v>
      </c>
    </row>
    <row r="15" spans="2:14" x14ac:dyDescent="0.3">
      <c r="D15" s="172">
        <v>2</v>
      </c>
      <c r="E15" s="255">
        <f>J14</f>
        <v>8516.8444753847161</v>
      </c>
      <c r="F15" s="256">
        <f>$E$10*E15</f>
        <v>1277.5266713077074</v>
      </c>
      <c r="G15" s="255">
        <f>F15</f>
        <v>1277.5266713077074</v>
      </c>
      <c r="H15" s="255">
        <f>I15-G15</f>
        <v>1705.6288533075769</v>
      </c>
      <c r="I15" s="257">
        <f>$E$11</f>
        <v>2983.1555246152843</v>
      </c>
      <c r="J15" s="258">
        <f>E15-H15</f>
        <v>6811.2156220771394</v>
      </c>
    </row>
    <row r="16" spans="2:14" x14ac:dyDescent="0.3">
      <c r="D16" s="172">
        <v>3</v>
      </c>
      <c r="E16" s="255">
        <f t="shared" ref="E16:E18" si="0">J15</f>
        <v>6811.2156220771394</v>
      </c>
      <c r="F16" s="256">
        <f t="shared" ref="F16:F18" si="1">$E$10*E16</f>
        <v>1021.6823433115709</v>
      </c>
      <c r="G16" s="255">
        <f t="shared" ref="G16:G18" si="2">F16</f>
        <v>1021.6823433115709</v>
      </c>
      <c r="H16" s="255">
        <f t="shared" ref="H16:H18" si="3">I16-G16</f>
        <v>1961.4731813037133</v>
      </c>
      <c r="I16" s="257">
        <f>$E$11</f>
        <v>2983.1555246152843</v>
      </c>
      <c r="J16" s="258">
        <f t="shared" ref="J16:J18" si="4">E16-H16</f>
        <v>4849.7424407734261</v>
      </c>
    </row>
    <row r="17" spans="4:11" x14ac:dyDescent="0.3">
      <c r="D17" s="172">
        <v>4</v>
      </c>
      <c r="E17" s="255">
        <f t="shared" si="0"/>
        <v>4849.7424407734261</v>
      </c>
      <c r="F17" s="256">
        <f t="shared" si="1"/>
        <v>727.46136611601389</v>
      </c>
      <c r="G17" s="255">
        <f t="shared" si="2"/>
        <v>727.46136611601389</v>
      </c>
      <c r="H17" s="255">
        <f t="shared" si="3"/>
        <v>2255.6941584992705</v>
      </c>
      <c r="I17" s="257">
        <f>$E$11</f>
        <v>2983.1555246152843</v>
      </c>
      <c r="J17" s="258">
        <f t="shared" si="4"/>
        <v>2594.0482822741556</v>
      </c>
    </row>
    <row r="18" spans="4:11" ht="16.2" thickBot="1" x14ac:dyDescent="0.35">
      <c r="D18" s="173">
        <v>5</v>
      </c>
      <c r="E18" s="259">
        <f t="shared" si="0"/>
        <v>2594.0482822741556</v>
      </c>
      <c r="F18" s="260">
        <f t="shared" si="1"/>
        <v>389.10724234112331</v>
      </c>
      <c r="G18" s="259">
        <f t="shared" si="2"/>
        <v>389.10724234112331</v>
      </c>
      <c r="H18" s="259">
        <f t="shared" si="3"/>
        <v>2594.048282274161</v>
      </c>
      <c r="I18" s="261">
        <f>$E$11</f>
        <v>2983.1555246152843</v>
      </c>
      <c r="J18" s="262">
        <f t="shared" si="4"/>
        <v>-5.4569682106375694E-12</v>
      </c>
    </row>
    <row r="19" spans="4:11" x14ac:dyDescent="0.3">
      <c r="E19" s="263"/>
      <c r="F19" s="263"/>
      <c r="G19" s="263">
        <f>SUM(G14:G18)</f>
        <v>4915.7776230764157</v>
      </c>
      <c r="H19" s="263">
        <f>SUM(H14:H18)</f>
        <v>10000.000000000007</v>
      </c>
      <c r="I19" s="263">
        <f>SUM(I14:I18)</f>
        <v>14915.777623076421</v>
      </c>
      <c r="J19" s="263"/>
    </row>
    <row r="20" spans="4:11" x14ac:dyDescent="0.3">
      <c r="K20" s="46"/>
    </row>
  </sheetData>
  <mergeCells count="1">
    <mergeCell ref="B2:N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B2:J19"/>
  <sheetViews>
    <sheetView zoomScaleNormal="100" workbookViewId="0">
      <selection activeCell="F13" sqref="F13:F18"/>
    </sheetView>
  </sheetViews>
  <sheetFormatPr baseColWidth="10" defaultRowHeight="15.6" x14ac:dyDescent="0.3"/>
  <cols>
    <col min="3" max="3" width="12" bestFit="1" customWidth="1"/>
    <col min="4" max="4" width="11.09765625" bestFit="1" customWidth="1"/>
    <col min="5" max="5" width="10.09765625" bestFit="1" customWidth="1"/>
    <col min="6" max="6" width="12.8984375" bestFit="1" customWidth="1"/>
    <col min="7" max="8" width="11.09765625" bestFit="1" customWidth="1"/>
  </cols>
  <sheetData>
    <row r="2" spans="2:10" ht="21" customHeight="1" x14ac:dyDescent="0.3">
      <c r="B2" s="271" t="s">
        <v>36</v>
      </c>
      <c r="C2" s="271"/>
      <c r="D2" s="271"/>
      <c r="E2" s="271"/>
      <c r="F2" s="271"/>
      <c r="G2" s="271"/>
      <c r="H2" s="271"/>
      <c r="I2" s="271"/>
      <c r="J2" s="271"/>
    </row>
    <row r="3" spans="2:10" x14ac:dyDescent="0.3">
      <c r="B3" s="271"/>
      <c r="C3" s="271"/>
      <c r="D3" s="271"/>
      <c r="E3" s="271"/>
      <c r="F3" s="271"/>
      <c r="G3" s="271"/>
      <c r="H3" s="271"/>
      <c r="I3" s="271"/>
      <c r="J3" s="271"/>
    </row>
    <row r="4" spans="2:10" x14ac:dyDescent="0.3">
      <c r="B4" s="271"/>
      <c r="C4" s="271"/>
      <c r="D4" s="271"/>
      <c r="E4" s="271"/>
      <c r="F4" s="271"/>
      <c r="G4" s="271"/>
      <c r="H4" s="271"/>
      <c r="I4" s="271"/>
      <c r="J4" s="271"/>
    </row>
    <row r="5" spans="2:10" x14ac:dyDescent="0.3">
      <c r="B5" s="271"/>
      <c r="C5" s="271"/>
      <c r="D5" s="271"/>
      <c r="E5" s="271"/>
      <c r="F5" s="271"/>
      <c r="G5" s="271"/>
      <c r="H5" s="271"/>
      <c r="I5" s="271"/>
      <c r="J5" s="271"/>
    </row>
    <row r="6" spans="2:10" x14ac:dyDescent="0.3">
      <c r="B6" s="271"/>
      <c r="C6" s="271"/>
      <c r="D6" s="271"/>
      <c r="E6" s="271"/>
      <c r="F6" s="271"/>
      <c r="G6" s="271"/>
      <c r="H6" s="271"/>
      <c r="I6" s="271"/>
      <c r="J6" s="271"/>
    </row>
    <row r="7" spans="2:10" x14ac:dyDescent="0.3">
      <c r="B7" s="271"/>
      <c r="C7" s="271"/>
      <c r="D7" s="271"/>
      <c r="E7" s="271"/>
      <c r="F7" s="271"/>
      <c r="G7" s="271"/>
      <c r="H7" s="271"/>
      <c r="I7" s="271"/>
      <c r="J7" s="271"/>
    </row>
    <row r="9" spans="2:10" x14ac:dyDescent="0.3">
      <c r="C9" t="s">
        <v>85</v>
      </c>
      <c r="D9" s="175">
        <f>+D11/5</f>
        <v>2000</v>
      </c>
    </row>
    <row r="10" spans="2:10" x14ac:dyDescent="0.3">
      <c r="C10" t="s">
        <v>115</v>
      </c>
      <c r="D10" s="1">
        <v>0.15</v>
      </c>
    </row>
    <row r="11" spans="2:10" x14ac:dyDescent="0.3">
      <c r="C11" t="s">
        <v>153</v>
      </c>
      <c r="D11" s="33">
        <v>10000</v>
      </c>
      <c r="E11" s="1"/>
      <c r="F11" s="33"/>
    </row>
    <row r="12" spans="2:10" x14ac:dyDescent="0.3">
      <c r="C12" s="22" t="s">
        <v>74</v>
      </c>
      <c r="D12" s="22" t="s">
        <v>79</v>
      </c>
      <c r="E12" s="22" t="s">
        <v>81</v>
      </c>
      <c r="F12" s="22" t="s">
        <v>84</v>
      </c>
      <c r="G12" s="22" t="s">
        <v>80</v>
      </c>
      <c r="H12" s="22" t="s">
        <v>82</v>
      </c>
    </row>
    <row r="13" spans="2:10" x14ac:dyDescent="0.3">
      <c r="C13" s="49">
        <v>0</v>
      </c>
      <c r="D13" s="10">
        <f>+D11</f>
        <v>10000</v>
      </c>
      <c r="E13" s="10">
        <v>0</v>
      </c>
      <c r="F13" s="93">
        <v>0</v>
      </c>
      <c r="G13" s="10">
        <v>0</v>
      </c>
      <c r="H13" s="10">
        <f>+D13</f>
        <v>10000</v>
      </c>
    </row>
    <row r="14" spans="2:10" x14ac:dyDescent="0.3">
      <c r="C14" s="49">
        <v>1</v>
      </c>
      <c r="D14" s="10">
        <f>+H13</f>
        <v>10000</v>
      </c>
      <c r="E14" s="10">
        <f>+D14*$D$10</f>
        <v>1500</v>
      </c>
      <c r="F14" s="93">
        <f>+$D$9</f>
        <v>2000</v>
      </c>
      <c r="G14" s="26">
        <f>+E14+F14</f>
        <v>3500</v>
      </c>
      <c r="H14" s="10">
        <f>+D14-F14</f>
        <v>8000</v>
      </c>
      <c r="J14" s="10"/>
    </row>
    <row r="15" spans="2:10" x14ac:dyDescent="0.3">
      <c r="C15" s="49">
        <v>2</v>
      </c>
      <c r="D15" s="10">
        <f>+H14</f>
        <v>8000</v>
      </c>
      <c r="E15" s="10">
        <f>+D15*$D$10</f>
        <v>1200</v>
      </c>
      <c r="F15" s="93">
        <f>+$D$9</f>
        <v>2000</v>
      </c>
      <c r="G15" s="26">
        <f t="shared" ref="G15:G18" si="0">+E15+F15</f>
        <v>3200</v>
      </c>
      <c r="H15" s="10">
        <f t="shared" ref="H15:H18" si="1">+D15-F15</f>
        <v>6000</v>
      </c>
    </row>
    <row r="16" spans="2:10" x14ac:dyDescent="0.3">
      <c r="C16" s="49">
        <v>3</v>
      </c>
      <c r="D16" s="10">
        <f t="shared" ref="D16:D18" si="2">+H15</f>
        <v>6000</v>
      </c>
      <c r="E16" s="10">
        <f>+D16*$D$10</f>
        <v>900</v>
      </c>
      <c r="F16" s="93">
        <f>+$D$9</f>
        <v>2000</v>
      </c>
      <c r="G16" s="26">
        <f t="shared" si="0"/>
        <v>2900</v>
      </c>
      <c r="H16" s="10">
        <f t="shared" si="1"/>
        <v>4000</v>
      </c>
    </row>
    <row r="17" spans="3:8" x14ac:dyDescent="0.3">
      <c r="C17" s="49">
        <v>4</v>
      </c>
      <c r="D17" s="10">
        <f t="shared" si="2"/>
        <v>4000</v>
      </c>
      <c r="E17" s="10">
        <f>+D17*$D$10</f>
        <v>600</v>
      </c>
      <c r="F17" s="93">
        <f>+$D$9</f>
        <v>2000</v>
      </c>
      <c r="G17" s="26">
        <f t="shared" si="0"/>
        <v>2600</v>
      </c>
      <c r="H17" s="10">
        <f t="shared" si="1"/>
        <v>2000</v>
      </c>
    </row>
    <row r="18" spans="3:8" ht="16.2" thickBot="1" x14ac:dyDescent="0.35">
      <c r="C18" s="49">
        <v>5</v>
      </c>
      <c r="D18" s="47">
        <f t="shared" si="2"/>
        <v>2000</v>
      </c>
      <c r="E18" s="47">
        <f>+D18*$D$10</f>
        <v>300</v>
      </c>
      <c r="F18" s="94">
        <f>+$D$9</f>
        <v>2000</v>
      </c>
      <c r="G18" s="48">
        <f t="shared" si="0"/>
        <v>2300</v>
      </c>
      <c r="H18" s="47">
        <f t="shared" si="1"/>
        <v>0</v>
      </c>
    </row>
    <row r="19" spans="3:8" ht="16.2" thickTop="1" x14ac:dyDescent="0.3">
      <c r="F19" s="26">
        <f>+SUM(F14:F18)</f>
        <v>10000</v>
      </c>
      <c r="G19" s="26">
        <f>+SUM(G14:G18)</f>
        <v>14500</v>
      </c>
    </row>
  </sheetData>
  <mergeCells count="1">
    <mergeCell ref="B2:J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B2:Q30"/>
  <sheetViews>
    <sheetView topLeftCell="A9" zoomScaleNormal="100" zoomScalePageLayoutView="150" workbookViewId="0">
      <selection activeCell="I24" sqref="I24"/>
    </sheetView>
  </sheetViews>
  <sheetFormatPr baseColWidth="10" defaultRowHeight="15.6" x14ac:dyDescent="0.3"/>
  <cols>
    <col min="1" max="1" width="11.19921875" customWidth="1"/>
    <col min="2" max="2" width="20.8984375" bestFit="1" customWidth="1"/>
    <col min="3" max="3" width="11.09765625" bestFit="1" customWidth="1"/>
    <col min="4" max="4" width="8.5" bestFit="1" customWidth="1"/>
    <col min="5" max="6" width="12.8984375" bestFit="1" customWidth="1"/>
    <col min="7" max="7" width="9.69921875" bestFit="1" customWidth="1"/>
    <col min="8" max="8" width="9.59765625" bestFit="1" customWidth="1"/>
    <col min="9" max="9" width="30.19921875" bestFit="1" customWidth="1"/>
    <col min="10" max="10" width="11.09765625" bestFit="1" customWidth="1"/>
    <col min="11" max="11" width="4.3984375" bestFit="1" customWidth="1"/>
    <col min="12" max="12" width="11.19921875" bestFit="1" customWidth="1"/>
    <col min="13" max="13" width="10.09765625" bestFit="1" customWidth="1"/>
    <col min="14" max="14" width="11.59765625" bestFit="1" customWidth="1"/>
    <col min="15" max="15" width="13" bestFit="1" customWidth="1"/>
    <col min="16" max="16" width="9.69921875" bestFit="1" customWidth="1"/>
    <col min="17" max="17" width="10.19921875" bestFit="1" customWidth="1"/>
  </cols>
  <sheetData>
    <row r="2" spans="2:17" x14ac:dyDescent="0.3">
      <c r="B2" s="271" t="s">
        <v>156</v>
      </c>
      <c r="C2" s="271"/>
      <c r="D2" s="271"/>
      <c r="E2" s="271"/>
      <c r="F2" s="271"/>
      <c r="G2" s="271"/>
      <c r="H2" s="271"/>
      <c r="I2" s="271"/>
      <c r="J2" s="271"/>
    </row>
    <row r="3" spans="2:17" x14ac:dyDescent="0.3">
      <c r="B3" s="271"/>
      <c r="C3" s="271"/>
      <c r="D3" s="271"/>
      <c r="E3" s="271"/>
      <c r="F3" s="271"/>
      <c r="G3" s="271"/>
      <c r="H3" s="271"/>
      <c r="I3" s="271"/>
      <c r="J3" s="271"/>
    </row>
    <row r="4" spans="2:17" x14ac:dyDescent="0.3">
      <c r="B4" s="271"/>
      <c r="C4" s="271"/>
      <c r="D4" s="271"/>
      <c r="E4" s="271"/>
      <c r="F4" s="271"/>
      <c r="G4" s="271"/>
      <c r="H4" s="271"/>
      <c r="I4" s="271"/>
      <c r="J4" s="271"/>
    </row>
    <row r="5" spans="2:17" x14ac:dyDescent="0.3">
      <c r="B5" s="271"/>
      <c r="C5" s="271"/>
      <c r="D5" s="271"/>
      <c r="E5" s="271"/>
      <c r="F5" s="271"/>
      <c r="G5" s="271"/>
      <c r="H5" s="271"/>
      <c r="I5" s="271"/>
      <c r="J5" s="271"/>
    </row>
    <row r="7" spans="2:17" x14ac:dyDescent="0.3">
      <c r="B7" t="s">
        <v>83</v>
      </c>
      <c r="C7" s="33">
        <v>10000</v>
      </c>
    </row>
    <row r="8" spans="2:17" x14ac:dyDescent="0.3">
      <c r="B8" t="s">
        <v>44</v>
      </c>
      <c r="C8" s="1">
        <v>0.12</v>
      </c>
    </row>
    <row r="9" spans="2:17" x14ac:dyDescent="0.3">
      <c r="B9" t="s">
        <v>45</v>
      </c>
      <c r="C9">
        <v>5</v>
      </c>
      <c r="D9" t="s">
        <v>55</v>
      </c>
    </row>
    <row r="10" spans="2:17" x14ac:dyDescent="0.3">
      <c r="B10" t="s">
        <v>86</v>
      </c>
      <c r="C10">
        <v>1</v>
      </c>
    </row>
    <row r="11" spans="2:17" x14ac:dyDescent="0.3">
      <c r="B11" t="s">
        <v>87</v>
      </c>
    </row>
    <row r="12" spans="2:17" x14ac:dyDescent="0.3">
      <c r="L12" s="23" t="s">
        <v>67</v>
      </c>
      <c r="M12" s="174">
        <f>C7*(C8/(1-((1+C8)^-C9)))</f>
        <v>2774.0973194104872</v>
      </c>
    </row>
    <row r="13" spans="2:17" ht="16.2" thickBot="1" x14ac:dyDescent="0.35">
      <c r="E13" s="184" t="s">
        <v>89</v>
      </c>
      <c r="F13" s="187">
        <f>+H15/4</f>
        <v>2800</v>
      </c>
    </row>
    <row r="14" spans="2:17" ht="16.2" thickTop="1" x14ac:dyDescent="0.3">
      <c r="B14" s="182" t="s">
        <v>29</v>
      </c>
      <c r="C14" s="183" t="s">
        <v>75</v>
      </c>
      <c r="D14" s="183" t="s">
        <v>76</v>
      </c>
      <c r="E14" s="183" t="s">
        <v>77</v>
      </c>
      <c r="F14" s="183" t="s">
        <v>90</v>
      </c>
      <c r="G14" s="183" t="s">
        <v>88</v>
      </c>
      <c r="H14" s="183" t="s">
        <v>78</v>
      </c>
      <c r="I14" s="176"/>
      <c r="K14" s="182" t="s">
        <v>29</v>
      </c>
      <c r="L14" s="183" t="s">
        <v>75</v>
      </c>
      <c r="M14" s="183" t="s">
        <v>76</v>
      </c>
      <c r="N14" s="183" t="s">
        <v>77</v>
      </c>
      <c r="O14" s="183" t="s">
        <v>90</v>
      </c>
      <c r="P14" s="183" t="s">
        <v>88</v>
      </c>
      <c r="Q14" s="190" t="s">
        <v>78</v>
      </c>
    </row>
    <row r="15" spans="2:17" x14ac:dyDescent="0.3">
      <c r="B15" s="177">
        <v>1</v>
      </c>
      <c r="C15" s="185">
        <f>C7</f>
        <v>10000</v>
      </c>
      <c r="D15" s="185">
        <f>+C15*C8</f>
        <v>1200</v>
      </c>
      <c r="E15" s="185">
        <v>0</v>
      </c>
      <c r="F15" s="185">
        <v>0</v>
      </c>
      <c r="G15" s="185">
        <v>0</v>
      </c>
      <c r="H15" s="185">
        <f>+C15+D15</f>
        <v>11200</v>
      </c>
      <c r="I15" s="178" t="s">
        <v>154</v>
      </c>
      <c r="K15" s="177">
        <v>1</v>
      </c>
      <c r="L15" s="188">
        <f>C7</f>
        <v>10000</v>
      </c>
      <c r="M15" s="188">
        <f>L15*$C$8</f>
        <v>1200</v>
      </c>
      <c r="N15" s="188">
        <f>M15</f>
        <v>1200</v>
      </c>
      <c r="O15" s="188">
        <f>P15-N15</f>
        <v>1574.0973194104872</v>
      </c>
      <c r="P15" s="188">
        <f>$M$12</f>
        <v>2774.0973194104872</v>
      </c>
      <c r="Q15" s="191">
        <f>L15-O15</f>
        <v>8425.9026805895119</v>
      </c>
    </row>
    <row r="16" spans="2:17" x14ac:dyDescent="0.3">
      <c r="B16" s="177">
        <v>2</v>
      </c>
      <c r="C16" s="146">
        <f>+H15</f>
        <v>11200</v>
      </c>
      <c r="D16" s="146">
        <f>+C16*$C$8</f>
        <v>1344</v>
      </c>
      <c r="E16" s="146">
        <f>+D16</f>
        <v>1344</v>
      </c>
      <c r="F16" s="146">
        <f>+F13</f>
        <v>2800</v>
      </c>
      <c r="G16" s="146">
        <f>+E16+F16</f>
        <v>4144</v>
      </c>
      <c r="H16" s="146">
        <f>+C16-F16</f>
        <v>8400</v>
      </c>
      <c r="I16" s="178"/>
      <c r="K16" s="177">
        <v>2</v>
      </c>
      <c r="L16" s="146">
        <f>Q15</f>
        <v>8425.9026805895119</v>
      </c>
      <c r="M16" s="146">
        <f>L16*$C$8</f>
        <v>1011.1083216707414</v>
      </c>
      <c r="N16" s="146">
        <f>M16</f>
        <v>1011.1083216707414</v>
      </c>
      <c r="O16" s="146">
        <f>P16-N16</f>
        <v>1762.9889977397459</v>
      </c>
      <c r="P16" s="146">
        <f t="shared" ref="P16:P19" si="0">$M$12</f>
        <v>2774.0973194104872</v>
      </c>
      <c r="Q16" s="192">
        <f>L16-O16</f>
        <v>6662.9136828497658</v>
      </c>
    </row>
    <row r="17" spans="2:17" x14ac:dyDescent="0.3">
      <c r="B17" s="177">
        <v>3</v>
      </c>
      <c r="C17" s="146">
        <f t="shared" ref="C17:C19" si="1">+H16</f>
        <v>8400</v>
      </c>
      <c r="D17" s="146">
        <f>+C17*$C$8</f>
        <v>1008</v>
      </c>
      <c r="E17" s="146">
        <f t="shared" ref="E17:E19" si="2">+D17</f>
        <v>1008</v>
      </c>
      <c r="F17" s="146">
        <f>+$F$13</f>
        <v>2800</v>
      </c>
      <c r="G17" s="146">
        <f t="shared" ref="G17:G19" si="3">+E17+F17</f>
        <v>3808</v>
      </c>
      <c r="H17" s="146">
        <f t="shared" ref="H17:H19" si="4">+C17-F17</f>
        <v>5600</v>
      </c>
      <c r="I17" s="178"/>
      <c r="K17" s="177">
        <v>3</v>
      </c>
      <c r="L17" s="146">
        <f t="shared" ref="L17:L19" si="5">Q16</f>
        <v>6662.9136828497658</v>
      </c>
      <c r="M17" s="146">
        <f t="shared" ref="M17:M19" si="6">L17*$C$8</f>
        <v>799.54964194197191</v>
      </c>
      <c r="N17" s="146">
        <f t="shared" ref="N17:N19" si="7">M17</f>
        <v>799.54964194197191</v>
      </c>
      <c r="O17" s="146">
        <f t="shared" ref="O17:O19" si="8">P17-N17</f>
        <v>1974.5476774685153</v>
      </c>
      <c r="P17" s="146">
        <f t="shared" si="0"/>
        <v>2774.0973194104872</v>
      </c>
      <c r="Q17" s="192">
        <f t="shared" ref="Q17:Q19" si="9">L17-O17</f>
        <v>4688.3660053812509</v>
      </c>
    </row>
    <row r="18" spans="2:17" x14ac:dyDescent="0.3">
      <c r="B18" s="177">
        <v>4</v>
      </c>
      <c r="C18" s="146">
        <f t="shared" si="1"/>
        <v>5600</v>
      </c>
      <c r="D18" s="146">
        <f>+C18*$C$8</f>
        <v>672</v>
      </c>
      <c r="E18" s="146">
        <f t="shared" si="2"/>
        <v>672</v>
      </c>
      <c r="F18" s="146">
        <f>+$F$13</f>
        <v>2800</v>
      </c>
      <c r="G18" s="146">
        <f t="shared" si="3"/>
        <v>3472</v>
      </c>
      <c r="H18" s="146">
        <f t="shared" si="4"/>
        <v>2800</v>
      </c>
      <c r="I18" s="178"/>
      <c r="K18" s="177">
        <v>4</v>
      </c>
      <c r="L18" s="146">
        <f t="shared" si="5"/>
        <v>4688.3660053812509</v>
      </c>
      <c r="M18" s="146">
        <f t="shared" si="6"/>
        <v>562.60392064575012</v>
      </c>
      <c r="N18" s="146">
        <f t="shared" si="7"/>
        <v>562.60392064575012</v>
      </c>
      <c r="O18" s="146">
        <f t="shared" si="8"/>
        <v>2211.4933987647373</v>
      </c>
      <c r="P18" s="146">
        <f t="shared" si="0"/>
        <v>2774.0973194104872</v>
      </c>
      <c r="Q18" s="192">
        <f t="shared" si="9"/>
        <v>2476.8726066165136</v>
      </c>
    </row>
    <row r="19" spans="2:17" ht="16.2" thickBot="1" x14ac:dyDescent="0.35">
      <c r="B19" s="179">
        <v>5</v>
      </c>
      <c r="C19" s="148">
        <f t="shared" si="1"/>
        <v>2800</v>
      </c>
      <c r="D19" s="148">
        <f>+C19*$C$8</f>
        <v>336</v>
      </c>
      <c r="E19" s="148">
        <f t="shared" si="2"/>
        <v>336</v>
      </c>
      <c r="F19" s="148">
        <f>+$F$13</f>
        <v>2800</v>
      </c>
      <c r="G19" s="148">
        <f t="shared" si="3"/>
        <v>3136</v>
      </c>
      <c r="H19" s="148">
        <f t="shared" si="4"/>
        <v>0</v>
      </c>
      <c r="I19" s="178"/>
      <c r="K19" s="179">
        <v>5</v>
      </c>
      <c r="L19" s="148">
        <f t="shared" si="5"/>
        <v>2476.8726066165136</v>
      </c>
      <c r="M19" s="148">
        <f t="shared" si="6"/>
        <v>297.22471279398161</v>
      </c>
      <c r="N19" s="148">
        <f t="shared" si="7"/>
        <v>297.22471279398161</v>
      </c>
      <c r="O19" s="148">
        <f t="shared" si="8"/>
        <v>2476.8726066165054</v>
      </c>
      <c r="P19" s="148">
        <f t="shared" si="0"/>
        <v>2774.0973194104872</v>
      </c>
      <c r="Q19" s="193">
        <f t="shared" si="9"/>
        <v>8.1854523159563541E-12</v>
      </c>
    </row>
    <row r="20" spans="2:17" ht="16.2" thickBot="1" x14ac:dyDescent="0.35">
      <c r="B20" s="180"/>
      <c r="C20" s="186"/>
      <c r="D20" s="186"/>
      <c r="E20" s="186"/>
      <c r="F20" s="186"/>
      <c r="G20" s="189">
        <f>+SUM(G16:G19)</f>
        <v>14560</v>
      </c>
      <c r="H20" s="186"/>
      <c r="I20" s="181"/>
      <c r="K20" s="180"/>
      <c r="L20" s="186"/>
      <c r="M20" s="186"/>
      <c r="N20" s="186"/>
      <c r="O20" s="186"/>
      <c r="P20" s="189">
        <f>+SUM(P15:P19)</f>
        <v>13870.486597052437</v>
      </c>
      <c r="Q20" s="194"/>
    </row>
    <row r="21" spans="2:17" ht="16.2" thickTop="1" x14ac:dyDescent="0.3"/>
    <row r="22" spans="2:17" ht="16.2" thickBot="1" x14ac:dyDescent="0.35">
      <c r="E22" s="184" t="s">
        <v>89</v>
      </c>
      <c r="F22" s="187">
        <f>+H24/4</f>
        <v>2500</v>
      </c>
    </row>
    <row r="23" spans="2:17" ht="16.2" thickTop="1" x14ac:dyDescent="0.3">
      <c r="B23" s="182" t="s">
        <v>29</v>
      </c>
      <c r="C23" s="183" t="s">
        <v>75</v>
      </c>
      <c r="D23" s="183" t="s">
        <v>76</v>
      </c>
      <c r="E23" s="183" t="s">
        <v>77</v>
      </c>
      <c r="F23" s="183" t="s">
        <v>90</v>
      </c>
      <c r="G23" s="183" t="s">
        <v>88</v>
      </c>
      <c r="H23" s="183" t="s">
        <v>78</v>
      </c>
      <c r="I23" s="176"/>
    </row>
    <row r="24" spans="2:17" x14ac:dyDescent="0.3">
      <c r="B24" s="177">
        <v>1</v>
      </c>
      <c r="C24" s="185">
        <f>C7</f>
        <v>10000</v>
      </c>
      <c r="D24" s="185">
        <f>+C24*C8</f>
        <v>1200</v>
      </c>
      <c r="E24" s="185">
        <f>D24</f>
        <v>1200</v>
      </c>
      <c r="F24" s="185">
        <v>0</v>
      </c>
      <c r="G24" s="185">
        <f>E24</f>
        <v>1200</v>
      </c>
      <c r="H24" s="185">
        <f>+C24</f>
        <v>10000</v>
      </c>
      <c r="I24" s="178" t="s">
        <v>155</v>
      </c>
    </row>
    <row r="25" spans="2:17" x14ac:dyDescent="0.3">
      <c r="B25" s="177">
        <v>2</v>
      </c>
      <c r="C25" s="146">
        <f>+H24</f>
        <v>10000</v>
      </c>
      <c r="D25" s="146">
        <f>+C25*$C$8</f>
        <v>1200</v>
      </c>
      <c r="E25" s="146">
        <f>+D25</f>
        <v>1200</v>
      </c>
      <c r="F25" s="146">
        <f>F22</f>
        <v>2500</v>
      </c>
      <c r="G25" s="146">
        <f>+E25+F25</f>
        <v>3700</v>
      </c>
      <c r="H25" s="146">
        <f>+C25-F25</f>
        <v>7500</v>
      </c>
      <c r="I25" s="178"/>
    </row>
    <row r="26" spans="2:17" x14ac:dyDescent="0.3">
      <c r="B26" s="177">
        <v>3</v>
      </c>
      <c r="C26" s="146">
        <f t="shared" ref="C26:C28" si="10">+H25</f>
        <v>7500</v>
      </c>
      <c r="D26" s="146">
        <f>+C26*$C$8</f>
        <v>900</v>
      </c>
      <c r="E26" s="146">
        <f t="shared" ref="E26:E28" si="11">+D26</f>
        <v>900</v>
      </c>
      <c r="F26" s="146">
        <f>F22</f>
        <v>2500</v>
      </c>
      <c r="G26" s="146">
        <f t="shared" ref="G26:G28" si="12">+E26+F26</f>
        <v>3400</v>
      </c>
      <c r="H26" s="146">
        <f t="shared" ref="H26:H28" si="13">+C26-F26</f>
        <v>5000</v>
      </c>
      <c r="I26" s="178"/>
    </row>
    <row r="27" spans="2:17" x14ac:dyDescent="0.3">
      <c r="B27" s="177">
        <v>4</v>
      </c>
      <c r="C27" s="146">
        <f t="shared" si="10"/>
        <v>5000</v>
      </c>
      <c r="D27" s="146">
        <f>+C27*$C$8</f>
        <v>600</v>
      </c>
      <c r="E27" s="146">
        <f t="shared" si="11"/>
        <v>600</v>
      </c>
      <c r="F27" s="146">
        <f>F22</f>
        <v>2500</v>
      </c>
      <c r="G27" s="146">
        <f t="shared" si="12"/>
        <v>3100</v>
      </c>
      <c r="H27" s="146">
        <f t="shared" si="13"/>
        <v>2500</v>
      </c>
      <c r="I27" s="178"/>
    </row>
    <row r="28" spans="2:17" ht="16.2" thickBot="1" x14ac:dyDescent="0.35">
      <c r="B28" s="179">
        <v>5</v>
      </c>
      <c r="C28" s="148">
        <f t="shared" si="10"/>
        <v>2500</v>
      </c>
      <c r="D28" s="148">
        <f>+C28*$C$8</f>
        <v>300</v>
      </c>
      <c r="E28" s="148">
        <f t="shared" si="11"/>
        <v>300</v>
      </c>
      <c r="F28" s="148">
        <f>F22</f>
        <v>2500</v>
      </c>
      <c r="G28" s="148">
        <f t="shared" si="12"/>
        <v>2800</v>
      </c>
      <c r="H28" s="148">
        <f t="shared" si="13"/>
        <v>0</v>
      </c>
      <c r="I28" s="178"/>
    </row>
    <row r="29" spans="2:17" ht="16.2" thickBot="1" x14ac:dyDescent="0.35">
      <c r="B29" s="180"/>
      <c r="C29" s="186"/>
      <c r="D29" s="186"/>
      <c r="E29" s="186"/>
      <c r="F29" s="186"/>
      <c r="G29" s="189">
        <f>+SUM(G24:G28)</f>
        <v>14200</v>
      </c>
      <c r="H29" s="186"/>
      <c r="I29" s="181"/>
    </row>
    <row r="30" spans="2:17" ht="16.2" thickTop="1" x14ac:dyDescent="0.3"/>
  </sheetData>
  <mergeCells count="1">
    <mergeCell ref="B2:J5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1"/>
  </sheetPr>
  <dimension ref="A1"/>
  <sheetViews>
    <sheetView workbookViewId="0">
      <selection activeCell="H16" sqref="H16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7:D12"/>
  <sheetViews>
    <sheetView zoomScale="80" zoomScaleNormal="80" workbookViewId="0">
      <selection activeCell="J22" sqref="J22"/>
    </sheetView>
  </sheetViews>
  <sheetFormatPr baseColWidth="10" defaultRowHeight="15.6" x14ac:dyDescent="0.3"/>
  <cols>
    <col min="2" max="2" width="20" bestFit="1" customWidth="1"/>
  </cols>
  <sheetData>
    <row r="7" spans="2:4" x14ac:dyDescent="0.3">
      <c r="B7" t="s">
        <v>120</v>
      </c>
      <c r="C7">
        <v>2000</v>
      </c>
    </row>
    <row r="8" spans="2:4" x14ac:dyDescent="0.3">
      <c r="B8" t="s">
        <v>117</v>
      </c>
      <c r="C8">
        <v>24</v>
      </c>
    </row>
    <row r="9" spans="2:4" x14ac:dyDescent="0.3">
      <c r="B9" t="s">
        <v>121</v>
      </c>
      <c r="C9" s="78">
        <v>0.1</v>
      </c>
    </row>
    <row r="10" spans="2:4" x14ac:dyDescent="0.3">
      <c r="B10" t="s">
        <v>122</v>
      </c>
      <c r="C10" s="75">
        <f>((1+(C9/12))^12)-1</f>
        <v>0.10471306744129683</v>
      </c>
    </row>
    <row r="11" spans="2:4" x14ac:dyDescent="0.3">
      <c r="B11" t="s">
        <v>124</v>
      </c>
      <c r="C11" s="75">
        <f>C10/12</f>
        <v>8.7260889534414021E-3</v>
      </c>
    </row>
    <row r="12" spans="2:4" x14ac:dyDescent="0.3">
      <c r="B12" t="s">
        <v>123</v>
      </c>
      <c r="C12" s="79">
        <f>PMT(C11,C8,C7,,0)</f>
        <v>-92.725520612007628</v>
      </c>
      <c r="D12" s="46"/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1"/>
  </sheetPr>
  <dimension ref="D7:F8"/>
  <sheetViews>
    <sheetView zoomScale="80" zoomScaleNormal="80" workbookViewId="0">
      <selection activeCell="H19" sqref="H19"/>
    </sheetView>
  </sheetViews>
  <sheetFormatPr baseColWidth="10" defaultRowHeight="15.6" x14ac:dyDescent="0.3"/>
  <sheetData>
    <row r="7" spans="4:6" x14ac:dyDescent="0.3">
      <c r="D7">
        <v>1</v>
      </c>
      <c r="E7">
        <v>2</v>
      </c>
      <c r="F7">
        <v>3</v>
      </c>
    </row>
    <row r="8" spans="4:6" x14ac:dyDescent="0.3">
      <c r="D8">
        <v>2000</v>
      </c>
      <c r="E8">
        <v>2000</v>
      </c>
      <c r="F8">
        <v>2000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1"/>
  </sheetPr>
  <dimension ref="B10:C10"/>
  <sheetViews>
    <sheetView zoomScale="80" zoomScaleNormal="80" workbookViewId="0">
      <selection activeCell="C11" sqref="C11"/>
    </sheetView>
  </sheetViews>
  <sheetFormatPr baseColWidth="10" defaultRowHeight="15.6" x14ac:dyDescent="0.3"/>
  <sheetData>
    <row r="10" spans="2:3" x14ac:dyDescent="0.3">
      <c r="B10">
        <v>30.2</v>
      </c>
      <c r="C10" t="s">
        <v>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2:L21"/>
  <sheetViews>
    <sheetView zoomScale="110" zoomScaleNormal="110" workbookViewId="0">
      <selection activeCell="E5" sqref="E5"/>
    </sheetView>
  </sheetViews>
  <sheetFormatPr baseColWidth="10" defaultRowHeight="15.6" x14ac:dyDescent="0.3"/>
  <cols>
    <col min="2" max="2" width="5" bestFit="1" customWidth="1"/>
    <col min="3" max="3" width="4.296875" bestFit="1" customWidth="1"/>
    <col min="4" max="8" width="10.09765625" bestFit="1" customWidth="1"/>
    <col min="10" max="10" width="21.19921875" bestFit="1" customWidth="1"/>
  </cols>
  <sheetData>
    <row r="2" spans="2:12" x14ac:dyDescent="0.3">
      <c r="B2" s="266" t="s">
        <v>114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2:12" x14ac:dyDescent="0.3">
      <c r="B3" s="52" t="s">
        <v>102</v>
      </c>
      <c r="C3" s="53" t="s">
        <v>7</v>
      </c>
      <c r="D3" s="53">
        <v>0</v>
      </c>
      <c r="E3" s="53">
        <v>1</v>
      </c>
      <c r="F3" s="53">
        <v>2</v>
      </c>
      <c r="G3" s="53">
        <v>3</v>
      </c>
      <c r="H3" s="54">
        <v>4</v>
      </c>
      <c r="J3" s="22" t="s">
        <v>137</v>
      </c>
    </row>
    <row r="4" spans="2:12" x14ac:dyDescent="0.3">
      <c r="B4" s="49" t="s">
        <v>1</v>
      </c>
      <c r="C4" s="50">
        <v>0.05</v>
      </c>
      <c r="D4" s="10">
        <v>0</v>
      </c>
      <c r="E4" s="10">
        <v>50</v>
      </c>
      <c r="F4" s="10">
        <v>100</v>
      </c>
      <c r="G4" s="10">
        <v>125</v>
      </c>
      <c r="H4" s="10">
        <v>150</v>
      </c>
      <c r="I4" s="10"/>
      <c r="J4" s="10"/>
    </row>
    <row r="5" spans="2:12" x14ac:dyDescent="0.3">
      <c r="B5" s="56"/>
      <c r="C5" s="57"/>
      <c r="D5" s="227">
        <f>+D4*(1+$C$4)^($G$3-D3)</f>
        <v>0</v>
      </c>
      <c r="E5" s="227">
        <f>+E4*(1+$C$4)^($G$3-E3)</f>
        <v>55.125</v>
      </c>
      <c r="F5" s="227">
        <f>+F4*(1+$C$4)^($G$3-F3)</f>
        <v>105</v>
      </c>
      <c r="G5" s="228">
        <f>G4</f>
        <v>125</v>
      </c>
      <c r="H5" s="227">
        <f>+H4/((1+C4)^1)</f>
        <v>142.85714285714286</v>
      </c>
      <c r="I5" s="10"/>
      <c r="J5" s="229">
        <f>D5+E5+F5+G5+H5</f>
        <v>427.98214285714289</v>
      </c>
      <c r="L5">
        <f>J5/(1+C4)^3</f>
        <v>369.7070665000694</v>
      </c>
    </row>
    <row r="6" spans="2:12" x14ac:dyDescent="0.3">
      <c r="B6" s="49" t="s">
        <v>2</v>
      </c>
      <c r="C6" s="50">
        <v>0.15</v>
      </c>
      <c r="D6" s="10">
        <v>0</v>
      </c>
      <c r="E6" s="10">
        <v>30</v>
      </c>
      <c r="F6" s="10">
        <v>0</v>
      </c>
      <c r="G6" s="10">
        <v>30</v>
      </c>
      <c r="H6" s="10">
        <v>45</v>
      </c>
      <c r="I6" s="10"/>
      <c r="J6" s="10"/>
    </row>
    <row r="7" spans="2:12" x14ac:dyDescent="0.3">
      <c r="B7" s="56"/>
      <c r="C7" s="57"/>
      <c r="D7" s="227">
        <f>+D6*(1+$C6)^($G$3-$D$3)</f>
        <v>0</v>
      </c>
      <c r="E7" s="227">
        <f>+E6*(1+$C6)^($G$3-$E$3)</f>
        <v>39.674999999999997</v>
      </c>
      <c r="F7" s="227">
        <f>+F6*(1+$C6)^($G$3-$F$3)</f>
        <v>0</v>
      </c>
      <c r="G7" s="228">
        <f>G6</f>
        <v>30</v>
      </c>
      <c r="H7" s="227">
        <f>+H6/((1+C6)^1)</f>
        <v>39.130434782608695</v>
      </c>
      <c r="I7" s="10"/>
      <c r="J7" s="229">
        <f>D7+E7+F7+G7+H7</f>
        <v>108.8054347826087</v>
      </c>
    </row>
    <row r="8" spans="2:12" x14ac:dyDescent="0.3">
      <c r="B8" s="49" t="s">
        <v>3</v>
      </c>
      <c r="C8" s="50">
        <v>0.1</v>
      </c>
      <c r="D8" s="10">
        <v>0</v>
      </c>
      <c r="E8" s="10">
        <v>50</v>
      </c>
      <c r="F8" s="10">
        <v>75</v>
      </c>
      <c r="G8" s="10">
        <v>125</v>
      </c>
      <c r="H8" s="10">
        <v>150</v>
      </c>
      <c r="I8" s="10"/>
      <c r="J8" s="10"/>
    </row>
    <row r="9" spans="2:12" x14ac:dyDescent="0.3">
      <c r="B9" s="56"/>
      <c r="C9" s="57"/>
      <c r="D9" s="227">
        <f>+D8*(1+$C8)^($G$3-$D$3)</f>
        <v>0</v>
      </c>
      <c r="E9" s="227">
        <f>+E8*(1+$C8)^($G$3-$E$3)</f>
        <v>60.500000000000007</v>
      </c>
      <c r="F9" s="227">
        <f>+F8*(1+$C8)^($G$3-$F$3)</f>
        <v>82.5</v>
      </c>
      <c r="G9" s="228">
        <f>G8</f>
        <v>125</v>
      </c>
      <c r="H9" s="227">
        <f>+H8/((1+C8)^1)</f>
        <v>136.36363636363635</v>
      </c>
      <c r="I9" s="10"/>
      <c r="J9" s="229">
        <f>D9+E9+F9+G9+H9</f>
        <v>404.36363636363637</v>
      </c>
    </row>
    <row r="10" spans="2:12" x14ac:dyDescent="0.3">
      <c r="B10" s="49" t="s">
        <v>4</v>
      </c>
      <c r="C10" s="50">
        <v>0.1</v>
      </c>
      <c r="D10" s="10">
        <v>0</v>
      </c>
      <c r="E10" s="10">
        <v>150</v>
      </c>
      <c r="F10" s="10">
        <v>125</v>
      </c>
      <c r="G10" s="10">
        <v>75</v>
      </c>
      <c r="H10" s="10">
        <v>50</v>
      </c>
      <c r="I10" s="10"/>
      <c r="J10" s="10"/>
    </row>
    <row r="11" spans="2:12" x14ac:dyDescent="0.3">
      <c r="B11" s="56"/>
      <c r="C11" s="57"/>
      <c r="D11" s="227">
        <f>+D10*(1+$C10)^($G$3-$D$3)</f>
        <v>0</v>
      </c>
      <c r="E11" s="227">
        <f>+E10*(1+$C10)^($G$3-$E$3)</f>
        <v>181.50000000000003</v>
      </c>
      <c r="F11" s="227">
        <f>+F10*(1+$C10)^($G$3-$F$3)</f>
        <v>137.5</v>
      </c>
      <c r="G11" s="228">
        <f>G10</f>
        <v>75</v>
      </c>
      <c r="H11" s="227">
        <f>+H10/((1+C10)^1)</f>
        <v>45.454545454545453</v>
      </c>
      <c r="I11" s="10"/>
      <c r="J11" s="229">
        <f>D11+E11+F11+G11+H11</f>
        <v>439.45454545454544</v>
      </c>
    </row>
    <row r="12" spans="2:12" x14ac:dyDescent="0.3">
      <c r="B12" s="49" t="s">
        <v>5</v>
      </c>
      <c r="C12" s="50">
        <v>0.18</v>
      </c>
      <c r="D12" s="10">
        <v>-1750</v>
      </c>
      <c r="E12" s="10">
        <v>50</v>
      </c>
      <c r="F12" s="10">
        <v>200</v>
      </c>
      <c r="G12" s="10">
        <v>500</v>
      </c>
      <c r="H12" s="10">
        <v>1000</v>
      </c>
      <c r="I12" s="10"/>
      <c r="J12" s="10"/>
    </row>
    <row r="13" spans="2:12" x14ac:dyDescent="0.3">
      <c r="B13" s="56"/>
      <c r="C13" s="57"/>
      <c r="D13" s="227">
        <f>+D12*(1+$C12)^($G$3-$D$3)</f>
        <v>-2875.3059999999996</v>
      </c>
      <c r="E13" s="227">
        <f>+E12*(1+$C12)^($G$3-$E$3)</f>
        <v>69.61999999999999</v>
      </c>
      <c r="F13" s="227">
        <f>+F12*(1+$C12)^($G$3-$F$3)</f>
        <v>236</v>
      </c>
      <c r="G13" s="228">
        <f>G12</f>
        <v>500</v>
      </c>
      <c r="H13" s="227">
        <f>+H12/((1+C12)^1)</f>
        <v>847.45762711864415</v>
      </c>
      <c r="I13" s="10"/>
      <c r="J13" s="229">
        <f>D13+E13+F13+G13+H13</f>
        <v>-1222.2283728813554</v>
      </c>
    </row>
    <row r="14" spans="2:12" x14ac:dyDescent="0.3">
      <c r="B14" s="49" t="s">
        <v>6</v>
      </c>
      <c r="C14" s="50">
        <v>0.35</v>
      </c>
      <c r="D14" s="10">
        <v>-1500</v>
      </c>
      <c r="E14" s="10">
        <v>500</v>
      </c>
      <c r="F14" s="10">
        <v>1200</v>
      </c>
      <c r="G14" s="10">
        <v>-750</v>
      </c>
      <c r="H14" s="10">
        <v>1000</v>
      </c>
      <c r="I14" s="10"/>
      <c r="J14" s="10"/>
    </row>
    <row r="15" spans="2:12" x14ac:dyDescent="0.3">
      <c r="B15" s="56"/>
      <c r="C15" s="57"/>
      <c r="D15" s="227">
        <f>+D14*(1+$C14)^($G$3-$D$3)</f>
        <v>-3690.5625000000005</v>
      </c>
      <c r="E15" s="227">
        <f>+E14*(1+$C14)^($G$3-$E$3)</f>
        <v>911.25000000000011</v>
      </c>
      <c r="F15" s="227">
        <f>+F14*(1+$C14)^($G$3-$F$3)</f>
        <v>1620</v>
      </c>
      <c r="G15" s="228">
        <f>G14</f>
        <v>-750</v>
      </c>
      <c r="H15" s="227">
        <f>+H14/((1+C14)^1)</f>
        <v>740.74074074074065</v>
      </c>
      <c r="I15" s="10"/>
      <c r="J15" s="229">
        <f>D15+E15+F15+G15+H15</f>
        <v>-1168.5717592592598</v>
      </c>
    </row>
    <row r="16" spans="2:12" x14ac:dyDescent="0.3">
      <c r="B16" s="49" t="s">
        <v>11</v>
      </c>
      <c r="C16" s="50">
        <v>0.37</v>
      </c>
      <c r="D16" s="10">
        <v>-1500</v>
      </c>
      <c r="E16" s="10">
        <v>-1200</v>
      </c>
      <c r="F16" s="10">
        <v>400</v>
      </c>
      <c r="G16" s="230">
        <v>-1300</v>
      </c>
      <c r="H16" s="10">
        <v>400</v>
      </c>
      <c r="I16" s="10"/>
      <c r="J16" s="10"/>
    </row>
    <row r="17" spans="2:10" x14ac:dyDescent="0.3">
      <c r="B17" s="56"/>
      <c r="C17" s="57"/>
      <c r="D17" s="227">
        <f>+D16*(1+$C16)^($G$3-$D$3)</f>
        <v>-3857.029500000001</v>
      </c>
      <c r="E17" s="227">
        <f>+E16*(1+$C16)^($G$3-$E$3)</f>
        <v>-2252.2800000000002</v>
      </c>
      <c r="F17" s="227">
        <f>+F16*(1+$C16)^($G$3-$F$3)</f>
        <v>548</v>
      </c>
      <c r="G17" s="228">
        <f>G16</f>
        <v>-1300</v>
      </c>
      <c r="H17" s="227">
        <f>+H16/((1+C16)^1)</f>
        <v>291.97080291970798</v>
      </c>
      <c r="I17" s="10"/>
      <c r="J17" s="229">
        <f>D17+E17+F17+G17+H17</f>
        <v>-6569.3386970802931</v>
      </c>
    </row>
    <row r="18" spans="2:10" x14ac:dyDescent="0.3">
      <c r="B18" s="49" t="s">
        <v>12</v>
      </c>
      <c r="C18" s="50">
        <v>0.15</v>
      </c>
      <c r="D18" s="10">
        <v>-1500</v>
      </c>
      <c r="E18" s="10">
        <v>300</v>
      </c>
      <c r="F18" s="10">
        <v>500</v>
      </c>
      <c r="G18" s="10">
        <v>800</v>
      </c>
      <c r="H18" s="10">
        <v>1000</v>
      </c>
      <c r="I18" s="10"/>
      <c r="J18" s="10"/>
    </row>
    <row r="19" spans="2:10" x14ac:dyDescent="0.3">
      <c r="B19" s="56"/>
      <c r="C19" s="57"/>
      <c r="D19" s="227">
        <f>+D18*(1+$C18)^($G$3-$D$3)</f>
        <v>-2281.3124999999991</v>
      </c>
      <c r="E19" s="227">
        <f>+E18*(1+$C18)^($G$3-$E$3)</f>
        <v>396.74999999999994</v>
      </c>
      <c r="F19" s="227">
        <f>+F18*(1+$C18)^($G$3-$F$3)</f>
        <v>575</v>
      </c>
      <c r="G19" s="228">
        <f>G18</f>
        <v>800</v>
      </c>
      <c r="H19" s="227">
        <f>+H18/((1+C18)^1)</f>
        <v>869.56521739130437</v>
      </c>
      <c r="I19" s="10"/>
      <c r="J19" s="229">
        <f>D19+E19+F19+G19+H19</f>
        <v>360.00271739130528</v>
      </c>
    </row>
    <row r="20" spans="2:10" x14ac:dyDescent="0.3">
      <c r="B20" s="49" t="s">
        <v>13</v>
      </c>
      <c r="C20" s="50">
        <v>0.3</v>
      </c>
      <c r="D20" s="10">
        <v>-1500</v>
      </c>
      <c r="E20" s="10">
        <v>300</v>
      </c>
      <c r="F20" s="10">
        <v>500</v>
      </c>
      <c r="G20" s="10">
        <v>800</v>
      </c>
      <c r="H20" s="10">
        <v>1000</v>
      </c>
      <c r="I20" s="10"/>
      <c r="J20" s="10"/>
    </row>
    <row r="21" spans="2:10" x14ac:dyDescent="0.3">
      <c r="B21" s="14"/>
      <c r="C21" s="14"/>
      <c r="D21" s="227">
        <f>+D20*(1+$C20)^($G$3-$D$3)</f>
        <v>-3295.5000000000009</v>
      </c>
      <c r="E21" s="227">
        <f>+E20*(1+$C20)^($G$3-$E$3)</f>
        <v>507.00000000000006</v>
      </c>
      <c r="F21" s="227">
        <f>+F20*(1+$C20)^($G$3-$F$3)</f>
        <v>650</v>
      </c>
      <c r="G21" s="228">
        <f>G20</f>
        <v>800</v>
      </c>
      <c r="H21" s="227">
        <f>+H20/((1+C20)^1)</f>
        <v>769.23076923076917</v>
      </c>
      <c r="I21" s="10"/>
      <c r="J21" s="229">
        <f>D21+E21+F21+G21+H21</f>
        <v>-569.26923076923174</v>
      </c>
    </row>
  </sheetData>
  <mergeCells count="1">
    <mergeCell ref="B2:K2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FF00"/>
  </sheetPr>
  <dimension ref="C11:O22"/>
  <sheetViews>
    <sheetView topLeftCell="B1" zoomScale="90" zoomScaleNormal="90" workbookViewId="0">
      <selection activeCell="B1" sqref="B1"/>
    </sheetView>
  </sheetViews>
  <sheetFormatPr baseColWidth="10" defaultRowHeight="15.6" x14ac:dyDescent="0.3"/>
  <cols>
    <col min="1" max="1" width="11.19921875" customWidth="1"/>
    <col min="2" max="2" width="10.09765625" bestFit="1" customWidth="1"/>
    <col min="3" max="4" width="10.296875" bestFit="1" customWidth="1"/>
    <col min="5" max="8" width="8.8984375" bestFit="1" customWidth="1"/>
    <col min="9" max="9" width="10.296875" bestFit="1" customWidth="1"/>
    <col min="10" max="10" width="8.8984375" bestFit="1" customWidth="1"/>
    <col min="13" max="14" width="10.296875" bestFit="1" customWidth="1"/>
    <col min="15" max="15" width="12" bestFit="1" customWidth="1"/>
  </cols>
  <sheetData>
    <row r="11" spans="3:15" x14ac:dyDescent="0.3">
      <c r="C11" t="s">
        <v>115</v>
      </c>
      <c r="D11" s="95">
        <v>4.9312661116713549E-2</v>
      </c>
      <c r="M11" t="s">
        <v>115</v>
      </c>
      <c r="N11" s="95">
        <v>4.9312658738493255E-2</v>
      </c>
    </row>
    <row r="13" spans="3:15" x14ac:dyDescent="0.3">
      <c r="C13">
        <v>1</v>
      </c>
      <c r="D13">
        <f>C13+1</f>
        <v>2</v>
      </c>
      <c r="E13">
        <f t="shared" ref="E13:I13" si="0">D13+1</f>
        <v>3</v>
      </c>
      <c r="F13">
        <f t="shared" si="0"/>
        <v>4</v>
      </c>
      <c r="G13">
        <f t="shared" si="0"/>
        <v>5</v>
      </c>
      <c r="H13">
        <f t="shared" si="0"/>
        <v>6</v>
      </c>
      <c r="I13">
        <f t="shared" si="0"/>
        <v>7</v>
      </c>
      <c r="M13" s="71">
        <v>6500</v>
      </c>
      <c r="N13" s="49" t="s">
        <v>118</v>
      </c>
      <c r="O13">
        <v>800</v>
      </c>
    </row>
    <row r="14" spans="3:15" x14ac:dyDescent="0.3">
      <c r="C14" s="71">
        <v>800</v>
      </c>
      <c r="D14" s="71">
        <v>800</v>
      </c>
      <c r="E14" s="71">
        <v>800</v>
      </c>
      <c r="F14" s="71">
        <v>800</v>
      </c>
      <c r="G14" s="71">
        <v>800</v>
      </c>
      <c r="H14" s="71">
        <v>800</v>
      </c>
      <c r="I14" s="71">
        <v>800</v>
      </c>
      <c r="J14" s="26"/>
      <c r="O14">
        <f>((1+N11)^7)-1</f>
        <v>0.40066534989573666</v>
      </c>
    </row>
    <row r="15" spans="3:15" x14ac:dyDescent="0.3">
      <c r="C15" s="26"/>
      <c r="D15" s="26"/>
      <c r="E15" s="26"/>
      <c r="F15" s="26"/>
      <c r="G15" s="26"/>
      <c r="H15" s="26"/>
      <c r="I15" s="71">
        <v>6500</v>
      </c>
      <c r="J15" s="26"/>
      <c r="O15">
        <f>O14/N11</f>
        <v>8.1249999522532121</v>
      </c>
    </row>
    <row r="16" spans="3:15" x14ac:dyDescent="0.3">
      <c r="C16" s="71">
        <f t="shared" ref="C16:I16" si="1">C14*(1+$D$11)^($I$13-C13)</f>
        <v>1067.8726553261411</v>
      </c>
      <c r="D16" s="71">
        <f t="shared" si="1"/>
        <v>1017.6877635210037</v>
      </c>
      <c r="E16" s="71">
        <f t="shared" si="1"/>
        <v>969.86132087451062</v>
      </c>
      <c r="F16" s="71">
        <f t="shared" si="1"/>
        <v>924.28249159059203</v>
      </c>
      <c r="G16" s="71">
        <f t="shared" si="1"/>
        <v>880.84564862387128</v>
      </c>
      <c r="H16" s="71">
        <f t="shared" si="1"/>
        <v>839.4501288933709</v>
      </c>
      <c r="I16" s="71">
        <f t="shared" si="1"/>
        <v>800</v>
      </c>
      <c r="J16" s="26"/>
      <c r="M16" s="96">
        <f>M13-O16</f>
        <v>3.819743051280966E-5</v>
      </c>
      <c r="O16" s="74">
        <f>O15*O13</f>
        <v>6499.9999618025695</v>
      </c>
    </row>
    <row r="17" spans="3:14" x14ac:dyDescent="0.3">
      <c r="C17" s="26"/>
      <c r="D17" s="26"/>
      <c r="E17" s="26"/>
      <c r="F17" s="26"/>
      <c r="G17" s="26"/>
      <c r="H17" s="26"/>
      <c r="I17" s="26">
        <f>SUM(C16:I16)</f>
        <v>6500.0000088294892</v>
      </c>
      <c r="J17" s="96">
        <f>I17-I15</f>
        <v>8.8294891611440107E-6</v>
      </c>
    </row>
    <row r="18" spans="3:14" x14ac:dyDescent="0.3">
      <c r="C18" s="147"/>
      <c r="D18" s="147"/>
      <c r="E18" s="147"/>
      <c r="F18" s="147"/>
      <c r="G18" s="147"/>
      <c r="H18" s="147"/>
    </row>
    <row r="19" spans="3:14" x14ac:dyDescent="0.3">
      <c r="M19" t="s">
        <v>116</v>
      </c>
      <c r="N19" s="10">
        <v>6500</v>
      </c>
    </row>
    <row r="20" spans="3:14" x14ac:dyDescent="0.3">
      <c r="M20" t="s">
        <v>117</v>
      </c>
      <c r="N20">
        <v>7</v>
      </c>
    </row>
    <row r="21" spans="3:14" x14ac:dyDescent="0.3">
      <c r="M21" t="s">
        <v>1</v>
      </c>
      <c r="N21" s="10">
        <v>-800</v>
      </c>
    </row>
    <row r="22" spans="3:14" x14ac:dyDescent="0.3">
      <c r="M22" t="s">
        <v>7</v>
      </c>
      <c r="N22" s="95">
        <f>RATE(N20,N21,,N19)</f>
        <v>4.9312660670198349E-2</v>
      </c>
    </row>
  </sheetData>
  <pageMargins left="0.7" right="0.7" top="0.75" bottom="0.75" header="0.3" footer="0.3"/>
  <pageSetup orientation="portrait" horizontalDpi="90" verticalDpi="90" r:id="rId1"/>
  <drawing r:id="rId2"/>
  <legacyDrawing r:id="rId3"/>
  <oleObjects>
    <mc:AlternateContent xmlns:mc="http://schemas.openxmlformats.org/markup-compatibility/2006">
      <mc:Choice Requires="x14">
        <oleObject progId="Equation.3" shapeId="47105" r:id="rId4">
          <objectPr defaultSize="0" autoPict="0" r:id="rId5">
            <anchor moveWithCells="1">
              <from>
                <xdr:col>11</xdr:col>
                <xdr:colOff>601980</xdr:colOff>
                <xdr:row>5</xdr:row>
                <xdr:rowOff>30480</xdr:rowOff>
              </from>
              <to>
                <xdr:col>14</xdr:col>
                <xdr:colOff>678180</xdr:colOff>
                <xdr:row>9</xdr:row>
                <xdr:rowOff>45720</xdr:rowOff>
              </to>
            </anchor>
          </objectPr>
        </oleObject>
      </mc:Choice>
      <mc:Fallback>
        <oleObject progId="Equation.3" shapeId="4710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8D6F0-83B5-4FAE-9E0E-6B84BEA2C0FD}">
  <sheetPr>
    <tabColor rgb="FFFFFF00"/>
  </sheetPr>
  <dimension ref="B2:M27"/>
  <sheetViews>
    <sheetView zoomScale="120" zoomScaleNormal="120" workbookViewId="0"/>
  </sheetViews>
  <sheetFormatPr baseColWidth="10" defaultRowHeight="15.6" x14ac:dyDescent="0.3"/>
  <cols>
    <col min="2" max="2" width="3" bestFit="1" customWidth="1"/>
    <col min="3" max="3" width="4.296875" bestFit="1" customWidth="1"/>
    <col min="4" max="9" width="10.09765625" bestFit="1" customWidth="1"/>
    <col min="10" max="10" width="5.69921875" customWidth="1"/>
    <col min="11" max="11" width="21.19921875" bestFit="1" customWidth="1"/>
    <col min="12" max="12" width="5.69921875" customWidth="1"/>
    <col min="13" max="13" width="10.09765625" bestFit="1" customWidth="1"/>
  </cols>
  <sheetData>
    <row r="2" spans="2:13" x14ac:dyDescent="0.3">
      <c r="B2" s="266" t="s">
        <v>14</v>
      </c>
      <c r="C2" s="266"/>
      <c r="D2" s="266"/>
      <c r="E2" s="266"/>
      <c r="F2" s="266"/>
      <c r="G2" s="266"/>
      <c r="H2" s="266"/>
      <c r="I2" s="266"/>
      <c r="J2" s="266"/>
      <c r="K2" s="266"/>
      <c r="L2" s="113"/>
    </row>
    <row r="3" spans="2:13" ht="16.2" thickBot="1" x14ac:dyDescent="0.35">
      <c r="B3" s="2"/>
      <c r="C3" s="8" t="s">
        <v>7</v>
      </c>
      <c r="D3" s="8">
        <v>0</v>
      </c>
      <c r="E3" s="8">
        <v>1</v>
      </c>
      <c r="F3" s="8">
        <v>2</v>
      </c>
      <c r="G3" s="8">
        <v>3</v>
      </c>
      <c r="H3" s="8">
        <v>4</v>
      </c>
      <c r="I3" s="22" t="s">
        <v>9</v>
      </c>
      <c r="K3" s="22" t="str">
        <f>PR_3!J3</f>
        <v>Valor Equivalente año 3</v>
      </c>
      <c r="L3" s="22"/>
      <c r="M3" s="22" t="s">
        <v>9</v>
      </c>
    </row>
    <row r="4" spans="2:13" ht="16.2" thickTop="1" x14ac:dyDescent="0.3">
      <c r="B4" t="s">
        <v>1</v>
      </c>
      <c r="C4" s="1">
        <v>0.05</v>
      </c>
      <c r="D4" s="10"/>
      <c r="E4" s="10">
        <v>50</v>
      </c>
      <c r="F4" s="10">
        <v>100</v>
      </c>
      <c r="G4" s="10">
        <v>125</v>
      </c>
      <c r="H4" s="10">
        <v>150</v>
      </c>
      <c r="I4" s="10"/>
      <c r="J4" s="10"/>
    </row>
    <row r="5" spans="2:13" x14ac:dyDescent="0.3">
      <c r="B5" s="15" t="s">
        <v>9</v>
      </c>
      <c r="C5" s="16"/>
      <c r="D5" s="232">
        <f>+D4/(1+$C4)^D$3</f>
        <v>0</v>
      </c>
      <c r="E5" s="232">
        <f t="shared" ref="E5:H5" si="0">+E4/(1+$C4)^E$3</f>
        <v>47.61904761904762</v>
      </c>
      <c r="F5" s="232">
        <f t="shared" si="0"/>
        <v>90.702947845804985</v>
      </c>
      <c r="G5" s="232">
        <f t="shared" si="0"/>
        <v>107.9796998164345</v>
      </c>
      <c r="H5" s="232">
        <f t="shared" si="0"/>
        <v>123.40537121878229</v>
      </c>
      <c r="I5" s="233">
        <f>+SUM(D5:H5)</f>
        <v>369.7070665000694</v>
      </c>
      <c r="J5" s="10"/>
      <c r="K5" s="229">
        <f>PR_3!J5</f>
        <v>427.98214285714289</v>
      </c>
      <c r="L5" s="231"/>
      <c r="M5" s="233">
        <f>K5/(1+C4)^$G$3</f>
        <v>369.7070665000694</v>
      </c>
    </row>
    <row r="6" spans="2:13" x14ac:dyDescent="0.3">
      <c r="B6" t="s">
        <v>2</v>
      </c>
      <c r="C6" s="1">
        <v>0.15</v>
      </c>
      <c r="D6" s="10"/>
      <c r="E6" s="10">
        <v>30</v>
      </c>
      <c r="F6" s="10">
        <v>0</v>
      </c>
      <c r="G6" s="10">
        <v>30</v>
      </c>
      <c r="H6" s="10">
        <v>45</v>
      </c>
      <c r="I6" s="10"/>
      <c r="J6" s="10"/>
      <c r="K6" s="10"/>
      <c r="L6" s="231"/>
      <c r="M6" s="10"/>
    </row>
    <row r="7" spans="2:13" x14ac:dyDescent="0.3">
      <c r="B7" s="15" t="s">
        <v>9</v>
      </c>
      <c r="C7" s="16"/>
      <c r="D7" s="232">
        <f>+D6/(1+$C6)^D$3</f>
        <v>0</v>
      </c>
      <c r="E7" s="232">
        <f t="shared" ref="E7:H7" si="1">+E6/(1+$C6)^E$3</f>
        <v>26.086956521739133</v>
      </c>
      <c r="F7" s="232">
        <f t="shared" si="1"/>
        <v>0</v>
      </c>
      <c r="G7" s="232">
        <f t="shared" si="1"/>
        <v>19.725486972959651</v>
      </c>
      <c r="H7" s="232">
        <f t="shared" si="1"/>
        <v>25.728896051686501</v>
      </c>
      <c r="I7" s="233">
        <f>+SUM(D7:H7)</f>
        <v>71.541339546385288</v>
      </c>
      <c r="J7" s="10"/>
      <c r="K7" s="229">
        <f>PR_3!J7</f>
        <v>108.8054347826087</v>
      </c>
      <c r="L7" s="231"/>
      <c r="M7" s="233">
        <f>K7/(1+C6)^$G$3</f>
        <v>71.541339546385288</v>
      </c>
    </row>
    <row r="8" spans="2:13" x14ac:dyDescent="0.3">
      <c r="B8" t="s">
        <v>3</v>
      </c>
      <c r="C8" s="1">
        <v>0.1</v>
      </c>
      <c r="D8" s="10"/>
      <c r="E8" s="10">
        <v>50</v>
      </c>
      <c r="F8" s="10">
        <v>75</v>
      </c>
      <c r="G8" s="10">
        <v>125</v>
      </c>
      <c r="H8" s="10">
        <v>150</v>
      </c>
      <c r="I8" s="10"/>
      <c r="J8" s="10"/>
      <c r="K8" s="10"/>
      <c r="L8" s="231"/>
      <c r="M8" s="10"/>
    </row>
    <row r="9" spans="2:13" x14ac:dyDescent="0.3">
      <c r="B9" s="15" t="s">
        <v>9</v>
      </c>
      <c r="C9" s="16"/>
      <c r="D9" s="232">
        <f>+D8/(1+$C8)^D$3</f>
        <v>0</v>
      </c>
      <c r="E9" s="232">
        <f t="shared" ref="E9:H9" si="2">+E8/(1+$C8)^E$3</f>
        <v>45.454545454545453</v>
      </c>
      <c r="F9" s="232">
        <f t="shared" si="2"/>
        <v>61.983471074380155</v>
      </c>
      <c r="G9" s="232">
        <f t="shared" si="2"/>
        <v>93.914350112697193</v>
      </c>
      <c r="H9" s="232">
        <f t="shared" si="2"/>
        <v>102.45201830476057</v>
      </c>
      <c r="I9" s="233">
        <f>+SUM(D9:H9)</f>
        <v>303.80438494638338</v>
      </c>
      <c r="J9" s="10"/>
      <c r="K9" s="229">
        <f>PR_3!J9</f>
        <v>404.36363636363637</v>
      </c>
      <c r="L9" s="231"/>
      <c r="M9" s="233">
        <f>K9/(1+C8)^$G$3</f>
        <v>303.80438494638338</v>
      </c>
    </row>
    <row r="10" spans="2:13" x14ac:dyDescent="0.3">
      <c r="B10" t="s">
        <v>4</v>
      </c>
      <c r="C10" s="1">
        <v>0.1</v>
      </c>
      <c r="D10" s="10"/>
      <c r="E10" s="10">
        <v>150</v>
      </c>
      <c r="F10" s="10">
        <v>125</v>
      </c>
      <c r="G10" s="10">
        <v>75</v>
      </c>
      <c r="H10" s="10">
        <v>50</v>
      </c>
      <c r="I10" s="10"/>
      <c r="J10" s="10"/>
      <c r="K10" s="10"/>
      <c r="L10" s="231"/>
      <c r="M10" s="10"/>
    </row>
    <row r="11" spans="2:13" x14ac:dyDescent="0.3">
      <c r="B11" s="15" t="s">
        <v>9</v>
      </c>
      <c r="C11" s="16"/>
      <c r="D11" s="232">
        <f>+D10/(1+$C10)^D$3</f>
        <v>0</v>
      </c>
      <c r="E11" s="232">
        <f t="shared" ref="E11:H11" si="3">+E10/(1+$C10)^E$3</f>
        <v>136.36363636363635</v>
      </c>
      <c r="F11" s="232">
        <f t="shared" si="3"/>
        <v>103.30578512396693</v>
      </c>
      <c r="G11" s="232">
        <f t="shared" si="3"/>
        <v>56.348610067618317</v>
      </c>
      <c r="H11" s="232">
        <f t="shared" si="3"/>
        <v>34.150672768253528</v>
      </c>
      <c r="I11" s="233">
        <f>+SUM(D11:H11)</f>
        <v>330.16870432347508</v>
      </c>
      <c r="J11" s="10"/>
      <c r="K11" s="229">
        <f>PR_3!J11</f>
        <v>439.45454545454544</v>
      </c>
      <c r="L11" s="231"/>
      <c r="M11" s="233">
        <f>K11/(1+C10)^$G$3</f>
        <v>330.16870432347508</v>
      </c>
    </row>
    <row r="12" spans="2:13" x14ac:dyDescent="0.3">
      <c r="B12" t="s">
        <v>5</v>
      </c>
      <c r="C12" s="1">
        <v>0.18</v>
      </c>
      <c r="D12" s="10">
        <v>-1750</v>
      </c>
      <c r="E12" s="10">
        <v>50</v>
      </c>
      <c r="F12" s="10">
        <v>200</v>
      </c>
      <c r="G12" s="10">
        <v>500</v>
      </c>
      <c r="H12" s="10">
        <v>1000</v>
      </c>
      <c r="I12" s="10"/>
      <c r="J12" s="10"/>
      <c r="K12" s="10"/>
      <c r="L12" s="231"/>
      <c r="M12" s="10"/>
    </row>
    <row r="13" spans="2:13" x14ac:dyDescent="0.3">
      <c r="B13" s="15" t="s">
        <v>9</v>
      </c>
      <c r="C13" s="16"/>
      <c r="D13" s="232">
        <f>+D12/(1+$C12)^D$3</f>
        <v>-1750</v>
      </c>
      <c r="E13" s="232">
        <f t="shared" ref="E13:H13" si="4">+E12/(1+$C12)^E$3</f>
        <v>42.372881355932208</v>
      </c>
      <c r="F13" s="232">
        <f t="shared" si="4"/>
        <v>143.63688595231258</v>
      </c>
      <c r="G13" s="232">
        <f t="shared" si="4"/>
        <v>304.31543633964526</v>
      </c>
      <c r="H13" s="232">
        <f t="shared" si="4"/>
        <v>515.78887515194117</v>
      </c>
      <c r="I13" s="233">
        <f>+SUM(D13:H13)</f>
        <v>-743.88592120016904</v>
      </c>
      <c r="J13" s="10"/>
      <c r="K13" s="229">
        <f>PR_3!J13</f>
        <v>-1222.2283728813554</v>
      </c>
      <c r="L13" s="231"/>
      <c r="M13" s="233">
        <f>K13/(1+C12)^$G$3</f>
        <v>-743.8859212001687</v>
      </c>
    </row>
    <row r="14" spans="2:13" x14ac:dyDescent="0.3">
      <c r="B14" t="s">
        <v>6</v>
      </c>
      <c r="C14" s="1">
        <v>0.35</v>
      </c>
      <c r="D14" s="10">
        <v>-1500</v>
      </c>
      <c r="E14" s="10">
        <v>500</v>
      </c>
      <c r="F14" s="10">
        <v>1200</v>
      </c>
      <c r="G14" s="10">
        <v>-750</v>
      </c>
      <c r="H14" s="10">
        <v>1000</v>
      </c>
      <c r="I14" s="10"/>
      <c r="J14" s="10"/>
      <c r="K14" s="10"/>
      <c r="L14" s="231"/>
      <c r="M14" s="10"/>
    </row>
    <row r="15" spans="2:13" x14ac:dyDescent="0.3">
      <c r="B15" s="15" t="s">
        <v>9</v>
      </c>
      <c r="C15" s="16"/>
      <c r="D15" s="232">
        <f>+D14/(1+$C14)^D$3</f>
        <v>-1500</v>
      </c>
      <c r="E15" s="232">
        <f t="shared" ref="E15:H15" si="5">+E14/(1+$C14)^E$3</f>
        <v>370.37037037037032</v>
      </c>
      <c r="F15" s="232">
        <f t="shared" si="5"/>
        <v>658.43621399176948</v>
      </c>
      <c r="G15" s="232">
        <f t="shared" si="5"/>
        <v>-304.83158055174511</v>
      </c>
      <c r="H15" s="232">
        <f t="shared" si="5"/>
        <v>301.0682277054272</v>
      </c>
      <c r="I15" s="233">
        <f>+SUM(D15:H15)</f>
        <v>-474.95676848417799</v>
      </c>
      <c r="J15" s="10"/>
      <c r="K15" s="229">
        <f>PR_3!J15</f>
        <v>-1168.5717592592598</v>
      </c>
      <c r="L15" s="231"/>
      <c r="M15" s="233">
        <f>K15/(1+C14)^$G$3</f>
        <v>-474.95676848417804</v>
      </c>
    </row>
    <row r="16" spans="2:13" x14ac:dyDescent="0.3">
      <c r="B16" t="s">
        <v>11</v>
      </c>
      <c r="C16" s="1">
        <v>0.37</v>
      </c>
      <c r="D16" s="10">
        <v>-1500</v>
      </c>
      <c r="E16" s="10">
        <v>-1200</v>
      </c>
      <c r="F16" s="10">
        <v>400</v>
      </c>
      <c r="G16" s="230">
        <v>-1300</v>
      </c>
      <c r="H16" s="10">
        <v>400</v>
      </c>
      <c r="I16" s="10"/>
      <c r="J16" s="10"/>
      <c r="K16" s="10"/>
      <c r="L16" s="231"/>
      <c r="M16" s="10"/>
    </row>
    <row r="17" spans="2:13" x14ac:dyDescent="0.3">
      <c r="B17" s="15" t="s">
        <v>9</v>
      </c>
      <c r="C17" s="16"/>
      <c r="D17" s="232">
        <f>+D16/(1+$C16)^D$3</f>
        <v>-1500</v>
      </c>
      <c r="E17" s="232">
        <f t="shared" ref="E17:H17" si="6">+E16/(1+$C16)^E$3</f>
        <v>-875.91240875912399</v>
      </c>
      <c r="F17" s="232">
        <f t="shared" si="6"/>
        <v>213.11737439394744</v>
      </c>
      <c r="G17" s="232">
        <f t="shared" si="6"/>
        <v>-505.57041370826943</v>
      </c>
      <c r="H17" s="232">
        <f t="shared" si="6"/>
        <v>113.5475381714249</v>
      </c>
      <c r="I17" s="233">
        <f>+SUM(D17:H17)</f>
        <v>-2554.8179099020208</v>
      </c>
      <c r="J17" s="10"/>
      <c r="K17" s="229">
        <f>PR_3!J17</f>
        <v>-6569.3386970802931</v>
      </c>
      <c r="L17" s="231"/>
      <c r="M17" s="233">
        <f>K17/(1+C16)^$G$3</f>
        <v>-2554.8179099020208</v>
      </c>
    </row>
    <row r="18" spans="2:13" x14ac:dyDescent="0.3">
      <c r="B18" t="s">
        <v>12</v>
      </c>
      <c r="C18" s="1">
        <v>0.15</v>
      </c>
      <c r="D18" s="10">
        <v>-1500</v>
      </c>
      <c r="E18" s="10">
        <v>300</v>
      </c>
      <c r="F18" s="10">
        <v>500</v>
      </c>
      <c r="G18" s="10">
        <v>800</v>
      </c>
      <c r="H18" s="10">
        <v>1000</v>
      </c>
      <c r="I18" s="10"/>
      <c r="J18" s="10"/>
      <c r="K18" s="10"/>
      <c r="L18" s="231"/>
      <c r="M18" s="10"/>
    </row>
    <row r="19" spans="2:13" x14ac:dyDescent="0.3">
      <c r="B19" s="15" t="s">
        <v>9</v>
      </c>
      <c r="C19" s="16"/>
      <c r="D19" s="232">
        <f>+D18/(1+$C18)^D$3</f>
        <v>-1500</v>
      </c>
      <c r="E19" s="232">
        <f t="shared" ref="E19:H19" si="7">+E18/(1+$C18)^E$3</f>
        <v>260.86956521739131</v>
      </c>
      <c r="F19" s="232">
        <f t="shared" si="7"/>
        <v>378.07183364839324</v>
      </c>
      <c r="G19" s="232">
        <f t="shared" si="7"/>
        <v>526.01298594559069</v>
      </c>
      <c r="H19" s="232">
        <f t="shared" si="7"/>
        <v>571.7532455930334</v>
      </c>
      <c r="I19" s="233">
        <f>+SUM(D19:H19)</f>
        <v>236.70763040440863</v>
      </c>
      <c r="J19" s="10"/>
      <c r="K19" s="229">
        <f>PR_3!J19</f>
        <v>360.00271739130528</v>
      </c>
      <c r="L19" s="231"/>
      <c r="M19" s="233">
        <f>K19/(1+C18)^$G$3</f>
        <v>236.70763040440892</v>
      </c>
    </row>
    <row r="20" spans="2:13" x14ac:dyDescent="0.3">
      <c r="B20" t="s">
        <v>13</v>
      </c>
      <c r="C20" s="1">
        <v>0.3</v>
      </c>
      <c r="D20" s="10">
        <v>-1500</v>
      </c>
      <c r="E20" s="10">
        <v>300</v>
      </c>
      <c r="F20" s="10">
        <v>500</v>
      </c>
      <c r="G20" s="10">
        <v>800</v>
      </c>
      <c r="H20" s="10">
        <v>1000</v>
      </c>
      <c r="I20" s="10"/>
      <c r="J20" s="10"/>
      <c r="K20" s="10"/>
      <c r="L20" s="231"/>
      <c r="M20" s="10"/>
    </row>
    <row r="21" spans="2:13" x14ac:dyDescent="0.3">
      <c r="B21" s="15" t="s">
        <v>9</v>
      </c>
      <c r="C21" s="15"/>
      <c r="D21" s="232">
        <f>+D20/(1+$C20)^D$3</f>
        <v>-1500</v>
      </c>
      <c r="E21" s="232">
        <f t="shared" ref="E21:H21" si="8">+E20/(1+$C20)^E$3</f>
        <v>230.76923076923077</v>
      </c>
      <c r="F21" s="232">
        <f t="shared" si="8"/>
        <v>295.85798816568047</v>
      </c>
      <c r="G21" s="232">
        <f t="shared" si="8"/>
        <v>364.13290851160667</v>
      </c>
      <c r="H21" s="232">
        <f t="shared" si="8"/>
        <v>350.12779664577562</v>
      </c>
      <c r="I21" s="233">
        <f>+SUM(D21:H21)</f>
        <v>-259.11207590770658</v>
      </c>
      <c r="J21" s="10"/>
      <c r="K21" s="229">
        <f>PR_3!J21</f>
        <v>-569.26923076923174</v>
      </c>
      <c r="L21" s="231"/>
      <c r="M21" s="233">
        <f>K21/(1+C20)^$G$3</f>
        <v>-259.1120759077067</v>
      </c>
    </row>
    <row r="22" spans="2:13" x14ac:dyDescent="0.3">
      <c r="L22" s="22"/>
    </row>
    <row r="23" spans="2:13" x14ac:dyDescent="0.3">
      <c r="L23" s="22"/>
    </row>
    <row r="24" spans="2:13" x14ac:dyDescent="0.3">
      <c r="L24" s="22"/>
    </row>
    <row r="25" spans="2:13" x14ac:dyDescent="0.3">
      <c r="L25" s="22"/>
    </row>
    <row r="26" spans="2:13" x14ac:dyDescent="0.3">
      <c r="L26" s="22"/>
    </row>
    <row r="27" spans="2:13" x14ac:dyDescent="0.3">
      <c r="L27" s="22"/>
    </row>
  </sheetData>
  <mergeCells count="1">
    <mergeCell ref="B2:K2"/>
  </mergeCells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2:M30"/>
  <sheetViews>
    <sheetView topLeftCell="A7" zoomScaleNormal="100" zoomScalePageLayoutView="150" workbookViewId="0">
      <selection activeCell="K22" sqref="K22"/>
    </sheetView>
  </sheetViews>
  <sheetFormatPr baseColWidth="10" defaultRowHeight="15.6" x14ac:dyDescent="0.3"/>
  <cols>
    <col min="1" max="1" width="11.19921875" customWidth="1"/>
    <col min="2" max="2" width="22.59765625" bestFit="1" customWidth="1"/>
    <col min="3" max="3" width="1.8984375" bestFit="1" customWidth="1"/>
    <col min="4" max="7" width="7.59765625" bestFit="1" customWidth="1"/>
    <col min="8" max="8" width="2.8984375" bestFit="1" customWidth="1"/>
    <col min="9" max="9" width="29.796875" bestFit="1" customWidth="1"/>
  </cols>
  <sheetData>
    <row r="2" spans="2:13" x14ac:dyDescent="0.3">
      <c r="D2">
        <v>100</v>
      </c>
      <c r="E2">
        <v>100</v>
      </c>
      <c r="F2">
        <v>100</v>
      </c>
      <c r="G2">
        <v>100</v>
      </c>
    </row>
    <row r="4" spans="2:13" x14ac:dyDescent="0.3">
      <c r="B4" s="267" t="s">
        <v>15</v>
      </c>
      <c r="C4" s="267"/>
      <c r="D4" s="267"/>
      <c r="E4" s="267"/>
      <c r="F4" s="267"/>
      <c r="G4" s="267"/>
      <c r="H4" s="267"/>
      <c r="I4" s="267"/>
    </row>
    <row r="5" spans="2:13" x14ac:dyDescent="0.3">
      <c r="B5" s="55"/>
      <c r="C5" s="53">
        <v>0</v>
      </c>
      <c r="D5" s="53">
        <v>1</v>
      </c>
      <c r="E5" s="53">
        <v>2</v>
      </c>
      <c r="F5" s="53">
        <v>3</v>
      </c>
      <c r="G5" s="54">
        <v>4</v>
      </c>
    </row>
    <row r="6" spans="2:13" x14ac:dyDescent="0.3">
      <c r="B6" s="49" t="s">
        <v>1</v>
      </c>
      <c r="C6" s="49"/>
      <c r="D6" s="9">
        <v>0.1</v>
      </c>
      <c r="E6" s="9">
        <v>0.1</v>
      </c>
      <c r="F6" s="9">
        <v>0.1</v>
      </c>
      <c r="G6" s="9">
        <v>0.1</v>
      </c>
    </row>
    <row r="7" spans="2:13" x14ac:dyDescent="0.3">
      <c r="B7" s="105" t="s">
        <v>38</v>
      </c>
      <c r="C7" s="105"/>
      <c r="D7" s="19">
        <f>+(1+D6)^$D$5</f>
        <v>1.1000000000000001</v>
      </c>
      <c r="E7" s="19">
        <f>+(1+E6)^$E$5</f>
        <v>1.2100000000000002</v>
      </c>
      <c r="F7" s="19">
        <f>+(1+F6)^F5</f>
        <v>1.3310000000000004</v>
      </c>
      <c r="G7" s="19">
        <f>+(1+G6)^G5</f>
        <v>1.4641000000000004</v>
      </c>
    </row>
    <row r="8" spans="2:13" x14ac:dyDescent="0.3">
      <c r="B8" s="106" t="s">
        <v>37</v>
      </c>
      <c r="C8" s="106"/>
      <c r="D8" s="107">
        <f>1/D7</f>
        <v>0.90909090909090906</v>
      </c>
      <c r="E8" s="107">
        <f>1/(E7)</f>
        <v>0.82644628099173545</v>
      </c>
      <c r="F8" s="107">
        <f>1/(F7)</f>
        <v>0.75131480090157754</v>
      </c>
      <c r="G8" s="107">
        <f>1/(G7)</f>
        <v>0.68301345536507052</v>
      </c>
      <c r="H8" t="s">
        <v>93</v>
      </c>
      <c r="I8" s="7" t="s">
        <v>134</v>
      </c>
    </row>
    <row r="9" spans="2:13" ht="16.2" thickBot="1" x14ac:dyDescent="0.35"/>
    <row r="10" spans="2:13" x14ac:dyDescent="0.3">
      <c r="B10" s="80" t="s">
        <v>2</v>
      </c>
      <c r="C10" s="83"/>
      <c r="D10" s="81">
        <v>0.15</v>
      </c>
      <c r="E10" s="81">
        <v>0.15</v>
      </c>
      <c r="F10" s="81">
        <v>0.2</v>
      </c>
      <c r="G10" s="81">
        <v>0.2</v>
      </c>
    </row>
    <row r="11" spans="2:13" x14ac:dyDescent="0.3">
      <c r="B11" s="108" t="s">
        <v>138</v>
      </c>
      <c r="C11" s="109"/>
      <c r="D11" s="82">
        <f>(1+D10)</f>
        <v>1.1499999999999999</v>
      </c>
      <c r="E11" s="82">
        <f>D11*(1+E10)</f>
        <v>1.3224999999999998</v>
      </c>
      <c r="F11" s="82">
        <f>E11*(1+F10)</f>
        <v>1.5869999999999997</v>
      </c>
      <c r="G11" s="82">
        <f>F11*(1+G10)</f>
        <v>1.9043999999999996</v>
      </c>
      <c r="K11">
        <f>(1+D10)^D5</f>
        <v>1.1499999999999999</v>
      </c>
      <c r="L11">
        <f>(1+E10)^E5</f>
        <v>1.3224999999999998</v>
      </c>
      <c r="M11">
        <f>L11*(1+F10)</f>
        <v>1.5869999999999997</v>
      </c>
    </row>
    <row r="12" spans="2:13" ht="16.2" thickBot="1" x14ac:dyDescent="0.35">
      <c r="B12" s="110" t="s">
        <v>37</v>
      </c>
      <c r="C12" s="111"/>
      <c r="D12" s="112">
        <f>1/D11</f>
        <v>0.86956521739130443</v>
      </c>
      <c r="E12" s="112">
        <f>1/(E11)</f>
        <v>0.7561436672967865</v>
      </c>
      <c r="F12" s="112">
        <f>1/(F11)</f>
        <v>0.63011972274732209</v>
      </c>
      <c r="G12" s="112">
        <f>1/(G11)</f>
        <v>0.52509976895610178</v>
      </c>
      <c r="I12" s="7" t="s">
        <v>135</v>
      </c>
      <c r="K12">
        <f>1/K11</f>
        <v>0.86956521739130443</v>
      </c>
      <c r="L12">
        <f>1/L11</f>
        <v>0.7561436672967865</v>
      </c>
      <c r="M12">
        <f>1/M11</f>
        <v>0.63011972274732209</v>
      </c>
    </row>
    <row r="13" spans="2:13" x14ac:dyDescent="0.3">
      <c r="I13" s="7"/>
    </row>
    <row r="14" spans="2:13" ht="16.2" thickBot="1" x14ac:dyDescent="0.35">
      <c r="D14" s="112">
        <f>1/(1+D10)</f>
        <v>0.86956521739130443</v>
      </c>
      <c r="E14" s="112">
        <f>1/((1+D10)*(1+E10))</f>
        <v>0.7561436672967865</v>
      </c>
      <c r="F14" s="112">
        <f>1/((1+D10)*(1+E10)*(1+F10))</f>
        <v>0.63011972274732209</v>
      </c>
      <c r="G14" s="112">
        <f>1/((1+D10)*(1+E10)*(1+F10)*(1+G10))</f>
        <v>0.52509976895610178</v>
      </c>
      <c r="I14" s="7"/>
    </row>
    <row r="15" spans="2:13" ht="16.2" thickBot="1" x14ac:dyDescent="0.35"/>
    <row r="16" spans="2:13" x14ac:dyDescent="0.3">
      <c r="B16" s="80" t="s">
        <v>3</v>
      </c>
      <c r="C16" s="83"/>
      <c r="D16" s="81">
        <v>0.25</v>
      </c>
      <c r="E16" s="81">
        <v>0.2</v>
      </c>
      <c r="F16" s="81">
        <v>0.15</v>
      </c>
      <c r="G16" s="81">
        <v>0.15</v>
      </c>
    </row>
    <row r="17" spans="2:9" x14ac:dyDescent="0.3">
      <c r="B17" s="108" t="s">
        <v>138</v>
      </c>
      <c r="C17" s="109"/>
      <c r="D17" s="82">
        <f>(1+D16)</f>
        <v>1.25</v>
      </c>
      <c r="E17" s="82">
        <f>D17*(1+E16)</f>
        <v>1.5</v>
      </c>
      <c r="F17" s="82">
        <f t="shared" ref="F17" si="0">E17*(1+F16)</f>
        <v>1.7249999999999999</v>
      </c>
      <c r="G17" s="82">
        <f t="shared" ref="G17" si="1">F17*(1+G16)</f>
        <v>1.9837499999999997</v>
      </c>
    </row>
    <row r="18" spans="2:9" ht="16.2" thickBot="1" x14ac:dyDescent="0.35">
      <c r="B18" s="110" t="s">
        <v>37</v>
      </c>
      <c r="C18" s="111"/>
      <c r="D18" s="112">
        <f>1/D17</f>
        <v>0.8</v>
      </c>
      <c r="E18" s="112">
        <f>1/(E17)</f>
        <v>0.66666666666666663</v>
      </c>
      <c r="F18" s="112">
        <f>1/(F17)</f>
        <v>0.57971014492753625</v>
      </c>
      <c r="G18" s="112">
        <f>1/(G17)</f>
        <v>0.50409577819785767</v>
      </c>
      <c r="I18" s="7" t="s">
        <v>135</v>
      </c>
    </row>
    <row r="19" spans="2:9" ht="16.2" thickBot="1" x14ac:dyDescent="0.35"/>
    <row r="20" spans="2:9" x14ac:dyDescent="0.3">
      <c r="B20" s="80" t="s">
        <v>4</v>
      </c>
      <c r="C20" s="83"/>
      <c r="D20" s="81">
        <v>0.12</v>
      </c>
      <c r="E20" s="81">
        <v>0.14000000000000001</v>
      </c>
      <c r="F20" s="81">
        <v>0.16</v>
      </c>
      <c r="G20" s="81">
        <v>0.16</v>
      </c>
    </row>
    <row r="21" spans="2:9" x14ac:dyDescent="0.3">
      <c r="B21" s="108" t="s">
        <v>138</v>
      </c>
      <c r="C21" s="109"/>
      <c r="D21" s="82">
        <f>(1+D20)</f>
        <v>1.1200000000000001</v>
      </c>
      <c r="E21" s="82">
        <f>D21*(1+E20)</f>
        <v>1.2768000000000002</v>
      </c>
      <c r="F21" s="82">
        <f t="shared" ref="F21" si="2">E21*(1+F20)</f>
        <v>1.4810880000000002</v>
      </c>
      <c r="G21" s="82">
        <f t="shared" ref="G21" si="3">F21*(1+G20)</f>
        <v>1.7180620800000002</v>
      </c>
    </row>
    <row r="22" spans="2:9" ht="16.2" thickBot="1" x14ac:dyDescent="0.35">
      <c r="B22" s="110" t="s">
        <v>37</v>
      </c>
      <c r="C22" s="111"/>
      <c r="D22" s="112">
        <f>1/D21</f>
        <v>0.89285714285714279</v>
      </c>
      <c r="E22" s="112">
        <f>1/(E21)</f>
        <v>0.78320802005012524</v>
      </c>
      <c r="F22" s="112">
        <f>1/(F21)</f>
        <v>0.67517932762941824</v>
      </c>
      <c r="G22" s="112">
        <f>1/(G21)</f>
        <v>0.58205114450811923</v>
      </c>
      <c r="I22" s="7" t="s">
        <v>135</v>
      </c>
    </row>
    <row r="23" spans="2:9" ht="16.2" thickBot="1" x14ac:dyDescent="0.35"/>
    <row r="24" spans="2:9" x14ac:dyDescent="0.3">
      <c r="B24" s="80" t="s">
        <v>5</v>
      </c>
      <c r="C24" s="83"/>
      <c r="D24" s="81">
        <v>0.13</v>
      </c>
      <c r="E24" s="81">
        <v>0.15</v>
      </c>
      <c r="F24" s="81">
        <v>0.15</v>
      </c>
      <c r="G24" s="81">
        <v>0.15</v>
      </c>
    </row>
    <row r="25" spans="2:9" x14ac:dyDescent="0.3">
      <c r="B25" s="108" t="s">
        <v>138</v>
      </c>
      <c r="C25" s="109"/>
      <c r="D25" s="82">
        <f>(1+D24)</f>
        <v>1.1299999999999999</v>
      </c>
      <c r="E25" s="82">
        <f>D25*(1+E24)</f>
        <v>1.2994999999999999</v>
      </c>
      <c r="F25" s="82">
        <f t="shared" ref="F25" si="4">E25*(1+F24)</f>
        <v>1.4944249999999997</v>
      </c>
      <c r="G25" s="82">
        <f t="shared" ref="G25" si="5">F25*(1+G24)</f>
        <v>1.7185887499999994</v>
      </c>
    </row>
    <row r="26" spans="2:9" ht="16.2" thickBot="1" x14ac:dyDescent="0.35">
      <c r="B26" s="110" t="s">
        <v>37</v>
      </c>
      <c r="C26" s="111"/>
      <c r="D26" s="112">
        <f>1/D25</f>
        <v>0.88495575221238942</v>
      </c>
      <c r="E26" s="112">
        <f>1/(E25)</f>
        <v>0.76952674105425167</v>
      </c>
      <c r="F26" s="112">
        <f>1/(F25)</f>
        <v>0.66915368787326246</v>
      </c>
      <c r="G26" s="112">
        <f>1/(G25)</f>
        <v>0.58187277206370658</v>
      </c>
      <c r="I26" s="7" t="s">
        <v>135</v>
      </c>
    </row>
    <row r="27" spans="2:9" ht="16.2" thickBot="1" x14ac:dyDescent="0.35"/>
    <row r="28" spans="2:9" x14ac:dyDescent="0.3">
      <c r="B28" s="80" t="s">
        <v>6</v>
      </c>
      <c r="C28" s="83"/>
      <c r="D28" s="81">
        <v>0.4</v>
      </c>
      <c r="E28" s="81">
        <v>0.4</v>
      </c>
      <c r="F28" s="81">
        <v>0.4</v>
      </c>
      <c r="G28" s="81">
        <v>0.4</v>
      </c>
    </row>
    <row r="29" spans="2:9" x14ac:dyDescent="0.3">
      <c r="B29" s="108" t="s">
        <v>38</v>
      </c>
      <c r="C29" s="109"/>
      <c r="D29" s="82">
        <f>(1+D28)</f>
        <v>1.4</v>
      </c>
      <c r="E29" s="82">
        <f>D29*(1+E28)</f>
        <v>1.9599999999999997</v>
      </c>
      <c r="F29" s="82">
        <f t="shared" ref="F29" si="6">E29*(1+F28)</f>
        <v>2.7439999999999993</v>
      </c>
      <c r="G29" s="82">
        <f t="shared" ref="G29" si="7">F29*(1+G28)</f>
        <v>3.8415999999999988</v>
      </c>
    </row>
    <row r="30" spans="2:9" ht="16.2" thickBot="1" x14ac:dyDescent="0.35">
      <c r="B30" s="110" t="s">
        <v>37</v>
      </c>
      <c r="C30" s="111"/>
      <c r="D30" s="112">
        <f>1/D29</f>
        <v>0.7142857142857143</v>
      </c>
      <c r="E30" s="112">
        <f>1/(E29)</f>
        <v>0.51020408163265318</v>
      </c>
      <c r="F30" s="112">
        <f>1/(F29)</f>
        <v>0.36443148688046656</v>
      </c>
      <c r="G30" s="112">
        <f>1/(G29)</f>
        <v>0.26030820491461898</v>
      </c>
      <c r="I30" s="7" t="s">
        <v>134</v>
      </c>
    </row>
  </sheetData>
  <mergeCells count="1">
    <mergeCell ref="B4:I4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2:H24"/>
  <sheetViews>
    <sheetView zoomScaleNormal="100" workbookViewId="0"/>
  </sheetViews>
  <sheetFormatPr baseColWidth="10" defaultRowHeight="15.6" x14ac:dyDescent="0.3"/>
  <cols>
    <col min="2" max="2" width="22.3984375" bestFit="1" customWidth="1"/>
    <col min="3" max="7" width="10.09765625" bestFit="1" customWidth="1"/>
    <col min="8" max="8" width="10.69921875" bestFit="1" customWidth="1"/>
  </cols>
  <sheetData>
    <row r="2" spans="2:8" x14ac:dyDescent="0.3">
      <c r="B2" s="264" t="s">
        <v>16</v>
      </c>
      <c r="C2" s="264"/>
      <c r="D2" s="264"/>
      <c r="E2" s="264"/>
      <c r="F2" s="264"/>
      <c r="G2" s="264"/>
      <c r="H2" s="264"/>
    </row>
    <row r="3" spans="2:8" x14ac:dyDescent="0.3">
      <c r="B3" s="55"/>
      <c r="C3" s="53">
        <v>0</v>
      </c>
      <c r="D3" s="53">
        <v>1</v>
      </c>
      <c r="E3" s="53">
        <v>2</v>
      </c>
      <c r="F3" s="53">
        <v>3</v>
      </c>
      <c r="G3" s="54">
        <v>4</v>
      </c>
      <c r="H3" s="239" t="s">
        <v>9</v>
      </c>
    </row>
    <row r="4" spans="2:8" x14ac:dyDescent="0.3">
      <c r="B4" s="17" t="s">
        <v>17</v>
      </c>
      <c r="C4" s="5"/>
      <c r="D4" s="59">
        <v>0.1</v>
      </c>
      <c r="E4" s="59">
        <v>0.15</v>
      </c>
      <c r="F4" s="59">
        <v>0.2</v>
      </c>
      <c r="G4" s="60">
        <v>0.25</v>
      </c>
    </row>
    <row r="5" spans="2:8" ht="16.2" thickBot="1" x14ac:dyDescent="0.35">
      <c r="B5" s="17" t="s">
        <v>18</v>
      </c>
      <c r="C5" s="42"/>
      <c r="D5" s="42">
        <v>1250</v>
      </c>
      <c r="E5" s="42">
        <v>1500</v>
      </c>
      <c r="F5" s="42">
        <v>1750</v>
      </c>
      <c r="G5" s="84">
        <v>2000</v>
      </c>
    </row>
    <row r="6" spans="2:8" x14ac:dyDescent="0.3">
      <c r="B6" s="149" t="s">
        <v>138</v>
      </c>
      <c r="C6" s="85"/>
      <c r="D6" s="86">
        <f>(1+D4)</f>
        <v>1.1000000000000001</v>
      </c>
      <c r="E6" s="86">
        <f>D6*(1+E4)</f>
        <v>1.2649999999999999</v>
      </c>
      <c r="F6" s="86">
        <f>E6*(1+F4)</f>
        <v>1.5179999999999998</v>
      </c>
      <c r="G6" s="86">
        <f>F6*(1+G4)</f>
        <v>1.8974999999999997</v>
      </c>
      <c r="H6" s="87"/>
    </row>
    <row r="7" spans="2:8" x14ac:dyDescent="0.3">
      <c r="B7" s="150" t="s">
        <v>37</v>
      </c>
      <c r="C7" s="42"/>
      <c r="D7" s="76">
        <f>1/D6</f>
        <v>0.90909090909090906</v>
      </c>
      <c r="E7" s="76">
        <f>1/E6</f>
        <v>0.79051383399209496</v>
      </c>
      <c r="F7" s="76">
        <f t="shared" ref="F7:G7" si="0">1/F6</f>
        <v>0.65876152832674584</v>
      </c>
      <c r="G7" s="76">
        <f t="shared" si="0"/>
        <v>0.5270092226613966</v>
      </c>
      <c r="H7" s="88"/>
    </row>
    <row r="8" spans="2:8" ht="16.2" thickBot="1" x14ac:dyDescent="0.35">
      <c r="B8" s="151" t="s">
        <v>9</v>
      </c>
      <c r="C8" s="43"/>
      <c r="D8" s="43">
        <f>D5*D7</f>
        <v>1136.3636363636363</v>
      </c>
      <c r="E8" s="43">
        <f>E5*E7</f>
        <v>1185.7707509881425</v>
      </c>
      <c r="F8" s="43">
        <f t="shared" ref="F8:G8" si="1">F5*F7</f>
        <v>1152.8326745718052</v>
      </c>
      <c r="G8" s="43">
        <f t="shared" si="1"/>
        <v>1054.0184453227932</v>
      </c>
      <c r="H8" s="237">
        <f>+SUM(D8:G8)</f>
        <v>4528.985507246377</v>
      </c>
    </row>
    <row r="9" spans="2:8" ht="16.2" thickBot="1" x14ac:dyDescent="0.35">
      <c r="B9" s="152" t="s">
        <v>9</v>
      </c>
      <c r="C9" s="89"/>
      <c r="D9" s="235">
        <f>+D5/(1+D4)</f>
        <v>1136.3636363636363</v>
      </c>
      <c r="E9" s="235">
        <f>+E5/((1+D4)*(1+E4))</f>
        <v>1185.7707509881425</v>
      </c>
      <c r="F9" s="235">
        <f>+F5/((1+D4)*(1+E4)*(1+F4))</f>
        <v>1152.8326745718052</v>
      </c>
      <c r="G9" s="235">
        <f>+G5/((1+D4)*(1+E4)*(1+F4)*(1+G4))</f>
        <v>1054.0184453227932</v>
      </c>
      <c r="H9" s="238">
        <f>+SUM(D9:G9)</f>
        <v>4528.985507246377</v>
      </c>
    </row>
    <row r="11" spans="2:8" x14ac:dyDescent="0.3">
      <c r="B11" s="55"/>
      <c r="C11" s="53">
        <v>0</v>
      </c>
      <c r="D11" s="53">
        <v>1</v>
      </c>
      <c r="E11" s="53">
        <v>2</v>
      </c>
      <c r="F11" s="53">
        <v>3</v>
      </c>
      <c r="G11" s="54">
        <v>4</v>
      </c>
      <c r="H11" s="153" t="s">
        <v>9</v>
      </c>
    </row>
    <row r="12" spans="2:8" x14ac:dyDescent="0.3">
      <c r="B12" s="17" t="s">
        <v>17</v>
      </c>
      <c r="C12" s="115"/>
      <c r="D12" s="59">
        <v>0.25</v>
      </c>
      <c r="E12" s="59">
        <v>0.2</v>
      </c>
      <c r="F12" s="59">
        <v>0.15</v>
      </c>
      <c r="G12" s="60">
        <v>0.1</v>
      </c>
      <c r="H12" s="154"/>
    </row>
    <row r="13" spans="2:8" ht="16.2" thickBot="1" x14ac:dyDescent="0.35">
      <c r="B13" s="58" t="s">
        <v>18</v>
      </c>
      <c r="C13" s="224">
        <v>-4200</v>
      </c>
      <c r="D13" s="224">
        <v>1250</v>
      </c>
      <c r="E13" s="224">
        <v>1500</v>
      </c>
      <c r="F13" s="224">
        <v>1750</v>
      </c>
      <c r="G13" s="236">
        <v>2000</v>
      </c>
      <c r="H13" s="10"/>
    </row>
    <row r="14" spans="2:8" ht="16.2" thickBot="1" x14ac:dyDescent="0.35">
      <c r="B14" s="152" t="s">
        <v>9</v>
      </c>
      <c r="C14" s="235">
        <f>+-4200</f>
        <v>-4200</v>
      </c>
      <c r="D14" s="235">
        <f>+D13/(1+D12)</f>
        <v>1000</v>
      </c>
      <c r="E14" s="235">
        <f>+E13/((1+D12)*(1+E12))</f>
        <v>1000</v>
      </c>
      <c r="F14" s="235">
        <f>+F13/((1+D12)*(1+E12)*(1+F12))</f>
        <v>1014.4927536231885</v>
      </c>
      <c r="G14" s="235">
        <f>+G13/((1+D12)*(1+E12)*(1+F12)*(1+G12))</f>
        <v>1054.0184453227932</v>
      </c>
      <c r="H14" s="238">
        <f>+SUM(C14:G14)</f>
        <v>-131.48880105401827</v>
      </c>
    </row>
    <row r="15" spans="2:8" x14ac:dyDescent="0.3">
      <c r="C15" s="10"/>
    </row>
    <row r="16" spans="2:8" x14ac:dyDescent="0.3">
      <c r="B16" s="55"/>
      <c r="C16" s="53">
        <v>0</v>
      </c>
      <c r="D16" s="53">
        <v>1</v>
      </c>
      <c r="E16" s="53">
        <v>2</v>
      </c>
      <c r="F16" s="53">
        <v>3</v>
      </c>
      <c r="G16" s="54">
        <v>4</v>
      </c>
      <c r="H16" s="153" t="s">
        <v>9</v>
      </c>
    </row>
    <row r="17" spans="2:8" x14ac:dyDescent="0.3">
      <c r="B17" s="17" t="s">
        <v>17</v>
      </c>
      <c r="C17" s="115"/>
      <c r="D17" s="59">
        <v>0.16</v>
      </c>
      <c r="E17" s="59">
        <v>0.14000000000000001</v>
      </c>
      <c r="F17" s="59">
        <v>0.12</v>
      </c>
      <c r="G17" s="60">
        <v>0.1</v>
      </c>
      <c r="H17" s="154"/>
    </row>
    <row r="18" spans="2:8" ht="16.2" thickBot="1" x14ac:dyDescent="0.35">
      <c r="B18" s="58" t="s">
        <v>18</v>
      </c>
      <c r="C18" s="224">
        <v>-4200</v>
      </c>
      <c r="D18" s="224">
        <v>1250</v>
      </c>
      <c r="E18" s="224">
        <v>1500</v>
      </c>
      <c r="F18" s="224">
        <v>1750</v>
      </c>
      <c r="G18" s="236">
        <v>2000</v>
      </c>
      <c r="H18" s="10"/>
    </row>
    <row r="19" spans="2:8" ht="16.2" thickBot="1" x14ac:dyDescent="0.35">
      <c r="B19" s="152" t="s">
        <v>9</v>
      </c>
      <c r="C19" s="235">
        <v>-4200</v>
      </c>
      <c r="D19" s="235">
        <f>+D18/(1+D17)</f>
        <v>1077.5862068965519</v>
      </c>
      <c r="E19" s="235">
        <f>+E18/((1+D17)*(1+E17))</f>
        <v>1134.3012704174228</v>
      </c>
      <c r="F19" s="235">
        <f>+F18/((1+D17)*(1+E17)*(1+F17))</f>
        <v>1181.5638233514819</v>
      </c>
      <c r="G19" s="235">
        <f>+G18/((1+D17)*(1+E17)*(1+F17)*(1+G17))</f>
        <v>1227.5987775080332</v>
      </c>
      <c r="H19" s="238">
        <f>+SUM(C19:G19)</f>
        <v>421.05007817348951</v>
      </c>
    </row>
    <row r="21" spans="2:8" x14ac:dyDescent="0.3">
      <c r="B21" s="55"/>
      <c r="C21" s="53">
        <v>0</v>
      </c>
      <c r="D21" s="53">
        <v>1</v>
      </c>
      <c r="E21" s="53">
        <v>2</v>
      </c>
      <c r="F21" s="53">
        <v>3</v>
      </c>
      <c r="G21" s="54">
        <v>4</v>
      </c>
      <c r="H21" s="153" t="s">
        <v>9</v>
      </c>
    </row>
    <row r="22" spans="2:8" x14ac:dyDescent="0.3">
      <c r="B22" s="17" t="s">
        <v>17</v>
      </c>
      <c r="C22" s="115"/>
      <c r="D22" s="59">
        <v>0.15</v>
      </c>
      <c r="E22" s="59">
        <v>0.1</v>
      </c>
      <c r="F22" s="59">
        <v>0.1</v>
      </c>
      <c r="G22" s="60">
        <v>0.1</v>
      </c>
      <c r="H22" s="154"/>
    </row>
    <row r="23" spans="2:8" ht="16.2" thickBot="1" x14ac:dyDescent="0.35">
      <c r="B23" s="58" t="s">
        <v>18</v>
      </c>
      <c r="C23" s="224">
        <v>-3000</v>
      </c>
      <c r="D23" s="224">
        <v>1750</v>
      </c>
      <c r="E23" s="224">
        <v>2500</v>
      </c>
      <c r="F23" s="224">
        <v>-500</v>
      </c>
      <c r="G23" s="236">
        <v>875</v>
      </c>
      <c r="H23" s="10"/>
    </row>
    <row r="24" spans="2:8" ht="16.2" thickBot="1" x14ac:dyDescent="0.35">
      <c r="B24" s="152" t="s">
        <v>9</v>
      </c>
      <c r="C24" s="235">
        <v>-3000</v>
      </c>
      <c r="D24" s="235">
        <f>+D23/(1+D22)</f>
        <v>1521.7391304347827</v>
      </c>
      <c r="E24" s="235">
        <f>+E23/((1+D22)*(1+E22))</f>
        <v>1976.2845849802372</v>
      </c>
      <c r="F24" s="235">
        <f>+F23/((1+D22)*(1+E22)*(1+F22))</f>
        <v>-359.32446999640678</v>
      </c>
      <c r="G24" s="235">
        <f>+G23/((1+D22)*(1+E22)*(1+F22)*(1+G22))</f>
        <v>571.65256590337435</v>
      </c>
      <c r="H24" s="238">
        <f>+SUM(C24:G24)</f>
        <v>710.3518113219875</v>
      </c>
    </row>
  </sheetData>
  <mergeCells count="1">
    <mergeCell ref="B2:H2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L17"/>
  <sheetViews>
    <sheetView zoomScale="120" zoomScaleNormal="120" workbookViewId="0">
      <selection activeCell="B3" sqref="B3:L4"/>
    </sheetView>
  </sheetViews>
  <sheetFormatPr baseColWidth="10" defaultRowHeight="15.6" x14ac:dyDescent="0.3"/>
  <cols>
    <col min="2" max="2" width="14.69921875" bestFit="1" customWidth="1"/>
    <col min="3" max="3" width="6.3984375" bestFit="1" customWidth="1"/>
    <col min="4" max="7" width="7.59765625" bestFit="1" customWidth="1"/>
    <col min="8" max="8" width="6.8984375" bestFit="1" customWidth="1"/>
  </cols>
  <sheetData>
    <row r="2" spans="2:12" x14ac:dyDescent="0.3">
      <c r="B2" s="266" t="s">
        <v>20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</row>
    <row r="3" spans="2:12" x14ac:dyDescent="0.3">
      <c r="B3" s="264" t="s">
        <v>157</v>
      </c>
      <c r="C3" s="264"/>
      <c r="D3" s="264"/>
      <c r="E3" s="264"/>
      <c r="F3" s="264"/>
      <c r="G3" s="264"/>
      <c r="H3" s="264"/>
      <c r="I3" s="264"/>
      <c r="J3" s="264"/>
      <c r="K3" s="264"/>
      <c r="L3" s="264"/>
    </row>
    <row r="4" spans="2:12" x14ac:dyDescent="0.3">
      <c r="B4" s="264" t="s">
        <v>158</v>
      </c>
      <c r="C4" s="264"/>
      <c r="D4" s="264"/>
      <c r="E4" s="264"/>
      <c r="F4" s="264"/>
      <c r="G4" s="264"/>
      <c r="H4" s="264"/>
      <c r="I4" s="264"/>
      <c r="J4" s="264"/>
      <c r="K4" s="264"/>
      <c r="L4" s="264"/>
    </row>
    <row r="6" spans="2:12" x14ac:dyDescent="0.3">
      <c r="B6" s="52" t="s">
        <v>29</v>
      </c>
      <c r="C6" s="53">
        <v>0</v>
      </c>
      <c r="D6" s="53">
        <v>1</v>
      </c>
      <c r="E6" s="53">
        <v>2</v>
      </c>
      <c r="F6" s="53">
        <v>3</v>
      </c>
      <c r="G6" s="54">
        <v>4</v>
      </c>
    </row>
    <row r="7" spans="2:12" x14ac:dyDescent="0.3">
      <c r="B7" s="63" t="s">
        <v>30</v>
      </c>
      <c r="C7" s="3"/>
      <c r="D7" s="65">
        <v>2500</v>
      </c>
      <c r="E7" s="65">
        <v>2500</v>
      </c>
      <c r="F7" s="65">
        <v>2500</v>
      </c>
      <c r="G7" s="66">
        <v>2500</v>
      </c>
    </row>
    <row r="8" spans="2:12" x14ac:dyDescent="0.3">
      <c r="B8" s="64" t="s">
        <v>31</v>
      </c>
      <c r="C8" s="6"/>
      <c r="D8" s="61">
        <v>0.15</v>
      </c>
      <c r="E8" s="61">
        <v>0.15</v>
      </c>
      <c r="F8" s="61">
        <v>0.15</v>
      </c>
      <c r="G8" s="62">
        <v>0.15</v>
      </c>
    </row>
    <row r="9" spans="2:12" x14ac:dyDescent="0.3">
      <c r="B9" s="13" t="s">
        <v>39</v>
      </c>
      <c r="C9" s="90">
        <f>+(1+C8)^C6</f>
        <v>1</v>
      </c>
      <c r="D9" s="91">
        <f>+(1+D8)</f>
        <v>1.1499999999999999</v>
      </c>
      <c r="E9" s="91">
        <f>+(1+E8)</f>
        <v>1.1499999999999999</v>
      </c>
      <c r="F9" s="91">
        <f t="shared" ref="F9:G9" si="0">+(1+F8)</f>
        <v>1.1499999999999999</v>
      </c>
      <c r="G9" s="91">
        <f t="shared" si="0"/>
        <v>1.1499999999999999</v>
      </c>
      <c r="H9" s="155" t="s">
        <v>19</v>
      </c>
    </row>
    <row r="10" spans="2:12" x14ac:dyDescent="0.3">
      <c r="B10" s="13" t="s">
        <v>40</v>
      </c>
      <c r="C10" s="241">
        <f>1/C9</f>
        <v>1</v>
      </c>
      <c r="D10" s="241">
        <f>1/(C9*D9)</f>
        <v>0.86956521739130443</v>
      </c>
      <c r="E10" s="241">
        <f>1/(C9*D9*E9)</f>
        <v>0.7561436672967865</v>
      </c>
      <c r="F10" s="241">
        <f>1/(C9*D9*E9*F9)</f>
        <v>0.65751623243198831</v>
      </c>
      <c r="G10" s="241">
        <f>1/(C9*D9*E9*F9*G9)</f>
        <v>0.57175324559303342</v>
      </c>
      <c r="H10" s="7"/>
    </row>
    <row r="11" spans="2:12" x14ac:dyDescent="0.3">
      <c r="B11" s="13" t="s">
        <v>139</v>
      </c>
      <c r="C11" s="242"/>
      <c r="D11" s="243">
        <f>+D7*D10</f>
        <v>2173.913043478261</v>
      </c>
      <c r="E11" s="243">
        <f t="shared" ref="E11:G11" si="1">+E7*E10</f>
        <v>1890.3591682419662</v>
      </c>
      <c r="F11" s="243">
        <f t="shared" si="1"/>
        <v>1643.7905810799707</v>
      </c>
      <c r="G11" s="243">
        <f t="shared" si="1"/>
        <v>1429.3831139825836</v>
      </c>
      <c r="H11" s="240">
        <f>+SUM(D11:G11)</f>
        <v>7137.4459067827811</v>
      </c>
    </row>
    <row r="17" spans="2:2" ht="17.399999999999999" x14ac:dyDescent="0.3">
      <c r="B17" s="12"/>
    </row>
  </sheetData>
  <mergeCells count="3">
    <mergeCell ref="B2:L2"/>
    <mergeCell ref="B3:L3"/>
    <mergeCell ref="B4:L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2:M25"/>
  <sheetViews>
    <sheetView zoomScale="110" zoomScaleNormal="110" zoomScalePageLayoutView="150" workbookViewId="0"/>
  </sheetViews>
  <sheetFormatPr baseColWidth="10" defaultRowHeight="15.6" x14ac:dyDescent="0.3"/>
  <cols>
    <col min="2" max="2" width="10.19921875" bestFit="1" customWidth="1"/>
    <col min="3" max="3" width="12" bestFit="1" customWidth="1"/>
    <col min="4" max="7" width="10.8984375" bestFit="1" customWidth="1"/>
    <col min="8" max="8" width="12.59765625" bestFit="1" customWidth="1"/>
  </cols>
  <sheetData>
    <row r="2" spans="2:13" ht="17.399999999999999" x14ac:dyDescent="0.3">
      <c r="B2" s="268" t="s">
        <v>21</v>
      </c>
      <c r="C2" s="268"/>
      <c r="D2" s="268"/>
      <c r="E2" s="268"/>
      <c r="F2" s="268"/>
      <c r="G2" s="268"/>
      <c r="H2" s="268"/>
      <c r="I2" s="268"/>
    </row>
    <row r="3" spans="2:13" ht="17.399999999999999" x14ac:dyDescent="0.3">
      <c r="B3" s="114"/>
      <c r="C3" s="264" t="s">
        <v>157</v>
      </c>
      <c r="D3" s="264"/>
      <c r="E3" s="264"/>
      <c r="F3" s="264"/>
      <c r="G3" s="264"/>
      <c r="H3" s="264"/>
      <c r="I3" s="264"/>
      <c r="J3" s="264"/>
      <c r="K3" s="264"/>
      <c r="L3" s="264"/>
      <c r="M3" s="264"/>
    </row>
    <row r="4" spans="2:13" ht="17.399999999999999" x14ac:dyDescent="0.3">
      <c r="B4" s="114"/>
      <c r="C4" s="264" t="s">
        <v>158</v>
      </c>
      <c r="D4" s="264"/>
      <c r="E4" s="264"/>
      <c r="F4" s="264"/>
      <c r="G4" s="264"/>
      <c r="H4" s="264"/>
      <c r="I4" s="264"/>
      <c r="J4" s="264"/>
      <c r="K4" s="264"/>
      <c r="L4" s="264"/>
      <c r="M4" s="264"/>
    </row>
    <row r="6" spans="2:13" x14ac:dyDescent="0.3">
      <c r="B6" s="67" t="s">
        <v>48</v>
      </c>
      <c r="C6" s="53">
        <v>0</v>
      </c>
      <c r="D6" s="53">
        <v>1</v>
      </c>
      <c r="E6" s="53">
        <v>2</v>
      </c>
      <c r="F6" s="53">
        <v>3</v>
      </c>
      <c r="G6" s="54">
        <v>4</v>
      </c>
    </row>
    <row r="7" spans="2:13" x14ac:dyDescent="0.3">
      <c r="B7" s="63" t="s">
        <v>18</v>
      </c>
      <c r="C7" s="65">
        <v>10000</v>
      </c>
      <c r="D7" s="65">
        <v>10000</v>
      </c>
      <c r="E7" s="65">
        <v>10000</v>
      </c>
      <c r="F7" s="65">
        <v>10000</v>
      </c>
      <c r="G7" s="66">
        <v>10000</v>
      </c>
    </row>
    <row r="8" spans="2:13" x14ac:dyDescent="0.3">
      <c r="B8" s="64" t="s">
        <v>17</v>
      </c>
      <c r="C8" s="6"/>
      <c r="D8" s="61">
        <v>0.2</v>
      </c>
      <c r="E8" s="61">
        <v>0.2</v>
      </c>
      <c r="F8" s="61">
        <v>0.2</v>
      </c>
      <c r="G8" s="62">
        <v>0.2</v>
      </c>
    </row>
    <row r="9" spans="2:13" x14ac:dyDescent="0.3">
      <c r="B9" t="s">
        <v>28</v>
      </c>
      <c r="C9" s="244">
        <f>1/(1+C8)^C6</f>
        <v>1</v>
      </c>
      <c r="D9" s="244">
        <f>1/(1+D8)^D6</f>
        <v>0.83333333333333337</v>
      </c>
      <c r="E9" s="244">
        <f>1/(1+E8)^E6</f>
        <v>0.69444444444444442</v>
      </c>
      <c r="F9" s="244">
        <f t="shared" ref="F9:G9" si="0">1/(1+F8)^F6</f>
        <v>0.57870370370370372</v>
      </c>
      <c r="G9" s="244">
        <f t="shared" si="0"/>
        <v>0.48225308641975312</v>
      </c>
      <c r="H9" t="s">
        <v>19</v>
      </c>
    </row>
    <row r="10" spans="2:13" x14ac:dyDescent="0.3">
      <c r="B10" t="s">
        <v>9</v>
      </c>
      <c r="C10" s="245">
        <f>+C9*C7</f>
        <v>10000</v>
      </c>
      <c r="D10" s="245">
        <f>+D9*D7</f>
        <v>8333.3333333333339</v>
      </c>
      <c r="E10" s="245">
        <f>+E9*E7</f>
        <v>6944.4444444444443</v>
      </c>
      <c r="F10" s="245">
        <f>+F9*F7</f>
        <v>5787.0370370370374</v>
      </c>
      <c r="G10" s="245">
        <f>+G9*G7</f>
        <v>4822.5308641975316</v>
      </c>
      <c r="H10" s="246">
        <f>+SUM(C10:G10)</f>
        <v>35887.345679012345</v>
      </c>
    </row>
    <row r="13" spans="2:13" ht="17.399999999999999" x14ac:dyDescent="0.3">
      <c r="B13" s="12"/>
    </row>
    <row r="16" spans="2:13" ht="17.399999999999999" x14ac:dyDescent="0.3">
      <c r="B16" s="12"/>
    </row>
    <row r="25" spans="2:2" ht="17.399999999999999" x14ac:dyDescent="0.3">
      <c r="B25" s="12"/>
    </row>
  </sheetData>
  <mergeCells count="3">
    <mergeCell ref="B2:I2"/>
    <mergeCell ref="C3:M3"/>
    <mergeCell ref="C4:M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2:K20"/>
  <sheetViews>
    <sheetView zoomScale="110" zoomScaleNormal="110" workbookViewId="0"/>
  </sheetViews>
  <sheetFormatPr baseColWidth="10" defaultRowHeight="15.6" x14ac:dyDescent="0.3"/>
  <cols>
    <col min="2" max="2" width="6.19921875" bestFit="1" customWidth="1"/>
    <col min="3" max="8" width="12" bestFit="1" customWidth="1"/>
  </cols>
  <sheetData>
    <row r="2" spans="2:11" ht="17.399999999999999" x14ac:dyDescent="0.3">
      <c r="B2" s="269" t="s">
        <v>22</v>
      </c>
      <c r="C2" s="269"/>
      <c r="D2" s="269"/>
      <c r="E2" s="269"/>
      <c r="F2" s="269"/>
      <c r="G2" s="269"/>
      <c r="H2" s="269"/>
      <c r="I2" s="269"/>
      <c r="J2" s="269"/>
      <c r="K2" s="269"/>
    </row>
    <row r="4" spans="2:11" x14ac:dyDescent="0.3">
      <c r="B4" s="67" t="s">
        <v>48</v>
      </c>
      <c r="C4" s="53">
        <v>0</v>
      </c>
      <c r="D4" s="53">
        <v>1</v>
      </c>
      <c r="E4" s="53">
        <v>2</v>
      </c>
      <c r="F4" s="53">
        <v>3</v>
      </c>
      <c r="G4" s="54">
        <v>4</v>
      </c>
    </row>
    <row r="5" spans="2:11" x14ac:dyDescent="0.3">
      <c r="B5" s="63" t="s">
        <v>18</v>
      </c>
      <c r="C5" s="65"/>
      <c r="D5" s="65">
        <v>2500</v>
      </c>
      <c r="E5" s="65">
        <v>2500</v>
      </c>
      <c r="F5" s="65">
        <v>2500</v>
      </c>
      <c r="G5" s="66">
        <v>2500</v>
      </c>
    </row>
    <row r="6" spans="2:11" x14ac:dyDescent="0.3">
      <c r="B6" s="64" t="s">
        <v>17</v>
      </c>
      <c r="C6" s="6"/>
      <c r="D6" s="61">
        <v>0.15</v>
      </c>
      <c r="E6" s="61">
        <v>0.15</v>
      </c>
      <c r="F6" s="61">
        <v>0.15</v>
      </c>
      <c r="G6" s="62">
        <v>0.15</v>
      </c>
    </row>
    <row r="7" spans="2:11" x14ac:dyDescent="0.3">
      <c r="H7" s="22" t="s">
        <v>19</v>
      </c>
    </row>
    <row r="8" spans="2:11" x14ac:dyDescent="0.3">
      <c r="B8" s="36" t="s">
        <v>8</v>
      </c>
      <c r="C8" s="68"/>
      <c r="D8" s="68">
        <f>+D5*(1+D6)^($G$4-D4)</f>
        <v>3802.1874999999986</v>
      </c>
      <c r="E8" s="68">
        <f>+E5*(1+E6)^($G$4-E4)</f>
        <v>3306.2499999999995</v>
      </c>
      <c r="F8" s="68">
        <f>+F5*(1+F6)^($G$4-F4)</f>
        <v>2875</v>
      </c>
      <c r="G8" s="68">
        <f>+G5*(1+G6)^($G$4-G4)</f>
        <v>2500</v>
      </c>
      <c r="H8" s="156">
        <f>+SUM(D8:G8)</f>
        <v>12483.437499999998</v>
      </c>
    </row>
    <row r="9" spans="2:11" x14ac:dyDescent="0.3">
      <c r="B9" s="72" t="s">
        <v>9</v>
      </c>
      <c r="C9" s="73"/>
      <c r="D9" s="157">
        <f>D5/(1+D6)^D4</f>
        <v>2173.913043478261</v>
      </c>
      <c r="E9" s="157">
        <f t="shared" ref="E9:G9" si="0">E5/(1+E6)^E4</f>
        <v>1890.3591682419662</v>
      </c>
      <c r="F9" s="157">
        <f t="shared" si="0"/>
        <v>1643.7905810799709</v>
      </c>
      <c r="G9" s="157">
        <f t="shared" si="0"/>
        <v>1429.3831139825834</v>
      </c>
      <c r="H9" s="158">
        <f>+SUM(D9:G9)</f>
        <v>7137.445906782782</v>
      </c>
    </row>
    <row r="10" spans="2:11" x14ac:dyDescent="0.3">
      <c r="C10" t="s">
        <v>159</v>
      </c>
      <c r="D10" s="70">
        <f>D9/D5</f>
        <v>0.86956521739130443</v>
      </c>
      <c r="E10" s="70">
        <f t="shared" ref="E10:G10" si="1">E9/E5</f>
        <v>0.7561436672967865</v>
      </c>
      <c r="F10" s="70">
        <f t="shared" si="1"/>
        <v>0.65751623243198842</v>
      </c>
      <c r="G10" s="70">
        <f t="shared" si="1"/>
        <v>0.57175324559303331</v>
      </c>
    </row>
    <row r="12" spans="2:11" ht="17.399999999999999" x14ac:dyDescent="0.3">
      <c r="B12" s="269" t="s">
        <v>23</v>
      </c>
      <c r="C12" s="269"/>
      <c r="D12" s="269"/>
      <c r="E12" s="269"/>
      <c r="F12" s="269"/>
      <c r="G12" s="269"/>
      <c r="H12" s="269"/>
      <c r="I12" s="269"/>
      <c r="J12" s="269"/>
    </row>
    <row r="13" spans="2:11" x14ac:dyDescent="0.3">
      <c r="C13">
        <v>4</v>
      </c>
      <c r="D13">
        <v>3</v>
      </c>
      <c r="E13">
        <v>2</v>
      </c>
      <c r="F13">
        <v>1</v>
      </c>
      <c r="G13">
        <v>0</v>
      </c>
    </row>
    <row r="14" spans="2:11" x14ac:dyDescent="0.3">
      <c r="B14" t="s">
        <v>115</v>
      </c>
      <c r="C14" s="9">
        <v>0.2</v>
      </c>
    </row>
    <row r="15" spans="2:11" x14ac:dyDescent="0.3">
      <c r="B15" s="67" t="s">
        <v>48</v>
      </c>
      <c r="C15" s="53">
        <v>0</v>
      </c>
      <c r="D15" s="53">
        <v>1</v>
      </c>
      <c r="E15" s="53">
        <v>2</v>
      </c>
      <c r="F15" s="53">
        <v>3</v>
      </c>
      <c r="G15" s="54">
        <v>4</v>
      </c>
    </row>
    <row r="16" spans="2:11" x14ac:dyDescent="0.3">
      <c r="B16" s="63" t="s">
        <v>18</v>
      </c>
      <c r="C16" s="65">
        <v>10000</v>
      </c>
      <c r="D16" s="65">
        <v>10000</v>
      </c>
      <c r="E16" s="65">
        <v>10000</v>
      </c>
      <c r="F16" s="65">
        <v>10000</v>
      </c>
      <c r="G16" s="66">
        <v>10000</v>
      </c>
    </row>
    <row r="17" spans="2:8" x14ac:dyDescent="0.3">
      <c r="B17" s="64" t="s">
        <v>17</v>
      </c>
      <c r="C17" s="6"/>
      <c r="D17" s="61">
        <v>0.2</v>
      </c>
      <c r="E17" s="61">
        <v>0.2</v>
      </c>
      <c r="F17" s="61">
        <v>0.2</v>
      </c>
      <c r="G17" s="62">
        <v>0.2</v>
      </c>
    </row>
    <row r="18" spans="2:8" x14ac:dyDescent="0.3">
      <c r="H18" s="22" t="s">
        <v>19</v>
      </c>
    </row>
    <row r="19" spans="2:8" x14ac:dyDescent="0.3">
      <c r="B19" s="35" t="s">
        <v>8</v>
      </c>
      <c r="C19" s="68">
        <f>+C16*(1+$C$14)^C13</f>
        <v>20736</v>
      </c>
      <c r="D19" s="68">
        <f t="shared" ref="D19:G19" si="2">+D16*(1+$C$14)^D13</f>
        <v>17280</v>
      </c>
      <c r="E19" s="68">
        <f t="shared" si="2"/>
        <v>14400</v>
      </c>
      <c r="F19" s="68">
        <f t="shared" si="2"/>
        <v>12000</v>
      </c>
      <c r="G19" s="68">
        <f t="shared" si="2"/>
        <v>10000</v>
      </c>
      <c r="H19" s="68">
        <f>+SUM(C19:G19)</f>
        <v>74416</v>
      </c>
    </row>
    <row r="20" spans="2:8" x14ac:dyDescent="0.3">
      <c r="B20" s="72" t="s">
        <v>9</v>
      </c>
      <c r="C20" s="157">
        <f>C16</f>
        <v>10000</v>
      </c>
      <c r="D20" s="157">
        <f>D16/(1+$C$14)^D15</f>
        <v>8333.3333333333339</v>
      </c>
      <c r="E20" s="157">
        <f t="shared" ref="E20:G20" si="3">E16/(1+$C$14)^E15</f>
        <v>6944.4444444444443</v>
      </c>
      <c r="F20" s="157">
        <f t="shared" si="3"/>
        <v>5787.0370370370374</v>
      </c>
      <c r="G20" s="157">
        <f t="shared" si="3"/>
        <v>4822.5308641975307</v>
      </c>
      <c r="H20" s="158">
        <f>+SUM(C20:G20)</f>
        <v>35887.345679012345</v>
      </c>
    </row>
  </sheetData>
  <mergeCells count="2">
    <mergeCell ref="B2:K2"/>
    <mergeCell ref="B12:J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PR_1</vt:lpstr>
      <vt:lpstr>PR_2</vt:lpstr>
      <vt:lpstr>PR_3</vt:lpstr>
      <vt:lpstr>PR_4</vt:lpstr>
      <vt:lpstr>PR_5</vt:lpstr>
      <vt:lpstr>PR_6</vt:lpstr>
      <vt:lpstr>PR_7</vt:lpstr>
      <vt:lpstr>PR_8</vt:lpstr>
      <vt:lpstr>PR_9_10</vt:lpstr>
      <vt:lpstr>PR_11</vt:lpstr>
      <vt:lpstr>PR_12</vt:lpstr>
      <vt:lpstr>PR_13</vt:lpstr>
      <vt:lpstr>PR_14</vt:lpstr>
      <vt:lpstr>PR_15</vt:lpstr>
      <vt:lpstr>PR_16</vt:lpstr>
      <vt:lpstr>PR_17</vt:lpstr>
      <vt:lpstr>PR_18</vt:lpstr>
      <vt:lpstr>PR_19</vt:lpstr>
      <vt:lpstr>PR_20</vt:lpstr>
      <vt:lpstr>PR_21</vt:lpstr>
      <vt:lpstr>PR_21 (2)</vt:lpstr>
      <vt:lpstr>PR_22</vt:lpstr>
      <vt:lpstr>PR_23</vt:lpstr>
      <vt:lpstr>PR_24</vt:lpstr>
      <vt:lpstr>PR_25</vt:lpstr>
      <vt:lpstr>PR26</vt:lpstr>
      <vt:lpstr>PR27</vt:lpstr>
      <vt:lpstr>PR28</vt:lpstr>
      <vt:lpstr>PR29</vt:lpstr>
      <vt:lpstr>PR_30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Padilla Giacoman</dc:creator>
  <cp:lastModifiedBy>Rodrigo Navarro Guerrero</cp:lastModifiedBy>
  <dcterms:created xsi:type="dcterms:W3CDTF">2017-03-23T23:13:28Z</dcterms:created>
  <dcterms:modified xsi:type="dcterms:W3CDTF">2023-03-04T18:27:21Z</dcterms:modified>
</cp:coreProperties>
</file>