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A2D3BF8E-C218-462E-B3BD-D2B7A7E12657}" xr6:coauthVersionLast="36" xr6:coauthVersionMax="36" xr10:uidLastSave="{00000000-0000-0000-0000-000000000000}"/>
  <bookViews>
    <workbookView xWindow="0" yWindow="0" windowWidth="19200" windowHeight="7620" tabRatio="686" xr2:uid="{00000000-000D-0000-FFFF-FFFF00000000}"/>
  </bookViews>
  <sheets>
    <sheet name="Ej.1" sheetId="29" r:id="rId1"/>
    <sheet name="Ej.1 (2)" sheetId="35" r:id="rId2"/>
    <sheet name="Ej.1 (3)" sheetId="36" r:id="rId3"/>
    <sheet name="Ej.2_1 año" sheetId="33" r:id="rId4"/>
    <sheet name="Ej.2_12 Meses" sheetId="37" r:id="rId5"/>
    <sheet name="Ej.2_5 años" sheetId="34" r:id="rId6"/>
    <sheet name="Ej.2_10 años" sheetId="31" r:id="rId7"/>
    <sheet name="Ej.3" sheetId="3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2" l="1"/>
  <c r="F22" i="32"/>
  <c r="F21" i="32"/>
  <c r="D17" i="33"/>
  <c r="E17" i="37"/>
  <c r="O17" i="37"/>
  <c r="O19" i="37"/>
  <c r="O18" i="37" s="1"/>
  <c r="O20" i="37"/>
  <c r="N17" i="37"/>
  <c r="N19" i="37"/>
  <c r="N18" i="37" s="1"/>
  <c r="N20" i="37"/>
  <c r="E19" i="37"/>
  <c r="E18" i="37" s="1"/>
  <c r="F19" i="37"/>
  <c r="G19" i="37"/>
  <c r="G18" i="37" s="1"/>
  <c r="H19" i="37"/>
  <c r="H18" i="37" s="1"/>
  <c r="I19" i="37"/>
  <c r="J19" i="37"/>
  <c r="K19" i="37"/>
  <c r="K18" i="37" s="1"/>
  <c r="L19" i="37"/>
  <c r="M19" i="37"/>
  <c r="D19" i="37"/>
  <c r="D18" i="37" s="1"/>
  <c r="C12" i="37"/>
  <c r="C23" i="37"/>
  <c r="C22" i="37"/>
  <c r="M20" i="37"/>
  <c r="L20" i="37"/>
  <c r="K20" i="37"/>
  <c r="J20" i="37"/>
  <c r="I20" i="37"/>
  <c r="H20" i="37"/>
  <c r="G20" i="37"/>
  <c r="F20" i="37"/>
  <c r="E20" i="37"/>
  <c r="D20" i="37"/>
  <c r="L18" i="37"/>
  <c r="M18" i="37"/>
  <c r="C18" i="37"/>
  <c r="M17" i="37"/>
  <c r="L17" i="37"/>
  <c r="K17" i="37"/>
  <c r="J17" i="37"/>
  <c r="I17" i="37"/>
  <c r="H17" i="37"/>
  <c r="G17" i="37"/>
  <c r="F17" i="37"/>
  <c r="D17" i="37"/>
  <c r="C16" i="37"/>
  <c r="C10" i="37"/>
  <c r="D25" i="29"/>
  <c r="C25" i="29"/>
  <c r="E22" i="37" l="1"/>
  <c r="E23" i="37" s="1"/>
  <c r="F18" i="37"/>
  <c r="N22" i="37"/>
  <c r="N23" i="37" s="1"/>
  <c r="O22" i="37"/>
  <c r="O23" i="37" s="1"/>
  <c r="F22" i="37"/>
  <c r="F23" i="37" s="1"/>
  <c r="G22" i="37"/>
  <c r="G23" i="37" s="1"/>
  <c r="K22" i="37"/>
  <c r="K23" i="37" s="1"/>
  <c r="H22" i="37"/>
  <c r="H23" i="37" s="1"/>
  <c r="I18" i="37"/>
  <c r="I22" i="37" s="1"/>
  <c r="I23" i="37" s="1"/>
  <c r="J18" i="37"/>
  <c r="J22" i="37" s="1"/>
  <c r="J23" i="37" s="1"/>
  <c r="D22" i="37"/>
  <c r="L22" i="37"/>
  <c r="L23" i="37" s="1"/>
  <c r="M22" i="37"/>
  <c r="M23" i="37" s="1"/>
  <c r="K5" i="32"/>
  <c r="J5" i="32"/>
  <c r="D23" i="37" l="1"/>
  <c r="C24" i="37" s="1"/>
  <c r="C25" i="37"/>
  <c r="D19" i="34"/>
  <c r="D17" i="31"/>
  <c r="K29" i="29"/>
  <c r="C10" i="35"/>
  <c r="D10" i="35"/>
  <c r="E10" i="35"/>
  <c r="F10" i="35"/>
  <c r="H10" i="35"/>
  <c r="I10" i="35"/>
  <c r="J10" i="35"/>
  <c r="K10" i="35"/>
  <c r="L10" i="35"/>
  <c r="G10" i="35"/>
  <c r="H10" i="36"/>
  <c r="I10" i="36"/>
  <c r="J10" i="36"/>
  <c r="K10" i="36"/>
  <c r="L10" i="36"/>
  <c r="C10" i="36"/>
  <c r="D10" i="36"/>
  <c r="E10" i="36"/>
  <c r="F10" i="36"/>
  <c r="G10" i="36"/>
  <c r="D18" i="36"/>
  <c r="E18" i="36" s="1"/>
  <c r="F18" i="36" s="1"/>
  <c r="F19" i="36" s="1"/>
  <c r="E3" i="36"/>
  <c r="F3" i="36" s="1"/>
  <c r="F4" i="36" s="1"/>
  <c r="D3" i="36"/>
  <c r="E18" i="35"/>
  <c r="F18" i="35" s="1"/>
  <c r="F19" i="35" s="1"/>
  <c r="D18" i="35"/>
  <c r="C27" i="35" s="1"/>
  <c r="E3" i="35"/>
  <c r="F3" i="35" s="1"/>
  <c r="F4" i="35" s="1"/>
  <c r="D3" i="35"/>
  <c r="G25" i="36" l="1"/>
  <c r="G27" i="36" s="1"/>
  <c r="K12" i="36"/>
  <c r="K14" i="36" s="1"/>
  <c r="C12" i="36"/>
  <c r="C14" i="36" s="1"/>
  <c r="D25" i="36"/>
  <c r="D27" i="36" s="1"/>
  <c r="F25" i="36"/>
  <c r="F27" i="36" s="1"/>
  <c r="J12" i="36"/>
  <c r="J14" i="36" s="1"/>
  <c r="E25" i="36"/>
  <c r="E27" i="36" s="1"/>
  <c r="I12" i="36"/>
  <c r="I14" i="36" s="1"/>
  <c r="K25" i="36"/>
  <c r="K27" i="36" s="1"/>
  <c r="G12" i="36"/>
  <c r="G14" i="36" s="1"/>
  <c r="J25" i="36"/>
  <c r="J27" i="36" s="1"/>
  <c r="F12" i="36"/>
  <c r="F14" i="36" s="1"/>
  <c r="I25" i="36"/>
  <c r="I27" i="36" s="1"/>
  <c r="H25" i="36"/>
  <c r="H27" i="36" s="1"/>
  <c r="L12" i="36"/>
  <c r="L14" i="36" s="1"/>
  <c r="D12" i="36"/>
  <c r="D14" i="36" s="1"/>
  <c r="L25" i="36"/>
  <c r="L27" i="36" s="1"/>
  <c r="H12" i="36"/>
  <c r="H14" i="36" s="1"/>
  <c r="E12" i="36"/>
  <c r="E14" i="36" s="1"/>
  <c r="C25" i="36"/>
  <c r="C27" i="36" s="1"/>
  <c r="C31" i="35"/>
  <c r="C29" i="35"/>
  <c r="F25" i="35"/>
  <c r="F27" i="35" s="1"/>
  <c r="J12" i="35"/>
  <c r="J14" i="35" s="1"/>
  <c r="L25" i="35"/>
  <c r="L27" i="35" s="1"/>
  <c r="D25" i="35"/>
  <c r="D27" i="35" s="1"/>
  <c r="H12" i="35"/>
  <c r="H14" i="35" s="1"/>
  <c r="C12" i="35"/>
  <c r="C14" i="35" s="1"/>
  <c r="E25" i="35"/>
  <c r="E27" i="35" s="1"/>
  <c r="I12" i="35"/>
  <c r="I14" i="35" s="1"/>
  <c r="K25" i="35"/>
  <c r="K27" i="35" s="1"/>
  <c r="G12" i="35"/>
  <c r="G14" i="35" s="1"/>
  <c r="L12" i="35"/>
  <c r="L14" i="35" s="1"/>
  <c r="G25" i="35"/>
  <c r="G27" i="35" s="1"/>
  <c r="J25" i="35"/>
  <c r="J27" i="35" s="1"/>
  <c r="F12" i="35"/>
  <c r="F14" i="35" s="1"/>
  <c r="I25" i="35"/>
  <c r="I27" i="35" s="1"/>
  <c r="E12" i="35"/>
  <c r="E14" i="35" s="1"/>
  <c r="H25" i="35"/>
  <c r="H27" i="35" s="1"/>
  <c r="D12" i="35"/>
  <c r="D14" i="35" s="1"/>
  <c r="K12" i="35"/>
  <c r="K14" i="35" s="1"/>
  <c r="H20" i="34"/>
  <c r="G20" i="34"/>
  <c r="F20" i="34"/>
  <c r="E20" i="34"/>
  <c r="D20" i="34"/>
  <c r="H19" i="34"/>
  <c r="H18" i="34" s="1"/>
  <c r="G19" i="34"/>
  <c r="G18" i="34" s="1"/>
  <c r="F19" i="34"/>
  <c r="E19" i="34"/>
  <c r="C18" i="34"/>
  <c r="H17" i="34"/>
  <c r="G17" i="34"/>
  <c r="F17" i="34"/>
  <c r="E17" i="34"/>
  <c r="D17" i="34"/>
  <c r="C16" i="34"/>
  <c r="C22" i="34" s="1"/>
  <c r="C10" i="34"/>
  <c r="D18" i="34" l="1"/>
  <c r="E18" i="34"/>
  <c r="F18" i="34"/>
  <c r="M14" i="35"/>
  <c r="E31" i="36"/>
  <c r="E29" i="36"/>
  <c r="E32" i="36" s="1"/>
  <c r="L31" i="36"/>
  <c r="L29" i="36"/>
  <c r="L32" i="36" s="1"/>
  <c r="H31" i="36"/>
  <c r="H29" i="36"/>
  <c r="H32" i="36" s="1"/>
  <c r="F31" i="36"/>
  <c r="F29" i="36"/>
  <c r="F32" i="36" s="1"/>
  <c r="C29" i="36"/>
  <c r="C31" i="36"/>
  <c r="D31" i="36"/>
  <c r="D29" i="36"/>
  <c r="D32" i="36" s="1"/>
  <c r="K29" i="36"/>
  <c r="K32" i="36" s="1"/>
  <c r="K31" i="36"/>
  <c r="J29" i="36"/>
  <c r="J32" i="36" s="1"/>
  <c r="J31" i="36"/>
  <c r="M14" i="36"/>
  <c r="G31" i="36"/>
  <c r="G29" i="36"/>
  <c r="G32" i="36" s="1"/>
  <c r="I29" i="36"/>
  <c r="I32" i="36" s="1"/>
  <c r="I31" i="36"/>
  <c r="J29" i="35"/>
  <c r="J32" i="35" s="1"/>
  <c r="J31" i="35"/>
  <c r="G31" i="35"/>
  <c r="G29" i="35"/>
  <c r="G32" i="35" s="1"/>
  <c r="D31" i="35"/>
  <c r="D29" i="35"/>
  <c r="D32" i="35" s="1"/>
  <c r="E31" i="35"/>
  <c r="E29" i="35"/>
  <c r="E32" i="35" s="1"/>
  <c r="L31" i="35"/>
  <c r="L29" i="35"/>
  <c r="L32" i="35" s="1"/>
  <c r="I31" i="35"/>
  <c r="I29" i="35"/>
  <c r="I32" i="35" s="1"/>
  <c r="H29" i="35"/>
  <c r="H32" i="35" s="1"/>
  <c r="H31" i="35"/>
  <c r="K29" i="35"/>
  <c r="K32" i="35" s="1"/>
  <c r="K31" i="35"/>
  <c r="F31" i="35"/>
  <c r="M31" i="35" s="1"/>
  <c r="F29" i="35"/>
  <c r="F32" i="35" s="1"/>
  <c r="C32" i="35"/>
  <c r="H22" i="34"/>
  <c r="H23" i="34" s="1"/>
  <c r="D22" i="34"/>
  <c r="D23" i="34" s="1"/>
  <c r="G22" i="34"/>
  <c r="G23" i="34" s="1"/>
  <c r="E22" i="34"/>
  <c r="E23" i="34" s="1"/>
  <c r="F22" i="34"/>
  <c r="F23" i="34" s="1"/>
  <c r="C23" i="34"/>
  <c r="D18" i="33"/>
  <c r="M31" i="36" l="1"/>
  <c r="C32" i="36"/>
  <c r="M29" i="36"/>
  <c r="M32" i="36" s="1"/>
  <c r="M29" i="35"/>
  <c r="M32" i="35" s="1"/>
  <c r="C24" i="34"/>
  <c r="C25" i="34"/>
  <c r="D20" i="33"/>
  <c r="D19" i="33"/>
  <c r="C18" i="33"/>
  <c r="C16" i="33"/>
  <c r="C10" i="33"/>
  <c r="D19" i="31"/>
  <c r="D22" i="33" l="1"/>
  <c r="D23" i="33" s="1"/>
  <c r="C22" i="33"/>
  <c r="C23" i="33" s="1"/>
  <c r="M17" i="31"/>
  <c r="M19" i="31"/>
  <c r="M20" i="31"/>
  <c r="G17" i="31"/>
  <c r="H17" i="31"/>
  <c r="I17" i="31"/>
  <c r="J17" i="31"/>
  <c r="K17" i="31"/>
  <c r="L17" i="31"/>
  <c r="G19" i="31"/>
  <c r="H19" i="31"/>
  <c r="I19" i="31"/>
  <c r="I18" i="31" s="1"/>
  <c r="J19" i="31"/>
  <c r="K19" i="31"/>
  <c r="L19" i="31"/>
  <c r="G20" i="31"/>
  <c r="G18" i="31" s="1"/>
  <c r="H20" i="31"/>
  <c r="I20" i="31"/>
  <c r="J20" i="31"/>
  <c r="K20" i="31"/>
  <c r="L20" i="31"/>
  <c r="C18" i="31"/>
  <c r="K18" i="31" l="1"/>
  <c r="K22" i="31" s="1"/>
  <c r="K23" i="31" s="1"/>
  <c r="C24" i="33"/>
  <c r="C25" i="33"/>
  <c r="M18" i="31"/>
  <c r="M22" i="31" s="1"/>
  <c r="M23" i="31" s="1"/>
  <c r="L18" i="31"/>
  <c r="L22" i="31" s="1"/>
  <c r="L23" i="31" s="1"/>
  <c r="H18" i="31"/>
  <c r="H22" i="31" s="1"/>
  <c r="H23" i="31" s="1"/>
  <c r="J18" i="31"/>
  <c r="J22" i="31" s="1"/>
  <c r="J23" i="31" s="1"/>
  <c r="G22" i="31"/>
  <c r="G23" i="31" s="1"/>
  <c r="I22" i="31"/>
  <c r="I23" i="31" s="1"/>
  <c r="C9" i="32"/>
  <c r="J6" i="32"/>
  <c r="K6" i="32" s="1"/>
  <c r="F20" i="32" s="1"/>
  <c r="J7" i="32"/>
  <c r="K7" i="32" s="1"/>
  <c r="H20" i="32" s="1"/>
  <c r="H22" i="32" s="1"/>
  <c r="D9" i="32"/>
  <c r="E9" i="32"/>
  <c r="C10" i="31"/>
  <c r="E17" i="31"/>
  <c r="F17" i="31"/>
  <c r="E19" i="31"/>
  <c r="F19" i="31"/>
  <c r="D20" i="31"/>
  <c r="D18" i="31" s="1"/>
  <c r="D22" i="31" s="1"/>
  <c r="E20" i="31"/>
  <c r="F20" i="31"/>
  <c r="C16" i="31"/>
  <c r="C22" i="31" s="1"/>
  <c r="H21" i="32" l="1"/>
  <c r="F18" i="31"/>
  <c r="F22" i="31" s="1"/>
  <c r="F23" i="31" s="1"/>
  <c r="E18" i="31"/>
  <c r="E22" i="31" s="1"/>
  <c r="E23" i="31" s="1"/>
  <c r="C23" i="31"/>
  <c r="D23" i="31"/>
  <c r="C25" i="31" l="1"/>
  <c r="C24" i="31"/>
  <c r="D3" i="29"/>
  <c r="E3" i="29" s="1"/>
  <c r="F3" i="29" s="1"/>
  <c r="F4" i="29" s="1"/>
  <c r="G20" i="32" l="1"/>
  <c r="G22" i="32" s="1"/>
  <c r="E20" i="32"/>
  <c r="E22" i="32" s="1"/>
  <c r="D20" i="32"/>
  <c r="E24" i="32"/>
  <c r="F24" i="32"/>
  <c r="G24" i="32"/>
  <c r="H24" i="32"/>
  <c r="D24" i="32"/>
  <c r="C14" i="32"/>
  <c r="D18" i="29"/>
  <c r="D22" i="32" l="1"/>
  <c r="G21" i="32"/>
  <c r="C23" i="32"/>
  <c r="C25" i="32" s="1"/>
  <c r="C27" i="32" s="1"/>
  <c r="F25" i="32"/>
  <c r="F27" i="32" s="1"/>
  <c r="D25" i="32"/>
  <c r="D27" i="32" s="1"/>
  <c r="E21" i="32"/>
  <c r="E25" i="32" s="1"/>
  <c r="E27" i="32" s="1"/>
  <c r="G25" i="32"/>
  <c r="G27" i="32" s="1"/>
  <c r="H25" i="32"/>
  <c r="H27" i="32" s="1"/>
  <c r="E18" i="29"/>
  <c r="F18" i="29" s="1"/>
  <c r="F19" i="29" s="1"/>
  <c r="C27" i="29"/>
  <c r="C10" i="29" l="1"/>
  <c r="C12" i="29" s="1"/>
  <c r="C14" i="29" s="1"/>
  <c r="D10" i="29"/>
  <c r="D12" i="29" s="1"/>
  <c r="I27" i="32"/>
  <c r="I25" i="32"/>
  <c r="D27" i="29"/>
  <c r="I10" i="29"/>
  <c r="I12" i="29" s="1"/>
  <c r="I14" i="29" s="1"/>
  <c r="E10" i="29"/>
  <c r="E12" i="29" s="1"/>
  <c r="E14" i="29" s="1"/>
  <c r="L10" i="29"/>
  <c r="L12" i="29" s="1"/>
  <c r="L14" i="29" s="1"/>
  <c r="H10" i="29"/>
  <c r="H12" i="29" s="1"/>
  <c r="H14" i="29" s="1"/>
  <c r="K10" i="29"/>
  <c r="K12" i="29" s="1"/>
  <c r="K14" i="29" s="1"/>
  <c r="G10" i="29"/>
  <c r="G12" i="29" s="1"/>
  <c r="G14" i="29" s="1"/>
  <c r="J10" i="29"/>
  <c r="J12" i="29" s="1"/>
  <c r="J14" i="29" s="1"/>
  <c r="F10" i="29"/>
  <c r="F12" i="29" s="1"/>
  <c r="F14" i="29" s="1"/>
  <c r="E25" i="29"/>
  <c r="E27" i="29" s="1"/>
  <c r="I25" i="29"/>
  <c r="I27" i="29" s="1"/>
  <c r="F25" i="29"/>
  <c r="F27" i="29" s="1"/>
  <c r="J25" i="29"/>
  <c r="J27" i="29" s="1"/>
  <c r="G25" i="29"/>
  <c r="G27" i="29" s="1"/>
  <c r="H25" i="29"/>
  <c r="H27" i="29" s="1"/>
  <c r="K25" i="29"/>
  <c r="K27" i="29" s="1"/>
  <c r="L25" i="29"/>
  <c r="L27" i="29" s="1"/>
  <c r="C29" i="29"/>
  <c r="C32" i="29" s="1"/>
  <c r="H29" i="29" l="1"/>
  <c r="H32" i="29" s="1"/>
  <c r="H31" i="29"/>
  <c r="J29" i="29"/>
  <c r="J32" i="29" s="1"/>
  <c r="J31" i="29"/>
  <c r="F29" i="29"/>
  <c r="F32" i="29" s="1"/>
  <c r="F31" i="29"/>
  <c r="G29" i="29"/>
  <c r="G32" i="29" s="1"/>
  <c r="G31" i="29"/>
  <c r="L29" i="29"/>
  <c r="L32" i="29" s="1"/>
  <c r="L31" i="29"/>
  <c r="I29" i="29"/>
  <c r="I32" i="29" s="1"/>
  <c r="I31" i="29"/>
  <c r="D29" i="29"/>
  <c r="M29" i="29" s="1"/>
  <c r="D31" i="29"/>
  <c r="K32" i="29"/>
  <c r="K31" i="29"/>
  <c r="E29" i="29"/>
  <c r="E32" i="29" s="1"/>
  <c r="E31" i="29"/>
  <c r="C31" i="29"/>
  <c r="D14" i="29"/>
  <c r="M14" i="29" s="1"/>
  <c r="M31" i="29" l="1"/>
  <c r="D32" i="29"/>
  <c r="M32" i="29"/>
</calcChain>
</file>

<file path=xl/sharedStrings.xml><?xml version="1.0" encoding="utf-8"?>
<sst xmlns="http://schemas.openxmlformats.org/spreadsheetml/2006/main" count="208" uniqueCount="70">
  <si>
    <t>Flujo</t>
  </si>
  <si>
    <t>A</t>
  </si>
  <si>
    <t>B</t>
  </si>
  <si>
    <t>C</t>
  </si>
  <si>
    <t>Tasa</t>
  </si>
  <si>
    <t>VPN</t>
  </si>
  <si>
    <t>TIR</t>
  </si>
  <si>
    <t>Año</t>
  </si>
  <si>
    <t>Venta</t>
  </si>
  <si>
    <t>Gastos fijos</t>
  </si>
  <si>
    <t>Inversión</t>
  </si>
  <si>
    <t>% Venta</t>
  </si>
  <si>
    <t xml:space="preserve">Cap de producción </t>
  </si>
  <si>
    <t>Precio x pieza</t>
  </si>
  <si>
    <t>x hr</t>
  </si>
  <si>
    <t>x 8 hrs</t>
  </si>
  <si>
    <t>x 3 turnos</t>
  </si>
  <si>
    <t>x mes</t>
  </si>
  <si>
    <t>Gastos op.</t>
  </si>
  <si>
    <t>Item de gasto</t>
  </si>
  <si>
    <t>Mano de obra</t>
  </si>
  <si>
    <t>Suministros</t>
  </si>
  <si>
    <t>Repuestos</t>
  </si>
  <si>
    <t>Combustible</t>
  </si>
  <si>
    <t>Otros insumos</t>
  </si>
  <si>
    <t xml:space="preserve">Gasto x ton. </t>
  </si>
  <si>
    <t>Periodos</t>
  </si>
  <si>
    <t>1 al 3</t>
  </si>
  <si>
    <t>Capas</t>
  </si>
  <si>
    <t>Mineral</t>
  </si>
  <si>
    <t>Ton diarias</t>
  </si>
  <si>
    <t>Ley</t>
  </si>
  <si>
    <t>Desde</t>
  </si>
  <si>
    <t>Hasta</t>
  </si>
  <si>
    <t>Más</t>
  </si>
  <si>
    <t>Precio x ton</t>
  </si>
  <si>
    <t>Inversiones</t>
  </si>
  <si>
    <t>Maquinaria</t>
  </si>
  <si>
    <t>Instalaciones</t>
  </si>
  <si>
    <t>Camiones</t>
  </si>
  <si>
    <t>Edificios</t>
  </si>
  <si>
    <t>Costo</t>
  </si>
  <si>
    <t>Capital de trab</t>
  </si>
  <si>
    <t>Gastos admin</t>
  </si>
  <si>
    <t>Anuales</t>
  </si>
  <si>
    <t>Ton al mes</t>
  </si>
  <si>
    <t>Ton al año</t>
  </si>
  <si>
    <t>Ton. Al año</t>
  </si>
  <si>
    <t>Precio ton</t>
  </si>
  <si>
    <t>Gasto ton</t>
  </si>
  <si>
    <t>Flujo con - sin</t>
  </si>
  <si>
    <t>VPN con - sin</t>
  </si>
  <si>
    <t>Sueldo</t>
  </si>
  <si>
    <t>Sueldo (mensual)</t>
  </si>
  <si>
    <t>Ingresos</t>
  </si>
  <si>
    <t>Egreso</t>
  </si>
  <si>
    <t>Gastos op. (anual)</t>
  </si>
  <si>
    <t>Estudio (1 vez)</t>
  </si>
  <si>
    <t>Activos fijos (1 vez)</t>
  </si>
  <si>
    <t>Cap de trabajo (1 vez)</t>
  </si>
  <si>
    <t>Permiso (1 vez)</t>
  </si>
  <si>
    <t>Flujo Descontado</t>
  </si>
  <si>
    <t>Concepto / Plazo</t>
  </si>
  <si>
    <t>Ingresos Mínimo</t>
  </si>
  <si>
    <t>Valor de Rescate</t>
  </si>
  <si>
    <t>días meses</t>
  </si>
  <si>
    <t>Meses</t>
  </si>
  <si>
    <t>Tasa  Mensual</t>
  </si>
  <si>
    <t>SIN PROYECTO</t>
  </si>
  <si>
    <t>CON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</si>
</sst>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44" fontId="0" fillId="0" borderId="2" xfId="1" applyFont="1" applyFill="1" applyBorder="1"/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2" xfId="0" applyNumberFormat="1" applyBorder="1"/>
    <xf numFmtId="0" fontId="0" fillId="2" borderId="2" xfId="0" applyFill="1" applyBorder="1" applyAlignment="1">
      <alignment horizontal="center"/>
    </xf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44" fontId="2" fillId="0" borderId="2" xfId="0" applyNumberFormat="1" applyFont="1" applyBorder="1"/>
    <xf numFmtId="10" fontId="2" fillId="0" borderId="2" xfId="0" applyNumberFormat="1" applyFont="1" applyBorder="1"/>
    <xf numFmtId="9" fontId="2" fillId="0" borderId="2" xfId="0" applyNumberFormat="1" applyFont="1" applyBorder="1"/>
    <xf numFmtId="0" fontId="0" fillId="0" borderId="2" xfId="0" applyNumberFormat="1" applyBorder="1"/>
    <xf numFmtId="0" fontId="0" fillId="0" borderId="0" xfId="0" applyFill="1" applyBorder="1"/>
    <xf numFmtId="44" fontId="0" fillId="0" borderId="0" xfId="1" applyFont="1" applyBorder="1"/>
    <xf numFmtId="9" fontId="0" fillId="0" borderId="2" xfId="1" applyNumberFormat="1" applyFont="1" applyFill="1" applyBorder="1"/>
    <xf numFmtId="44" fontId="0" fillId="0" borderId="6" xfId="1" applyFont="1" applyBorder="1"/>
    <xf numFmtId="44" fontId="0" fillId="0" borderId="2" xfId="1" applyFont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9" fontId="0" fillId="0" borderId="0" xfId="0" applyNumberFormat="1" applyFill="1" applyBorder="1"/>
    <xf numFmtId="44" fontId="0" fillId="0" borderId="0" xfId="0" applyNumberFormat="1" applyFill="1" applyBorder="1"/>
    <xf numFmtId="44" fontId="0" fillId="0" borderId="0" xfId="0" applyNumberFormat="1" applyBorder="1"/>
    <xf numFmtId="0" fontId="0" fillId="0" borderId="0" xfId="0" applyBorder="1"/>
    <xf numFmtId="0" fontId="2" fillId="2" borderId="2" xfId="0" applyFont="1" applyFill="1" applyBorder="1"/>
    <xf numFmtId="44" fontId="2" fillId="0" borderId="0" xfId="0" applyNumberFormat="1" applyFont="1" applyBorder="1"/>
    <xf numFmtId="9" fontId="0" fillId="0" borderId="2" xfId="2" applyFont="1" applyBorder="1"/>
    <xf numFmtId="0" fontId="0" fillId="4" borderId="2" xfId="0" applyFill="1" applyBorder="1" applyAlignment="1">
      <alignment horizontal="center"/>
    </xf>
    <xf numFmtId="164" fontId="0" fillId="0" borderId="2" xfId="1" applyNumberFormat="1" applyFont="1" applyBorder="1"/>
    <xf numFmtId="164" fontId="0" fillId="0" borderId="0" xfId="0" applyNumberFormat="1"/>
    <xf numFmtId="0" fontId="3" fillId="0" borderId="0" xfId="0" applyFont="1" applyAlignment="1">
      <alignment horizontal="left" indent="2"/>
    </xf>
    <xf numFmtId="0" fontId="2" fillId="5" borderId="8" xfId="0" applyFont="1" applyFill="1" applyBorder="1"/>
    <xf numFmtId="0" fontId="3" fillId="0" borderId="10" xfId="0" applyFont="1" applyBorder="1" applyAlignment="1">
      <alignment horizontal="left" indent="2"/>
    </xf>
    <xf numFmtId="164" fontId="0" fillId="0" borderId="0" xfId="1" applyNumberFormat="1" applyFont="1"/>
    <xf numFmtId="164" fontId="2" fillId="5" borderId="7" xfId="1" applyNumberFormat="1" applyFont="1" applyFill="1" applyBorder="1"/>
    <xf numFmtId="164" fontId="3" fillId="0" borderId="0" xfId="1" applyNumberFormat="1" applyFont="1"/>
    <xf numFmtId="164" fontId="3" fillId="0" borderId="10" xfId="1" applyNumberFormat="1" applyFont="1" applyBorder="1"/>
    <xf numFmtId="164" fontId="2" fillId="0" borderId="0" xfId="1" applyNumberFormat="1" applyFont="1" applyBorder="1"/>
    <xf numFmtId="0" fontId="0" fillId="2" borderId="11" xfId="0" applyFill="1" applyBorder="1"/>
    <xf numFmtId="164" fontId="0" fillId="0" borderId="11" xfId="1" applyNumberFormat="1" applyFont="1" applyBorder="1"/>
    <xf numFmtId="0" fontId="2" fillId="2" borderId="8" xfId="0" applyFont="1" applyFill="1" applyBorder="1"/>
    <xf numFmtId="164" fontId="2" fillId="0" borderId="9" xfId="1" applyNumberFormat="1" applyFont="1" applyBorder="1"/>
    <xf numFmtId="0" fontId="2" fillId="0" borderId="12" xfId="0" applyFont="1" applyBorder="1"/>
    <xf numFmtId="164" fontId="2" fillId="0" borderId="13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2" fillId="0" borderId="4" xfId="0" applyFont="1" applyBorder="1"/>
    <xf numFmtId="164" fontId="2" fillId="0" borderId="15" xfId="1" applyNumberFormat="1" applyFont="1" applyBorder="1"/>
    <xf numFmtId="0" fontId="2" fillId="0" borderId="16" xfId="0" applyFont="1" applyBorder="1"/>
    <xf numFmtId="164" fontId="2" fillId="0" borderId="10" xfId="1" applyNumberFormat="1" applyFont="1" applyBorder="1"/>
    <xf numFmtId="164" fontId="2" fillId="0" borderId="17" xfId="1" applyNumberFormat="1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1" applyNumberFormat="1" applyFont="1" applyBorder="1"/>
    <xf numFmtId="164" fontId="2" fillId="0" borderId="5" xfId="1" applyNumberFormat="1" applyFont="1" applyBorder="1"/>
    <xf numFmtId="164" fontId="2" fillId="5" borderId="9" xfId="1" applyNumberFormat="1" applyFont="1" applyFill="1" applyBorder="1"/>
    <xf numFmtId="9" fontId="2" fillId="5" borderId="9" xfId="0" applyNumberFormat="1" applyFont="1" applyFill="1" applyBorder="1"/>
    <xf numFmtId="0" fontId="2" fillId="2" borderId="16" xfId="0" applyFont="1" applyFill="1" applyBorder="1"/>
    <xf numFmtId="164" fontId="2" fillId="2" borderId="10" xfId="1" applyNumberFormat="1" applyFont="1" applyFill="1" applyBorder="1"/>
    <xf numFmtId="164" fontId="2" fillId="2" borderId="17" xfId="1" applyNumberFormat="1" applyFont="1" applyFill="1" applyBorder="1"/>
    <xf numFmtId="165" fontId="0" fillId="0" borderId="2" xfId="3" applyNumberFormat="1" applyFont="1" applyBorder="1"/>
    <xf numFmtId="165" fontId="0" fillId="0" borderId="2" xfId="3" applyNumberFormat="1" applyFont="1" applyFill="1" applyBorder="1"/>
    <xf numFmtId="44" fontId="2" fillId="0" borderId="2" xfId="1" applyFont="1" applyBorder="1" applyAlignment="1">
      <alignment horizontal="center"/>
    </xf>
    <xf numFmtId="0" fontId="0" fillId="7" borderId="2" xfId="0" applyFill="1" applyBorder="1"/>
    <xf numFmtId="0" fontId="2" fillId="7" borderId="2" xfId="0" applyFont="1" applyFill="1" applyBorder="1"/>
    <xf numFmtId="16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165" fontId="0" fillId="8" borderId="2" xfId="3" applyNumberFormat="1" applyFont="1" applyFill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44" fontId="0" fillId="9" borderId="2" xfId="1" applyFont="1" applyFill="1" applyBorder="1"/>
    <xf numFmtId="44" fontId="2" fillId="0" borderId="2" xfId="1" applyFont="1" applyBorder="1"/>
    <xf numFmtId="1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3" fontId="0" fillId="0" borderId="2" xfId="3" applyFont="1" applyBorder="1"/>
    <xf numFmtId="0" fontId="5" fillId="6" borderId="2" xfId="0" applyFont="1" applyFill="1" applyBorder="1" applyAlignment="1">
      <alignment horizontal="center"/>
    </xf>
    <xf numFmtId="10" fontId="5" fillId="6" borderId="2" xfId="0" applyNumberFormat="1" applyFont="1" applyFill="1" applyBorder="1" applyAlignment="1">
      <alignment horizontal="center"/>
    </xf>
    <xf numFmtId="44" fontId="5" fillId="6" borderId="2" xfId="0" applyNumberFormat="1" applyFont="1" applyFill="1" applyBorder="1"/>
    <xf numFmtId="0" fontId="5" fillId="6" borderId="2" xfId="0" applyFont="1" applyFill="1" applyBorder="1"/>
    <xf numFmtId="0" fontId="2" fillId="10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Ej.1!$C$27:$L$27</c:f>
              <c:numCache>
                <c:formatCode>_("$"* #,##0.00_);_("$"* \(#,##0.00\);_("$"* "-"??_);_(@_)</c:formatCode>
                <c:ptCount val="10"/>
                <c:pt idx="0">
                  <c:v>-453000</c:v>
                </c:pt>
                <c:pt idx="1">
                  <c:v>216000</c:v>
                </c:pt>
                <c:pt idx="2">
                  <c:v>230400</c:v>
                </c:pt>
                <c:pt idx="3">
                  <c:v>244800</c:v>
                </c:pt>
                <c:pt idx="4">
                  <c:v>288000</c:v>
                </c:pt>
                <c:pt idx="5">
                  <c:v>288000</c:v>
                </c:pt>
                <c:pt idx="6">
                  <c:v>288000</c:v>
                </c:pt>
                <c:pt idx="7">
                  <c:v>288000</c:v>
                </c:pt>
                <c:pt idx="8">
                  <c:v>288000</c:v>
                </c:pt>
                <c:pt idx="9">
                  <c:v>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21C-966F-53878B90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01360"/>
        <c:axId val="627102344"/>
      </c:lineChart>
      <c:catAx>
        <c:axId val="6271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2344"/>
        <c:crosses val="autoZero"/>
        <c:auto val="1"/>
        <c:lblAlgn val="ctr"/>
        <c:lblOffset val="100"/>
        <c:noMultiLvlLbl val="0"/>
      </c:catAx>
      <c:valAx>
        <c:axId val="6271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'Ej.1 (2)'!$C$27:$L$27</c:f>
              <c:numCache>
                <c:formatCode>_("$"* #,##0.00_);_("$"* \(#,##0.00\);_("$"* "-"??_);_(@_)</c:formatCode>
                <c:ptCount val="10"/>
                <c:pt idx="0">
                  <c:v>-453000</c:v>
                </c:pt>
                <c:pt idx="1">
                  <c:v>216000</c:v>
                </c:pt>
                <c:pt idx="2">
                  <c:v>230400</c:v>
                </c:pt>
                <c:pt idx="3">
                  <c:v>244800</c:v>
                </c:pt>
                <c:pt idx="4">
                  <c:v>288000</c:v>
                </c:pt>
                <c:pt idx="5">
                  <c:v>288000</c:v>
                </c:pt>
                <c:pt idx="6">
                  <c:v>288000</c:v>
                </c:pt>
                <c:pt idx="7">
                  <c:v>288000</c:v>
                </c:pt>
                <c:pt idx="8">
                  <c:v>288000</c:v>
                </c:pt>
                <c:pt idx="9">
                  <c:v>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9-449A-A9A4-3081629E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01360"/>
        <c:axId val="627102344"/>
      </c:lineChart>
      <c:catAx>
        <c:axId val="6271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2344"/>
        <c:crosses val="autoZero"/>
        <c:auto val="1"/>
        <c:lblAlgn val="ctr"/>
        <c:lblOffset val="100"/>
        <c:noMultiLvlLbl val="0"/>
      </c:catAx>
      <c:valAx>
        <c:axId val="6271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'Ej.1 (3)'!$C$27:$L$27</c:f>
              <c:numCache>
                <c:formatCode>_("$"* #,##0.00_);_("$"* \(#,##0.00\);_("$"* "-"??_);_(@_)</c:formatCode>
                <c:ptCount val="10"/>
                <c:pt idx="0">
                  <c:v>-525000</c:v>
                </c:pt>
                <c:pt idx="1">
                  <c:v>144000</c:v>
                </c:pt>
                <c:pt idx="2">
                  <c:v>172800</c:v>
                </c:pt>
                <c:pt idx="3">
                  <c:v>201600</c:v>
                </c:pt>
                <c:pt idx="4">
                  <c:v>288000</c:v>
                </c:pt>
                <c:pt idx="5">
                  <c:v>288000</c:v>
                </c:pt>
                <c:pt idx="6">
                  <c:v>288000</c:v>
                </c:pt>
                <c:pt idx="7">
                  <c:v>288000</c:v>
                </c:pt>
                <c:pt idx="8">
                  <c:v>288000</c:v>
                </c:pt>
                <c:pt idx="9">
                  <c:v>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BE0-A1C1-79BE861E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01360"/>
        <c:axId val="627102344"/>
      </c:lineChart>
      <c:catAx>
        <c:axId val="6271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2344"/>
        <c:crosses val="autoZero"/>
        <c:auto val="1"/>
        <c:lblAlgn val="ctr"/>
        <c:lblOffset val="100"/>
        <c:noMultiLvlLbl val="0"/>
      </c:catAx>
      <c:valAx>
        <c:axId val="6271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1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904663</xdr:colOff>
      <xdr:row>35</xdr:row>
      <xdr:rowOff>76412</xdr:rowOff>
    </xdr:from>
    <xdr:to>
      <xdr:col>7</xdr:col>
      <xdr:colOff>9313</xdr:colOff>
      <xdr:row>50</xdr:row>
      <xdr:rowOff>76412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F113B-D7AD-4721-BFAE-643454D6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904663</xdr:colOff>
      <xdr:row>35</xdr:row>
      <xdr:rowOff>76412</xdr:rowOff>
    </xdr:from>
    <xdr:to>
      <xdr:col>7</xdr:col>
      <xdr:colOff>9313</xdr:colOff>
      <xdr:row>50</xdr:row>
      <xdr:rowOff>76412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A8703D-C805-4201-AA4C-9DF14F03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22919</xdr:colOff>
      <xdr:row>2</xdr:row>
      <xdr:rowOff>21983</xdr:rowOff>
    </xdr:from>
    <xdr:to>
      <xdr:col>21</xdr:col>
      <xdr:colOff>751114</xdr:colOff>
      <xdr:row>26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DE7A2-1FD4-40FA-98CF-3573786B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tabSelected="1" zoomScaleNormal="100" workbookViewId="0"/>
  </sheetViews>
  <sheetFormatPr baseColWidth="10" defaultRowHeight="14.4" x14ac:dyDescent="0.3"/>
  <cols>
    <col min="2" max="2" width="16.6640625" bestFit="1" customWidth="1"/>
    <col min="3" max="12" width="12.33203125" bestFit="1" customWidth="1"/>
    <col min="13" max="13" width="14" bestFit="1" customWidth="1"/>
    <col min="14" max="14" width="14.21875" bestFit="1" customWidth="1"/>
  </cols>
  <sheetData>
    <row r="2" spans="2:14" x14ac:dyDescent="0.3">
      <c r="C2" s="9" t="s">
        <v>14</v>
      </c>
      <c r="D2" s="9" t="s">
        <v>15</v>
      </c>
      <c r="E2" s="9" t="s">
        <v>16</v>
      </c>
      <c r="F2" s="9" t="s">
        <v>17</v>
      </c>
    </row>
    <row r="3" spans="2:14" x14ac:dyDescent="0.3">
      <c r="B3" s="9" t="s">
        <v>12</v>
      </c>
      <c r="C3" s="1">
        <v>20</v>
      </c>
      <c r="D3" s="13">
        <f>C3*8</f>
        <v>160</v>
      </c>
      <c r="E3" s="1">
        <f>D3*3</f>
        <v>480</v>
      </c>
      <c r="F3" s="1">
        <f>E3*30</f>
        <v>14400</v>
      </c>
    </row>
    <row r="4" spans="2:14" x14ac:dyDescent="0.3">
      <c r="B4" s="9" t="s">
        <v>13</v>
      </c>
      <c r="C4" s="17">
        <v>10</v>
      </c>
      <c r="F4" s="5">
        <f>C4*F3</f>
        <v>144000</v>
      </c>
    </row>
    <row r="6" spans="2:14" x14ac:dyDescent="0.3">
      <c r="B6" s="9" t="s">
        <v>67</v>
      </c>
      <c r="C6" s="8">
        <v>0.01</v>
      </c>
    </row>
    <row r="8" spans="2:14" x14ac:dyDescent="0.3">
      <c r="B8" s="9" t="s">
        <v>66</v>
      </c>
      <c r="C8" s="9">
        <v>0</v>
      </c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  <c r="N8" s="85" t="s">
        <v>68</v>
      </c>
    </row>
    <row r="9" spans="2:14" x14ac:dyDescent="0.3">
      <c r="B9" s="9" t="s">
        <v>11</v>
      </c>
      <c r="C9" s="2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N9" s="85"/>
    </row>
    <row r="10" spans="2:14" x14ac:dyDescent="0.3">
      <c r="B10" s="9" t="s">
        <v>8</v>
      </c>
      <c r="C10" s="5">
        <f>$F$19*C9</f>
        <v>144000</v>
      </c>
      <c r="D10" s="5">
        <f>$F$19*D9</f>
        <v>144000</v>
      </c>
      <c r="E10" s="5">
        <f t="shared" ref="E10:L10" si="0">$F$19*E9</f>
        <v>144000</v>
      </c>
      <c r="F10" s="5">
        <f t="shared" si="0"/>
        <v>144000</v>
      </c>
      <c r="G10" s="5">
        <f t="shared" si="0"/>
        <v>144000</v>
      </c>
      <c r="H10" s="5">
        <f t="shared" si="0"/>
        <v>144000</v>
      </c>
      <c r="I10" s="5">
        <f t="shared" si="0"/>
        <v>144000</v>
      </c>
      <c r="J10" s="5">
        <f t="shared" si="0"/>
        <v>144000</v>
      </c>
      <c r="K10" s="5">
        <f t="shared" si="0"/>
        <v>144000</v>
      </c>
      <c r="L10" s="5">
        <f t="shared" si="0"/>
        <v>144000</v>
      </c>
      <c r="N10" s="85"/>
    </row>
    <row r="11" spans="2:14" x14ac:dyDescent="0.3">
      <c r="B11" s="9" t="s">
        <v>10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N11" s="85"/>
    </row>
    <row r="12" spans="2:14" x14ac:dyDescent="0.3">
      <c r="B12" s="9" t="s">
        <v>0</v>
      </c>
      <c r="C12" s="5">
        <f t="shared" ref="C12" si="1">SUM(C10:C11)</f>
        <v>144000</v>
      </c>
      <c r="D12" s="5">
        <f t="shared" ref="D12" si="2">SUM(D10:D11)</f>
        <v>144000</v>
      </c>
      <c r="E12" s="5">
        <f t="shared" ref="E12" si="3">SUM(E10:E11)</f>
        <v>144000</v>
      </c>
      <c r="F12" s="5">
        <f t="shared" ref="F12" si="4">SUM(F10:F11)</f>
        <v>144000</v>
      </c>
      <c r="G12" s="5">
        <f t="shared" ref="G12" si="5">SUM(G10:G11)</f>
        <v>144000</v>
      </c>
      <c r="H12" s="5">
        <f t="shared" ref="H12" si="6">SUM(H10:H11)</f>
        <v>144000</v>
      </c>
      <c r="I12" s="5">
        <f t="shared" ref="I12" si="7">SUM(I10:I11)</f>
        <v>144000</v>
      </c>
      <c r="J12" s="5">
        <f t="shared" ref="J12" si="8">SUM(J10:J11)</f>
        <v>144000</v>
      </c>
      <c r="K12" s="5">
        <f t="shared" ref="K12" si="9">SUM(K10:K11)</f>
        <v>144000</v>
      </c>
      <c r="L12" s="5">
        <f t="shared" ref="L12" si="10">SUM(L10:L11)</f>
        <v>144000</v>
      </c>
      <c r="N12" s="85"/>
    </row>
    <row r="13" spans="2:14" x14ac:dyDescent="0.3">
      <c r="N13" s="85"/>
    </row>
    <row r="14" spans="2:14" x14ac:dyDescent="0.3">
      <c r="B14" s="9" t="s">
        <v>5</v>
      </c>
      <c r="C14" s="4">
        <f t="shared" ref="C14:L14" si="11">C12*((1+$C$21)^(-C8))</f>
        <v>144000</v>
      </c>
      <c r="D14" s="4">
        <f t="shared" si="11"/>
        <v>142574.25742574257</v>
      </c>
      <c r="E14" s="4">
        <f t="shared" si="11"/>
        <v>141162.63111459659</v>
      </c>
      <c r="F14" s="4">
        <f t="shared" si="11"/>
        <v>139764.98130158082</v>
      </c>
      <c r="G14" s="4">
        <f t="shared" si="11"/>
        <v>138381.16960552553</v>
      </c>
      <c r="H14" s="4">
        <f t="shared" si="11"/>
        <v>137011.05901537184</v>
      </c>
      <c r="I14" s="4">
        <f t="shared" si="11"/>
        <v>135654.51387660575</v>
      </c>
      <c r="J14" s="4">
        <f t="shared" si="11"/>
        <v>134311.39987782753</v>
      </c>
      <c r="K14" s="4">
        <f t="shared" si="11"/>
        <v>132981.58403745297</v>
      </c>
      <c r="L14" s="4">
        <f t="shared" si="11"/>
        <v>131664.93469054747</v>
      </c>
      <c r="M14" s="10">
        <f>SUM(C14:L14)</f>
        <v>1377506.530945251</v>
      </c>
      <c r="N14" s="85"/>
    </row>
    <row r="15" spans="2:14" x14ac:dyDescent="0.3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6"/>
    </row>
    <row r="17" spans="2:14" x14ac:dyDescent="0.3">
      <c r="C17" s="9" t="s">
        <v>14</v>
      </c>
      <c r="D17" s="9" t="s">
        <v>15</v>
      </c>
      <c r="E17" s="9" t="s">
        <v>16</v>
      </c>
      <c r="F17" s="9" t="s">
        <v>17</v>
      </c>
    </row>
    <row r="18" spans="2:14" x14ac:dyDescent="0.3">
      <c r="B18" s="9" t="s">
        <v>12</v>
      </c>
      <c r="C18" s="1">
        <v>20</v>
      </c>
      <c r="D18" s="13">
        <f>C18*8</f>
        <v>160</v>
      </c>
      <c r="E18" s="1">
        <f>D18*3</f>
        <v>480</v>
      </c>
      <c r="F18" s="80">
        <f>E18*30</f>
        <v>14400</v>
      </c>
    </row>
    <row r="19" spans="2:14" x14ac:dyDescent="0.3">
      <c r="B19" s="9" t="s">
        <v>13</v>
      </c>
      <c r="C19" s="17">
        <v>10</v>
      </c>
      <c r="F19" s="5">
        <f>C19*F18</f>
        <v>144000</v>
      </c>
    </row>
    <row r="21" spans="2:14" x14ac:dyDescent="0.3">
      <c r="B21" s="9" t="s">
        <v>67</v>
      </c>
      <c r="C21" s="8">
        <v>0.01</v>
      </c>
    </row>
    <row r="23" spans="2:14" x14ac:dyDescent="0.3">
      <c r="B23" s="9" t="s">
        <v>66</v>
      </c>
      <c r="C23" s="9">
        <v>0</v>
      </c>
      <c r="D23" s="9">
        <v>1</v>
      </c>
      <c r="E23" s="9">
        <v>2</v>
      </c>
      <c r="F23" s="9">
        <v>3</v>
      </c>
      <c r="G23" s="9">
        <v>4</v>
      </c>
      <c r="H23" s="9">
        <v>5</v>
      </c>
      <c r="I23" s="9">
        <v>6</v>
      </c>
      <c r="J23" s="9">
        <v>7</v>
      </c>
      <c r="K23" s="9">
        <v>8</v>
      </c>
      <c r="L23" s="9">
        <v>9</v>
      </c>
      <c r="N23" s="85" t="s">
        <v>69</v>
      </c>
    </row>
    <row r="24" spans="2:14" x14ac:dyDescent="0.3">
      <c r="B24" s="9" t="s">
        <v>11</v>
      </c>
      <c r="C24" s="1">
        <v>0</v>
      </c>
      <c r="D24" s="8">
        <v>1.5</v>
      </c>
      <c r="E24" s="8">
        <v>1.6</v>
      </c>
      <c r="F24" s="16">
        <v>1.7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N24" s="85"/>
    </row>
    <row r="25" spans="2:14" x14ac:dyDescent="0.3">
      <c r="B25" s="9" t="s">
        <v>8</v>
      </c>
      <c r="C25" s="5">
        <f>C10/2</f>
        <v>72000</v>
      </c>
      <c r="D25" s="5">
        <f>$F$19*D24</f>
        <v>216000</v>
      </c>
      <c r="E25" s="5">
        <f t="shared" ref="E25:L25" si="12">$F$19*E24</f>
        <v>230400</v>
      </c>
      <c r="F25" s="5">
        <f t="shared" si="12"/>
        <v>244800</v>
      </c>
      <c r="G25" s="5">
        <f t="shared" si="12"/>
        <v>288000</v>
      </c>
      <c r="H25" s="5">
        <f t="shared" si="12"/>
        <v>288000</v>
      </c>
      <c r="I25" s="5">
        <f t="shared" si="12"/>
        <v>288000</v>
      </c>
      <c r="J25" s="5">
        <f t="shared" si="12"/>
        <v>288000</v>
      </c>
      <c r="K25" s="5">
        <f t="shared" si="12"/>
        <v>288000</v>
      </c>
      <c r="L25" s="5">
        <f t="shared" si="12"/>
        <v>288000</v>
      </c>
      <c r="N25" s="85"/>
    </row>
    <row r="26" spans="2:14" x14ac:dyDescent="0.3">
      <c r="B26" s="9" t="s">
        <v>10</v>
      </c>
      <c r="C26" s="4">
        <v>-525000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N26" s="85"/>
    </row>
    <row r="27" spans="2:14" x14ac:dyDescent="0.3">
      <c r="B27" s="9" t="s">
        <v>0</v>
      </c>
      <c r="C27" s="5">
        <f t="shared" ref="C27:L27" si="13">SUM(C25:C26)</f>
        <v>-453000</v>
      </c>
      <c r="D27" s="5">
        <f t="shared" si="13"/>
        <v>216000</v>
      </c>
      <c r="E27" s="5">
        <f t="shared" si="13"/>
        <v>230400</v>
      </c>
      <c r="F27" s="5">
        <f t="shared" si="13"/>
        <v>244800</v>
      </c>
      <c r="G27" s="5">
        <f t="shared" si="13"/>
        <v>288000</v>
      </c>
      <c r="H27" s="5">
        <f t="shared" si="13"/>
        <v>288000</v>
      </c>
      <c r="I27" s="5">
        <f t="shared" si="13"/>
        <v>288000</v>
      </c>
      <c r="J27" s="5">
        <f t="shared" si="13"/>
        <v>288000</v>
      </c>
      <c r="K27" s="5">
        <f t="shared" si="13"/>
        <v>288000</v>
      </c>
      <c r="L27" s="5">
        <f t="shared" si="13"/>
        <v>288000</v>
      </c>
      <c r="N27" s="85"/>
    </row>
    <row r="28" spans="2:14" x14ac:dyDescent="0.3">
      <c r="N28" s="85"/>
    </row>
    <row r="29" spans="2:14" x14ac:dyDescent="0.3">
      <c r="B29" s="9" t="s">
        <v>5</v>
      </c>
      <c r="C29" s="4">
        <f t="shared" ref="C29:L29" si="14">C27*((1+$C$21)^(-C23))</f>
        <v>-453000</v>
      </c>
      <c r="D29" s="4">
        <f t="shared" si="14"/>
        <v>213861.38613861386</v>
      </c>
      <c r="E29" s="4">
        <f t="shared" si="14"/>
        <v>225860.20978335457</v>
      </c>
      <c r="F29" s="4">
        <f t="shared" si="14"/>
        <v>237600.46821268738</v>
      </c>
      <c r="G29" s="4">
        <f t="shared" si="14"/>
        <v>276762.33921105106</v>
      </c>
      <c r="H29" s="4">
        <f t="shared" si="14"/>
        <v>274022.11803074367</v>
      </c>
      <c r="I29" s="4">
        <f t="shared" si="14"/>
        <v>271309.0277532115</v>
      </c>
      <c r="J29" s="4">
        <f t="shared" si="14"/>
        <v>268622.79975565505</v>
      </c>
      <c r="K29" s="4">
        <f>K27*((1+$C$21)^(-K23))</f>
        <v>265963.16807490593</v>
      </c>
      <c r="L29" s="4">
        <f t="shared" si="14"/>
        <v>263329.86938109493</v>
      </c>
      <c r="M29" s="10">
        <f>SUM(C29:L29)</f>
        <v>1844331.386341318</v>
      </c>
      <c r="N29" s="85"/>
    </row>
    <row r="31" spans="2:14" x14ac:dyDescent="0.3">
      <c r="B31" s="9" t="s">
        <v>50</v>
      </c>
      <c r="C31" s="5">
        <f>C27-C12</f>
        <v>-597000</v>
      </c>
      <c r="D31" s="5">
        <f t="shared" ref="D31:L31" si="15">D27-D12</f>
        <v>72000</v>
      </c>
      <c r="E31" s="5">
        <f t="shared" si="15"/>
        <v>86400</v>
      </c>
      <c r="F31" s="5">
        <f t="shared" si="15"/>
        <v>100800</v>
      </c>
      <c r="G31" s="5">
        <f t="shared" si="15"/>
        <v>144000</v>
      </c>
      <c r="H31" s="5">
        <f t="shared" si="15"/>
        <v>144000</v>
      </c>
      <c r="I31" s="5">
        <f t="shared" si="15"/>
        <v>144000</v>
      </c>
      <c r="J31" s="5">
        <f t="shared" si="15"/>
        <v>144000</v>
      </c>
      <c r="K31" s="5">
        <f t="shared" si="15"/>
        <v>144000</v>
      </c>
      <c r="L31" s="5">
        <f t="shared" si="15"/>
        <v>144000</v>
      </c>
      <c r="M31" s="11">
        <f>IRR(C31:L31)</f>
        <v>0.13126593051589985</v>
      </c>
    </row>
    <row r="32" spans="2:14" x14ac:dyDescent="0.3">
      <c r="B32" s="9" t="s">
        <v>51</v>
      </c>
      <c r="C32" s="5">
        <f>C29-C14</f>
        <v>-597000</v>
      </c>
      <c r="D32" s="5">
        <f t="shared" ref="D32:L32" si="16">D29-D14</f>
        <v>71287.128712871287</v>
      </c>
      <c r="E32" s="5">
        <f t="shared" si="16"/>
        <v>84697.578668757982</v>
      </c>
      <c r="F32" s="5">
        <f t="shared" si="16"/>
        <v>97835.486911106564</v>
      </c>
      <c r="G32" s="5">
        <f t="shared" si="16"/>
        <v>138381.16960552553</v>
      </c>
      <c r="H32" s="5">
        <f t="shared" si="16"/>
        <v>137011.05901537184</v>
      </c>
      <c r="I32" s="5">
        <f t="shared" si="16"/>
        <v>135654.51387660575</v>
      </c>
      <c r="J32" s="5">
        <f t="shared" si="16"/>
        <v>134311.39987782753</v>
      </c>
      <c r="K32" s="5">
        <f t="shared" si="16"/>
        <v>132981.58403745297</v>
      </c>
      <c r="L32" s="5">
        <f t="shared" si="16"/>
        <v>131664.93469054747</v>
      </c>
      <c r="M32" s="10">
        <f>M29-M14</f>
        <v>466824.85539606703</v>
      </c>
    </row>
  </sheetData>
  <mergeCells count="2">
    <mergeCell ref="N8:N14"/>
    <mergeCell ref="N23:N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5B04-0E2A-461E-8655-ED17D60303E6}">
  <dimension ref="B2:M32"/>
  <sheetViews>
    <sheetView zoomScale="80" zoomScaleNormal="80" workbookViewId="0"/>
  </sheetViews>
  <sheetFormatPr baseColWidth="10" defaultRowHeight="14.4" x14ac:dyDescent="0.3"/>
  <cols>
    <col min="2" max="2" width="17.33203125" bestFit="1" customWidth="1"/>
    <col min="3" max="12" width="12.33203125" bestFit="1" customWidth="1"/>
    <col min="13" max="13" width="14" bestFit="1" customWidth="1"/>
  </cols>
  <sheetData>
    <row r="2" spans="2:13" x14ac:dyDescent="0.3">
      <c r="C2" s="9" t="s">
        <v>14</v>
      </c>
      <c r="D2" s="9" t="s">
        <v>15</v>
      </c>
      <c r="E2" s="9" t="s">
        <v>16</v>
      </c>
      <c r="F2" s="9" t="s">
        <v>17</v>
      </c>
    </row>
    <row r="3" spans="2:13" x14ac:dyDescent="0.3">
      <c r="B3" s="9" t="s">
        <v>12</v>
      </c>
      <c r="C3" s="1">
        <v>20</v>
      </c>
      <c r="D3" s="13">
        <f>C3*8</f>
        <v>160</v>
      </c>
      <c r="E3" s="1">
        <f>D3*3</f>
        <v>480</v>
      </c>
      <c r="F3" s="1">
        <f>E3*30</f>
        <v>14400</v>
      </c>
    </row>
    <row r="4" spans="2:13" x14ac:dyDescent="0.3">
      <c r="B4" s="9" t="s">
        <v>13</v>
      </c>
      <c r="C4" s="17">
        <v>10</v>
      </c>
      <c r="F4" s="5">
        <f>C4*F3</f>
        <v>144000</v>
      </c>
    </row>
    <row r="6" spans="2:13" x14ac:dyDescent="0.3">
      <c r="B6" s="9" t="s">
        <v>67</v>
      </c>
      <c r="C6" s="8">
        <v>0.01</v>
      </c>
    </row>
    <row r="8" spans="2:13" x14ac:dyDescent="0.3">
      <c r="B8" s="9" t="s">
        <v>66</v>
      </c>
      <c r="C8" s="9">
        <v>0</v>
      </c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</row>
    <row r="9" spans="2:13" x14ac:dyDescent="0.3">
      <c r="B9" s="9" t="s">
        <v>11</v>
      </c>
      <c r="C9" s="2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</row>
    <row r="10" spans="2:13" x14ac:dyDescent="0.3">
      <c r="B10" s="9" t="s">
        <v>8</v>
      </c>
      <c r="C10" s="5">
        <f t="shared" ref="C10:F10" si="0">$F$4*C9</f>
        <v>144000</v>
      </c>
      <c r="D10" s="5">
        <f t="shared" si="0"/>
        <v>144000</v>
      </c>
      <c r="E10" s="5">
        <f t="shared" si="0"/>
        <v>144000</v>
      </c>
      <c r="F10" s="5">
        <f t="shared" si="0"/>
        <v>144000</v>
      </c>
      <c r="G10" s="5">
        <f>$F$4*G9</f>
        <v>144000</v>
      </c>
      <c r="H10" s="5">
        <f t="shared" ref="H10:L10" si="1">$F$4*H9</f>
        <v>144000</v>
      </c>
      <c r="I10" s="5">
        <f t="shared" si="1"/>
        <v>144000</v>
      </c>
      <c r="J10" s="5">
        <f t="shared" si="1"/>
        <v>144000</v>
      </c>
      <c r="K10" s="5">
        <f t="shared" si="1"/>
        <v>144000</v>
      </c>
      <c r="L10" s="5">
        <f t="shared" si="1"/>
        <v>144000</v>
      </c>
    </row>
    <row r="11" spans="2:13" x14ac:dyDescent="0.3">
      <c r="B11" s="9" t="s">
        <v>10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2:13" x14ac:dyDescent="0.3">
      <c r="B12" s="9" t="s">
        <v>0</v>
      </c>
      <c r="C12" s="5">
        <f t="shared" ref="C12:L12" si="2">SUM(C10:C11)</f>
        <v>144000</v>
      </c>
      <c r="D12" s="5">
        <f t="shared" si="2"/>
        <v>144000</v>
      </c>
      <c r="E12" s="5">
        <f t="shared" si="2"/>
        <v>144000</v>
      </c>
      <c r="F12" s="5">
        <f t="shared" si="2"/>
        <v>144000</v>
      </c>
      <c r="G12" s="5">
        <f t="shared" si="2"/>
        <v>144000</v>
      </c>
      <c r="H12" s="5">
        <f t="shared" si="2"/>
        <v>144000</v>
      </c>
      <c r="I12" s="5">
        <f t="shared" si="2"/>
        <v>144000</v>
      </c>
      <c r="J12" s="5">
        <f t="shared" si="2"/>
        <v>144000</v>
      </c>
      <c r="K12" s="5">
        <f t="shared" si="2"/>
        <v>144000</v>
      </c>
      <c r="L12" s="5">
        <f t="shared" si="2"/>
        <v>144000</v>
      </c>
    </row>
    <row r="14" spans="2:13" x14ac:dyDescent="0.3">
      <c r="B14" s="9" t="s">
        <v>5</v>
      </c>
      <c r="C14" s="4">
        <f t="shared" ref="C14:L14" si="3">C12*((1+$C$21)^(-C8))</f>
        <v>144000</v>
      </c>
      <c r="D14" s="4">
        <f t="shared" si="3"/>
        <v>142574.25742574257</v>
      </c>
      <c r="E14" s="4">
        <f t="shared" si="3"/>
        <v>141162.63111459659</v>
      </c>
      <c r="F14" s="4">
        <f t="shared" si="3"/>
        <v>139764.98130158082</v>
      </c>
      <c r="G14" s="4">
        <f t="shared" si="3"/>
        <v>138381.16960552553</v>
      </c>
      <c r="H14" s="4">
        <f t="shared" si="3"/>
        <v>137011.05901537184</v>
      </c>
      <c r="I14" s="4">
        <f t="shared" si="3"/>
        <v>135654.51387660575</v>
      </c>
      <c r="J14" s="4">
        <f t="shared" si="3"/>
        <v>134311.39987782753</v>
      </c>
      <c r="K14" s="4">
        <f t="shared" si="3"/>
        <v>132981.58403745297</v>
      </c>
      <c r="L14" s="4">
        <f t="shared" si="3"/>
        <v>131664.93469054747</v>
      </c>
      <c r="M14" s="10">
        <f>SUM(C14:L14)</f>
        <v>1377506.530945251</v>
      </c>
    </row>
    <row r="15" spans="2:13" x14ac:dyDescent="0.3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6"/>
    </row>
    <row r="17" spans="2:13" x14ac:dyDescent="0.3">
      <c r="C17" s="9" t="s">
        <v>14</v>
      </c>
      <c r="D17" s="9" t="s">
        <v>15</v>
      </c>
      <c r="E17" s="9" t="s">
        <v>16</v>
      </c>
      <c r="F17" s="9" t="s">
        <v>17</v>
      </c>
    </row>
    <row r="18" spans="2:13" x14ac:dyDescent="0.3">
      <c r="B18" s="9" t="s">
        <v>12</v>
      </c>
      <c r="C18" s="1">
        <v>20</v>
      </c>
      <c r="D18" s="13">
        <f>C18*8</f>
        <v>160</v>
      </c>
      <c r="E18" s="1">
        <f>D18*3</f>
        <v>480</v>
      </c>
      <c r="F18" s="80">
        <f>E18*30</f>
        <v>14400</v>
      </c>
    </row>
    <row r="19" spans="2:13" x14ac:dyDescent="0.3">
      <c r="B19" s="9" t="s">
        <v>13</v>
      </c>
      <c r="C19" s="17">
        <v>10</v>
      </c>
      <c r="F19" s="5">
        <f>C19*F18</f>
        <v>144000</v>
      </c>
    </row>
    <row r="21" spans="2:13" x14ac:dyDescent="0.3">
      <c r="B21" s="9" t="s">
        <v>67</v>
      </c>
      <c r="C21" s="8">
        <v>0.01</v>
      </c>
    </row>
    <row r="23" spans="2:13" x14ac:dyDescent="0.3">
      <c r="B23" s="9" t="s">
        <v>66</v>
      </c>
      <c r="C23" s="9">
        <v>0</v>
      </c>
      <c r="D23" s="9">
        <v>1</v>
      </c>
      <c r="E23" s="9">
        <v>2</v>
      </c>
      <c r="F23" s="9">
        <v>3</v>
      </c>
      <c r="G23" s="9">
        <v>4</v>
      </c>
      <c r="H23" s="9">
        <v>5</v>
      </c>
      <c r="I23" s="9">
        <v>6</v>
      </c>
      <c r="J23" s="9">
        <v>7</v>
      </c>
      <c r="K23" s="9">
        <v>8</v>
      </c>
      <c r="L23" s="9">
        <v>9</v>
      </c>
    </row>
    <row r="24" spans="2:13" x14ac:dyDescent="0.3">
      <c r="B24" s="9" t="s">
        <v>11</v>
      </c>
      <c r="C24" s="1">
        <v>0</v>
      </c>
      <c r="D24" s="8">
        <v>1.5</v>
      </c>
      <c r="E24" s="8">
        <v>1.6</v>
      </c>
      <c r="F24" s="16">
        <v>1.7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</row>
    <row r="25" spans="2:13" x14ac:dyDescent="0.3">
      <c r="B25" s="9" t="s">
        <v>8</v>
      </c>
      <c r="C25" s="5">
        <v>72000</v>
      </c>
      <c r="D25" s="5">
        <f>$F$19*D24</f>
        <v>216000</v>
      </c>
      <c r="E25" s="5">
        <f t="shared" ref="E25:L25" si="4">$F$19*E24</f>
        <v>230400</v>
      </c>
      <c r="F25" s="5">
        <f t="shared" si="4"/>
        <v>244800</v>
      </c>
      <c r="G25" s="5">
        <f t="shared" si="4"/>
        <v>288000</v>
      </c>
      <c r="H25" s="5">
        <f t="shared" si="4"/>
        <v>288000</v>
      </c>
      <c r="I25" s="5">
        <f t="shared" si="4"/>
        <v>288000</v>
      </c>
      <c r="J25" s="5">
        <f t="shared" si="4"/>
        <v>288000</v>
      </c>
      <c r="K25" s="5">
        <f t="shared" si="4"/>
        <v>288000</v>
      </c>
      <c r="L25" s="5">
        <f t="shared" si="4"/>
        <v>288000</v>
      </c>
    </row>
    <row r="26" spans="2:13" x14ac:dyDescent="0.3">
      <c r="B26" s="9" t="s">
        <v>10</v>
      </c>
      <c r="C26" s="4">
        <v>-525000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2:13" x14ac:dyDescent="0.3">
      <c r="B27" s="9" t="s">
        <v>0</v>
      </c>
      <c r="C27" s="5">
        <f t="shared" ref="C27:L27" si="5">SUM(C25:C26)</f>
        <v>-453000</v>
      </c>
      <c r="D27" s="5">
        <f t="shared" si="5"/>
        <v>216000</v>
      </c>
      <c r="E27" s="5">
        <f t="shared" si="5"/>
        <v>230400</v>
      </c>
      <c r="F27" s="5">
        <f t="shared" si="5"/>
        <v>244800</v>
      </c>
      <c r="G27" s="5">
        <f t="shared" si="5"/>
        <v>288000</v>
      </c>
      <c r="H27" s="5">
        <f t="shared" si="5"/>
        <v>288000</v>
      </c>
      <c r="I27" s="5">
        <f t="shared" si="5"/>
        <v>288000</v>
      </c>
      <c r="J27" s="5">
        <f t="shared" si="5"/>
        <v>288000</v>
      </c>
      <c r="K27" s="5">
        <f t="shared" si="5"/>
        <v>288000</v>
      </c>
      <c r="L27" s="5">
        <f t="shared" si="5"/>
        <v>288000</v>
      </c>
    </row>
    <row r="29" spans="2:13" x14ac:dyDescent="0.3">
      <c r="B29" s="9" t="s">
        <v>5</v>
      </c>
      <c r="C29" s="4">
        <f t="shared" ref="C29:L29" si="6">C27*((1+$C$21)^(-C23))</f>
        <v>-453000</v>
      </c>
      <c r="D29" s="4">
        <f t="shared" si="6"/>
        <v>213861.38613861386</v>
      </c>
      <c r="E29" s="4">
        <f t="shared" si="6"/>
        <v>225860.20978335457</v>
      </c>
      <c r="F29" s="4">
        <f t="shared" si="6"/>
        <v>237600.46821268738</v>
      </c>
      <c r="G29" s="4">
        <f t="shared" si="6"/>
        <v>276762.33921105106</v>
      </c>
      <c r="H29" s="4">
        <f t="shared" si="6"/>
        <v>274022.11803074367</v>
      </c>
      <c r="I29" s="4">
        <f t="shared" si="6"/>
        <v>271309.0277532115</v>
      </c>
      <c r="J29" s="4">
        <f t="shared" si="6"/>
        <v>268622.79975565505</v>
      </c>
      <c r="K29" s="4">
        <f t="shared" si="6"/>
        <v>265963.16807490593</v>
      </c>
      <c r="L29" s="4">
        <f t="shared" si="6"/>
        <v>263329.86938109493</v>
      </c>
      <c r="M29" s="10">
        <f>SUM(C29:L29)</f>
        <v>1844331.386341318</v>
      </c>
    </row>
    <row r="31" spans="2:13" x14ac:dyDescent="0.3">
      <c r="B31" s="9" t="s">
        <v>50</v>
      </c>
      <c r="C31" s="5">
        <f>C27-C12</f>
        <v>-597000</v>
      </c>
      <c r="D31" s="5">
        <f t="shared" ref="D31:L31" si="7">D27-D12</f>
        <v>72000</v>
      </c>
      <c r="E31" s="5">
        <f t="shared" si="7"/>
        <v>86400</v>
      </c>
      <c r="F31" s="5">
        <f t="shared" si="7"/>
        <v>100800</v>
      </c>
      <c r="G31" s="5">
        <f t="shared" si="7"/>
        <v>144000</v>
      </c>
      <c r="H31" s="5">
        <f t="shared" si="7"/>
        <v>144000</v>
      </c>
      <c r="I31" s="5">
        <f t="shared" si="7"/>
        <v>144000</v>
      </c>
      <c r="J31" s="5">
        <f t="shared" si="7"/>
        <v>144000</v>
      </c>
      <c r="K31" s="5">
        <f t="shared" si="7"/>
        <v>144000</v>
      </c>
      <c r="L31" s="5">
        <f t="shared" si="7"/>
        <v>144000</v>
      </c>
      <c r="M31" s="11">
        <f>IRR(C31:L31)</f>
        <v>0.13126593051589985</v>
      </c>
    </row>
    <row r="32" spans="2:13" x14ac:dyDescent="0.3">
      <c r="B32" s="9" t="s">
        <v>51</v>
      </c>
      <c r="C32" s="5">
        <f>C29-C14</f>
        <v>-597000</v>
      </c>
      <c r="D32" s="5">
        <f t="shared" ref="D32:L32" si="8">D29-D14</f>
        <v>71287.128712871287</v>
      </c>
      <c r="E32" s="5">
        <f t="shared" si="8"/>
        <v>84697.578668757982</v>
      </c>
      <c r="F32" s="5">
        <f t="shared" si="8"/>
        <v>97835.486911106564</v>
      </c>
      <c r="G32" s="5">
        <f t="shared" si="8"/>
        <v>138381.16960552553</v>
      </c>
      <c r="H32" s="5">
        <f t="shared" si="8"/>
        <v>137011.05901537184</v>
      </c>
      <c r="I32" s="5">
        <f t="shared" si="8"/>
        <v>135654.51387660575</v>
      </c>
      <c r="J32" s="5">
        <f t="shared" si="8"/>
        <v>134311.39987782753</v>
      </c>
      <c r="K32" s="5">
        <f t="shared" si="8"/>
        <v>132981.58403745297</v>
      </c>
      <c r="L32" s="5">
        <f t="shared" si="8"/>
        <v>131664.93469054747</v>
      </c>
      <c r="M32" s="10">
        <f>M29-M14</f>
        <v>466824.85539606703</v>
      </c>
    </row>
  </sheetData>
  <pageMargins left="0.7" right="0.7" top="0.75" bottom="0.75" header="0.3" footer="0.3"/>
  <pageSetup orientation="portrait" r:id="rId1"/>
  <ignoredErrors>
    <ignoredError sqref="C27" formulaRange="1"/>
    <ignoredError sqref="G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060D-5249-418D-9A98-283F42C96472}">
  <dimension ref="B2:M32"/>
  <sheetViews>
    <sheetView zoomScale="70" zoomScaleNormal="70" workbookViewId="0"/>
  </sheetViews>
  <sheetFormatPr baseColWidth="10" defaultRowHeight="14.4" x14ac:dyDescent="0.3"/>
  <cols>
    <col min="2" max="2" width="17.5546875" bestFit="1" customWidth="1"/>
    <col min="3" max="12" width="13.33203125" bestFit="1" customWidth="1"/>
    <col min="13" max="13" width="15" bestFit="1" customWidth="1"/>
  </cols>
  <sheetData>
    <row r="2" spans="2:13" x14ac:dyDescent="0.3">
      <c r="C2" s="9" t="s">
        <v>14</v>
      </c>
      <c r="D2" s="9" t="s">
        <v>15</v>
      </c>
      <c r="E2" s="9" t="s">
        <v>16</v>
      </c>
      <c r="F2" s="9" t="s">
        <v>17</v>
      </c>
    </row>
    <row r="3" spans="2:13" x14ac:dyDescent="0.3">
      <c r="B3" s="9" t="s">
        <v>12</v>
      </c>
      <c r="C3" s="1">
        <v>20</v>
      </c>
      <c r="D3" s="13">
        <f>C3*8</f>
        <v>160</v>
      </c>
      <c r="E3" s="1">
        <f>D3*3</f>
        <v>480</v>
      </c>
      <c r="F3" s="1">
        <f>E3*30</f>
        <v>14400</v>
      </c>
    </row>
    <row r="4" spans="2:13" x14ac:dyDescent="0.3">
      <c r="B4" s="9" t="s">
        <v>13</v>
      </c>
      <c r="C4" s="17">
        <v>10</v>
      </c>
      <c r="F4" s="5">
        <f>C4*F3</f>
        <v>144000</v>
      </c>
    </row>
    <row r="6" spans="2:13" x14ac:dyDescent="0.3">
      <c r="B6" s="9" t="s">
        <v>67</v>
      </c>
      <c r="C6" s="8">
        <v>0.01</v>
      </c>
    </row>
    <row r="8" spans="2:13" x14ac:dyDescent="0.3">
      <c r="B8" s="9" t="s">
        <v>66</v>
      </c>
      <c r="C8" s="9">
        <v>0</v>
      </c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</row>
    <row r="9" spans="2:13" x14ac:dyDescent="0.3">
      <c r="B9" s="9" t="s">
        <v>11</v>
      </c>
      <c r="C9" s="2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</row>
    <row r="10" spans="2:13" x14ac:dyDescent="0.3">
      <c r="B10" s="9" t="s">
        <v>8</v>
      </c>
      <c r="C10" s="5">
        <f t="shared" ref="C10:F10" si="0">$F$4*C9</f>
        <v>144000</v>
      </c>
      <c r="D10" s="5">
        <f t="shared" si="0"/>
        <v>144000</v>
      </c>
      <c r="E10" s="5">
        <f t="shared" si="0"/>
        <v>144000</v>
      </c>
      <c r="F10" s="5">
        <f t="shared" si="0"/>
        <v>144000</v>
      </c>
      <c r="G10" s="5">
        <f>$F$4*G9</f>
        <v>144000</v>
      </c>
      <c r="H10" s="5">
        <f t="shared" ref="H10:L10" si="1">$F$4*H9</f>
        <v>144000</v>
      </c>
      <c r="I10" s="5">
        <f t="shared" si="1"/>
        <v>144000</v>
      </c>
      <c r="J10" s="5">
        <f t="shared" si="1"/>
        <v>144000</v>
      </c>
      <c r="K10" s="5">
        <f t="shared" si="1"/>
        <v>144000</v>
      </c>
      <c r="L10" s="5">
        <f t="shared" si="1"/>
        <v>144000</v>
      </c>
    </row>
    <row r="11" spans="2:13" x14ac:dyDescent="0.3">
      <c r="B11" s="9" t="s">
        <v>10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2:13" x14ac:dyDescent="0.3">
      <c r="B12" s="9" t="s">
        <v>0</v>
      </c>
      <c r="C12" s="5">
        <f t="shared" ref="C12:L12" si="2">SUM(C10:C11)</f>
        <v>144000</v>
      </c>
      <c r="D12" s="5">
        <f t="shared" si="2"/>
        <v>144000</v>
      </c>
      <c r="E12" s="5">
        <f t="shared" si="2"/>
        <v>144000</v>
      </c>
      <c r="F12" s="5">
        <f t="shared" si="2"/>
        <v>144000</v>
      </c>
      <c r="G12" s="5">
        <f t="shared" si="2"/>
        <v>144000</v>
      </c>
      <c r="H12" s="5">
        <f t="shared" si="2"/>
        <v>144000</v>
      </c>
      <c r="I12" s="5">
        <f t="shared" si="2"/>
        <v>144000</v>
      </c>
      <c r="J12" s="5">
        <f t="shared" si="2"/>
        <v>144000</v>
      </c>
      <c r="K12" s="5">
        <f t="shared" si="2"/>
        <v>144000</v>
      </c>
      <c r="L12" s="5">
        <f t="shared" si="2"/>
        <v>144000</v>
      </c>
    </row>
    <row r="14" spans="2:13" x14ac:dyDescent="0.3">
      <c r="B14" s="9" t="s">
        <v>5</v>
      </c>
      <c r="C14" s="4">
        <f t="shared" ref="C14:L14" si="3">C12*((1+$C$21)^(-C8))</f>
        <v>144000</v>
      </c>
      <c r="D14" s="4">
        <f t="shared" si="3"/>
        <v>142574.25742574257</v>
      </c>
      <c r="E14" s="4">
        <f t="shared" si="3"/>
        <v>141162.63111459659</v>
      </c>
      <c r="F14" s="4">
        <f t="shared" si="3"/>
        <v>139764.98130158082</v>
      </c>
      <c r="G14" s="4">
        <f t="shared" si="3"/>
        <v>138381.16960552553</v>
      </c>
      <c r="H14" s="4">
        <f t="shared" si="3"/>
        <v>137011.05901537184</v>
      </c>
      <c r="I14" s="4">
        <f t="shared" si="3"/>
        <v>135654.51387660575</v>
      </c>
      <c r="J14" s="4">
        <f t="shared" si="3"/>
        <v>134311.39987782753</v>
      </c>
      <c r="K14" s="4">
        <f t="shared" si="3"/>
        <v>132981.58403745297</v>
      </c>
      <c r="L14" s="4">
        <f t="shared" si="3"/>
        <v>131664.93469054747</v>
      </c>
      <c r="M14" s="10">
        <f>SUM(C14:L14)</f>
        <v>1377506.530945251</v>
      </c>
    </row>
    <row r="15" spans="2:13" x14ac:dyDescent="0.3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6"/>
    </row>
    <row r="17" spans="2:13" x14ac:dyDescent="0.3">
      <c r="C17" s="9" t="s">
        <v>14</v>
      </c>
      <c r="D17" s="9" t="s">
        <v>15</v>
      </c>
      <c r="E17" s="9" t="s">
        <v>16</v>
      </c>
      <c r="F17" s="9" t="s">
        <v>17</v>
      </c>
    </row>
    <row r="18" spans="2:13" x14ac:dyDescent="0.3">
      <c r="B18" s="9" t="s">
        <v>12</v>
      </c>
      <c r="C18" s="1">
        <v>40</v>
      </c>
      <c r="D18" s="13">
        <f>C18*8</f>
        <v>320</v>
      </c>
      <c r="E18" s="1">
        <f>D18*3</f>
        <v>960</v>
      </c>
      <c r="F18" s="80">
        <f>E18*30</f>
        <v>28800</v>
      </c>
    </row>
    <row r="19" spans="2:13" x14ac:dyDescent="0.3">
      <c r="B19" s="9" t="s">
        <v>13</v>
      </c>
      <c r="C19" s="17">
        <v>10</v>
      </c>
      <c r="F19" s="5">
        <f>C19*F18</f>
        <v>288000</v>
      </c>
    </row>
    <row r="21" spans="2:13" x14ac:dyDescent="0.3">
      <c r="B21" s="9" t="s">
        <v>67</v>
      </c>
      <c r="C21" s="8">
        <v>0.01</v>
      </c>
    </row>
    <row r="23" spans="2:13" x14ac:dyDescent="0.3">
      <c r="B23" s="9" t="s">
        <v>66</v>
      </c>
      <c r="C23" s="9">
        <v>0</v>
      </c>
      <c r="D23" s="9">
        <v>1</v>
      </c>
      <c r="E23" s="9">
        <v>2</v>
      </c>
      <c r="F23" s="9">
        <v>3</v>
      </c>
      <c r="G23" s="9">
        <v>4</v>
      </c>
      <c r="H23" s="9">
        <v>5</v>
      </c>
      <c r="I23" s="9">
        <v>6</v>
      </c>
      <c r="J23" s="9">
        <v>7</v>
      </c>
      <c r="K23" s="9">
        <v>8</v>
      </c>
      <c r="L23" s="9">
        <v>9</v>
      </c>
    </row>
    <row r="24" spans="2:13" x14ac:dyDescent="0.3">
      <c r="B24" s="9" t="s">
        <v>11</v>
      </c>
      <c r="C24" s="1">
        <v>0</v>
      </c>
      <c r="D24" s="8">
        <v>0.5</v>
      </c>
      <c r="E24" s="8">
        <v>0.6</v>
      </c>
      <c r="F24" s="16">
        <v>0.7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</row>
    <row r="25" spans="2:13" x14ac:dyDescent="0.3">
      <c r="B25" s="9" t="s">
        <v>8</v>
      </c>
      <c r="C25" s="5">
        <f>$D$18*C24</f>
        <v>0</v>
      </c>
      <c r="D25" s="5">
        <f>$F$19*D24</f>
        <v>144000</v>
      </c>
      <c r="E25" s="5">
        <f t="shared" ref="E25:L25" si="4">$F$19*E24</f>
        <v>172800</v>
      </c>
      <c r="F25" s="5">
        <f t="shared" si="4"/>
        <v>201600</v>
      </c>
      <c r="G25" s="5">
        <f t="shared" si="4"/>
        <v>288000</v>
      </c>
      <c r="H25" s="5">
        <f t="shared" si="4"/>
        <v>288000</v>
      </c>
      <c r="I25" s="5">
        <f t="shared" si="4"/>
        <v>288000</v>
      </c>
      <c r="J25" s="5">
        <f t="shared" si="4"/>
        <v>288000</v>
      </c>
      <c r="K25" s="5">
        <f t="shared" si="4"/>
        <v>288000</v>
      </c>
      <c r="L25" s="5">
        <f t="shared" si="4"/>
        <v>288000</v>
      </c>
    </row>
    <row r="26" spans="2:13" x14ac:dyDescent="0.3">
      <c r="B26" s="9" t="s">
        <v>10</v>
      </c>
      <c r="C26" s="4">
        <v>-525000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2:13" x14ac:dyDescent="0.3">
      <c r="B27" s="9" t="s">
        <v>0</v>
      </c>
      <c r="C27" s="5">
        <f t="shared" ref="C27:L27" si="5">SUM(C25:C26)</f>
        <v>-525000</v>
      </c>
      <c r="D27" s="5">
        <f t="shared" si="5"/>
        <v>144000</v>
      </c>
      <c r="E27" s="5">
        <f t="shared" si="5"/>
        <v>172800</v>
      </c>
      <c r="F27" s="5">
        <f t="shared" si="5"/>
        <v>201600</v>
      </c>
      <c r="G27" s="5">
        <f t="shared" si="5"/>
        <v>288000</v>
      </c>
      <c r="H27" s="5">
        <f t="shared" si="5"/>
        <v>288000</v>
      </c>
      <c r="I27" s="5">
        <f t="shared" si="5"/>
        <v>288000</v>
      </c>
      <c r="J27" s="5">
        <f t="shared" si="5"/>
        <v>288000</v>
      </c>
      <c r="K27" s="5">
        <f t="shared" si="5"/>
        <v>288000</v>
      </c>
      <c r="L27" s="5">
        <f t="shared" si="5"/>
        <v>288000</v>
      </c>
    </row>
    <row r="29" spans="2:13" x14ac:dyDescent="0.3">
      <c r="B29" s="9" t="s">
        <v>5</v>
      </c>
      <c r="C29" s="4">
        <f t="shared" ref="C29:L29" si="6">C27*((1+$C$21)^(-C23))</f>
        <v>-525000</v>
      </c>
      <c r="D29" s="4">
        <f t="shared" si="6"/>
        <v>142574.25742574257</v>
      </c>
      <c r="E29" s="4">
        <f t="shared" si="6"/>
        <v>169395.15733751591</v>
      </c>
      <c r="F29" s="4">
        <f t="shared" si="6"/>
        <v>195670.97382221313</v>
      </c>
      <c r="G29" s="4">
        <f t="shared" si="6"/>
        <v>276762.33921105106</v>
      </c>
      <c r="H29" s="4">
        <f t="shared" si="6"/>
        <v>274022.11803074367</v>
      </c>
      <c r="I29" s="4">
        <f t="shared" si="6"/>
        <v>271309.0277532115</v>
      </c>
      <c r="J29" s="4">
        <f t="shared" si="6"/>
        <v>268622.79975565505</v>
      </c>
      <c r="K29" s="4">
        <f t="shared" si="6"/>
        <v>265963.16807490593</v>
      </c>
      <c r="L29" s="4">
        <f t="shared" si="6"/>
        <v>263329.86938109493</v>
      </c>
      <c r="M29" s="10">
        <f>SUM(C29:L29)</f>
        <v>1602649.7107921336</v>
      </c>
    </row>
    <row r="31" spans="2:13" x14ac:dyDescent="0.3">
      <c r="B31" s="9" t="s">
        <v>50</v>
      </c>
      <c r="C31" s="5">
        <f>C27-C12</f>
        <v>-669000</v>
      </c>
      <c r="D31" s="5">
        <f t="shared" ref="D31:L31" si="7">D27-D12</f>
        <v>0</v>
      </c>
      <c r="E31" s="5">
        <f t="shared" si="7"/>
        <v>28800</v>
      </c>
      <c r="F31" s="5">
        <f t="shared" si="7"/>
        <v>57600</v>
      </c>
      <c r="G31" s="5">
        <f t="shared" si="7"/>
        <v>144000</v>
      </c>
      <c r="H31" s="5">
        <f t="shared" si="7"/>
        <v>144000</v>
      </c>
      <c r="I31" s="5">
        <f t="shared" si="7"/>
        <v>144000</v>
      </c>
      <c r="J31" s="5">
        <f t="shared" si="7"/>
        <v>144000</v>
      </c>
      <c r="K31" s="5">
        <f t="shared" si="7"/>
        <v>144000</v>
      </c>
      <c r="L31" s="5">
        <f t="shared" si="7"/>
        <v>144000</v>
      </c>
      <c r="M31" s="11">
        <f>IRR(C31:L31)</f>
        <v>5.9872625408755153E-2</v>
      </c>
    </row>
    <row r="32" spans="2:13" x14ac:dyDescent="0.3">
      <c r="B32" s="9" t="s">
        <v>51</v>
      </c>
      <c r="C32" s="5">
        <f>C29-C14</f>
        <v>-669000</v>
      </c>
      <c r="D32" s="5">
        <f t="shared" ref="D32:L32" si="8">D29-D14</f>
        <v>0</v>
      </c>
      <c r="E32" s="5">
        <f t="shared" si="8"/>
        <v>28232.526222919318</v>
      </c>
      <c r="F32" s="5">
        <f t="shared" si="8"/>
        <v>55905.99252063231</v>
      </c>
      <c r="G32" s="5">
        <f t="shared" si="8"/>
        <v>138381.16960552553</v>
      </c>
      <c r="H32" s="5">
        <f t="shared" si="8"/>
        <v>137011.05901537184</v>
      </c>
      <c r="I32" s="5">
        <f t="shared" si="8"/>
        <v>135654.51387660575</v>
      </c>
      <c r="J32" s="5">
        <f t="shared" si="8"/>
        <v>134311.39987782753</v>
      </c>
      <c r="K32" s="5">
        <f t="shared" si="8"/>
        <v>132981.58403745297</v>
      </c>
      <c r="L32" s="5">
        <f t="shared" si="8"/>
        <v>131664.93469054747</v>
      </c>
      <c r="M32" s="10">
        <f>M29-M14</f>
        <v>225143.17984688259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5"/>
  <sheetViews>
    <sheetView zoomScaleNormal="100" workbookViewId="0"/>
  </sheetViews>
  <sheetFormatPr baseColWidth="10" defaultRowHeight="14.4" x14ac:dyDescent="0.3"/>
  <cols>
    <col min="2" max="2" width="18.6640625" bestFit="1" customWidth="1"/>
    <col min="3" max="4" width="11.44140625" bestFit="1" customWidth="1"/>
  </cols>
  <sheetData>
    <row r="2" spans="2:4" x14ac:dyDescent="0.3">
      <c r="B2" s="9" t="s">
        <v>4</v>
      </c>
      <c r="C2" s="12">
        <v>0.12</v>
      </c>
    </row>
    <row r="3" spans="2:4" ht="15" thickBot="1" x14ac:dyDescent="0.35"/>
    <row r="4" spans="2:4" ht="15" thickBot="1" x14ac:dyDescent="0.35">
      <c r="B4" s="32" t="s">
        <v>63</v>
      </c>
      <c r="C4" s="35">
        <v>5328000</v>
      </c>
    </row>
    <row r="6" spans="2:4" x14ac:dyDescent="0.3">
      <c r="B6" s="9" t="s">
        <v>57</v>
      </c>
      <c r="C6" s="29">
        <v>150000</v>
      </c>
      <c r="D6" s="30"/>
    </row>
    <row r="7" spans="2:4" x14ac:dyDescent="0.3">
      <c r="B7" s="9" t="s">
        <v>58</v>
      </c>
      <c r="C7" s="29">
        <v>1140000</v>
      </c>
      <c r="D7" s="30"/>
    </row>
    <row r="8" spans="2:4" x14ac:dyDescent="0.3">
      <c r="B8" s="9" t="s">
        <v>59</v>
      </c>
      <c r="C8" s="29">
        <v>240000</v>
      </c>
      <c r="D8" s="30"/>
    </row>
    <row r="9" spans="2:4" ht="15" thickBot="1" x14ac:dyDescent="0.35">
      <c r="B9" s="39" t="s">
        <v>60</v>
      </c>
      <c r="C9" s="40">
        <v>120000</v>
      </c>
      <c r="D9" s="30"/>
    </row>
    <row r="10" spans="2:4" ht="15" thickBot="1" x14ac:dyDescent="0.35">
      <c r="B10" s="41" t="s">
        <v>10</v>
      </c>
      <c r="C10" s="42">
        <f>SUM(C6:C9)</f>
        <v>1650000</v>
      </c>
      <c r="D10" s="30"/>
    </row>
    <row r="12" spans="2:4" x14ac:dyDescent="0.3">
      <c r="B12" s="9" t="s">
        <v>56</v>
      </c>
      <c r="C12" s="29">
        <v>480000</v>
      </c>
    </row>
    <row r="13" spans="2:4" x14ac:dyDescent="0.3">
      <c r="B13" s="9" t="s">
        <v>53</v>
      </c>
      <c r="C13" s="29">
        <v>300000</v>
      </c>
    </row>
    <row r="15" spans="2:4" x14ac:dyDescent="0.3">
      <c r="B15" s="52" t="s">
        <v>62</v>
      </c>
      <c r="C15" s="53">
        <v>0</v>
      </c>
      <c r="D15" s="53">
        <v>1</v>
      </c>
    </row>
    <row r="16" spans="2:4" x14ac:dyDescent="0.3">
      <c r="B16" s="43" t="s">
        <v>10</v>
      </c>
      <c r="C16" s="44">
        <f>-SUM(C6:C9)</f>
        <v>-1650000</v>
      </c>
      <c r="D16" s="45"/>
    </row>
    <row r="17" spans="2:4" x14ac:dyDescent="0.3">
      <c r="B17" s="47" t="s">
        <v>54</v>
      </c>
      <c r="C17" s="38"/>
      <c r="D17" s="38">
        <f>$C$4</f>
        <v>5328000</v>
      </c>
    </row>
    <row r="18" spans="2:4" x14ac:dyDescent="0.3">
      <c r="B18" s="49" t="s">
        <v>55</v>
      </c>
      <c r="C18" s="50">
        <f>SUM(C19:C20)</f>
        <v>0</v>
      </c>
      <c r="D18" s="50">
        <f>SUM(D19:D20)</f>
        <v>-4080000</v>
      </c>
    </row>
    <row r="19" spans="2:4" x14ac:dyDescent="0.3">
      <c r="B19" s="31" t="s">
        <v>52</v>
      </c>
      <c r="C19" s="36"/>
      <c r="D19" s="36">
        <f>-$C$13*12</f>
        <v>-3600000</v>
      </c>
    </row>
    <row r="20" spans="2:4" x14ac:dyDescent="0.3">
      <c r="B20" s="33" t="s">
        <v>18</v>
      </c>
      <c r="C20" s="37"/>
      <c r="D20" s="37">
        <f t="shared" ref="D20" si="0">-$C$12</f>
        <v>-480000</v>
      </c>
    </row>
    <row r="21" spans="2:4" x14ac:dyDescent="0.3">
      <c r="B21" s="59" t="s">
        <v>64</v>
      </c>
      <c r="C21" s="60"/>
      <c r="D21" s="60">
        <v>600000</v>
      </c>
    </row>
    <row r="22" spans="2:4" x14ac:dyDescent="0.3">
      <c r="B22" s="52" t="s">
        <v>0</v>
      </c>
      <c r="C22" s="55">
        <f>C16+C17+C18+C21</f>
        <v>-1650000</v>
      </c>
      <c r="D22" s="55">
        <f>D16+D17+D18+D21</f>
        <v>1848000</v>
      </c>
    </row>
    <row r="23" spans="2:4" ht="15" thickBot="1" x14ac:dyDescent="0.35">
      <c r="B23" s="43" t="s">
        <v>61</v>
      </c>
      <c r="C23" s="44">
        <f>C22/(1+$C$2)^C15</f>
        <v>-1650000</v>
      </c>
      <c r="D23" s="55">
        <f t="shared" ref="D23" si="1">D22/(1+$C$2)^D15</f>
        <v>1649999.9999999998</v>
      </c>
    </row>
    <row r="24" spans="2:4" ht="15" thickBot="1" x14ac:dyDescent="0.35">
      <c r="B24" s="32" t="s">
        <v>5</v>
      </c>
      <c r="C24" s="57">
        <f>SUM(C23:D23)</f>
        <v>0</v>
      </c>
      <c r="D24" s="34"/>
    </row>
    <row r="25" spans="2:4" ht="15" thickBot="1" x14ac:dyDescent="0.35">
      <c r="B25" s="32" t="s">
        <v>6</v>
      </c>
      <c r="C25" s="58">
        <f>IRR(C22:D22)</f>
        <v>0.12000000000000011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51B-EA5A-4E1E-B7F9-DBB73EBC3D04}">
  <dimension ref="B2:O25"/>
  <sheetViews>
    <sheetView zoomScaleNormal="100" workbookViewId="0">
      <selection activeCell="I17" sqref="I17"/>
    </sheetView>
  </sheetViews>
  <sheetFormatPr baseColWidth="10" defaultRowHeight="14.4" x14ac:dyDescent="0.3"/>
  <cols>
    <col min="2" max="2" width="19.5546875" bestFit="1" customWidth="1"/>
    <col min="3" max="3" width="12.44140625" bestFit="1" customWidth="1"/>
    <col min="4" max="4" width="11.44140625" bestFit="1" customWidth="1"/>
    <col min="5" max="5" width="13.77734375" bestFit="1" customWidth="1"/>
    <col min="6" max="13" width="11.44140625" bestFit="1" customWidth="1"/>
  </cols>
  <sheetData>
    <row r="2" spans="2:15" x14ac:dyDescent="0.3">
      <c r="B2" s="9" t="s">
        <v>4</v>
      </c>
      <c r="C2" s="12">
        <v>0.01</v>
      </c>
    </row>
    <row r="3" spans="2:15" ht="15" thickBot="1" x14ac:dyDescent="0.35"/>
    <row r="4" spans="2:15" ht="15" thickBot="1" x14ac:dyDescent="0.35">
      <c r="B4" s="32" t="s">
        <v>63</v>
      </c>
      <c r="C4" s="35">
        <v>439291.22811225872</v>
      </c>
    </row>
    <row r="6" spans="2:15" x14ac:dyDescent="0.3">
      <c r="B6" s="9" t="s">
        <v>57</v>
      </c>
      <c r="C6" s="29">
        <v>150000</v>
      </c>
      <c r="D6" s="30"/>
    </row>
    <row r="7" spans="2:15" x14ac:dyDescent="0.3">
      <c r="B7" s="9" t="s">
        <v>58</v>
      </c>
      <c r="C7" s="29">
        <v>1140000</v>
      </c>
      <c r="D7" s="30"/>
    </row>
    <row r="8" spans="2:15" x14ac:dyDescent="0.3">
      <c r="B8" s="9" t="s">
        <v>59</v>
      </c>
      <c r="C8" s="29">
        <v>240000</v>
      </c>
      <c r="D8" s="30"/>
    </row>
    <row r="9" spans="2:15" ht="15" thickBot="1" x14ac:dyDescent="0.35">
      <c r="B9" s="39" t="s">
        <v>60</v>
      </c>
      <c r="C9" s="40">
        <v>120000</v>
      </c>
      <c r="D9" s="30"/>
    </row>
    <row r="10" spans="2:15" ht="15" thickBot="1" x14ac:dyDescent="0.35">
      <c r="B10" s="41" t="s">
        <v>10</v>
      </c>
      <c r="C10" s="42">
        <f>SUM(C6:C9)</f>
        <v>1650000</v>
      </c>
      <c r="D10" s="30"/>
    </row>
    <row r="12" spans="2:15" x14ac:dyDescent="0.3">
      <c r="B12" s="9" t="s">
        <v>56</v>
      </c>
      <c r="C12" s="29">
        <f>480000/12</f>
        <v>40000</v>
      </c>
    </row>
    <row r="13" spans="2:15" x14ac:dyDescent="0.3">
      <c r="B13" s="9" t="s">
        <v>53</v>
      </c>
      <c r="C13" s="29">
        <v>300000</v>
      </c>
    </row>
    <row r="15" spans="2:15" x14ac:dyDescent="0.3">
      <c r="B15" s="52" t="s">
        <v>62</v>
      </c>
      <c r="C15" s="53">
        <v>0</v>
      </c>
      <c r="D15" s="53">
        <v>1</v>
      </c>
      <c r="E15" s="53">
        <v>2</v>
      </c>
      <c r="F15" s="54">
        <v>3</v>
      </c>
      <c r="G15" s="54">
        <v>4</v>
      </c>
      <c r="H15" s="54">
        <v>5</v>
      </c>
      <c r="I15" s="54">
        <v>6</v>
      </c>
      <c r="J15" s="54">
        <v>7</v>
      </c>
      <c r="K15" s="54">
        <v>8</v>
      </c>
      <c r="L15" s="54">
        <v>9</v>
      </c>
      <c r="M15" s="54">
        <v>10</v>
      </c>
      <c r="N15" s="54">
        <v>11</v>
      </c>
      <c r="O15" s="54">
        <v>12</v>
      </c>
    </row>
    <row r="16" spans="2:15" x14ac:dyDescent="0.3">
      <c r="B16" s="43" t="s">
        <v>10</v>
      </c>
      <c r="C16" s="44">
        <f>-SUM(C6:C9)</f>
        <v>-1650000</v>
      </c>
      <c r="D16" s="45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2:15" x14ac:dyDescent="0.3">
      <c r="B17" s="47" t="s">
        <v>54</v>
      </c>
      <c r="C17" s="38"/>
      <c r="D17" s="38">
        <f>$C$4</f>
        <v>439291.22811225872</v>
      </c>
      <c r="E17" s="38">
        <f>$C$4</f>
        <v>439291.22811225872</v>
      </c>
      <c r="F17" s="48">
        <f t="shared" ref="F17:O17" si="0">$C$4</f>
        <v>439291.22811225872</v>
      </c>
      <c r="G17" s="48">
        <f t="shared" si="0"/>
        <v>439291.22811225872</v>
      </c>
      <c r="H17" s="48">
        <f t="shared" si="0"/>
        <v>439291.22811225872</v>
      </c>
      <c r="I17" s="48">
        <f t="shared" si="0"/>
        <v>439291.22811225872</v>
      </c>
      <c r="J17" s="48">
        <f t="shared" si="0"/>
        <v>439291.22811225872</v>
      </c>
      <c r="K17" s="48">
        <f t="shared" si="0"/>
        <v>439291.22811225872</v>
      </c>
      <c r="L17" s="48">
        <f t="shared" si="0"/>
        <v>439291.22811225872</v>
      </c>
      <c r="M17" s="48">
        <f t="shared" si="0"/>
        <v>439291.22811225872</v>
      </c>
      <c r="N17" s="48">
        <f t="shared" si="0"/>
        <v>439291.22811225872</v>
      </c>
      <c r="O17" s="48">
        <f t="shared" si="0"/>
        <v>439291.22811225872</v>
      </c>
    </row>
    <row r="18" spans="2:15" x14ac:dyDescent="0.3">
      <c r="B18" s="49" t="s">
        <v>55</v>
      </c>
      <c r="C18" s="50">
        <f>SUM(C19:C20)</f>
        <v>0</v>
      </c>
      <c r="D18" s="50">
        <f t="shared" ref="D18:E18" si="1">SUM(D19:D20)</f>
        <v>-340000</v>
      </c>
      <c r="E18" s="50">
        <f t="shared" si="1"/>
        <v>-340000</v>
      </c>
      <c r="F18" s="51">
        <f>SUM(F19:F20)</f>
        <v>-340000</v>
      </c>
      <c r="G18" s="51">
        <f t="shared" ref="G18:L18" si="2">SUM(G19:G20)</f>
        <v>-340000</v>
      </c>
      <c r="H18" s="51">
        <f t="shared" si="2"/>
        <v>-340000</v>
      </c>
      <c r="I18" s="51">
        <f t="shared" si="2"/>
        <v>-340000</v>
      </c>
      <c r="J18" s="51">
        <f t="shared" si="2"/>
        <v>-340000</v>
      </c>
      <c r="K18" s="51">
        <f t="shared" si="2"/>
        <v>-340000</v>
      </c>
      <c r="L18" s="51">
        <f t="shared" si="2"/>
        <v>-340000</v>
      </c>
      <c r="M18" s="51">
        <f>SUM(M19:M20)</f>
        <v>-340000</v>
      </c>
      <c r="N18" s="51">
        <f>SUM(N19:N20)</f>
        <v>-340000</v>
      </c>
      <c r="O18" s="51">
        <f>SUM(O19:O20)</f>
        <v>-340000</v>
      </c>
    </row>
    <row r="19" spans="2:15" x14ac:dyDescent="0.3">
      <c r="B19" s="31" t="s">
        <v>52</v>
      </c>
      <c r="C19" s="36"/>
      <c r="D19" s="36">
        <f>-$C$13</f>
        <v>-300000</v>
      </c>
      <c r="E19" s="36">
        <f t="shared" ref="E19:O19" si="3">-$C$13</f>
        <v>-300000</v>
      </c>
      <c r="F19" s="36">
        <f t="shared" si="3"/>
        <v>-300000</v>
      </c>
      <c r="G19" s="36">
        <f t="shared" si="3"/>
        <v>-300000</v>
      </c>
      <c r="H19" s="36">
        <f t="shared" si="3"/>
        <v>-300000</v>
      </c>
      <c r="I19" s="36">
        <f t="shared" si="3"/>
        <v>-300000</v>
      </c>
      <c r="J19" s="36">
        <f t="shared" si="3"/>
        <v>-300000</v>
      </c>
      <c r="K19" s="36">
        <f t="shared" si="3"/>
        <v>-300000</v>
      </c>
      <c r="L19" s="36">
        <f t="shared" si="3"/>
        <v>-300000</v>
      </c>
      <c r="M19" s="36">
        <f t="shared" si="3"/>
        <v>-300000</v>
      </c>
      <c r="N19" s="36">
        <f t="shared" si="3"/>
        <v>-300000</v>
      </c>
      <c r="O19" s="36">
        <f t="shared" si="3"/>
        <v>-300000</v>
      </c>
    </row>
    <row r="20" spans="2:15" x14ac:dyDescent="0.3">
      <c r="B20" s="33" t="s">
        <v>18</v>
      </c>
      <c r="C20" s="37"/>
      <c r="D20" s="37">
        <f t="shared" ref="D20:O20" si="4">-$C$12</f>
        <v>-40000</v>
      </c>
      <c r="E20" s="37">
        <f t="shared" si="4"/>
        <v>-40000</v>
      </c>
      <c r="F20" s="37">
        <f t="shared" si="4"/>
        <v>-40000</v>
      </c>
      <c r="G20" s="37">
        <f t="shared" si="4"/>
        <v>-40000</v>
      </c>
      <c r="H20" s="37">
        <f t="shared" si="4"/>
        <v>-40000</v>
      </c>
      <c r="I20" s="37">
        <f t="shared" si="4"/>
        <v>-40000</v>
      </c>
      <c r="J20" s="37">
        <f t="shared" si="4"/>
        <v>-40000</v>
      </c>
      <c r="K20" s="37">
        <f t="shared" si="4"/>
        <v>-40000</v>
      </c>
      <c r="L20" s="37">
        <f t="shared" si="4"/>
        <v>-40000</v>
      </c>
      <c r="M20" s="37">
        <f t="shared" si="4"/>
        <v>-40000</v>
      </c>
      <c r="N20" s="37">
        <f t="shared" si="4"/>
        <v>-40000</v>
      </c>
      <c r="O20" s="37">
        <f t="shared" si="4"/>
        <v>-40000</v>
      </c>
    </row>
    <row r="21" spans="2:15" x14ac:dyDescent="0.3">
      <c r="B21" s="59" t="s">
        <v>64</v>
      </c>
      <c r="C21" s="60"/>
      <c r="D21" s="60"/>
      <c r="E21" s="60"/>
      <c r="F21" s="61"/>
      <c r="G21" s="61"/>
      <c r="H21" s="61"/>
      <c r="I21" s="61"/>
      <c r="J21" s="61"/>
      <c r="K21" s="61"/>
      <c r="L21" s="61"/>
      <c r="M21" s="61"/>
      <c r="N21" s="61"/>
      <c r="O21" s="61">
        <v>600000</v>
      </c>
    </row>
    <row r="22" spans="2:15" x14ac:dyDescent="0.3">
      <c r="B22" s="52" t="s">
        <v>0</v>
      </c>
      <c r="C22" s="55">
        <f>C16+C17+C18+C21</f>
        <v>-1650000</v>
      </c>
      <c r="D22" s="55">
        <f>D16+D17+D18+D21</f>
        <v>99291.228112258716</v>
      </c>
      <c r="E22" s="55">
        <f t="shared" ref="E22" si="5">E16+E17+E18+E21</f>
        <v>99291.228112258716</v>
      </c>
      <c r="F22" s="56">
        <f>F16+F17+F18+F21</f>
        <v>99291.228112258716</v>
      </c>
      <c r="G22" s="56">
        <f t="shared" ref="G22:L22" si="6">G16+G17+G18+G21</f>
        <v>99291.228112258716</v>
      </c>
      <c r="H22" s="56">
        <f t="shared" si="6"/>
        <v>99291.228112258716</v>
      </c>
      <c r="I22" s="56">
        <f t="shared" si="6"/>
        <v>99291.228112258716</v>
      </c>
      <c r="J22" s="56">
        <f t="shared" si="6"/>
        <v>99291.228112258716</v>
      </c>
      <c r="K22" s="56">
        <f t="shared" si="6"/>
        <v>99291.228112258716</v>
      </c>
      <c r="L22" s="56">
        <f t="shared" si="6"/>
        <v>99291.228112258716</v>
      </c>
      <c r="M22" s="56">
        <f>M16+M17+M18+M21</f>
        <v>99291.228112258716</v>
      </c>
      <c r="N22" s="56">
        <f>N16+N17+N18+N21</f>
        <v>99291.228112258716</v>
      </c>
      <c r="O22" s="56">
        <f>O16+O17+O18+O21</f>
        <v>699291.22811225872</v>
      </c>
    </row>
    <row r="23" spans="2:15" ht="15" thickBot="1" x14ac:dyDescent="0.35">
      <c r="B23" s="43" t="s">
        <v>61</v>
      </c>
      <c r="C23" s="44">
        <f>C22/(1+$C$2)^C15</f>
        <v>-1650000</v>
      </c>
      <c r="D23" s="55">
        <f t="shared" ref="D23" si="7">D22/(1+$C$2)^D15</f>
        <v>98308.146645800705</v>
      </c>
      <c r="E23" s="55">
        <f>E22/(1+$C$2)^E15</f>
        <v>97334.798659208624</v>
      </c>
      <c r="F23" s="56">
        <f>F22/(1+$C$2)^F15</f>
        <v>96371.087781394686</v>
      </c>
      <c r="G23" s="56">
        <f t="shared" ref="G23:L23" si="8">G22/(1+$C$2)^G15</f>
        <v>95416.918595440264</v>
      </c>
      <c r="H23" s="56">
        <f t="shared" si="8"/>
        <v>94472.196629148792</v>
      </c>
      <c r="I23" s="56">
        <f t="shared" si="8"/>
        <v>93536.828345691858</v>
      </c>
      <c r="J23" s="56">
        <f t="shared" si="8"/>
        <v>92610.721134348394</v>
      </c>
      <c r="K23" s="56">
        <f t="shared" si="8"/>
        <v>91693.783301335017</v>
      </c>
      <c r="L23" s="56">
        <f t="shared" si="8"/>
        <v>90785.924060727732</v>
      </c>
      <c r="M23" s="56">
        <f>M22/(1+$C$2)^M15</f>
        <v>89887.053525473006</v>
      </c>
      <c r="N23" s="56">
        <f>N22/(1+$C$2)^N15</f>
        <v>88997.082698488142</v>
      </c>
      <c r="O23" s="56">
        <f>O22/(1+$C$2)^O15</f>
        <v>620585.45862294186</v>
      </c>
    </row>
    <row r="24" spans="2:15" ht="15" thickBot="1" x14ac:dyDescent="0.35">
      <c r="B24" s="32" t="s">
        <v>5</v>
      </c>
      <c r="C24" s="57">
        <f>SUM(C23:O23)</f>
        <v>-1.1641532182693481E-9</v>
      </c>
      <c r="D24" s="34"/>
      <c r="E24" s="34"/>
      <c r="F24" s="34"/>
    </row>
    <row r="25" spans="2:15" ht="15" thickBot="1" x14ac:dyDescent="0.35">
      <c r="B25" s="32" t="s">
        <v>6</v>
      </c>
      <c r="C25" s="58">
        <f>IRR(C22:O22)</f>
        <v>1.0000000000000009E-2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BFB7-033C-4F2C-9284-074813D94A52}">
  <dimension ref="B2:H25"/>
  <sheetViews>
    <sheetView zoomScale="110" zoomScaleNormal="110" workbookViewId="0"/>
  </sheetViews>
  <sheetFormatPr baseColWidth="10" defaultRowHeight="14.4" x14ac:dyDescent="0.3"/>
  <cols>
    <col min="2" max="2" width="18.6640625" bestFit="1" customWidth="1"/>
    <col min="3" max="3" width="12.44140625" bestFit="1" customWidth="1"/>
    <col min="4" max="8" width="11.44140625" bestFit="1" customWidth="1"/>
  </cols>
  <sheetData>
    <row r="2" spans="2:8" x14ac:dyDescent="0.3">
      <c r="B2" s="9" t="s">
        <v>4</v>
      </c>
      <c r="C2" s="12">
        <v>0.12</v>
      </c>
    </row>
    <row r="3" spans="2:8" ht="15" thickBot="1" x14ac:dyDescent="0.35"/>
    <row r="4" spans="2:8" ht="15" thickBot="1" x14ac:dyDescent="0.35">
      <c r="B4" s="32" t="s">
        <v>63</v>
      </c>
      <c r="C4" s="35">
        <v>4443280.2185381018</v>
      </c>
    </row>
    <row r="6" spans="2:8" x14ac:dyDescent="0.3">
      <c r="B6" s="9" t="s">
        <v>57</v>
      </c>
      <c r="C6" s="29">
        <v>150000</v>
      </c>
      <c r="D6" s="30"/>
    </row>
    <row r="7" spans="2:8" x14ac:dyDescent="0.3">
      <c r="B7" s="9" t="s">
        <v>58</v>
      </c>
      <c r="C7" s="29">
        <v>1140000</v>
      </c>
      <c r="D7" s="30"/>
    </row>
    <row r="8" spans="2:8" x14ac:dyDescent="0.3">
      <c r="B8" s="9" t="s">
        <v>59</v>
      </c>
      <c r="C8" s="29">
        <v>240000</v>
      </c>
      <c r="D8" s="30"/>
    </row>
    <row r="9" spans="2:8" ht="15" thickBot="1" x14ac:dyDescent="0.35">
      <c r="B9" s="39" t="s">
        <v>60</v>
      </c>
      <c r="C9" s="40">
        <v>120000</v>
      </c>
      <c r="D9" s="30"/>
    </row>
    <row r="10" spans="2:8" ht="15" thickBot="1" x14ac:dyDescent="0.35">
      <c r="B10" s="41" t="s">
        <v>10</v>
      </c>
      <c r="C10" s="42">
        <f>SUM(C6:C9)</f>
        <v>1650000</v>
      </c>
      <c r="D10" s="30"/>
    </row>
    <row r="12" spans="2:8" x14ac:dyDescent="0.3">
      <c r="B12" s="9" t="s">
        <v>56</v>
      </c>
      <c r="C12" s="29">
        <v>480000</v>
      </c>
    </row>
    <row r="13" spans="2:8" x14ac:dyDescent="0.3">
      <c r="B13" s="9" t="s">
        <v>53</v>
      </c>
      <c r="C13" s="29">
        <v>300000</v>
      </c>
    </row>
    <row r="15" spans="2:8" x14ac:dyDescent="0.3">
      <c r="B15" s="52" t="s">
        <v>62</v>
      </c>
      <c r="C15" s="53">
        <v>0</v>
      </c>
      <c r="D15" s="53">
        <v>1</v>
      </c>
      <c r="E15" s="53">
        <v>2</v>
      </c>
      <c r="F15" s="54">
        <v>3</v>
      </c>
      <c r="G15" s="54">
        <v>4</v>
      </c>
      <c r="H15" s="54">
        <v>5</v>
      </c>
    </row>
    <row r="16" spans="2:8" x14ac:dyDescent="0.3">
      <c r="B16" s="43" t="s">
        <v>10</v>
      </c>
      <c r="C16" s="44">
        <f>-SUM(C6:C9)</f>
        <v>-1650000</v>
      </c>
      <c r="D16" s="45"/>
      <c r="E16" s="45"/>
      <c r="F16" s="46"/>
      <c r="G16" s="46"/>
      <c r="H16" s="46"/>
    </row>
    <row r="17" spans="2:8" x14ac:dyDescent="0.3">
      <c r="B17" s="47" t="s">
        <v>54</v>
      </c>
      <c r="C17" s="38"/>
      <c r="D17" s="38">
        <f>$C$4</f>
        <v>4443280.2185381018</v>
      </c>
      <c r="E17" s="38">
        <f t="shared" ref="E17:H17" si="0">$C$4</f>
        <v>4443280.2185381018</v>
      </c>
      <c r="F17" s="48">
        <f t="shared" si="0"/>
        <v>4443280.2185381018</v>
      </c>
      <c r="G17" s="48">
        <f t="shared" si="0"/>
        <v>4443280.2185381018</v>
      </c>
      <c r="H17" s="48">
        <f t="shared" si="0"/>
        <v>4443280.2185381018</v>
      </c>
    </row>
    <row r="18" spans="2:8" x14ac:dyDescent="0.3">
      <c r="B18" s="49" t="s">
        <v>55</v>
      </c>
      <c r="C18" s="50">
        <f>SUM(C19:C20)</f>
        <v>0</v>
      </c>
      <c r="D18" s="50">
        <f t="shared" ref="D18:E18" si="1">SUM(D19:D20)</f>
        <v>-4080000</v>
      </c>
      <c r="E18" s="50">
        <f t="shared" si="1"/>
        <v>-4080000</v>
      </c>
      <c r="F18" s="51">
        <f>SUM(F19:F20)</f>
        <v>-4080000</v>
      </c>
      <c r="G18" s="51">
        <f t="shared" ref="G18:H18" si="2">SUM(G19:G20)</f>
        <v>-4080000</v>
      </c>
      <c r="H18" s="51">
        <f t="shared" si="2"/>
        <v>-4080000</v>
      </c>
    </row>
    <row r="19" spans="2:8" x14ac:dyDescent="0.3">
      <c r="B19" s="31" t="s">
        <v>52</v>
      </c>
      <c r="C19" s="36"/>
      <c r="D19" s="36">
        <f>-$C$13*12</f>
        <v>-3600000</v>
      </c>
      <c r="E19" s="36">
        <f>-$C$13*12</f>
        <v>-3600000</v>
      </c>
      <c r="F19" s="36">
        <f>-$C$13*12</f>
        <v>-3600000</v>
      </c>
      <c r="G19" s="36">
        <f t="shared" ref="G19:H19" si="3">-$C$13*12</f>
        <v>-3600000</v>
      </c>
      <c r="H19" s="36">
        <f t="shared" si="3"/>
        <v>-3600000</v>
      </c>
    </row>
    <row r="20" spans="2:8" x14ac:dyDescent="0.3">
      <c r="B20" s="33" t="s">
        <v>18</v>
      </c>
      <c r="C20" s="37"/>
      <c r="D20" s="37">
        <f t="shared" ref="D20:H20" si="4">-$C$12</f>
        <v>-480000</v>
      </c>
      <c r="E20" s="37">
        <f t="shared" si="4"/>
        <v>-480000</v>
      </c>
      <c r="F20" s="37">
        <f t="shared" si="4"/>
        <v>-480000</v>
      </c>
      <c r="G20" s="37">
        <f t="shared" si="4"/>
        <v>-480000</v>
      </c>
      <c r="H20" s="37">
        <f t="shared" si="4"/>
        <v>-480000</v>
      </c>
    </row>
    <row r="21" spans="2:8" x14ac:dyDescent="0.3">
      <c r="B21" s="59" t="s">
        <v>64</v>
      </c>
      <c r="C21" s="60"/>
      <c r="D21" s="60"/>
      <c r="E21" s="60"/>
      <c r="F21" s="61"/>
      <c r="G21" s="61"/>
      <c r="H21" s="61">
        <v>600000</v>
      </c>
    </row>
    <row r="22" spans="2:8" x14ac:dyDescent="0.3">
      <c r="B22" s="52" t="s">
        <v>0</v>
      </c>
      <c r="C22" s="55">
        <f>C16+C17+C18+C21</f>
        <v>-1650000</v>
      </c>
      <c r="D22" s="55">
        <f>D16+D17+D18+D21</f>
        <v>363280.21853810176</v>
      </c>
      <c r="E22" s="55">
        <f t="shared" ref="E22" si="5">E16+E17+E18+E21</f>
        <v>363280.21853810176</v>
      </c>
      <c r="F22" s="56">
        <f>F16+F17+F18+F21</f>
        <v>363280.21853810176</v>
      </c>
      <c r="G22" s="56">
        <f t="shared" ref="G22:H22" si="6">G16+G17+G18+G21</f>
        <v>363280.21853810176</v>
      </c>
      <c r="H22" s="56">
        <f t="shared" si="6"/>
        <v>963280.21853810176</v>
      </c>
    </row>
    <row r="23" spans="2:8" ht="15" thickBot="1" x14ac:dyDescent="0.35">
      <c r="B23" s="43" t="s">
        <v>61</v>
      </c>
      <c r="C23" s="44">
        <f>C22/(1+$C$2)^C15</f>
        <v>-1650000</v>
      </c>
      <c r="D23" s="55">
        <f t="shared" ref="D23" si="7">D22/(1+$C$2)^D15</f>
        <v>324357.33798044798</v>
      </c>
      <c r="E23" s="55">
        <f>E22/(1+$C$2)^E15</f>
        <v>289604.76605397137</v>
      </c>
      <c r="F23" s="56">
        <f>F22/(1+$C$2)^F15</f>
        <v>258575.68397676013</v>
      </c>
      <c r="G23" s="56">
        <f t="shared" ref="G23:H23" si="8">G22/(1+$C$2)^G15</f>
        <v>230871.14640782156</v>
      </c>
      <c r="H23" s="56">
        <f t="shared" si="8"/>
        <v>546591.06558100018</v>
      </c>
    </row>
    <row r="24" spans="2:8" ht="15" thickBot="1" x14ac:dyDescent="0.35">
      <c r="B24" s="32" t="s">
        <v>5</v>
      </c>
      <c r="C24" s="57">
        <f>SUM(C23:H23)</f>
        <v>1.280568540096283E-9</v>
      </c>
      <c r="D24" s="34"/>
      <c r="E24" s="34"/>
      <c r="F24" s="34"/>
    </row>
    <row r="25" spans="2:8" ht="15" thickBot="1" x14ac:dyDescent="0.35">
      <c r="B25" s="32" t="s">
        <v>6</v>
      </c>
      <c r="C25" s="58">
        <f>IRR(C22:H22)</f>
        <v>0.12000000000000033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5"/>
  <sheetViews>
    <sheetView zoomScaleNormal="100" workbookViewId="0"/>
  </sheetViews>
  <sheetFormatPr baseColWidth="10" defaultRowHeight="14.4" x14ac:dyDescent="0.3"/>
  <cols>
    <col min="2" max="2" width="19.5546875" bestFit="1" customWidth="1"/>
    <col min="3" max="4" width="11.44140625" bestFit="1" customWidth="1"/>
    <col min="5" max="5" width="13.77734375" bestFit="1" customWidth="1"/>
    <col min="6" max="13" width="11.44140625" bestFit="1" customWidth="1"/>
  </cols>
  <sheetData>
    <row r="2" spans="2:13" x14ac:dyDescent="0.3">
      <c r="B2" s="9" t="s">
        <v>4</v>
      </c>
      <c r="C2" s="12">
        <v>0.12</v>
      </c>
    </row>
    <row r="3" spans="2:13" ht="15" thickBot="1" x14ac:dyDescent="0.35"/>
    <row r="4" spans="2:13" ht="15" thickBot="1" x14ac:dyDescent="0.35">
      <c r="B4" s="32" t="s">
        <v>63</v>
      </c>
      <c r="C4" s="35">
        <v>4337833.3723678365</v>
      </c>
    </row>
    <row r="6" spans="2:13" x14ac:dyDescent="0.3">
      <c r="B6" s="9" t="s">
        <v>57</v>
      </c>
      <c r="C6" s="29">
        <v>150000</v>
      </c>
      <c r="D6" s="30"/>
    </row>
    <row r="7" spans="2:13" x14ac:dyDescent="0.3">
      <c r="B7" s="9" t="s">
        <v>58</v>
      </c>
      <c r="C7" s="29">
        <v>1140000</v>
      </c>
      <c r="D7" s="30"/>
    </row>
    <row r="8" spans="2:13" x14ac:dyDescent="0.3">
      <c r="B8" s="9" t="s">
        <v>59</v>
      </c>
      <c r="C8" s="29">
        <v>240000</v>
      </c>
      <c r="D8" s="30"/>
    </row>
    <row r="9" spans="2:13" ht="15" thickBot="1" x14ac:dyDescent="0.35">
      <c r="B9" s="39" t="s">
        <v>60</v>
      </c>
      <c r="C9" s="40">
        <v>120000</v>
      </c>
      <c r="D9" s="30"/>
    </row>
    <row r="10" spans="2:13" ht="15" thickBot="1" x14ac:dyDescent="0.35">
      <c r="B10" s="41" t="s">
        <v>10</v>
      </c>
      <c r="C10" s="42">
        <f>SUM(C6:C9)</f>
        <v>1650000</v>
      </c>
      <c r="D10" s="30"/>
    </row>
    <row r="12" spans="2:13" x14ac:dyDescent="0.3">
      <c r="B12" s="9" t="s">
        <v>56</v>
      </c>
      <c r="C12" s="29">
        <v>480000</v>
      </c>
    </row>
    <row r="13" spans="2:13" x14ac:dyDescent="0.3">
      <c r="B13" s="9" t="s">
        <v>53</v>
      </c>
      <c r="C13" s="29">
        <v>300000</v>
      </c>
    </row>
    <row r="15" spans="2:13" x14ac:dyDescent="0.3">
      <c r="B15" s="52" t="s">
        <v>62</v>
      </c>
      <c r="C15" s="53">
        <v>0</v>
      </c>
      <c r="D15" s="53">
        <v>1</v>
      </c>
      <c r="E15" s="53">
        <v>2</v>
      </c>
      <c r="F15" s="54">
        <v>3</v>
      </c>
      <c r="G15" s="54">
        <v>4</v>
      </c>
      <c r="H15" s="54">
        <v>5</v>
      </c>
      <c r="I15" s="54">
        <v>6</v>
      </c>
      <c r="J15" s="54">
        <v>7</v>
      </c>
      <c r="K15" s="54">
        <v>8</v>
      </c>
      <c r="L15" s="54">
        <v>9</v>
      </c>
      <c r="M15" s="54">
        <v>10</v>
      </c>
    </row>
    <row r="16" spans="2:13" x14ac:dyDescent="0.3">
      <c r="B16" s="43" t="s">
        <v>10</v>
      </c>
      <c r="C16" s="44">
        <f>-SUM(C6:C9)</f>
        <v>-1650000</v>
      </c>
      <c r="D16" s="45"/>
      <c r="E16" s="45"/>
      <c r="F16" s="46"/>
      <c r="G16" s="46"/>
      <c r="H16" s="46"/>
      <c r="I16" s="46"/>
      <c r="J16" s="46"/>
      <c r="K16" s="46"/>
      <c r="L16" s="46"/>
      <c r="M16" s="46"/>
    </row>
    <row r="17" spans="2:13" x14ac:dyDescent="0.3">
      <c r="B17" s="47" t="s">
        <v>54</v>
      </c>
      <c r="C17" s="38"/>
      <c r="D17" s="38">
        <f>$C$4</f>
        <v>4337833.3723678365</v>
      </c>
      <c r="E17" s="38">
        <f t="shared" ref="E17:M17" si="0">$C$4</f>
        <v>4337833.3723678365</v>
      </c>
      <c r="F17" s="48">
        <f t="shared" si="0"/>
        <v>4337833.3723678365</v>
      </c>
      <c r="G17" s="48">
        <f t="shared" si="0"/>
        <v>4337833.3723678365</v>
      </c>
      <c r="H17" s="48">
        <f t="shared" si="0"/>
        <v>4337833.3723678365</v>
      </c>
      <c r="I17" s="48">
        <f t="shared" si="0"/>
        <v>4337833.3723678365</v>
      </c>
      <c r="J17" s="48">
        <f t="shared" si="0"/>
        <v>4337833.3723678365</v>
      </c>
      <c r="K17" s="48">
        <f t="shared" si="0"/>
        <v>4337833.3723678365</v>
      </c>
      <c r="L17" s="48">
        <f t="shared" si="0"/>
        <v>4337833.3723678365</v>
      </c>
      <c r="M17" s="48">
        <f t="shared" si="0"/>
        <v>4337833.3723678365</v>
      </c>
    </row>
    <row r="18" spans="2:13" x14ac:dyDescent="0.3">
      <c r="B18" s="49" t="s">
        <v>55</v>
      </c>
      <c r="C18" s="50">
        <f>SUM(C19:C20)</f>
        <v>0</v>
      </c>
      <c r="D18" s="50">
        <f t="shared" ref="D18:E18" si="1">SUM(D19:D20)</f>
        <v>-4080000</v>
      </c>
      <c r="E18" s="50">
        <f t="shared" si="1"/>
        <v>-4080000</v>
      </c>
      <c r="F18" s="51">
        <f>SUM(F19:F20)</f>
        <v>-4080000</v>
      </c>
      <c r="G18" s="51">
        <f t="shared" ref="G18:L18" si="2">SUM(G19:G20)</f>
        <v>-4080000</v>
      </c>
      <c r="H18" s="51">
        <f t="shared" si="2"/>
        <v>-4080000</v>
      </c>
      <c r="I18" s="51">
        <f t="shared" si="2"/>
        <v>-4080000</v>
      </c>
      <c r="J18" s="51">
        <f t="shared" si="2"/>
        <v>-4080000</v>
      </c>
      <c r="K18" s="51">
        <f t="shared" si="2"/>
        <v>-4080000</v>
      </c>
      <c r="L18" s="51">
        <f t="shared" si="2"/>
        <v>-4080000</v>
      </c>
      <c r="M18" s="51">
        <f>SUM(M19:M20)</f>
        <v>-4080000</v>
      </c>
    </row>
    <row r="19" spans="2:13" x14ac:dyDescent="0.3">
      <c r="B19" s="31" t="s">
        <v>52</v>
      </c>
      <c r="C19" s="36"/>
      <c r="D19" s="36">
        <f>-$C$13*12</f>
        <v>-3600000</v>
      </c>
      <c r="E19" s="36">
        <f>-$C$13*12</f>
        <v>-3600000</v>
      </c>
      <c r="F19" s="36">
        <f>-$C$13*12</f>
        <v>-3600000</v>
      </c>
      <c r="G19" s="36">
        <f t="shared" ref="G19:L19" si="3">-$C$13*12</f>
        <v>-3600000</v>
      </c>
      <c r="H19" s="36">
        <f t="shared" si="3"/>
        <v>-3600000</v>
      </c>
      <c r="I19" s="36">
        <f t="shared" si="3"/>
        <v>-3600000</v>
      </c>
      <c r="J19" s="36">
        <f t="shared" si="3"/>
        <v>-3600000</v>
      </c>
      <c r="K19" s="36">
        <f t="shared" si="3"/>
        <v>-3600000</v>
      </c>
      <c r="L19" s="36">
        <f t="shared" si="3"/>
        <v>-3600000</v>
      </c>
      <c r="M19" s="36">
        <f>-$C$13*12</f>
        <v>-3600000</v>
      </c>
    </row>
    <row r="20" spans="2:13" x14ac:dyDescent="0.3">
      <c r="B20" s="33" t="s">
        <v>18</v>
      </c>
      <c r="C20" s="37"/>
      <c r="D20" s="37">
        <f t="shared" ref="D20:M20" si="4">-$C$12</f>
        <v>-480000</v>
      </c>
      <c r="E20" s="37">
        <f t="shared" si="4"/>
        <v>-480000</v>
      </c>
      <c r="F20" s="37">
        <f t="shared" si="4"/>
        <v>-480000</v>
      </c>
      <c r="G20" s="37">
        <f t="shared" si="4"/>
        <v>-480000</v>
      </c>
      <c r="H20" s="37">
        <f t="shared" si="4"/>
        <v>-480000</v>
      </c>
      <c r="I20" s="37">
        <f t="shared" si="4"/>
        <v>-480000</v>
      </c>
      <c r="J20" s="37">
        <f t="shared" si="4"/>
        <v>-480000</v>
      </c>
      <c r="K20" s="37">
        <f t="shared" si="4"/>
        <v>-480000</v>
      </c>
      <c r="L20" s="37">
        <f t="shared" si="4"/>
        <v>-480000</v>
      </c>
      <c r="M20" s="37">
        <f t="shared" si="4"/>
        <v>-480000</v>
      </c>
    </row>
    <row r="21" spans="2:13" x14ac:dyDescent="0.3">
      <c r="B21" s="59" t="s">
        <v>64</v>
      </c>
      <c r="C21" s="60"/>
      <c r="D21" s="60"/>
      <c r="E21" s="60"/>
      <c r="F21" s="61"/>
      <c r="G21" s="61"/>
      <c r="H21" s="61"/>
      <c r="I21" s="61"/>
      <c r="J21" s="61"/>
      <c r="K21" s="61"/>
      <c r="L21" s="61"/>
      <c r="M21" s="61">
        <v>600000</v>
      </c>
    </row>
    <row r="22" spans="2:13" x14ac:dyDescent="0.3">
      <c r="B22" s="52" t="s">
        <v>0</v>
      </c>
      <c r="C22" s="55">
        <f>C16+C17+C18+C21</f>
        <v>-1650000</v>
      </c>
      <c r="D22" s="55">
        <f>D16+D17+D18+D21</f>
        <v>257833.37236783653</v>
      </c>
      <c r="E22" s="55">
        <f t="shared" ref="E22" si="5">E16+E17+E18+E21</f>
        <v>257833.37236783653</v>
      </c>
      <c r="F22" s="56">
        <f>F16+F17+F18+F21</f>
        <v>257833.37236783653</v>
      </c>
      <c r="G22" s="56">
        <f t="shared" ref="G22:L22" si="6">G16+G17+G18+G21</f>
        <v>257833.37236783653</v>
      </c>
      <c r="H22" s="56">
        <f t="shared" si="6"/>
        <v>257833.37236783653</v>
      </c>
      <c r="I22" s="56">
        <f t="shared" si="6"/>
        <v>257833.37236783653</v>
      </c>
      <c r="J22" s="56">
        <f t="shared" si="6"/>
        <v>257833.37236783653</v>
      </c>
      <c r="K22" s="56">
        <f t="shared" si="6"/>
        <v>257833.37236783653</v>
      </c>
      <c r="L22" s="56">
        <f t="shared" si="6"/>
        <v>257833.37236783653</v>
      </c>
      <c r="M22" s="56">
        <f>M16+M17+M18+M21</f>
        <v>857833.37236783653</v>
      </c>
    </row>
    <row r="23" spans="2:13" ht="15" thickBot="1" x14ac:dyDescent="0.35">
      <c r="B23" s="43" t="s">
        <v>61</v>
      </c>
      <c r="C23" s="44">
        <f>C22/(1+$C$2)^C15</f>
        <v>-1650000</v>
      </c>
      <c r="D23" s="55">
        <f t="shared" ref="D23" si="7">D22/(1+$C$2)^D15</f>
        <v>230208.36818556831</v>
      </c>
      <c r="E23" s="55">
        <f>E22/(1+$C$2)^E15</f>
        <v>205543.18587997169</v>
      </c>
      <c r="F23" s="56">
        <f>F22/(1+$C$2)^F15</f>
        <v>183520.70167854615</v>
      </c>
      <c r="G23" s="56">
        <f t="shared" ref="G23:L23" si="8">G22/(1+$C$2)^G15</f>
        <v>163857.76935584476</v>
      </c>
      <c r="H23" s="56">
        <f t="shared" si="8"/>
        <v>146301.57978200426</v>
      </c>
      <c r="I23" s="56">
        <f t="shared" si="8"/>
        <v>130626.41051964664</v>
      </c>
      <c r="J23" s="56">
        <f t="shared" si="8"/>
        <v>116630.72367825592</v>
      </c>
      <c r="K23" s="56">
        <f t="shared" si="8"/>
        <v>104134.5747127285</v>
      </c>
      <c r="L23" s="56">
        <f t="shared" si="8"/>
        <v>92977.298850650433</v>
      </c>
      <c r="M23" s="56">
        <f>M22/(1+$C$2)^M15</f>
        <v>276199.38735678408</v>
      </c>
    </row>
    <row r="24" spans="2:13" ht="15" thickBot="1" x14ac:dyDescent="0.35">
      <c r="B24" s="32" t="s">
        <v>5</v>
      </c>
      <c r="C24" s="57">
        <f>SUM(C23:M23)</f>
        <v>5.8207660913467407E-10</v>
      </c>
      <c r="D24" s="34"/>
      <c r="E24" s="34"/>
      <c r="F24" s="34"/>
    </row>
    <row r="25" spans="2:13" ht="15" thickBot="1" x14ac:dyDescent="0.35">
      <c r="B25" s="32" t="s">
        <v>6</v>
      </c>
      <c r="C25" s="58">
        <f>IRR(C22:M22)</f>
        <v>0.12000000000000011</v>
      </c>
    </row>
  </sheetData>
  <pageMargins left="0.7" right="0.7" top="0.75" bottom="0.75" header="0.3" footer="0.3"/>
  <ignoredErrors>
    <ignoredError sqref="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zoomScaleNormal="100" workbookViewId="0"/>
  </sheetViews>
  <sheetFormatPr baseColWidth="10" defaultRowHeight="14.4" x14ac:dyDescent="0.3"/>
  <cols>
    <col min="2" max="2" width="12.88671875" bestFit="1" customWidth="1"/>
    <col min="3" max="9" width="12.44140625" bestFit="1" customWidth="1"/>
    <col min="10" max="10" width="9.77734375" bestFit="1" customWidth="1"/>
    <col min="11" max="11" width="10.6640625" bestFit="1" customWidth="1"/>
  </cols>
  <sheetData>
    <row r="2" spans="2:11" x14ac:dyDescent="0.3">
      <c r="B2" s="87" t="s">
        <v>19</v>
      </c>
      <c r="C2" s="86" t="s">
        <v>26</v>
      </c>
      <c r="D2" s="86"/>
      <c r="E2" s="86"/>
      <c r="G2" s="9" t="s">
        <v>4</v>
      </c>
      <c r="H2" s="8">
        <v>0.15</v>
      </c>
    </row>
    <row r="3" spans="2:11" x14ac:dyDescent="0.3">
      <c r="B3" s="87"/>
      <c r="C3" s="67" t="s">
        <v>27</v>
      </c>
      <c r="D3" s="68">
        <v>4</v>
      </c>
      <c r="E3" s="68">
        <v>5</v>
      </c>
      <c r="I3" t="s">
        <v>65</v>
      </c>
      <c r="J3">
        <v>30</v>
      </c>
    </row>
    <row r="4" spans="2:11" x14ac:dyDescent="0.3">
      <c r="B4" s="65" t="s">
        <v>20</v>
      </c>
      <c r="C4" s="18">
        <v>5</v>
      </c>
      <c r="D4" s="18">
        <v>4</v>
      </c>
      <c r="E4" s="18">
        <v>4</v>
      </c>
      <c r="G4" s="6" t="s">
        <v>28</v>
      </c>
      <c r="H4" s="6" t="s">
        <v>29</v>
      </c>
      <c r="I4" s="6" t="s">
        <v>30</v>
      </c>
      <c r="J4" s="6" t="s">
        <v>45</v>
      </c>
      <c r="K4" s="72" t="s">
        <v>46</v>
      </c>
    </row>
    <row r="5" spans="2:11" x14ac:dyDescent="0.3">
      <c r="B5" s="65" t="s">
        <v>21</v>
      </c>
      <c r="C5" s="18">
        <v>1</v>
      </c>
      <c r="D5" s="18">
        <v>1</v>
      </c>
      <c r="E5" s="18">
        <v>1</v>
      </c>
      <c r="G5" s="19">
        <v>1</v>
      </c>
      <c r="H5" s="78">
        <v>3.2000000000000001E-2</v>
      </c>
      <c r="I5" s="3">
        <v>30</v>
      </c>
      <c r="J5" s="1">
        <f>I5*$J$3</f>
        <v>900</v>
      </c>
      <c r="K5" s="73">
        <f>J5*12</f>
        <v>10800</v>
      </c>
    </row>
    <row r="6" spans="2:11" x14ac:dyDescent="0.3">
      <c r="B6" s="65" t="s">
        <v>22</v>
      </c>
      <c r="C6" s="18">
        <v>2</v>
      </c>
      <c r="D6" s="18">
        <v>1</v>
      </c>
      <c r="E6" s="18">
        <v>0</v>
      </c>
      <c r="G6" s="19">
        <v>2</v>
      </c>
      <c r="H6" s="78">
        <v>3.7999999999999999E-2</v>
      </c>
      <c r="I6" s="3">
        <v>25</v>
      </c>
      <c r="J6" s="1">
        <f t="shared" ref="J6:J7" si="0">I6*$J$3</f>
        <v>750</v>
      </c>
      <c r="K6" s="73">
        <f t="shared" ref="K6:K7" si="1">J6*12</f>
        <v>9000</v>
      </c>
    </row>
    <row r="7" spans="2:11" x14ac:dyDescent="0.3">
      <c r="B7" s="65" t="s">
        <v>23</v>
      </c>
      <c r="C7" s="18">
        <v>2</v>
      </c>
      <c r="D7" s="18">
        <v>2</v>
      </c>
      <c r="E7" s="18">
        <v>2</v>
      </c>
      <c r="G7" s="19">
        <v>3</v>
      </c>
      <c r="H7" s="78">
        <v>2.5000000000000001E-2</v>
      </c>
      <c r="I7" s="3">
        <v>35</v>
      </c>
      <c r="J7" s="1">
        <f t="shared" si="0"/>
        <v>1050</v>
      </c>
      <c r="K7" s="73">
        <f t="shared" si="1"/>
        <v>12600</v>
      </c>
    </row>
    <row r="8" spans="2:11" x14ac:dyDescent="0.3">
      <c r="B8" s="65" t="s">
        <v>24</v>
      </c>
      <c r="C8" s="18">
        <v>2</v>
      </c>
      <c r="D8" s="18">
        <v>2</v>
      </c>
      <c r="E8" s="18">
        <v>1</v>
      </c>
    </row>
    <row r="9" spans="2:11" x14ac:dyDescent="0.3">
      <c r="B9" s="66" t="s">
        <v>25</v>
      </c>
      <c r="C9" s="64">
        <f>SUM(C4:C8)</f>
        <v>12</v>
      </c>
      <c r="D9" s="64">
        <f t="shared" ref="D9:E9" si="2">SUM(D4:D8)</f>
        <v>10</v>
      </c>
      <c r="E9" s="64">
        <f t="shared" si="2"/>
        <v>8</v>
      </c>
    </row>
    <row r="11" spans="2:11" x14ac:dyDescent="0.3">
      <c r="B11" s="28" t="s">
        <v>36</v>
      </c>
      <c r="C11" s="28" t="s">
        <v>41</v>
      </c>
      <c r="F11" s="9" t="s">
        <v>44</v>
      </c>
      <c r="H11" s="6" t="s">
        <v>31</v>
      </c>
      <c r="I11" s="6" t="s">
        <v>32</v>
      </c>
      <c r="J11" s="6" t="s">
        <v>33</v>
      </c>
      <c r="K11" s="75" t="s">
        <v>35</v>
      </c>
    </row>
    <row r="12" spans="2:11" x14ac:dyDescent="0.3">
      <c r="B12" s="70" t="s">
        <v>37</v>
      </c>
      <c r="C12" s="20">
        <v>300000</v>
      </c>
      <c r="E12" s="69" t="s">
        <v>43</v>
      </c>
      <c r="F12" s="4">
        <v>20000</v>
      </c>
      <c r="H12" s="3" t="s">
        <v>1</v>
      </c>
      <c r="I12" s="78">
        <v>2.01E-2</v>
      </c>
      <c r="J12" s="78">
        <v>2.5000000000000001E-2</v>
      </c>
      <c r="K12" s="2">
        <v>20</v>
      </c>
    </row>
    <row r="13" spans="2:11" x14ac:dyDescent="0.3">
      <c r="B13" s="70" t="s">
        <v>38</v>
      </c>
      <c r="C13" s="20">
        <v>25000</v>
      </c>
      <c r="H13" s="3" t="s">
        <v>2</v>
      </c>
      <c r="I13" s="78">
        <v>2.5100000000000001E-2</v>
      </c>
      <c r="J13" s="78">
        <v>3.5000000000000003E-2</v>
      </c>
      <c r="K13" s="76">
        <v>30</v>
      </c>
    </row>
    <row r="14" spans="2:11" x14ac:dyDescent="0.3">
      <c r="B14" s="70" t="s">
        <v>39</v>
      </c>
      <c r="C14" s="20">
        <f>45000*2</f>
        <v>90000</v>
      </c>
      <c r="H14" s="3" t="s">
        <v>3</v>
      </c>
      <c r="I14" s="78">
        <v>3.5099999999999999E-2</v>
      </c>
      <c r="J14" s="79" t="s">
        <v>34</v>
      </c>
      <c r="K14" s="2">
        <v>50</v>
      </c>
    </row>
    <row r="15" spans="2:11" x14ac:dyDescent="0.3">
      <c r="B15" s="70" t="s">
        <v>40</v>
      </c>
      <c r="C15" s="4">
        <v>125000</v>
      </c>
    </row>
    <row r="16" spans="2:11" x14ac:dyDescent="0.3">
      <c r="B16" s="70" t="s">
        <v>42</v>
      </c>
      <c r="C16" s="20">
        <v>15000</v>
      </c>
    </row>
    <row r="19" spans="2:12" x14ac:dyDescent="0.3">
      <c r="B19" s="6" t="s">
        <v>7</v>
      </c>
      <c r="C19" s="6">
        <v>0</v>
      </c>
      <c r="D19" s="6">
        <v>1</v>
      </c>
      <c r="E19" s="6">
        <v>2</v>
      </c>
      <c r="F19" s="6">
        <v>3</v>
      </c>
      <c r="G19" s="6">
        <v>4</v>
      </c>
      <c r="H19" s="6">
        <v>5</v>
      </c>
      <c r="I19" s="14"/>
      <c r="J19" s="14"/>
      <c r="K19" s="14"/>
      <c r="L19" s="14"/>
    </row>
    <row r="20" spans="2:12" x14ac:dyDescent="0.3">
      <c r="B20" s="71" t="s">
        <v>47</v>
      </c>
      <c r="C20" s="62">
        <v>0</v>
      </c>
      <c r="D20" s="62">
        <f>$K$5</f>
        <v>10800</v>
      </c>
      <c r="E20" s="62">
        <f>$K$5</f>
        <v>10800</v>
      </c>
      <c r="F20" s="62">
        <f>$K$6</f>
        <v>9000</v>
      </c>
      <c r="G20" s="63">
        <f>$K$6</f>
        <v>9000</v>
      </c>
      <c r="H20" s="62">
        <f>K7</f>
        <v>12600</v>
      </c>
      <c r="I20" s="21"/>
      <c r="J20" s="21"/>
      <c r="K20" s="21"/>
      <c r="L20" s="21"/>
    </row>
    <row r="21" spans="2:12" x14ac:dyDescent="0.3">
      <c r="B21" s="65" t="s">
        <v>49</v>
      </c>
      <c r="C21" s="5">
        <v>0</v>
      </c>
      <c r="D21" s="5">
        <f>-$C$9*D20</f>
        <v>-129600</v>
      </c>
      <c r="E21" s="5">
        <f t="shared" ref="E21" si="3">-$C$9*E20</f>
        <v>-129600</v>
      </c>
      <c r="F21" s="5">
        <f>-$C$9*F20</f>
        <v>-108000</v>
      </c>
      <c r="G21" s="5">
        <f>-D9*G20</f>
        <v>-90000</v>
      </c>
      <c r="H21" s="5">
        <f>-E9*H20</f>
        <v>-100800</v>
      </c>
      <c r="I21" s="22"/>
      <c r="J21" s="22"/>
      <c r="K21" s="22"/>
      <c r="L21" s="22"/>
    </row>
    <row r="22" spans="2:12" x14ac:dyDescent="0.3">
      <c r="B22" s="74" t="s">
        <v>48</v>
      </c>
      <c r="C22" s="5">
        <v>0</v>
      </c>
      <c r="D22" s="5">
        <f>D20*$K$13</f>
        <v>324000</v>
      </c>
      <c r="E22" s="5">
        <f>E20*$K$13</f>
        <v>324000</v>
      </c>
      <c r="F22" s="5">
        <f>F20*$K$14</f>
        <v>450000</v>
      </c>
      <c r="G22" s="5">
        <f>G20*$K$14</f>
        <v>450000</v>
      </c>
      <c r="H22" s="5">
        <f>H20*$K$12</f>
        <v>252000</v>
      </c>
      <c r="I22" s="22"/>
      <c r="J22" s="22"/>
      <c r="K22" s="22"/>
      <c r="L22" s="22"/>
    </row>
    <row r="23" spans="2:12" x14ac:dyDescent="0.3">
      <c r="B23" s="70" t="s">
        <v>10</v>
      </c>
      <c r="C23" s="4">
        <f>-SUM(C12:C16)</f>
        <v>-555000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22"/>
      <c r="J23" s="22"/>
      <c r="K23" s="22"/>
      <c r="L23" s="22"/>
    </row>
    <row r="24" spans="2:12" x14ac:dyDescent="0.3">
      <c r="B24" s="69" t="s">
        <v>9</v>
      </c>
      <c r="C24" s="4">
        <v>0</v>
      </c>
      <c r="D24" s="5">
        <f>-$F$12</f>
        <v>-20000</v>
      </c>
      <c r="E24" s="5">
        <f t="shared" ref="E24:H24" si="4">-$F$12</f>
        <v>-20000</v>
      </c>
      <c r="F24" s="5">
        <f t="shared" si="4"/>
        <v>-20000</v>
      </c>
      <c r="G24" s="5">
        <f t="shared" si="4"/>
        <v>-20000</v>
      </c>
      <c r="H24" s="5">
        <f t="shared" si="4"/>
        <v>-20000</v>
      </c>
      <c r="I24" s="81" t="s">
        <v>6</v>
      </c>
      <c r="J24" s="23"/>
      <c r="K24" s="23"/>
      <c r="L24" s="23"/>
    </row>
    <row r="25" spans="2:12" x14ac:dyDescent="0.3">
      <c r="B25" s="25" t="s">
        <v>0</v>
      </c>
      <c r="C25" s="10">
        <f t="shared" ref="C25:H25" si="5">SUM(C21:C24)</f>
        <v>-555000</v>
      </c>
      <c r="D25" s="10">
        <f t="shared" si="5"/>
        <v>174400</v>
      </c>
      <c r="E25" s="10">
        <f t="shared" si="5"/>
        <v>174400</v>
      </c>
      <c r="F25" s="10">
        <f t="shared" si="5"/>
        <v>322000</v>
      </c>
      <c r="G25" s="10">
        <f t="shared" si="5"/>
        <v>340000</v>
      </c>
      <c r="H25" s="10">
        <f t="shared" si="5"/>
        <v>131200</v>
      </c>
      <c r="I25" s="82">
        <f>IRR(C25:H25)</f>
        <v>0.28520876454189636</v>
      </c>
      <c r="J25" s="23"/>
      <c r="K25" s="23"/>
      <c r="L25" s="23"/>
    </row>
    <row r="26" spans="2:12" x14ac:dyDescent="0.3">
      <c r="J26" s="24"/>
      <c r="K26" s="24"/>
      <c r="L26" s="24"/>
    </row>
    <row r="27" spans="2:12" x14ac:dyDescent="0.3">
      <c r="B27" s="84" t="s">
        <v>5</v>
      </c>
      <c r="C27" s="77">
        <f t="shared" ref="C27:H27" si="6">C25*((1+$H$2)^(-C19))</f>
        <v>-555000</v>
      </c>
      <c r="D27" s="77">
        <f t="shared" si="6"/>
        <v>151652.17391304349</v>
      </c>
      <c r="E27" s="77">
        <f t="shared" si="6"/>
        <v>131871.45557655956</v>
      </c>
      <c r="F27" s="77">
        <f t="shared" si="6"/>
        <v>211720.22684310024</v>
      </c>
      <c r="G27" s="77">
        <f t="shared" si="6"/>
        <v>194396.10350163135</v>
      </c>
      <c r="H27" s="77">
        <f t="shared" si="6"/>
        <v>65229.587671135632</v>
      </c>
      <c r="I27" s="83">
        <f>SUM(C27:H27)</f>
        <v>199869.54750547023</v>
      </c>
      <c r="J27" s="15"/>
      <c r="K27" s="15"/>
      <c r="L27" s="15"/>
    </row>
  </sheetData>
  <mergeCells count="2">
    <mergeCell ref="C2:E2"/>
    <mergeCell ref="B2:B3"/>
  </mergeCells>
  <pageMargins left="0.7" right="0.7" top="0.75" bottom="0.75" header="0.3" footer="0.3"/>
  <ignoredErrors>
    <ignoredError sqref="D9: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Ej.1</vt:lpstr>
      <vt:lpstr>Ej.1 (2)</vt:lpstr>
      <vt:lpstr>Ej.1 (3)</vt:lpstr>
      <vt:lpstr>Ej.2_1 año</vt:lpstr>
      <vt:lpstr>Ej.2_12 Meses</vt:lpstr>
      <vt:lpstr>Ej.2_5 años</vt:lpstr>
      <vt:lpstr>Ej.2_10 años</vt:lpstr>
      <vt:lpstr>Ej.3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Osuna</dc:creator>
  <cp:lastModifiedBy>Rodrigo Navarro Guerrero</cp:lastModifiedBy>
  <dcterms:created xsi:type="dcterms:W3CDTF">2020-02-26T18:24:08Z</dcterms:created>
  <dcterms:modified xsi:type="dcterms:W3CDTF">2023-03-25T01:01:25Z</dcterms:modified>
</cp:coreProperties>
</file>