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6"/>
  <workbookPr/>
  <mc:AlternateContent xmlns:mc="http://schemas.openxmlformats.org/markup-compatibility/2006">
    <mc:Choice Requires="x15">
      <x15ac:absPath xmlns:x15ac="http://schemas.microsoft.com/office/spreadsheetml/2010/11/ac" url="C:\Users\rnavarro\Documents\Impartación Clases\EIGP (POSG-Ingenierías)\Material\"/>
    </mc:Choice>
  </mc:AlternateContent>
  <xr:revisionPtr revIDLastSave="0" documentId="13_ncr:1_{8AE3E36E-5426-4C4D-AEE8-9CF0F0B55557}" xr6:coauthVersionLast="36" xr6:coauthVersionMax="36" xr10:uidLastSave="{00000000-0000-0000-0000-000000000000}"/>
  <bookViews>
    <workbookView xWindow="0" yWindow="0" windowWidth="19200" windowHeight="7620" tabRatio="704" activeTab="9" xr2:uid="{00000000-000D-0000-FFFF-FFFF00000000}"/>
  </bookViews>
  <sheets>
    <sheet name="Hoja1" sheetId="16" r:id="rId1"/>
    <sheet name="P16" sheetId="6" r:id="rId2"/>
    <sheet name="Hoja2" sheetId="18" r:id="rId3"/>
    <sheet name="P16 (2)" sheetId="14" r:id="rId4"/>
    <sheet name="ej1" sheetId="12" r:id="rId5"/>
    <sheet name="ej2" sheetId="13" r:id="rId6"/>
    <sheet name="ej2 (2)" sheetId="17" r:id="rId7"/>
    <sheet name="Firma México" sheetId="1" r:id="rId8"/>
    <sheet name="Neponuceno" sheetId="2" r:id="rId9"/>
    <sheet name="Concreto" sheetId="15" r:id="rId1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3" i="15" l="1"/>
  <c r="K43" i="15"/>
  <c r="L43" i="15" s="1"/>
  <c r="M43" i="15" s="1"/>
  <c r="C20" i="1" l="1"/>
  <c r="C19" i="1"/>
  <c r="I9" i="12"/>
  <c r="C8" i="18"/>
  <c r="F6" i="18"/>
  <c r="D6" i="18"/>
  <c r="E6" i="18"/>
  <c r="C6" i="18"/>
  <c r="E12" i="6"/>
  <c r="D15" i="6"/>
  <c r="C14" i="6"/>
  <c r="D6" i="6"/>
  <c r="C40" i="15"/>
  <c r="H23" i="2"/>
  <c r="C23" i="2"/>
  <c r="C7" i="18" l="1"/>
  <c r="C24" i="13"/>
  <c r="N13" i="12"/>
  <c r="C16" i="6"/>
  <c r="C15" i="6"/>
  <c r="D39" i="15" l="1"/>
  <c r="E33" i="15"/>
  <c r="D33" i="15"/>
  <c r="C27" i="1"/>
  <c r="C18" i="1"/>
  <c r="C24" i="17"/>
  <c r="C19" i="17"/>
  <c r="F14" i="17"/>
  <c r="F22" i="17" s="1"/>
  <c r="E14" i="17"/>
  <c r="E17" i="17" s="1"/>
  <c r="D14" i="17"/>
  <c r="D17" i="17" s="1"/>
  <c r="C14" i="17"/>
  <c r="C17" i="17" s="1"/>
  <c r="F17" i="17" l="1"/>
  <c r="C18" i="17" s="1"/>
  <c r="D22" i="17"/>
  <c r="E22" i="17"/>
  <c r="C22" i="17"/>
  <c r="D43" i="15"/>
  <c r="I8" i="12"/>
  <c r="J4" i="12"/>
  <c r="C23" i="17" l="1"/>
  <c r="G35" i="15"/>
  <c r="F35" i="15"/>
  <c r="E35" i="15"/>
  <c r="D35" i="15"/>
  <c r="G33" i="15"/>
  <c r="F33" i="15"/>
  <c r="E32" i="15"/>
  <c r="I15" i="12"/>
  <c r="M37" i="15" l="1"/>
  <c r="M36" i="15"/>
  <c r="L36" i="15"/>
  <c r="K36" i="15"/>
  <c r="J36" i="15"/>
  <c r="I36" i="15"/>
  <c r="H36" i="15"/>
  <c r="H34" i="15" s="1"/>
  <c r="G36" i="15"/>
  <c r="G34" i="15" s="1"/>
  <c r="F36" i="15"/>
  <c r="E36" i="15"/>
  <c r="D36" i="15"/>
  <c r="D38" i="15" s="1"/>
  <c r="M35" i="15"/>
  <c r="M34" i="15" s="1"/>
  <c r="L35" i="15"/>
  <c r="L34" i="15" s="1"/>
  <c r="K35" i="15"/>
  <c r="J35" i="15"/>
  <c r="I35" i="15"/>
  <c r="I34" i="15" s="1"/>
  <c r="H35" i="15"/>
  <c r="F34" i="15"/>
  <c r="E34" i="15"/>
  <c r="M33" i="15"/>
  <c r="L33" i="15"/>
  <c r="K33" i="15"/>
  <c r="J33" i="15"/>
  <c r="I33" i="15"/>
  <c r="H33" i="15"/>
  <c r="F38" i="15"/>
  <c r="F39" i="15" s="1"/>
  <c r="E38" i="15"/>
  <c r="E39" i="15" s="1"/>
  <c r="C16" i="15"/>
  <c r="C32" i="15" s="1"/>
  <c r="C38" i="15" s="1"/>
  <c r="K34" i="15" l="1"/>
  <c r="G38" i="15"/>
  <c r="G39" i="15" s="1"/>
  <c r="J38" i="15"/>
  <c r="J39" i="15" s="1"/>
  <c r="J34" i="15"/>
  <c r="H38" i="15"/>
  <c r="H39" i="15" s="1"/>
  <c r="I38" i="15"/>
  <c r="I39" i="15" s="1"/>
  <c r="K38" i="15"/>
  <c r="K39" i="15" s="1"/>
  <c r="L38" i="15"/>
  <c r="L39" i="15" s="1"/>
  <c r="M38" i="15"/>
  <c r="M39" i="15" s="1"/>
  <c r="D34" i="15"/>
  <c r="C43" i="15"/>
  <c r="C39" i="15"/>
  <c r="C41" i="15" l="1"/>
  <c r="E43" i="15"/>
  <c r="F43" i="15" s="1"/>
  <c r="G43" i="15" s="1"/>
  <c r="H43" i="15" s="1"/>
  <c r="I43" i="15" s="1"/>
  <c r="D7" i="14"/>
  <c r="D6" i="14"/>
  <c r="E6" i="14" s="1"/>
  <c r="C11" i="14"/>
  <c r="D10" i="14"/>
  <c r="D11" i="14" s="1"/>
  <c r="C9" i="14"/>
  <c r="D9" i="14" l="1"/>
  <c r="E10" i="14"/>
  <c r="E11" i="14" s="1"/>
  <c r="D12" i="14"/>
  <c r="F6" i="14"/>
  <c r="C12" i="14"/>
  <c r="E7" i="14"/>
  <c r="F7" i="14" s="1"/>
  <c r="G7" i="14" s="1"/>
  <c r="H7" i="14" s="1"/>
  <c r="I7" i="14" s="1"/>
  <c r="J7" i="14" s="1"/>
  <c r="K7" i="14" s="1"/>
  <c r="C6" i="2"/>
  <c r="D22" i="2"/>
  <c r="C24" i="2" s="1"/>
  <c r="E21" i="2"/>
  <c r="E23" i="2" s="1"/>
  <c r="E27" i="2"/>
  <c r="F27" i="2" s="1"/>
  <c r="G27" i="2" s="1"/>
  <c r="H27" i="2" s="1"/>
  <c r="I27" i="2" s="1"/>
  <c r="J27" i="2" s="1"/>
  <c r="C12" i="2"/>
  <c r="K11" i="2"/>
  <c r="D11" i="2"/>
  <c r="E9" i="2"/>
  <c r="E11" i="2" s="1"/>
  <c r="D14" i="13"/>
  <c r="D17" i="13" s="1"/>
  <c r="F10" i="14" l="1"/>
  <c r="G10" i="14" s="1"/>
  <c r="F11" i="14"/>
  <c r="G6" i="14"/>
  <c r="F9" i="14"/>
  <c r="E9" i="14"/>
  <c r="D23" i="2"/>
  <c r="F21" i="2"/>
  <c r="F9" i="2"/>
  <c r="F12" i="14" l="1"/>
  <c r="H6" i="14"/>
  <c r="G9" i="14"/>
  <c r="H10" i="14"/>
  <c r="G11" i="14"/>
  <c r="E12" i="14"/>
  <c r="F23" i="2"/>
  <c r="G21" i="2"/>
  <c r="G9" i="2"/>
  <c r="F11" i="2"/>
  <c r="C25" i="1"/>
  <c r="H11" i="14" l="1"/>
  <c r="I10" i="14"/>
  <c r="H9" i="14"/>
  <c r="I6" i="14"/>
  <c r="G12" i="14"/>
  <c r="H12" i="14"/>
  <c r="G23" i="2"/>
  <c r="H21" i="2"/>
  <c r="H9" i="2"/>
  <c r="G11" i="2"/>
  <c r="C11" i="6"/>
  <c r="I11" i="14" l="1"/>
  <c r="J10" i="14"/>
  <c r="I21" i="2"/>
  <c r="J21" i="2" s="1"/>
  <c r="C25" i="2"/>
  <c r="J6" i="14"/>
  <c r="I9" i="14"/>
  <c r="I12" i="14" s="1"/>
  <c r="H11" i="2"/>
  <c r="I9" i="2"/>
  <c r="J11" i="14" l="1"/>
  <c r="K10" i="14"/>
  <c r="K11" i="14" s="1"/>
  <c r="J9" i="14"/>
  <c r="J12" i="14" s="1"/>
  <c r="K6" i="14"/>
  <c r="K9" i="14" s="1"/>
  <c r="J9" i="2"/>
  <c r="J11" i="2" s="1"/>
  <c r="I11" i="2"/>
  <c r="C19" i="13"/>
  <c r="F14" i="13"/>
  <c r="F17" i="13" s="1"/>
  <c r="E14" i="13"/>
  <c r="E17" i="13" s="1"/>
  <c r="C14" i="13"/>
  <c r="C17" i="13" s="1"/>
  <c r="I21" i="12"/>
  <c r="J19" i="12"/>
  <c r="K4" i="12"/>
  <c r="K19" i="12" s="1"/>
  <c r="L4" i="12"/>
  <c r="L13" i="12" s="1"/>
  <c r="M4" i="12"/>
  <c r="M13" i="12" s="1"/>
  <c r="N4" i="12"/>
  <c r="N19" i="12" s="1"/>
  <c r="I4" i="12"/>
  <c r="I19" i="12" s="1"/>
  <c r="C13" i="14" l="1"/>
  <c r="K12" i="14"/>
  <c r="C14" i="14"/>
  <c r="C11" i="2"/>
  <c r="C13" i="2" s="1"/>
  <c r="C18" i="13"/>
  <c r="K7" i="12"/>
  <c r="I7" i="12"/>
  <c r="I13" i="12"/>
  <c r="L7" i="12"/>
  <c r="K13" i="12"/>
  <c r="J13" i="12"/>
  <c r="L19" i="12"/>
  <c r="M19" i="12"/>
  <c r="N7" i="12"/>
  <c r="J7" i="12"/>
  <c r="M7" i="12"/>
  <c r="C22" i="13"/>
  <c r="F22" i="13"/>
  <c r="E22" i="13"/>
  <c r="D22" i="13"/>
  <c r="I20" i="12" l="1"/>
  <c r="I14" i="12"/>
  <c r="C23" i="13"/>
  <c r="C9" i="6" l="1"/>
  <c r="D7" i="6"/>
  <c r="E7" i="6" s="1"/>
  <c r="F7" i="6" s="1"/>
  <c r="G7" i="6" s="1"/>
  <c r="H7" i="6" s="1"/>
  <c r="E6" i="6"/>
  <c r="D11" i="6" l="1"/>
  <c r="E10" i="6"/>
  <c r="C12" i="6"/>
  <c r="D9" i="6"/>
  <c r="E9" i="6"/>
  <c r="F6" i="6"/>
  <c r="D28" i="2"/>
  <c r="C30" i="2" s="1"/>
  <c r="E29" i="2"/>
  <c r="D16" i="2"/>
  <c r="C18" i="2" s="1"/>
  <c r="D5" i="2"/>
  <c r="E15" i="2"/>
  <c r="F15" i="2" s="1"/>
  <c r="F17" i="2" s="1"/>
  <c r="E3" i="2"/>
  <c r="E5" i="2" s="1"/>
  <c r="D24" i="1"/>
  <c r="E22" i="1"/>
  <c r="F22" i="1" s="1"/>
  <c r="D17" i="1"/>
  <c r="E15" i="1"/>
  <c r="E17" i="1" s="1"/>
  <c r="E15" i="6" l="1"/>
  <c r="E11" i="6"/>
  <c r="D12" i="6"/>
  <c r="D16" i="6" s="1"/>
  <c r="F15" i="1"/>
  <c r="G15" i="1" s="1"/>
  <c r="E17" i="2"/>
  <c r="F10" i="6"/>
  <c r="D17" i="2"/>
  <c r="D29" i="2"/>
  <c r="H15" i="1"/>
  <c r="G17" i="1"/>
  <c r="F24" i="1"/>
  <c r="G22" i="1"/>
  <c r="G24" i="1" s="1"/>
  <c r="F17" i="1"/>
  <c r="E24" i="1"/>
  <c r="F9" i="6"/>
  <c r="G6" i="6"/>
  <c r="F3" i="2"/>
  <c r="F5" i="2" s="1"/>
  <c r="G15" i="2"/>
  <c r="G17" i="2" s="1"/>
  <c r="H22" i="1"/>
  <c r="E16" i="6" l="1"/>
  <c r="F15" i="6"/>
  <c r="F11" i="6"/>
  <c r="F12" i="6" s="1"/>
  <c r="C17" i="2"/>
  <c r="C19" i="2" s="1"/>
  <c r="G10" i="6"/>
  <c r="G3" i="2"/>
  <c r="G5" i="2" s="1"/>
  <c r="I15" i="1"/>
  <c r="H17" i="1"/>
  <c r="H6" i="6"/>
  <c r="H9" i="6" s="1"/>
  <c r="G9" i="6"/>
  <c r="F29" i="2"/>
  <c r="H15" i="2"/>
  <c r="H24" i="1"/>
  <c r="I22" i="1"/>
  <c r="F16" i="6" l="1"/>
  <c r="G15" i="6"/>
  <c r="H10" i="6"/>
  <c r="H3" i="2"/>
  <c r="H5" i="2" s="1"/>
  <c r="G11" i="6"/>
  <c r="G12" i="6" s="1"/>
  <c r="J15" i="1"/>
  <c r="I17" i="1"/>
  <c r="G29" i="2"/>
  <c r="C29" i="2" s="1"/>
  <c r="C31" i="2" s="1"/>
  <c r="I15" i="2"/>
  <c r="I24" i="1"/>
  <c r="J22" i="1"/>
  <c r="I3" i="2" l="1"/>
  <c r="I5" i="2" s="1"/>
  <c r="G16" i="6"/>
  <c r="H11" i="6"/>
  <c r="H12" i="6" s="1"/>
  <c r="C13" i="6" s="1"/>
  <c r="K15" i="1"/>
  <c r="J17" i="1"/>
  <c r="J3" i="2"/>
  <c r="J5" i="2" s="1"/>
  <c r="C5" i="2" s="1"/>
  <c r="C7" i="2" s="1"/>
  <c r="J15" i="2"/>
  <c r="K22" i="1"/>
  <c r="J24" i="1"/>
  <c r="H16" i="6" l="1"/>
  <c r="L15" i="1"/>
  <c r="K17" i="1"/>
  <c r="L22" i="1"/>
  <c r="K24" i="1"/>
  <c r="M15" i="1" l="1"/>
  <c r="L17" i="1"/>
  <c r="L24" i="1"/>
  <c r="M22" i="1"/>
  <c r="N15" i="1" l="1"/>
  <c r="M17" i="1"/>
  <c r="M24" i="1"/>
  <c r="N22" i="1"/>
  <c r="O15" i="1" l="1"/>
  <c r="N17" i="1"/>
  <c r="N24" i="1"/>
  <c r="O22" i="1"/>
  <c r="P15" i="1" l="1"/>
  <c r="O17" i="1"/>
  <c r="P22" i="1"/>
  <c r="O24" i="1"/>
  <c r="Q15" i="1" l="1"/>
  <c r="P17" i="1"/>
  <c r="P24" i="1"/>
  <c r="Q22" i="1"/>
  <c r="R15" i="1" l="1"/>
  <c r="Q17" i="1"/>
  <c r="Q24" i="1"/>
  <c r="R22" i="1"/>
  <c r="S15" i="1" l="1"/>
  <c r="R17" i="1"/>
  <c r="S22" i="1"/>
  <c r="R24" i="1"/>
  <c r="T15" i="1" l="1"/>
  <c r="S17" i="1"/>
  <c r="T22" i="1"/>
  <c r="S24" i="1"/>
  <c r="U15" i="1" l="1"/>
  <c r="T17" i="1"/>
  <c r="T24" i="1"/>
  <c r="U22" i="1"/>
  <c r="V15" i="1" l="1"/>
  <c r="U17" i="1"/>
  <c r="U24" i="1"/>
  <c r="V22" i="1"/>
  <c r="W15" i="1" l="1"/>
  <c r="V17" i="1"/>
  <c r="V24" i="1"/>
  <c r="W22" i="1"/>
  <c r="X15" i="1" l="1"/>
  <c r="X17" i="1" s="1"/>
  <c r="W17" i="1"/>
  <c r="X22" i="1"/>
  <c r="X24" i="1" s="1"/>
  <c r="W24" i="1"/>
  <c r="C17" i="1" l="1"/>
  <c r="C24" i="1"/>
  <c r="C26" i="1" s="1"/>
</calcChain>
</file>

<file path=xl/sharedStrings.xml><?xml version="1.0" encoding="utf-8"?>
<sst xmlns="http://schemas.openxmlformats.org/spreadsheetml/2006/main" count="152" uniqueCount="59">
  <si>
    <t>Costo de Oportunidad</t>
  </si>
  <si>
    <t>Por si mismo</t>
  </si>
  <si>
    <t>Costo de Oportinidad</t>
  </si>
  <si>
    <t>TIR</t>
  </si>
  <si>
    <t>egresos</t>
  </si>
  <si>
    <t>ingresos</t>
  </si>
  <si>
    <t>Concepto / Año</t>
  </si>
  <si>
    <t>Inversión</t>
  </si>
  <si>
    <t>Ingresos</t>
  </si>
  <si>
    <t>Costos</t>
  </si>
  <si>
    <t>Valor Rescate</t>
  </si>
  <si>
    <t>Flujo Neto</t>
  </si>
  <si>
    <t>Tasa</t>
  </si>
  <si>
    <t>Factor de Descuento</t>
  </si>
  <si>
    <t>Flujo Neto Descontado</t>
  </si>
  <si>
    <t>VPN</t>
  </si>
  <si>
    <t>A</t>
  </si>
  <si>
    <t>Monto Descontado</t>
  </si>
  <si>
    <t>Pay Back (periodo)</t>
  </si>
  <si>
    <t>B</t>
  </si>
  <si>
    <t>C</t>
  </si>
  <si>
    <t>VPN A</t>
  </si>
  <si>
    <t>VPN B</t>
  </si>
  <si>
    <t>Periodos</t>
  </si>
  <si>
    <t>CONDOMINIOS</t>
  </si>
  <si>
    <t>ESTACIONAMIENTO</t>
  </si>
  <si>
    <t>VPN / I</t>
  </si>
  <si>
    <t>VPN (Excel)</t>
  </si>
  <si>
    <t>Empresa (Anticipada)</t>
  </si>
  <si>
    <t>Empresa (Vencida)</t>
  </si>
  <si>
    <t>Terreno</t>
  </si>
  <si>
    <t>Planta</t>
  </si>
  <si>
    <t>Adecuacciones</t>
  </si>
  <si>
    <t>Camión (año 2)</t>
  </si>
  <si>
    <t>Valor de Rescate</t>
  </si>
  <si>
    <t>Capacidad de Producción</t>
  </si>
  <si>
    <t>M3</t>
  </si>
  <si>
    <t>Ventas 1er. Año</t>
  </si>
  <si>
    <t>Ventas del 4to. Al 10mo.</t>
  </si>
  <si>
    <t>Precio / M3</t>
  </si>
  <si>
    <t>Costo Variable</t>
  </si>
  <si>
    <t>Costo Fijo</t>
  </si>
  <si>
    <t>Variable</t>
  </si>
  <si>
    <t>Fijo</t>
  </si>
  <si>
    <t>Flujo neto</t>
  </si>
  <si>
    <t>Flujo neto descontado</t>
  </si>
  <si>
    <t>PAYBACK</t>
  </si>
  <si>
    <t>Año 6</t>
  </si>
  <si>
    <t>Concepto / Periodo</t>
  </si>
  <si>
    <t>Año</t>
  </si>
  <si>
    <t>Flujo</t>
  </si>
  <si>
    <t>Factor VP</t>
  </si>
  <si>
    <t>Valor Presente</t>
  </si>
  <si>
    <t>1/(1+0.25)</t>
  </si>
  <si>
    <t>1/(1+0.25)2</t>
  </si>
  <si>
    <t>Valor Presente Neto (VPN)</t>
  </si>
  <si>
    <t>Pay Back (Flujo Neto)</t>
  </si>
  <si>
    <t>Pay Back (Flujo Neto Descontado)</t>
  </si>
  <si>
    <t>Perido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</si>
</sst>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$&quot;#,##0;[Red]\-&quot;$&quot;#,##0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&quot;$&quot;* #,##0_-;\-&quot;$&quot;* #,##0_-;_-&quot;$&quot;* &quot;-&quot;??_-;_-@_-"/>
    <numFmt numFmtId="165" formatCode="0.000%"/>
    <numFmt numFmtId="166" formatCode="0.0%"/>
    <numFmt numFmtId="167" formatCode="_-* #,##0.0000_-;\-* #,##0.0000_-;_-* &quot;-&quot;??_-;_-@_-"/>
    <numFmt numFmtId="168" formatCode="_-* #,##0_-;\-* #,##0_-;_-* &quot;-&quot;??_-;_-@_-"/>
  </numFmts>
  <fonts count="2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128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name val="Arial"/>
    </font>
    <font>
      <b/>
      <sz val="16"/>
      <color rgb="FF000000"/>
      <name val="Calibri"/>
    </font>
    <font>
      <sz val="16"/>
      <color rgb="FF000000"/>
      <name val="Calibri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FFFF0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rgb="FFCFD5EA"/>
        <bgColor indexed="64"/>
      </patternFill>
    </fill>
    <fill>
      <patternFill patternType="solid">
        <fgColor rgb="FFE9EBF5"/>
        <bgColor indexed="64"/>
      </patternFill>
    </fill>
    <fill>
      <patternFill patternType="solid">
        <fgColor theme="1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ashed">
        <color auto="1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9" fontId="6" fillId="0" borderId="0" applyFont="0" applyFill="0" applyBorder="0" applyAlignment="0" applyProtection="0"/>
  </cellStyleXfs>
  <cellXfs count="186">
    <xf numFmtId="0" fontId="0" fillId="0" borderId="0" xfId="0"/>
    <xf numFmtId="164" fontId="0" fillId="0" borderId="0" xfId="2" applyNumberFormat="1" applyFont="1"/>
    <xf numFmtId="164" fontId="2" fillId="2" borderId="0" xfId="0" applyNumberFormat="1" applyFont="1" applyFill="1"/>
    <xf numFmtId="0" fontId="2" fillId="0" borderId="0" xfId="0" applyFont="1"/>
    <xf numFmtId="10" fontId="2" fillId="2" borderId="0" xfId="0" applyNumberFormat="1" applyFont="1" applyFill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0" fillId="0" borderId="2" xfId="0" applyBorder="1"/>
    <xf numFmtId="164" fontId="0" fillId="0" borderId="3" xfId="2" applyNumberFormat="1" applyFont="1" applyBorder="1"/>
    <xf numFmtId="164" fontId="0" fillId="0" borderId="4" xfId="2" applyNumberFormat="1" applyFont="1" applyBorder="1"/>
    <xf numFmtId="0" fontId="0" fillId="0" borderId="5" xfId="0" applyBorder="1"/>
    <xf numFmtId="164" fontId="0" fillId="0" borderId="0" xfId="2" applyNumberFormat="1" applyFont="1" applyBorder="1"/>
    <xf numFmtId="164" fontId="0" fillId="0" borderId="6" xfId="2" applyNumberFormat="1" applyFont="1" applyBorder="1"/>
    <xf numFmtId="0" fontId="0" fillId="0" borderId="7" xfId="0" applyBorder="1"/>
    <xf numFmtId="164" fontId="0" fillId="0" borderId="8" xfId="2" applyNumberFormat="1" applyFont="1" applyBorder="1"/>
    <xf numFmtId="164" fontId="0" fillId="0" borderId="9" xfId="2" applyNumberFormat="1" applyFont="1" applyBorder="1"/>
    <xf numFmtId="10" fontId="0" fillId="0" borderId="0" xfId="3" applyNumberFormat="1" applyFont="1" applyFill="1" applyBorder="1"/>
    <xf numFmtId="10" fontId="0" fillId="0" borderId="6" xfId="3" applyNumberFormat="1" applyFont="1" applyFill="1" applyBorder="1"/>
    <xf numFmtId="43" fontId="0" fillId="0" borderId="0" xfId="1" applyFont="1" applyBorder="1"/>
    <xf numFmtId="43" fontId="0" fillId="0" borderId="6" xfId="1" applyFont="1" applyBorder="1"/>
    <xf numFmtId="164" fontId="0" fillId="0" borderId="8" xfId="0" applyNumberFormat="1" applyBorder="1"/>
    <xf numFmtId="0" fontId="3" fillId="0" borderId="10" xfId="0" applyFont="1" applyFill="1" applyBorder="1"/>
    <xf numFmtId="44" fontId="4" fillId="2" borderId="11" xfId="0" applyNumberFormat="1" applyFont="1" applyFill="1" applyBorder="1"/>
    <xf numFmtId="164" fontId="0" fillId="0" borderId="0" xfId="0" applyNumberFormat="1" applyBorder="1"/>
    <xf numFmtId="164" fontId="0" fillId="0" borderId="3" xfId="0" applyNumberFormat="1" applyBorder="1"/>
    <xf numFmtId="165" fontId="4" fillId="2" borderId="11" xfId="0" applyNumberFormat="1" applyFont="1" applyFill="1" applyBorder="1"/>
    <xf numFmtId="0" fontId="0" fillId="0" borderId="0" xfId="0" applyBorder="1"/>
    <xf numFmtId="166" fontId="0" fillId="0" borderId="0" xfId="3" applyNumberFormat="1" applyFont="1"/>
    <xf numFmtId="167" fontId="0" fillId="0" borderId="0" xfId="1" applyNumberFormat="1" applyFont="1"/>
    <xf numFmtId="164" fontId="2" fillId="0" borderId="0" xfId="2" applyNumberFormat="1" applyFont="1"/>
    <xf numFmtId="0" fontId="2" fillId="2" borderId="13" xfId="0" applyFont="1" applyFill="1" applyBorder="1"/>
    <xf numFmtId="0" fontId="2" fillId="2" borderId="12" xfId="0" applyFont="1" applyFill="1" applyBorder="1"/>
    <xf numFmtId="10" fontId="2" fillId="2" borderId="15" xfId="0" applyNumberFormat="1" applyFont="1" applyFill="1" applyBorder="1"/>
    <xf numFmtId="0" fontId="2" fillId="2" borderId="16" xfId="0" applyFont="1" applyFill="1" applyBorder="1"/>
    <xf numFmtId="0" fontId="2" fillId="2" borderId="17" xfId="0" applyFont="1" applyFill="1" applyBorder="1"/>
    <xf numFmtId="0" fontId="2" fillId="0" borderId="0" xfId="0" applyFont="1" applyAlignment="1">
      <alignment horizontal="right"/>
    </xf>
    <xf numFmtId="10" fontId="0" fillId="0" borderId="0" xfId="3" applyNumberFormat="1" applyFont="1"/>
    <xf numFmtId="164" fontId="0" fillId="3" borderId="0" xfId="2" applyNumberFormat="1" applyFont="1" applyFill="1" applyBorder="1"/>
    <xf numFmtId="164" fontId="0" fillId="3" borderId="6" xfId="2" applyNumberFormat="1" applyFont="1" applyFill="1" applyBorder="1"/>
    <xf numFmtId="0" fontId="0" fillId="3" borderId="0" xfId="0" applyFill="1"/>
    <xf numFmtId="0" fontId="0" fillId="4" borderId="0" xfId="0" applyFill="1"/>
    <xf numFmtId="164" fontId="0" fillId="4" borderId="0" xfId="2" applyNumberFormat="1" applyFont="1" applyFill="1" applyBorder="1"/>
    <xf numFmtId="164" fontId="0" fillId="4" borderId="6" xfId="2" applyNumberFormat="1" applyFont="1" applyFill="1" applyBorder="1"/>
    <xf numFmtId="9" fontId="0" fillId="0" borderId="0" xfId="3" applyFont="1"/>
    <xf numFmtId="10" fontId="0" fillId="6" borderId="0" xfId="3" applyNumberFormat="1" applyFont="1" applyFill="1" applyBorder="1"/>
    <xf numFmtId="164" fontId="2" fillId="2" borderId="0" xfId="0" applyNumberFormat="1" applyFont="1" applyFill="1" applyBorder="1"/>
    <xf numFmtId="10" fontId="2" fillId="2" borderId="0" xfId="0" applyNumberFormat="1" applyFont="1" applyFill="1" applyBorder="1"/>
    <xf numFmtId="43" fontId="2" fillId="2" borderId="0" xfId="1" applyFont="1" applyFill="1" applyBorder="1"/>
    <xf numFmtId="43" fontId="2" fillId="2" borderId="19" xfId="1" applyFont="1" applyFill="1" applyBorder="1"/>
    <xf numFmtId="0" fontId="2" fillId="2" borderId="12" xfId="0" applyFont="1" applyFill="1" applyBorder="1" applyAlignment="1">
      <alignment horizontal="right"/>
    </xf>
    <xf numFmtId="0" fontId="2" fillId="2" borderId="16" xfId="0" applyFont="1" applyFill="1" applyBorder="1" applyAlignment="1">
      <alignment horizontal="right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64" fontId="0" fillId="0" borderId="9" xfId="0" applyNumberFormat="1" applyFill="1" applyBorder="1"/>
    <xf numFmtId="0" fontId="2" fillId="0" borderId="25" xfId="0" applyFont="1" applyBorder="1" applyAlignment="1">
      <alignment horizontal="center"/>
    </xf>
    <xf numFmtId="164" fontId="0" fillId="0" borderId="8" xfId="0" applyNumberFormat="1" applyFill="1" applyBorder="1"/>
    <xf numFmtId="0" fontId="0" fillId="0" borderId="8" xfId="0" applyBorder="1"/>
    <xf numFmtId="0" fontId="0" fillId="0" borderId="0" xfId="0" applyFill="1" applyBorder="1"/>
    <xf numFmtId="164" fontId="0" fillId="0" borderId="0" xfId="0" applyNumberFormat="1"/>
    <xf numFmtId="44" fontId="0" fillId="0" borderId="0" xfId="2" applyFont="1"/>
    <xf numFmtId="168" fontId="0" fillId="0" borderId="0" xfId="1" applyNumberFormat="1" applyFont="1"/>
    <xf numFmtId="9" fontId="0" fillId="0" borderId="0" xfId="3" applyFont="1" applyAlignment="1">
      <alignment horizontal="center"/>
    </xf>
    <xf numFmtId="164" fontId="0" fillId="0" borderId="0" xfId="2" applyNumberFormat="1" applyFont="1" applyAlignment="1">
      <alignment horizontal="center"/>
    </xf>
    <xf numFmtId="0" fontId="9" fillId="8" borderId="0" xfId="0" applyFont="1" applyFill="1" applyBorder="1"/>
    <xf numFmtId="164" fontId="9" fillId="8" borderId="0" xfId="0" applyNumberFormat="1" applyFont="1" applyFill="1"/>
    <xf numFmtId="0" fontId="9" fillId="3" borderId="0" xfId="0" applyFont="1" applyFill="1" applyBorder="1"/>
    <xf numFmtId="168" fontId="9" fillId="3" borderId="0" xfId="1" applyNumberFormat="1" applyFont="1" applyFill="1"/>
    <xf numFmtId="0" fontId="10" fillId="3" borderId="0" xfId="0" applyFont="1" applyFill="1" applyBorder="1"/>
    <xf numFmtId="168" fontId="10" fillId="3" borderId="0" xfId="0" applyNumberFormat="1" applyFont="1" applyFill="1"/>
    <xf numFmtId="10" fontId="10" fillId="3" borderId="0" xfId="3" applyNumberFormat="1" applyFont="1" applyFill="1"/>
    <xf numFmtId="0" fontId="10" fillId="3" borderId="0" xfId="0" applyFont="1" applyFill="1" applyBorder="1" applyAlignment="1">
      <alignment horizontal="right"/>
    </xf>
    <xf numFmtId="164" fontId="8" fillId="3" borderId="0" xfId="0" applyNumberFormat="1" applyFont="1" applyFill="1"/>
    <xf numFmtId="0" fontId="11" fillId="7" borderId="0" xfId="0" applyFont="1" applyFill="1"/>
    <xf numFmtId="164" fontId="11" fillId="7" borderId="0" xfId="0" applyNumberFormat="1" applyFont="1" applyFill="1"/>
    <xf numFmtId="0" fontId="11" fillId="2" borderId="0" xfId="0" applyFont="1" applyFill="1"/>
    <xf numFmtId="164" fontId="11" fillId="2" borderId="0" xfId="0" applyNumberFormat="1" applyFont="1" applyFill="1"/>
    <xf numFmtId="164" fontId="11" fillId="2" borderId="0" xfId="2" applyNumberFormat="1" applyFont="1" applyFill="1"/>
    <xf numFmtId="0" fontId="11" fillId="6" borderId="26" xfId="0" applyFont="1" applyFill="1" applyBorder="1"/>
    <xf numFmtId="164" fontId="11" fillId="6" borderId="26" xfId="0" applyNumberFormat="1" applyFont="1" applyFill="1" applyBorder="1"/>
    <xf numFmtId="0" fontId="12" fillId="6" borderId="0" xfId="0" applyFont="1" applyFill="1" applyAlignment="1">
      <alignment horizontal="left" indent="3"/>
    </xf>
    <xf numFmtId="0" fontId="12" fillId="6" borderId="0" xfId="0" applyFont="1" applyFill="1"/>
    <xf numFmtId="164" fontId="12" fillId="6" borderId="0" xfId="0" applyNumberFormat="1" applyFont="1" applyFill="1"/>
    <xf numFmtId="0" fontId="11" fillId="4" borderId="8" xfId="0" applyFont="1" applyFill="1" applyBorder="1"/>
    <xf numFmtId="164" fontId="11" fillId="4" borderId="8" xfId="0" applyNumberFormat="1" applyFont="1" applyFill="1" applyBorder="1"/>
    <xf numFmtId="0" fontId="13" fillId="0" borderId="0" xfId="0" applyFont="1" applyAlignment="1">
      <alignment horizontal="center"/>
    </xf>
    <xf numFmtId="0" fontId="7" fillId="3" borderId="0" xfId="0" applyFont="1" applyFill="1" applyBorder="1"/>
    <xf numFmtId="0" fontId="13" fillId="0" borderId="0" xfId="0" applyFont="1" applyAlignment="1">
      <alignment horizontal="left"/>
    </xf>
    <xf numFmtId="164" fontId="0" fillId="9" borderId="0" xfId="2" applyNumberFormat="1" applyFont="1" applyFill="1" applyBorder="1"/>
    <xf numFmtId="164" fontId="0" fillId="9" borderId="6" xfId="2" applyNumberFormat="1" applyFont="1" applyFill="1" applyBorder="1"/>
    <xf numFmtId="164" fontId="0" fillId="5" borderId="0" xfId="2" applyNumberFormat="1" applyFont="1" applyFill="1" applyBorder="1"/>
    <xf numFmtId="164" fontId="0" fillId="5" borderId="6" xfId="2" applyNumberFormat="1" applyFont="1" applyFill="1" applyBorder="1"/>
    <xf numFmtId="0" fontId="3" fillId="0" borderId="2" xfId="0" applyFont="1" applyFill="1" applyBorder="1"/>
    <xf numFmtId="165" fontId="4" fillId="2" borderId="4" xfId="0" applyNumberFormat="1" applyFont="1" applyFill="1" applyBorder="1"/>
    <xf numFmtId="164" fontId="0" fillId="0" borderId="25" xfId="0" applyNumberFormat="1" applyBorder="1"/>
    <xf numFmtId="164" fontId="2" fillId="2" borderId="25" xfId="0" applyNumberFormat="1" applyFont="1" applyFill="1" applyBorder="1"/>
    <xf numFmtId="164" fontId="2" fillId="2" borderId="11" xfId="0" applyNumberFormat="1" applyFont="1" applyFill="1" applyBorder="1"/>
    <xf numFmtId="0" fontId="14" fillId="5" borderId="18" xfId="0" applyFont="1" applyFill="1" applyBorder="1" applyAlignment="1">
      <alignment horizontal="center"/>
    </xf>
    <xf numFmtId="0" fontId="14" fillId="5" borderId="22" xfId="0" applyFont="1" applyFill="1" applyBorder="1" applyAlignment="1">
      <alignment horizontal="center"/>
    </xf>
    <xf numFmtId="0" fontId="14" fillId="5" borderId="23" xfId="0" applyFont="1" applyFill="1" applyBorder="1" applyAlignment="1">
      <alignment horizontal="center"/>
    </xf>
    <xf numFmtId="44" fontId="15" fillId="5" borderId="0" xfId="2" applyFont="1" applyFill="1" applyBorder="1"/>
    <xf numFmtId="44" fontId="15" fillId="5" borderId="15" xfId="2" applyFont="1" applyFill="1" applyBorder="1"/>
    <xf numFmtId="44" fontId="15" fillId="5" borderId="19" xfId="2" applyFont="1" applyFill="1" applyBorder="1"/>
    <xf numFmtId="44" fontId="15" fillId="5" borderId="17" xfId="2" applyFont="1" applyFill="1" applyBorder="1"/>
    <xf numFmtId="0" fontId="11" fillId="0" borderId="0" xfId="0" applyFont="1"/>
    <xf numFmtId="0" fontId="12" fillId="0" borderId="0" xfId="0" applyFont="1"/>
    <xf numFmtId="166" fontId="12" fillId="0" borderId="0" xfId="3" applyNumberFormat="1" applyFont="1"/>
    <xf numFmtId="167" fontId="12" fillId="0" borderId="0" xfId="1" applyNumberFormat="1" applyFont="1"/>
    <xf numFmtId="44" fontId="11" fillId="0" borderId="0" xfId="2" applyNumberFormat="1" applyFont="1"/>
    <xf numFmtId="44" fontId="12" fillId="0" borderId="0" xfId="2" applyNumberFormat="1" applyFont="1"/>
    <xf numFmtId="0" fontId="11" fillId="2" borderId="13" xfId="0" applyFont="1" applyFill="1" applyBorder="1"/>
    <xf numFmtId="44" fontId="11" fillId="2" borderId="14" xfId="0" applyNumberFormat="1" applyFont="1" applyFill="1" applyBorder="1"/>
    <xf numFmtId="0" fontId="11" fillId="2" borderId="16" xfId="0" applyFont="1" applyFill="1" applyBorder="1"/>
    <xf numFmtId="10" fontId="11" fillId="2" borderId="17" xfId="0" applyNumberFormat="1" applyFont="1" applyFill="1" applyBorder="1"/>
    <xf numFmtId="0" fontId="0" fillId="10" borderId="12" xfId="0" applyFill="1" applyBorder="1"/>
    <xf numFmtId="0" fontId="2" fillId="10" borderId="0" xfId="0" applyFont="1" applyFill="1" applyBorder="1"/>
    <xf numFmtId="0" fontId="0" fillId="10" borderId="0" xfId="0" applyFill="1" applyBorder="1"/>
    <xf numFmtId="0" fontId="0" fillId="10" borderId="15" xfId="0" applyFill="1" applyBorder="1"/>
    <xf numFmtId="164" fontId="0" fillId="10" borderId="0" xfId="2" applyNumberFormat="1" applyFont="1" applyFill="1" applyBorder="1"/>
    <xf numFmtId="0" fontId="2" fillId="10" borderId="12" xfId="0" applyFont="1" applyFill="1" applyBorder="1" applyAlignment="1">
      <alignment horizontal="right"/>
    </xf>
    <xf numFmtId="164" fontId="2" fillId="10" borderId="0" xfId="0" applyNumberFormat="1" applyFont="1" applyFill="1" applyBorder="1"/>
    <xf numFmtId="10" fontId="2" fillId="10" borderId="0" xfId="0" applyNumberFormat="1" applyFont="1" applyFill="1" applyBorder="1"/>
    <xf numFmtId="43" fontId="2" fillId="10" borderId="0" xfId="1" applyFont="1" applyFill="1" applyBorder="1"/>
    <xf numFmtId="0" fontId="2" fillId="11" borderId="12" xfId="0" applyFont="1" applyFill="1" applyBorder="1" applyAlignment="1">
      <alignment horizontal="right"/>
    </xf>
    <xf numFmtId="0" fontId="0" fillId="11" borderId="0" xfId="0" applyFill="1" applyBorder="1"/>
    <xf numFmtId="0" fontId="0" fillId="11" borderId="15" xfId="0" applyFill="1" applyBorder="1"/>
    <xf numFmtId="0" fontId="0" fillId="11" borderId="12" xfId="0" applyFill="1" applyBorder="1"/>
    <xf numFmtId="0" fontId="2" fillId="11" borderId="0" xfId="0" applyFont="1" applyFill="1" applyBorder="1"/>
    <xf numFmtId="164" fontId="0" fillId="11" borderId="0" xfId="2" applyNumberFormat="1" applyFont="1" applyFill="1" applyBorder="1"/>
    <xf numFmtId="164" fontId="0" fillId="11" borderId="15" xfId="2" applyNumberFormat="1" applyFont="1" applyFill="1" applyBorder="1"/>
    <xf numFmtId="0" fontId="0" fillId="11" borderId="19" xfId="0" applyFill="1" applyBorder="1"/>
    <xf numFmtId="0" fontId="0" fillId="11" borderId="17" xfId="0" applyFill="1" applyBorder="1"/>
    <xf numFmtId="0" fontId="0" fillId="12" borderId="13" xfId="0" applyFill="1" applyBorder="1"/>
    <xf numFmtId="0" fontId="2" fillId="12" borderId="24" xfId="0" applyFont="1" applyFill="1" applyBorder="1"/>
    <xf numFmtId="0" fontId="0" fillId="12" borderId="24" xfId="0" applyFill="1" applyBorder="1"/>
    <xf numFmtId="0" fontId="0" fillId="12" borderId="14" xfId="0" applyFill="1" applyBorder="1"/>
    <xf numFmtId="0" fontId="0" fillId="12" borderId="12" xfId="0" applyFill="1" applyBorder="1"/>
    <xf numFmtId="0" fontId="0" fillId="12" borderId="0" xfId="0" applyFill="1" applyBorder="1"/>
    <xf numFmtId="164" fontId="0" fillId="12" borderId="0" xfId="2" applyNumberFormat="1" applyFont="1" applyFill="1" applyBorder="1"/>
    <xf numFmtId="0" fontId="0" fillId="12" borderId="15" xfId="0" applyFill="1" applyBorder="1"/>
    <xf numFmtId="0" fontId="0" fillId="13" borderId="12" xfId="0" applyFill="1" applyBorder="1"/>
    <xf numFmtId="0" fontId="0" fillId="13" borderId="0" xfId="0" applyFill="1" applyBorder="1"/>
    <xf numFmtId="0" fontId="0" fillId="13" borderId="15" xfId="0" applyFill="1" applyBorder="1"/>
    <xf numFmtId="0" fontId="2" fillId="13" borderId="0" xfId="0" applyFont="1" applyFill="1" applyBorder="1"/>
    <xf numFmtId="164" fontId="0" fillId="13" borderId="0" xfId="2" applyNumberFormat="1" applyFont="1" applyFill="1" applyBorder="1"/>
    <xf numFmtId="0" fontId="0" fillId="13" borderId="19" xfId="0" applyFill="1" applyBorder="1"/>
    <xf numFmtId="0" fontId="0" fillId="13" borderId="17" xfId="0" applyFill="1" applyBorder="1"/>
    <xf numFmtId="0" fontId="0" fillId="10" borderId="13" xfId="0" applyFill="1" applyBorder="1"/>
    <xf numFmtId="0" fontId="2" fillId="10" borderId="24" xfId="0" applyFont="1" applyFill="1" applyBorder="1"/>
    <xf numFmtId="0" fontId="0" fillId="10" borderId="24" xfId="0" applyFill="1" applyBorder="1"/>
    <xf numFmtId="0" fontId="0" fillId="10" borderId="14" xfId="0" applyFill="1" applyBorder="1"/>
    <xf numFmtId="10" fontId="14" fillId="5" borderId="20" xfId="3" applyNumberFormat="1" applyFont="1" applyFill="1" applyBorder="1" applyAlignment="1">
      <alignment horizontal="center"/>
    </xf>
    <xf numFmtId="10" fontId="14" fillId="5" borderId="21" xfId="3" applyNumberFormat="1" applyFont="1" applyFill="1" applyBorder="1" applyAlignment="1">
      <alignment horizontal="center"/>
    </xf>
    <xf numFmtId="0" fontId="17" fillId="14" borderId="27" xfId="0" applyFont="1" applyFill="1" applyBorder="1" applyAlignment="1">
      <alignment horizontal="center" vertical="center" wrapText="1" readingOrder="1"/>
    </xf>
    <xf numFmtId="0" fontId="18" fillId="15" borderId="28" xfId="0" applyFont="1" applyFill="1" applyBorder="1" applyAlignment="1">
      <alignment horizontal="center" vertical="center" wrapText="1" readingOrder="1"/>
    </xf>
    <xf numFmtId="3" fontId="18" fillId="15" borderId="28" xfId="0" applyNumberFormat="1" applyFont="1" applyFill="1" applyBorder="1" applyAlignment="1">
      <alignment horizontal="center" vertical="center" wrapText="1" readingOrder="1"/>
    </xf>
    <xf numFmtId="0" fontId="16" fillId="15" borderId="28" xfId="0" applyFont="1" applyFill="1" applyBorder="1" applyAlignment="1">
      <alignment horizontal="center" vertical="top" wrapText="1"/>
    </xf>
    <xf numFmtId="0" fontId="18" fillId="16" borderId="29" xfId="0" applyFont="1" applyFill="1" applyBorder="1" applyAlignment="1">
      <alignment horizontal="center" vertical="center" wrapText="1" readingOrder="1"/>
    </xf>
    <xf numFmtId="3" fontId="18" fillId="16" borderId="29" xfId="0" applyNumberFormat="1" applyFont="1" applyFill="1" applyBorder="1" applyAlignment="1">
      <alignment horizontal="center" vertical="center" wrapText="1" readingOrder="1"/>
    </xf>
    <xf numFmtId="9" fontId="18" fillId="16" borderId="29" xfId="0" applyNumberFormat="1" applyFont="1" applyFill="1" applyBorder="1" applyAlignment="1">
      <alignment horizontal="center" vertical="center" wrapText="1" readingOrder="1"/>
    </xf>
    <xf numFmtId="0" fontId="18" fillId="15" borderId="29" xfId="0" applyFont="1" applyFill="1" applyBorder="1" applyAlignment="1">
      <alignment horizontal="center" vertical="center" wrapText="1" readingOrder="1"/>
    </xf>
    <xf numFmtId="3" fontId="18" fillId="15" borderId="29" xfId="0" applyNumberFormat="1" applyFont="1" applyFill="1" applyBorder="1" applyAlignment="1">
      <alignment horizontal="center" vertical="center" wrapText="1" readingOrder="1"/>
    </xf>
    <xf numFmtId="9" fontId="18" fillId="15" borderId="29" xfId="0" applyNumberFormat="1" applyFont="1" applyFill="1" applyBorder="1" applyAlignment="1">
      <alignment horizontal="center" vertical="center" wrapText="1" readingOrder="1"/>
    </xf>
    <xf numFmtId="0" fontId="16" fillId="16" borderId="29" xfId="0" applyFont="1" applyFill="1" applyBorder="1" applyAlignment="1">
      <alignment horizontal="center" vertical="top" wrapText="1"/>
    </xf>
    <xf numFmtId="0" fontId="17" fillId="16" borderId="29" xfId="0" applyFont="1" applyFill="1" applyBorder="1" applyAlignment="1">
      <alignment horizontal="center" vertical="center" wrapText="1" readingOrder="1"/>
    </xf>
    <xf numFmtId="164" fontId="4" fillId="2" borderId="11" xfId="0" applyNumberFormat="1" applyFont="1" applyFill="1" applyBorder="1"/>
    <xf numFmtId="44" fontId="2" fillId="2" borderId="14" xfId="0" applyNumberFormat="1" applyFont="1" applyFill="1" applyBorder="1"/>
    <xf numFmtId="9" fontId="0" fillId="0" borderId="0" xfId="0" applyNumberFormat="1"/>
    <xf numFmtId="0" fontId="20" fillId="0" borderId="0" xfId="0" applyFont="1" applyAlignment="1">
      <alignment horizontal="right"/>
    </xf>
    <xf numFmtId="43" fontId="20" fillId="2" borderId="0" xfId="1" applyFont="1" applyFill="1"/>
    <xf numFmtId="0" fontId="19" fillId="0" borderId="0" xfId="0" applyFont="1"/>
    <xf numFmtId="6" fontId="20" fillId="2" borderId="0" xfId="1" applyNumberFormat="1" applyFont="1" applyFill="1"/>
    <xf numFmtId="168" fontId="0" fillId="0" borderId="8" xfId="1" applyNumberFormat="1" applyFont="1" applyBorder="1"/>
    <xf numFmtId="168" fontId="0" fillId="6" borderId="9" xfId="1" applyNumberFormat="1" applyFont="1" applyFill="1" applyBorder="1"/>
    <xf numFmtId="9" fontId="0" fillId="5" borderId="0" xfId="3" applyFont="1" applyFill="1"/>
    <xf numFmtId="9" fontId="0" fillId="9" borderId="0" xfId="3" applyFont="1" applyFill="1"/>
    <xf numFmtId="0" fontId="21" fillId="17" borderId="0" xfId="0" applyFont="1" applyFill="1"/>
    <xf numFmtId="0" fontId="21" fillId="17" borderId="0" xfId="0" applyFont="1" applyFill="1" applyAlignment="1">
      <alignment horizontal="center"/>
    </xf>
    <xf numFmtId="0" fontId="0" fillId="0" borderId="0" xfId="0" quotePrefix="1"/>
    <xf numFmtId="164" fontId="0" fillId="2" borderId="0" xfId="0" applyNumberFormat="1" applyFill="1"/>
    <xf numFmtId="0" fontId="0" fillId="0" borderId="0" xfId="0" applyAlignment="1">
      <alignment horizontal="center"/>
    </xf>
    <xf numFmtId="10" fontId="0" fillId="2" borderId="0" xfId="3" applyNumberFormat="1" applyFont="1" applyFill="1"/>
    <xf numFmtId="10" fontId="0" fillId="0" borderId="0" xfId="3" applyNumberFormat="1" applyFont="1" applyAlignment="1">
      <alignment horizontal="center"/>
    </xf>
    <xf numFmtId="0" fontId="17" fillId="16" borderId="30" xfId="0" applyFont="1" applyFill="1" applyBorder="1" applyAlignment="1">
      <alignment horizontal="right" vertical="center" wrapText="1" indent="1" readingOrder="1"/>
    </xf>
    <xf numFmtId="0" fontId="17" fillId="16" borderId="31" xfId="0" applyFont="1" applyFill="1" applyBorder="1" applyAlignment="1">
      <alignment horizontal="right" vertical="center" wrapText="1" indent="1" readingOrder="1"/>
    </xf>
    <xf numFmtId="0" fontId="17" fillId="16" borderId="32" xfId="0" applyFont="1" applyFill="1" applyBorder="1" applyAlignment="1">
      <alignment horizontal="right" vertical="center" wrapText="1" indent="1" readingOrder="1"/>
    </xf>
    <xf numFmtId="164" fontId="19" fillId="3" borderId="0" xfId="0" applyNumberFormat="1" applyFont="1" applyFill="1"/>
  </cellXfs>
  <cellStyles count="8">
    <cellStyle name="Millares" xfId="1" builtinId="3"/>
    <cellStyle name="Millares 2" xfId="6" xr:uid="{00000000-0005-0000-0000-000001000000}"/>
    <cellStyle name="Moneda" xfId="2" builtinId="4"/>
    <cellStyle name="Moneda 2" xfId="5" xr:uid="{00000000-0005-0000-0000-000003000000}"/>
    <cellStyle name="Normal" xfId="0" builtinId="0"/>
    <cellStyle name="Normal 2" xfId="4" xr:uid="{00000000-0005-0000-0000-000005000000}"/>
    <cellStyle name="Porcentaje" xfId="3" builtinId="5"/>
    <cellStyle name="Porcentaje 2" xfId="7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Hoja2!$C$10</c:f>
              <c:strCache>
                <c:ptCount val="1"/>
                <c:pt idx="0">
                  <c:v>VPN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Hoja2!$B$11:$B$16</c:f>
              <c:numCache>
                <c:formatCode>0.00%</c:formatCode>
                <c:ptCount val="6"/>
                <c:pt idx="0">
                  <c:v>0</c:v>
                </c:pt>
                <c:pt idx="1">
                  <c:v>0.1</c:v>
                </c:pt>
                <c:pt idx="2">
                  <c:v>0.15</c:v>
                </c:pt>
                <c:pt idx="3">
                  <c:v>0.19439999999999999</c:v>
                </c:pt>
                <c:pt idx="4">
                  <c:v>0.2</c:v>
                </c:pt>
                <c:pt idx="5">
                  <c:v>0.25</c:v>
                </c:pt>
              </c:numCache>
            </c:numRef>
          </c:xVal>
          <c:yVal>
            <c:numRef>
              <c:f>Hoja2!$C$11:$C$16</c:f>
              <c:numCache>
                <c:formatCode>_-"$"* #,##0_-;\-"$"* #,##0_-;_-"$"* "-"??_-;_-@_-</c:formatCode>
                <c:ptCount val="6"/>
                <c:pt idx="0">
                  <c:v>500</c:v>
                </c:pt>
                <c:pt idx="1">
                  <c:v>203.98196844477809</c:v>
                </c:pt>
                <c:pt idx="2">
                  <c:v>88.600312320210662</c:v>
                </c:pt>
                <c:pt idx="3">
                  <c:v>-4.2772168404212607E-2</c:v>
                </c:pt>
                <c:pt idx="4">
                  <c:v>-10.416666666666629</c:v>
                </c:pt>
                <c:pt idx="5">
                  <c:v>-96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29-4AA9-A610-434F6AC6EE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513135"/>
        <c:axId val="580986015"/>
      </c:scatterChart>
      <c:valAx>
        <c:axId val="579513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80986015"/>
        <c:crosses val="autoZero"/>
        <c:crossBetween val="midCat"/>
      </c:valAx>
      <c:valAx>
        <c:axId val="580986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$&quot;* #,##0_-;\-&quot;$&quot;* #,##0_-;_-&quot;$&quot;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795131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'ej2'!$K$4</c:f>
              <c:strCache>
                <c:ptCount val="1"/>
                <c:pt idx="0">
                  <c:v>VPN A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800" b="1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'ej2'!$J$5:$J$8</c:f>
              <c:numCache>
                <c:formatCode>0.00%</c:formatCode>
                <c:ptCount val="4"/>
                <c:pt idx="0">
                  <c:v>0</c:v>
                </c:pt>
                <c:pt idx="1">
                  <c:v>6.1140184877324089E-2</c:v>
                </c:pt>
                <c:pt idx="2">
                  <c:v>0.1</c:v>
                </c:pt>
                <c:pt idx="3">
                  <c:v>0.2</c:v>
                </c:pt>
              </c:numCache>
            </c:numRef>
          </c:cat>
          <c:val>
            <c:numRef>
              <c:f>'ej2'!$K$5:$K$8</c:f>
              <c:numCache>
                <c:formatCode>_("$"* #,##0.00_);_("$"* \(#,##0.00\);_("$"* "-"??_);_(@_)</c:formatCode>
                <c:ptCount val="4"/>
                <c:pt idx="0">
                  <c:v>12</c:v>
                </c:pt>
                <c:pt idx="1">
                  <c:v>0</c:v>
                </c:pt>
                <c:pt idx="2">
                  <c:v>-6.536438767843741</c:v>
                </c:pt>
                <c:pt idx="3">
                  <c:v>-20.37037037037036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A9-4C65-8F85-828B34FC5B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481689392"/>
        <c:axId val="1481691056"/>
      </c:lineChart>
      <c:catAx>
        <c:axId val="1481689392"/>
        <c:scaling>
          <c:orientation val="minMax"/>
        </c:scaling>
        <c:delete val="0"/>
        <c:axPos val="b"/>
        <c:numFmt formatCode="0.00%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spc="100" baseline="0">
                <a:solidFill>
                  <a:srgbClr val="FFFF00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81691056"/>
        <c:crosses val="autoZero"/>
        <c:auto val="1"/>
        <c:lblAlgn val="ctr"/>
        <c:lblOffset val="100"/>
        <c:noMultiLvlLbl val="0"/>
      </c:catAx>
      <c:valAx>
        <c:axId val="1481691056"/>
        <c:scaling>
          <c:orientation val="minMax"/>
        </c:scaling>
        <c:delete val="0"/>
        <c:axPos val="l"/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81689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'ej2'!$S$4</c:f>
              <c:strCache>
                <c:ptCount val="1"/>
                <c:pt idx="0">
                  <c:v>VPN B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800" b="1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'ej2'!$J$5:$J$8</c:f>
              <c:numCache>
                <c:formatCode>0.00%</c:formatCode>
                <c:ptCount val="4"/>
                <c:pt idx="0">
                  <c:v>0</c:v>
                </c:pt>
                <c:pt idx="1">
                  <c:v>6.1140184877324089E-2</c:v>
                </c:pt>
                <c:pt idx="2">
                  <c:v>0.1</c:v>
                </c:pt>
                <c:pt idx="3">
                  <c:v>0.2</c:v>
                </c:pt>
              </c:numCache>
            </c:numRef>
          </c:cat>
          <c:val>
            <c:numRef>
              <c:f>'ej2'!$S$5:$S$8</c:f>
              <c:numCache>
                <c:formatCode>_("$"* #,##0.00_);_("$"* \(#,##0.00\);_("$"* "-"??_);_(@_)</c:formatCode>
                <c:ptCount val="4"/>
                <c:pt idx="0">
                  <c:v>29</c:v>
                </c:pt>
                <c:pt idx="1">
                  <c:v>3.9068369646881962</c:v>
                </c:pt>
                <c:pt idx="2">
                  <c:v>0</c:v>
                </c:pt>
                <c:pt idx="3">
                  <c:v>-14.236111111111114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7F-43CC-97DD-3AA5FD75D2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426070416"/>
        <c:axId val="1426063760"/>
      </c:lineChart>
      <c:catAx>
        <c:axId val="1426070416"/>
        <c:scaling>
          <c:orientation val="minMax"/>
        </c:scaling>
        <c:delete val="0"/>
        <c:axPos val="b"/>
        <c:numFmt formatCode="0.00%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spc="100" baseline="0">
                <a:solidFill>
                  <a:srgbClr val="FFFF00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26063760"/>
        <c:crosses val="autoZero"/>
        <c:auto val="1"/>
        <c:lblAlgn val="ctr"/>
        <c:lblOffset val="100"/>
        <c:noMultiLvlLbl val="0"/>
      </c:catAx>
      <c:valAx>
        <c:axId val="1426063760"/>
        <c:scaling>
          <c:orientation val="minMax"/>
        </c:scaling>
        <c:delete val="0"/>
        <c:axPos val="l"/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26070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'ej2 (2)'!$K$4</c:f>
              <c:strCache>
                <c:ptCount val="1"/>
                <c:pt idx="0">
                  <c:v>VPN A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800" b="1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'ej2 (2)'!$J$5:$J$7</c:f>
              <c:numCache>
                <c:formatCode>0.00%</c:formatCode>
                <c:ptCount val="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</c:numCache>
            </c:numRef>
          </c:cat>
          <c:val>
            <c:numRef>
              <c:f>'ej2 (2)'!$K$5:$K$7</c:f>
              <c:numCache>
                <c:formatCode>_("$"* #,##0.00_);_("$"* \(#,##0.00\);_("$"* "-"??_);_(@_)</c:formatCode>
                <c:ptCount val="3"/>
                <c:pt idx="0">
                  <c:v>12</c:v>
                </c:pt>
                <c:pt idx="1">
                  <c:v>-6.536438767843741</c:v>
                </c:pt>
                <c:pt idx="2">
                  <c:v>-20.37037037037036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A3-47E0-BBB1-74800B2FA5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481689392"/>
        <c:axId val="1481691056"/>
      </c:lineChart>
      <c:catAx>
        <c:axId val="1481689392"/>
        <c:scaling>
          <c:orientation val="minMax"/>
        </c:scaling>
        <c:delete val="0"/>
        <c:axPos val="b"/>
        <c:numFmt formatCode="0.00%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spc="100" baseline="0">
                <a:solidFill>
                  <a:srgbClr val="FFFF00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81691056"/>
        <c:crosses val="autoZero"/>
        <c:auto val="1"/>
        <c:lblAlgn val="ctr"/>
        <c:lblOffset val="100"/>
        <c:noMultiLvlLbl val="0"/>
      </c:catAx>
      <c:valAx>
        <c:axId val="1481691056"/>
        <c:scaling>
          <c:orientation val="minMax"/>
        </c:scaling>
        <c:delete val="0"/>
        <c:axPos val="l"/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81689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'ej2 (2)'!$L$4</c:f>
              <c:strCache>
                <c:ptCount val="1"/>
                <c:pt idx="0">
                  <c:v>VPN B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800" b="1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'ej2 (2)'!$J$5:$J$7</c:f>
              <c:numCache>
                <c:formatCode>0.00%</c:formatCode>
                <c:ptCount val="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</c:numCache>
            </c:numRef>
          </c:cat>
          <c:val>
            <c:numRef>
              <c:f>'ej2 (2)'!$L$5:$L$7</c:f>
              <c:numCache>
                <c:formatCode>_("$"* #,##0.00_);_("$"* \(#,##0.00\);_("$"* "-"??_);_(@_)</c:formatCode>
                <c:ptCount val="3"/>
                <c:pt idx="0">
                  <c:v>29</c:v>
                </c:pt>
                <c:pt idx="1">
                  <c:v>3.9068369646881962</c:v>
                </c:pt>
                <c:pt idx="2">
                  <c:v>-14.236111111111114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80-4A67-BEDA-9C44838607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426070416"/>
        <c:axId val="1426063760"/>
      </c:lineChart>
      <c:catAx>
        <c:axId val="1426070416"/>
        <c:scaling>
          <c:orientation val="minMax"/>
        </c:scaling>
        <c:delete val="0"/>
        <c:axPos val="b"/>
        <c:numFmt formatCode="0.00%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spc="100" baseline="0">
                <a:solidFill>
                  <a:srgbClr val="FFFF00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26063760"/>
        <c:crosses val="autoZero"/>
        <c:auto val="1"/>
        <c:lblAlgn val="ctr"/>
        <c:lblOffset val="100"/>
        <c:noMultiLvlLbl val="0"/>
      </c:catAx>
      <c:valAx>
        <c:axId val="1426063760"/>
        <c:scaling>
          <c:orientation val="minMax"/>
        </c:scaling>
        <c:delete val="0"/>
        <c:axPos val="l"/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26070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Concreto!$B$38</c:f>
              <c:strCache>
                <c:ptCount val="1"/>
                <c:pt idx="0">
                  <c:v>Flujo neto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Concreto!$C$31:$M$31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Concreto!$C$38:$M$38</c:f>
              <c:numCache>
                <c:formatCode>_-"$"* #,##0_-;\-"$"* #,##0_-;_-"$"* "-"??_-;_-@_-</c:formatCode>
                <c:ptCount val="11"/>
                <c:pt idx="0">
                  <c:v>-270000</c:v>
                </c:pt>
                <c:pt idx="1">
                  <c:v>29000</c:v>
                </c:pt>
                <c:pt idx="2">
                  <c:v>15600</c:v>
                </c:pt>
                <c:pt idx="3">
                  <c:v>42200</c:v>
                </c:pt>
                <c:pt idx="4">
                  <c:v>62000</c:v>
                </c:pt>
                <c:pt idx="5">
                  <c:v>62000</c:v>
                </c:pt>
                <c:pt idx="6">
                  <c:v>62000</c:v>
                </c:pt>
                <c:pt idx="7">
                  <c:v>62000</c:v>
                </c:pt>
                <c:pt idx="8">
                  <c:v>62000</c:v>
                </c:pt>
                <c:pt idx="9">
                  <c:v>62000</c:v>
                </c:pt>
                <c:pt idx="10">
                  <c:v>162000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B6-4359-906E-516837155D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277512015"/>
        <c:axId val="1277512847"/>
      </c:barChart>
      <c:lineChart>
        <c:grouping val="standard"/>
        <c:varyColors val="0"/>
        <c:ser>
          <c:idx val="1"/>
          <c:order val="1"/>
          <c:tx>
            <c:strRef>
              <c:f>Concreto!$B$43</c:f>
              <c:strCache>
                <c:ptCount val="1"/>
                <c:pt idx="0">
                  <c:v>PAYBACK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Concreto!$C$43:$M$43</c:f>
              <c:numCache>
                <c:formatCode>_-"$"* #,##0_-;\-"$"* #,##0_-;_-"$"* "-"??_-;_-@_-</c:formatCode>
                <c:ptCount val="11"/>
                <c:pt idx="0">
                  <c:v>-270000</c:v>
                </c:pt>
                <c:pt idx="1">
                  <c:v>-241000</c:v>
                </c:pt>
                <c:pt idx="2">
                  <c:v>-225400</c:v>
                </c:pt>
                <c:pt idx="3">
                  <c:v>-183200</c:v>
                </c:pt>
                <c:pt idx="4">
                  <c:v>-121200</c:v>
                </c:pt>
                <c:pt idx="5">
                  <c:v>-59200</c:v>
                </c:pt>
                <c:pt idx="6" formatCode="_-* #,##0_-;\-* #,##0_-;_-* &quot;-&quot;??_-;_-@_-">
                  <c:v>2800</c:v>
                </c:pt>
                <c:pt idx="7">
                  <c:v>64800</c:v>
                </c:pt>
                <c:pt idx="8">
                  <c:v>126800</c:v>
                </c:pt>
                <c:pt idx="9">
                  <c:v>188800</c:v>
                </c:pt>
                <c:pt idx="10">
                  <c:v>350800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A1-4CBA-AA04-CB43CA268A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7512015"/>
        <c:axId val="1277512847"/>
      </c:lineChart>
      <c:catAx>
        <c:axId val="1277512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77512847"/>
        <c:crosses val="autoZero"/>
        <c:auto val="1"/>
        <c:lblAlgn val="ctr"/>
        <c:lblOffset val="100"/>
        <c:noMultiLvlLbl val="0"/>
      </c:catAx>
      <c:valAx>
        <c:axId val="1277512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$&quot;* #,##0_-;\-&quot;$&quot;* #,##0_-;_-&quot;$&quot;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77512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image" Target="../media/image3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533400</xdr:colOff>
      <xdr:row>3</xdr:row>
      <xdr:rowOff>190500</xdr:rowOff>
    </xdr:from>
    <xdr:to>
      <xdr:col>10</xdr:col>
      <xdr:colOff>505989</xdr:colOff>
      <xdr:row>6</xdr:row>
      <xdr:rowOff>342900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A2E0F5A-2A6E-4DB2-9AA9-0A4FC241FB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14550" y="742950"/>
          <a:ext cx="6297189" cy="18097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346529</xdr:colOff>
      <xdr:row>2</xdr:row>
      <xdr:rowOff>97479</xdr:rowOff>
    </xdr:from>
    <xdr:to>
      <xdr:col>11</xdr:col>
      <xdr:colOff>757215</xdr:colOff>
      <xdr:row>7</xdr:row>
      <xdr:rowOff>71523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35415CFB-68CF-430E-BF8B-9EDF01F9144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40385"/>
        <a:stretch/>
      </xdr:blipFill>
      <xdr:spPr>
        <a:xfrm>
          <a:off x="6965769" y="463239"/>
          <a:ext cx="2788126" cy="88844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264160</xdr:colOff>
      <xdr:row>3</xdr:row>
      <xdr:rowOff>45720</xdr:rowOff>
    </xdr:from>
    <xdr:to>
      <xdr:col>10</xdr:col>
      <xdr:colOff>398780</xdr:colOff>
      <xdr:row>14</xdr:row>
      <xdr:rowOff>78740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5220F3C-00C7-4A5D-968E-74C5AC4276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173677</xdr:colOff>
      <xdr:row>3</xdr:row>
      <xdr:rowOff>4035</xdr:rowOff>
    </xdr:from>
    <xdr:to>
      <xdr:col>6</xdr:col>
      <xdr:colOff>447362</xdr:colOff>
      <xdr:row>11</xdr:row>
      <xdr:rowOff>117928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3677" y="385035"/>
          <a:ext cx="4845685" cy="1656036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428776</xdr:colOff>
      <xdr:row>1</xdr:row>
      <xdr:rowOff>44768</xdr:rowOff>
    </xdr:from>
    <xdr:to>
      <xdr:col>8</xdr:col>
      <xdr:colOff>153595</xdr:colOff>
      <xdr:row>8</xdr:row>
      <xdr:rowOff>43543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776" y="229825"/>
          <a:ext cx="6667728" cy="187111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>
    <xdr:from>
      <xdr:col>7</xdr:col>
      <xdr:colOff>235213</xdr:colOff>
      <xdr:row>10</xdr:row>
      <xdr:rowOff>52573</xdr:rowOff>
    </xdr:from>
    <xdr:to>
      <xdr:col>15</xdr:col>
      <xdr:colOff>435429</xdr:colOff>
      <xdr:row>32</xdr:row>
      <xdr:rowOff>141516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97972</xdr:colOff>
      <xdr:row>10</xdr:row>
      <xdr:rowOff>67129</xdr:rowOff>
    </xdr:from>
    <xdr:to>
      <xdr:col>24</xdr:col>
      <xdr:colOff>244020</xdr:colOff>
      <xdr:row>32</xdr:row>
      <xdr:rowOff>97973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428776</xdr:colOff>
      <xdr:row>1</xdr:row>
      <xdr:rowOff>44768</xdr:rowOff>
    </xdr:from>
    <xdr:to>
      <xdr:col>8</xdr:col>
      <xdr:colOff>153595</xdr:colOff>
      <xdr:row>8</xdr:row>
      <xdr:rowOff>157843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AE9BE927-93E3-4789-8C9B-0A6DD653B4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776" y="227648"/>
          <a:ext cx="6647045" cy="187329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>
    <xdr:from>
      <xdr:col>7</xdr:col>
      <xdr:colOff>235213</xdr:colOff>
      <xdr:row>10</xdr:row>
      <xdr:rowOff>52573</xdr:rowOff>
    </xdr:from>
    <xdr:to>
      <xdr:col>15</xdr:col>
      <xdr:colOff>435429</xdr:colOff>
      <xdr:row>32</xdr:row>
      <xdr:rowOff>141516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0D52988-66E8-484F-8FF5-86F851B9E9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97972</xdr:colOff>
      <xdr:row>10</xdr:row>
      <xdr:rowOff>67129</xdr:rowOff>
    </xdr:from>
    <xdr:to>
      <xdr:col>24</xdr:col>
      <xdr:colOff>244020</xdr:colOff>
      <xdr:row>32</xdr:row>
      <xdr:rowOff>97973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B6FB09C-6214-43AF-BA9A-F17DE074AD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159544</xdr:colOff>
      <xdr:row>0</xdr:row>
      <xdr:rowOff>116187</xdr:rowOff>
    </xdr:from>
    <xdr:to>
      <xdr:col>6</xdr:col>
      <xdr:colOff>153828</xdr:colOff>
      <xdr:row>11</xdr:row>
      <xdr:rowOff>87060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3544" y="116187"/>
          <a:ext cx="3579018" cy="2066373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365759</xdr:colOff>
      <xdr:row>4</xdr:row>
      <xdr:rowOff>45720</xdr:rowOff>
    </xdr:from>
    <xdr:to>
      <xdr:col>17</xdr:col>
      <xdr:colOff>697522</xdr:colOff>
      <xdr:row>20</xdr:row>
      <xdr:rowOff>62377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10599" y="784860"/>
          <a:ext cx="5086643" cy="2957977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>
    <xdr:from>
      <xdr:col>18</xdr:col>
      <xdr:colOff>681038</xdr:colOff>
      <xdr:row>20</xdr:row>
      <xdr:rowOff>38895</xdr:rowOff>
    </xdr:from>
    <xdr:to>
      <xdr:col>21</xdr:col>
      <xdr:colOff>3175</xdr:colOff>
      <xdr:row>22</xdr:row>
      <xdr:rowOff>97856</xdr:rowOff>
    </xdr:to>
    <xdr:sp macro="" textlink="">
      <xdr:nvSpPr>
        <xdr:cNvPr id="3" name="CuadroTexto 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 txBox="1"/>
      </xdr:nvSpPr>
      <xdr:spPr>
        <a:xfrm>
          <a:off x="15692438" y="3867945"/>
          <a:ext cx="1693862" cy="420911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s-MX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MX" sz="1100" b="1"/>
            <a:t>En ambos casos invierte $500,000 en permisos.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178592</xdr:colOff>
      <xdr:row>1</xdr:row>
      <xdr:rowOff>35719</xdr:rowOff>
    </xdr:from>
    <xdr:to>
      <xdr:col>21</xdr:col>
      <xdr:colOff>11905</xdr:colOff>
      <xdr:row>10</xdr:row>
      <xdr:rowOff>47625</xdr:rowOff>
    </xdr:to>
    <xdr:sp macro="" textlink="">
      <xdr:nvSpPr>
        <xdr:cNvPr id="2" name="Marcador de contenido 2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>
          <a:spLocks noGrp="1"/>
        </xdr:cNvSpPr>
      </xdr:nvSpPr>
      <xdr:spPr>
        <a:xfrm>
          <a:off x="940592" y="226219"/>
          <a:ext cx="19347657" cy="1726406"/>
        </a:xfrm>
        <a:prstGeom prst="rect">
          <a:avLst/>
        </a:prstGeom>
        <a:solidFill>
          <a:schemeClr val="tx1"/>
        </a:solidFill>
      </xdr:spPr>
      <xdr:txBody>
        <a:bodyPr vert="horz" wrap="square" lIns="91440" tIns="45720" rIns="91440" bIns="45720" rtlCol="0">
          <a:noAutofit/>
        </a:bodyPr>
        <a:lstStyle>
          <a:lvl1pPr marL="342900" indent="-228600" algn="l" defTabSz="914400" rtl="0" eaLnBrk="1" latinLnBrk="0" hangingPunct="1">
            <a:spcBef>
              <a:spcPct val="20000"/>
            </a:spcBef>
            <a:buClr>
              <a:schemeClr val="accent1"/>
            </a:buClr>
            <a:buFont typeface="Arial" pitchFamily="34" charset="0"/>
            <a:buChar char="•"/>
            <a:defRPr sz="22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640080" indent="-228600" algn="l" defTabSz="914400" rtl="0" eaLnBrk="1" latinLnBrk="0" hangingPunct="1">
            <a:spcBef>
              <a:spcPct val="20000"/>
            </a:spcBef>
            <a:buClr>
              <a:schemeClr val="accent2"/>
            </a:buClr>
            <a:buFont typeface="Arial" pitchFamily="34" charset="0"/>
            <a:buChar char="•"/>
            <a:defRPr sz="20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1005840" indent="-228600" algn="l" defTabSz="914400" rtl="0" eaLnBrk="1" latinLnBrk="0" hangingPunct="1">
            <a:spcBef>
              <a:spcPct val="20000"/>
            </a:spcBef>
            <a:buClr>
              <a:schemeClr val="accent3"/>
            </a:buClr>
            <a:buFont typeface="Arial" pitchFamily="34" charset="0"/>
            <a:buChar char="•"/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280160" indent="-228600" algn="l" defTabSz="914400" rtl="0" eaLnBrk="1" latinLnBrk="0" hangingPunct="1">
            <a:spcBef>
              <a:spcPct val="20000"/>
            </a:spcBef>
            <a:buClr>
              <a:schemeClr val="accent4"/>
            </a:buClr>
            <a:buFont typeface="Arial" pitchFamily="34" charset="0"/>
            <a:buChar char="•"/>
            <a:defRPr sz="16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554480" indent="-228600" algn="l" defTabSz="914400" rtl="0" eaLnBrk="1" latinLnBrk="0" hangingPunct="1">
            <a:spcBef>
              <a:spcPct val="20000"/>
            </a:spcBef>
            <a:buClr>
              <a:schemeClr val="accent5"/>
            </a:buClr>
            <a:buFont typeface="Arial" pitchFamily="34" charset="0"/>
            <a:buChar char="•"/>
            <a:defRPr sz="1400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1737360" indent="-182880" algn="l" defTabSz="914400" rtl="0" eaLnBrk="1" latinLnBrk="0" hangingPunct="1">
            <a:spcBef>
              <a:spcPct val="20000"/>
            </a:spcBef>
            <a:buClr>
              <a:schemeClr val="accent1"/>
            </a:buClr>
            <a:buFont typeface="Arial" pitchFamily="34" charset="0"/>
            <a:buChar char="•"/>
            <a:defRPr sz="1400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1920240" indent="-182880" algn="l" defTabSz="914400" rtl="0" eaLnBrk="1" latinLnBrk="0" hangingPunct="1">
            <a:spcBef>
              <a:spcPct val="20000"/>
            </a:spcBef>
            <a:buClr>
              <a:schemeClr val="accent2"/>
            </a:buClr>
            <a:buFont typeface="Arial" pitchFamily="34" charset="0"/>
            <a:buChar char="•"/>
            <a:defRPr sz="14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2103120" indent="-182880" algn="l" defTabSz="914400" rtl="0" eaLnBrk="1" latinLnBrk="0" hangingPunct="1">
            <a:spcBef>
              <a:spcPct val="20000"/>
            </a:spcBef>
            <a:buClr>
              <a:schemeClr val="accent3"/>
            </a:buClr>
            <a:buFont typeface="Arial" pitchFamily="34" charset="0"/>
            <a:buChar char="•"/>
            <a:defRPr sz="14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2286000" indent="-182880" algn="l" defTabSz="914400" rtl="0" eaLnBrk="1" latinLnBrk="0" hangingPunct="1">
            <a:spcBef>
              <a:spcPct val="20000"/>
            </a:spcBef>
            <a:buClr>
              <a:schemeClr val="accent4"/>
            </a:buClr>
            <a:buFont typeface="Arial" pitchFamily="34" charset="0"/>
            <a:buChar char="•"/>
            <a:defRPr sz="14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114300" indent="0" algn="just">
            <a:buNone/>
          </a:pPr>
          <a:r>
            <a:rPr lang="es-MX" sz="1200" b="0" spc="-100">
              <a:solidFill>
                <a:schemeClr val="bg1"/>
              </a:solidFill>
              <a:latin typeface="+mj-lt"/>
              <a:ea typeface="+mj-ea"/>
              <a:cs typeface="+mj-cs"/>
            </a:rPr>
            <a:t>Una empresa que produce concreto estudia la conveniencia de poner un punto de venta en el sureste de la ciudad.</a:t>
          </a:r>
        </a:p>
        <a:p>
          <a:pPr marL="114300" indent="0" algn="just">
            <a:buNone/>
          </a:pPr>
          <a:r>
            <a:rPr lang="es-MX" sz="1200" b="0" spc="-100">
              <a:solidFill>
                <a:schemeClr val="bg1"/>
              </a:solidFill>
              <a:latin typeface="+mj-lt"/>
              <a:ea typeface="+mj-ea"/>
              <a:cs typeface="+mj-cs"/>
            </a:rPr>
            <a:t>El precio de adquisición del nuevo punto es de $270,000 que incluye: terreno $80,000 y de la planta de concreto $120,000 (propia) además se debe ejecutar obras adicionales por un monto de $70,000. Se considera que la vida útil de 10 años y el periodo cero se realizan las inversiones.  Se estima que al término de este plazo el terreno tenga un valor de $100,000 y que las edificaciones tendrán un valor residual de cero. </a:t>
          </a:r>
        </a:p>
        <a:p>
          <a:pPr marL="114300" indent="0" algn="just">
            <a:buNone/>
          </a:pPr>
          <a:r>
            <a:rPr lang="es-MX" sz="1200" b="0" spc="-100">
              <a:solidFill>
                <a:schemeClr val="bg1"/>
              </a:solidFill>
              <a:latin typeface="+mj-lt"/>
              <a:ea typeface="+mj-ea"/>
              <a:cs typeface="+mj-cs"/>
            </a:rPr>
            <a:t>La capacidad de producción es de 170 M3, a un precio de $800 por  M3, considerar que el primer año se vende el 50%, el segundo el 60%, el tercer el 70% y a partir del cuarto año se vende el 100%. El costo de producción variable es de $70,000 anuales y los gastos fijos son de $4,000 anuales. En el segundo año, se realiza una inversión por $20,000 para la compra de un camión. Se le pide:</a:t>
          </a:r>
        </a:p>
        <a:p>
          <a:pPr marL="274638" indent="0" algn="just">
            <a:buNone/>
          </a:pPr>
          <a:r>
            <a:rPr lang="es-MX" sz="1200" b="0" spc="-100">
              <a:solidFill>
                <a:schemeClr val="bg1"/>
              </a:solidFill>
              <a:latin typeface="+mj-lt"/>
              <a:ea typeface="+mj-ea"/>
              <a:cs typeface="+mj-cs"/>
            </a:rPr>
            <a:t>1) Realice el Fuljo del Proyecto.</a:t>
          </a:r>
        </a:p>
        <a:p>
          <a:pPr marL="274638" indent="0" algn="just">
            <a:buNone/>
          </a:pPr>
          <a:r>
            <a:rPr lang="es-MX" sz="1200" b="0" spc="-100">
              <a:solidFill>
                <a:schemeClr val="bg1"/>
              </a:solidFill>
              <a:latin typeface="+mj-lt"/>
              <a:ea typeface="+mj-ea"/>
              <a:cs typeface="+mj-cs"/>
            </a:rPr>
            <a:t>2) Grafique los flujos del proyecto.</a:t>
          </a:r>
        </a:p>
        <a:p>
          <a:pPr marL="274638" indent="0" algn="just">
            <a:buNone/>
          </a:pPr>
          <a:r>
            <a:rPr lang="es-MX" sz="1200" b="0" spc="-100">
              <a:solidFill>
                <a:schemeClr val="bg1"/>
              </a:solidFill>
              <a:latin typeface="+mj-lt"/>
              <a:ea typeface="+mj-ea"/>
              <a:cs typeface="+mj-cs"/>
            </a:rPr>
            <a:t>3) Realice el VPN, TIR y Valor de Rescate.</a:t>
          </a:r>
        </a:p>
      </xdr:txBody>
    </xdr:sp>
    <xdr:clientData/>
  </xdr:twoCellAnchor>
  <xdr:twoCellAnchor>
    <xdr:from>
      <xdr:col>1</xdr:col>
      <xdr:colOff>845343</xdr:colOff>
      <xdr:row>44</xdr:row>
      <xdr:rowOff>164307</xdr:rowOff>
    </xdr:from>
    <xdr:to>
      <xdr:col>9</xdr:col>
      <xdr:colOff>797718</xdr:colOff>
      <xdr:row>62</xdr:row>
      <xdr:rowOff>11907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C77EC-74E1-40AF-A46F-48FEAF6ED382}">
  <dimension ref="L3:P8"/>
  <sheetViews>
    <sheetView zoomScale="80" zoomScaleNormal="80" workbookViewId="0">
      <selection activeCell="P5" sqref="P5"/>
    </sheetView>
  </sheetViews>
  <sheetFormatPr baseColWidth="10" defaultRowHeight="14.4"/>
  <cols>
    <col min="12" max="12" width="6.21875" bestFit="1" customWidth="1"/>
    <col min="13" max="13" width="9.109375" bestFit="1" customWidth="1"/>
    <col min="14" max="14" width="6.77734375" bestFit="1" customWidth="1"/>
    <col min="15" max="15" width="18.88671875" customWidth="1"/>
    <col min="16" max="16" width="19.88671875" bestFit="1" customWidth="1"/>
  </cols>
  <sheetData>
    <row r="3" spans="12:16" ht="15" thickBot="1"/>
    <row r="4" spans="12:16" ht="21.6" thickBot="1">
      <c r="L4" s="152" t="s">
        <v>49</v>
      </c>
      <c r="M4" s="152" t="s">
        <v>50</v>
      </c>
      <c r="N4" s="152" t="s">
        <v>12</v>
      </c>
      <c r="O4" s="152" t="s">
        <v>51</v>
      </c>
      <c r="P4" s="152" t="s">
        <v>52</v>
      </c>
    </row>
    <row r="5" spans="12:16" ht="24" thickTop="1" thickBot="1">
      <c r="L5" s="153">
        <v>0</v>
      </c>
      <c r="M5" s="154">
        <v>-4000</v>
      </c>
      <c r="N5" s="155"/>
      <c r="O5" s="155"/>
      <c r="P5" s="154">
        <v>-4000</v>
      </c>
    </row>
    <row r="6" spans="12:16" ht="21.6" thickBot="1">
      <c r="L6" s="156">
        <v>1</v>
      </c>
      <c r="M6" s="157">
        <v>2500</v>
      </c>
      <c r="N6" s="158">
        <v>0.25</v>
      </c>
      <c r="O6" s="156" t="s">
        <v>53</v>
      </c>
      <c r="P6" s="157">
        <v>2000</v>
      </c>
    </row>
    <row r="7" spans="12:16" ht="21.6" thickBot="1">
      <c r="L7" s="159">
        <v>2</v>
      </c>
      <c r="M7" s="160">
        <v>3500</v>
      </c>
      <c r="N7" s="161">
        <v>0.25</v>
      </c>
      <c r="O7" s="159" t="s">
        <v>54</v>
      </c>
      <c r="P7" s="160">
        <v>2240</v>
      </c>
    </row>
    <row r="8" spans="12:16" ht="23.4" thickBot="1">
      <c r="L8" s="162"/>
      <c r="M8" s="182" t="s">
        <v>55</v>
      </c>
      <c r="N8" s="183"/>
      <c r="O8" s="184"/>
      <c r="P8" s="163">
        <v>240</v>
      </c>
    </row>
  </sheetData>
  <mergeCells count="1">
    <mergeCell ref="M8:O8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2:M43"/>
  <sheetViews>
    <sheetView tabSelected="1" topLeftCell="A16" zoomScale="90" zoomScaleNormal="90" workbookViewId="0">
      <selection activeCell="A31" sqref="A31"/>
    </sheetView>
  </sheetViews>
  <sheetFormatPr baseColWidth="10" defaultRowHeight="14.4"/>
  <cols>
    <col min="2" max="2" width="29.21875" bestFit="1" customWidth="1"/>
    <col min="3" max="3" width="14.6640625" bestFit="1" customWidth="1"/>
    <col min="4" max="12" width="13.109375" bestFit="1" customWidth="1"/>
    <col min="13" max="13" width="14.6640625" bestFit="1" customWidth="1"/>
  </cols>
  <sheetData>
    <row r="12" spans="2:3">
      <c r="B12" t="s">
        <v>12</v>
      </c>
      <c r="C12" s="43">
        <v>0.1</v>
      </c>
    </row>
    <row r="13" spans="2:3">
      <c r="B13" t="s">
        <v>30</v>
      </c>
      <c r="C13" s="1">
        <v>80000</v>
      </c>
    </row>
    <row r="14" spans="2:3">
      <c r="B14" t="s">
        <v>31</v>
      </c>
      <c r="C14" s="1">
        <v>120000</v>
      </c>
    </row>
    <row r="15" spans="2:3">
      <c r="B15" s="56" t="s">
        <v>32</v>
      </c>
      <c r="C15" s="14">
        <v>70000</v>
      </c>
    </row>
    <row r="16" spans="2:3">
      <c r="B16" s="57" t="s">
        <v>7</v>
      </c>
      <c r="C16" s="1">
        <f>SUM(C13:C15)</f>
        <v>270000</v>
      </c>
    </row>
    <row r="17" spans="2:13">
      <c r="C17" s="58"/>
    </row>
    <row r="18" spans="2:13">
      <c r="B18" t="s">
        <v>33</v>
      </c>
      <c r="C18" s="1">
        <v>20000</v>
      </c>
    </row>
    <row r="19" spans="2:13">
      <c r="C19" s="59"/>
    </row>
    <row r="20" spans="2:13">
      <c r="B20" t="s">
        <v>34</v>
      </c>
      <c r="C20" s="1">
        <v>100000</v>
      </c>
    </row>
    <row r="21" spans="2:13">
      <c r="C21" s="59"/>
    </row>
    <row r="22" spans="2:13">
      <c r="B22" t="s">
        <v>35</v>
      </c>
      <c r="C22" s="60">
        <v>170</v>
      </c>
      <c r="D22" t="s">
        <v>36</v>
      </c>
    </row>
    <row r="23" spans="2:13">
      <c r="B23" t="s">
        <v>37</v>
      </c>
      <c r="C23" s="61">
        <v>0.5</v>
      </c>
    </row>
    <row r="24" spans="2:13">
      <c r="B24" t="s">
        <v>37</v>
      </c>
      <c r="C24" s="61">
        <v>0.6</v>
      </c>
    </row>
    <row r="25" spans="2:13">
      <c r="B25" t="s">
        <v>37</v>
      </c>
      <c r="C25" s="61">
        <v>0.7</v>
      </c>
    </row>
    <row r="26" spans="2:13">
      <c r="B26" t="s">
        <v>38</v>
      </c>
      <c r="C26" s="61">
        <v>1</v>
      </c>
    </row>
    <row r="27" spans="2:13">
      <c r="B27" t="s">
        <v>39</v>
      </c>
      <c r="C27" s="62">
        <v>800</v>
      </c>
    </row>
    <row r="28" spans="2:13">
      <c r="B28" t="s">
        <v>40</v>
      </c>
      <c r="C28" s="62">
        <v>70000</v>
      </c>
    </row>
    <row r="29" spans="2:13">
      <c r="B29" t="s">
        <v>41</v>
      </c>
      <c r="C29" s="62">
        <v>4000</v>
      </c>
    </row>
    <row r="31" spans="2:13" ht="21">
      <c r="B31" s="86" t="s">
        <v>48</v>
      </c>
      <c r="C31" s="84">
        <v>0</v>
      </c>
      <c r="D31" s="84">
        <v>1</v>
      </c>
      <c r="E31" s="84">
        <v>2</v>
      </c>
      <c r="F31" s="84">
        <v>3</v>
      </c>
      <c r="G31" s="84">
        <v>4</v>
      </c>
      <c r="H31" s="84">
        <v>5</v>
      </c>
      <c r="I31" s="84">
        <v>6</v>
      </c>
      <c r="J31" s="84">
        <v>7</v>
      </c>
      <c r="K31" s="84">
        <v>8</v>
      </c>
      <c r="L31" s="84">
        <v>9</v>
      </c>
      <c r="M31" s="84">
        <v>10</v>
      </c>
    </row>
    <row r="32" spans="2:13" ht="18">
      <c r="B32" s="72" t="s">
        <v>7</v>
      </c>
      <c r="C32" s="73">
        <f>-C16</f>
        <v>-270000</v>
      </c>
      <c r="D32" s="73"/>
      <c r="E32" s="73">
        <f>-C18</f>
        <v>-20000</v>
      </c>
      <c r="F32" s="73"/>
      <c r="G32" s="73"/>
      <c r="H32" s="73"/>
      <c r="I32" s="73"/>
      <c r="J32" s="73"/>
      <c r="K32" s="73"/>
      <c r="L32" s="73"/>
      <c r="M32" s="73"/>
    </row>
    <row r="33" spans="2:13" ht="18">
      <c r="B33" s="74" t="s">
        <v>8</v>
      </c>
      <c r="C33" s="75"/>
      <c r="D33" s="76">
        <f>$C$22*$C$27*C23</f>
        <v>68000</v>
      </c>
      <c r="E33" s="76">
        <f>$C$22*$C$27*C24</f>
        <v>81600</v>
      </c>
      <c r="F33" s="76">
        <f>$C$22*$C$27*C25</f>
        <v>95200</v>
      </c>
      <c r="G33" s="76">
        <f t="shared" ref="G33:M33" si="0">$C$22*$C$27*$C$26</f>
        <v>136000</v>
      </c>
      <c r="H33" s="76">
        <f t="shared" si="0"/>
        <v>136000</v>
      </c>
      <c r="I33" s="76">
        <f t="shared" si="0"/>
        <v>136000</v>
      </c>
      <c r="J33" s="76">
        <f t="shared" si="0"/>
        <v>136000</v>
      </c>
      <c r="K33" s="76">
        <f t="shared" si="0"/>
        <v>136000</v>
      </c>
      <c r="L33" s="76">
        <f t="shared" si="0"/>
        <v>136000</v>
      </c>
      <c r="M33" s="76">
        <f t="shared" si="0"/>
        <v>136000</v>
      </c>
    </row>
    <row r="34" spans="2:13" ht="18">
      <c r="B34" s="77" t="s">
        <v>9</v>
      </c>
      <c r="C34" s="77"/>
      <c r="D34" s="78">
        <f>D35+D36</f>
        <v>39000</v>
      </c>
      <c r="E34" s="78">
        <f t="shared" ref="E34:M34" si="1">E35+E36</f>
        <v>46000</v>
      </c>
      <c r="F34" s="78">
        <f t="shared" si="1"/>
        <v>53000</v>
      </c>
      <c r="G34" s="78">
        <f t="shared" si="1"/>
        <v>74000</v>
      </c>
      <c r="H34" s="78">
        <f t="shared" si="1"/>
        <v>74000</v>
      </c>
      <c r="I34" s="78">
        <f t="shared" si="1"/>
        <v>74000</v>
      </c>
      <c r="J34" s="78">
        <f t="shared" si="1"/>
        <v>74000</v>
      </c>
      <c r="K34" s="78">
        <f t="shared" si="1"/>
        <v>74000</v>
      </c>
      <c r="L34" s="78">
        <f t="shared" si="1"/>
        <v>74000</v>
      </c>
      <c r="M34" s="78">
        <f t="shared" si="1"/>
        <v>74000</v>
      </c>
    </row>
    <row r="35" spans="2:13" ht="18">
      <c r="B35" s="79" t="s">
        <v>42</v>
      </c>
      <c r="C35" s="80"/>
      <c r="D35" s="81">
        <f>C23*$C$28</f>
        <v>35000</v>
      </c>
      <c r="E35" s="81">
        <f>C24*$C$28</f>
        <v>42000</v>
      </c>
      <c r="F35" s="81">
        <f>C25*$C$28</f>
        <v>49000</v>
      </c>
      <c r="G35" s="81">
        <f t="shared" ref="G35:M35" si="2">$C$26*$C$28</f>
        <v>70000</v>
      </c>
      <c r="H35" s="81">
        <f t="shared" si="2"/>
        <v>70000</v>
      </c>
      <c r="I35" s="81">
        <f t="shared" si="2"/>
        <v>70000</v>
      </c>
      <c r="J35" s="81">
        <f t="shared" si="2"/>
        <v>70000</v>
      </c>
      <c r="K35" s="81">
        <f t="shared" si="2"/>
        <v>70000</v>
      </c>
      <c r="L35" s="81">
        <f t="shared" si="2"/>
        <v>70000</v>
      </c>
      <c r="M35" s="81">
        <f t="shared" si="2"/>
        <v>70000</v>
      </c>
    </row>
    <row r="36" spans="2:13" ht="18">
      <c r="B36" s="79" t="s">
        <v>43</v>
      </c>
      <c r="C36" s="80"/>
      <c r="D36" s="81">
        <f t="shared" ref="D36:M36" si="3">$C$29</f>
        <v>4000</v>
      </c>
      <c r="E36" s="81">
        <f t="shared" si="3"/>
        <v>4000</v>
      </c>
      <c r="F36" s="81">
        <f t="shared" si="3"/>
        <v>4000</v>
      </c>
      <c r="G36" s="81">
        <f t="shared" si="3"/>
        <v>4000</v>
      </c>
      <c r="H36" s="81">
        <f t="shared" si="3"/>
        <v>4000</v>
      </c>
      <c r="I36" s="81">
        <f t="shared" si="3"/>
        <v>4000</v>
      </c>
      <c r="J36" s="81">
        <f t="shared" si="3"/>
        <v>4000</v>
      </c>
      <c r="K36" s="81">
        <f t="shared" si="3"/>
        <v>4000</v>
      </c>
      <c r="L36" s="81">
        <f t="shared" si="3"/>
        <v>4000</v>
      </c>
      <c r="M36" s="81">
        <f t="shared" si="3"/>
        <v>4000</v>
      </c>
    </row>
    <row r="37" spans="2:13" ht="18">
      <c r="B37" s="82" t="s">
        <v>34</v>
      </c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3">
        <f>C20</f>
        <v>100000</v>
      </c>
    </row>
    <row r="38" spans="2:13" ht="21">
      <c r="B38" s="63" t="s">
        <v>44</v>
      </c>
      <c r="C38" s="64">
        <f>C32+C33-C35-C36+C37</f>
        <v>-270000</v>
      </c>
      <c r="D38" s="64">
        <f>D32+D33-D35-D36+D37</f>
        <v>29000</v>
      </c>
      <c r="E38" s="64">
        <f>E32+E33-E35-E36+E37</f>
        <v>15600</v>
      </c>
      <c r="F38" s="64">
        <f t="shared" ref="F38:M38" si="4">F32+F33-F35-F36+F37</f>
        <v>42200</v>
      </c>
      <c r="G38" s="64">
        <f t="shared" si="4"/>
        <v>62000</v>
      </c>
      <c r="H38" s="64">
        <f t="shared" si="4"/>
        <v>62000</v>
      </c>
      <c r="I38" s="64">
        <f t="shared" si="4"/>
        <v>62000</v>
      </c>
      <c r="J38" s="64">
        <f t="shared" si="4"/>
        <v>62000</v>
      </c>
      <c r="K38" s="64">
        <f t="shared" si="4"/>
        <v>62000</v>
      </c>
      <c r="L38" s="64">
        <f t="shared" si="4"/>
        <v>62000</v>
      </c>
      <c r="M38" s="64">
        <f t="shared" si="4"/>
        <v>162000</v>
      </c>
    </row>
    <row r="39" spans="2:13" ht="21">
      <c r="B39" s="65" t="s">
        <v>45</v>
      </c>
      <c r="C39" s="66">
        <f t="shared" ref="C39:M39" si="5">C38/(1+$C$12)^C31</f>
        <v>-270000</v>
      </c>
      <c r="D39" s="66">
        <f>D38/(1+$C$12)^D31</f>
        <v>26363.63636363636</v>
      </c>
      <c r="E39" s="66">
        <f t="shared" si="5"/>
        <v>12892.561983471072</v>
      </c>
      <c r="F39" s="66">
        <f t="shared" si="5"/>
        <v>31705.484598046573</v>
      </c>
      <c r="G39" s="66">
        <f t="shared" si="5"/>
        <v>42346.83423263437</v>
      </c>
      <c r="H39" s="66">
        <f t="shared" si="5"/>
        <v>38497.122029667611</v>
      </c>
      <c r="I39" s="66">
        <f t="shared" si="5"/>
        <v>34997.383663334185</v>
      </c>
      <c r="J39" s="66">
        <f t="shared" si="5"/>
        <v>31815.803330303799</v>
      </c>
      <c r="K39" s="66">
        <f t="shared" si="5"/>
        <v>28923.457573003456</v>
      </c>
      <c r="L39" s="66">
        <f t="shared" si="5"/>
        <v>26294.052339094051</v>
      </c>
      <c r="M39" s="66">
        <f t="shared" si="5"/>
        <v>62458.012887584096</v>
      </c>
    </row>
    <row r="40" spans="2:13" ht="23.4">
      <c r="B40" s="67" t="s">
        <v>15</v>
      </c>
      <c r="C40" s="68">
        <f>SUM(C39:M39)</f>
        <v>66294.349000775546</v>
      </c>
    </row>
    <row r="41" spans="2:13" ht="23.4">
      <c r="B41" s="67" t="s">
        <v>3</v>
      </c>
      <c r="C41" s="69">
        <f>IRR(C38:M38)</f>
        <v>0.14172519565486952</v>
      </c>
    </row>
    <row r="42" spans="2:13" ht="23.4">
      <c r="B42" s="67" t="s">
        <v>46</v>
      </c>
      <c r="C42" s="70" t="s">
        <v>47</v>
      </c>
    </row>
    <row r="43" spans="2:13" ht="23.4">
      <c r="B43" s="85" t="s">
        <v>46</v>
      </c>
      <c r="C43" s="185">
        <f>C38</f>
        <v>-270000</v>
      </c>
      <c r="D43" s="185">
        <f>C43+D38</f>
        <v>-241000</v>
      </c>
      <c r="E43" s="185">
        <f>D43+E38</f>
        <v>-225400</v>
      </c>
      <c r="F43" s="185">
        <f t="shared" ref="F43:I43" si="6">E43+F38</f>
        <v>-183200</v>
      </c>
      <c r="G43" s="185">
        <f t="shared" si="6"/>
        <v>-121200</v>
      </c>
      <c r="H43" s="185">
        <f t="shared" si="6"/>
        <v>-59200</v>
      </c>
      <c r="I43" s="68">
        <f t="shared" si="6"/>
        <v>2800</v>
      </c>
      <c r="J43" s="71">
        <f t="shared" ref="J43" si="7">I43+J38</f>
        <v>64800</v>
      </c>
      <c r="K43" s="71">
        <f t="shared" ref="K43" si="8">J43+K38</f>
        <v>126800</v>
      </c>
      <c r="L43" s="71">
        <f t="shared" ref="L43" si="9">K43+L38</f>
        <v>188800</v>
      </c>
      <c r="M43" s="71">
        <f t="shared" ref="M43" si="10">L43+M38</f>
        <v>350800</v>
      </c>
    </row>
  </sheetData>
  <pageMargins left="0.7" right="0.7" top="0.75" bottom="0.75" header="0.3" footer="0.3"/>
  <pageSetup orientation="portrait" horizontalDpi="90" verticalDpi="90" r:id="rId1"/>
  <ignoredErrors>
    <ignoredError sqref="C16" formulaRange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16"/>
  <sheetViews>
    <sheetView zoomScale="150" zoomScaleNormal="150" workbookViewId="0">
      <selection activeCell="E13" sqref="E13"/>
    </sheetView>
  </sheetViews>
  <sheetFormatPr baseColWidth="10" defaultRowHeight="14.4"/>
  <cols>
    <col min="2" max="2" width="31.109375" bestFit="1" customWidth="1"/>
    <col min="3" max="3" width="14.21875" bestFit="1" customWidth="1"/>
    <col min="4" max="8" width="7.88671875" bestFit="1" customWidth="1"/>
  </cols>
  <sheetData>
    <row r="2" spans="2:8">
      <c r="C2" t="s">
        <v>4</v>
      </c>
      <c r="D2" s="173">
        <v>1</v>
      </c>
    </row>
    <row r="3" spans="2:8">
      <c r="C3" t="s">
        <v>5</v>
      </c>
      <c r="D3" s="174">
        <v>1</v>
      </c>
    </row>
    <row r="4" spans="2:8">
      <c r="B4" s="5" t="s">
        <v>6</v>
      </c>
      <c r="C4" s="6">
        <v>0</v>
      </c>
      <c r="D4" s="6">
        <v>1</v>
      </c>
      <c r="E4" s="6">
        <v>2</v>
      </c>
      <c r="F4" s="6">
        <v>3</v>
      </c>
      <c r="G4" s="6">
        <v>4</v>
      </c>
      <c r="H4" s="6">
        <v>5</v>
      </c>
    </row>
    <row r="5" spans="2:8">
      <c r="B5" s="7" t="s">
        <v>7</v>
      </c>
      <c r="C5" s="8">
        <v>-10000</v>
      </c>
      <c r="D5" s="8"/>
      <c r="E5" s="8"/>
      <c r="F5" s="8"/>
      <c r="G5" s="8"/>
      <c r="H5" s="9"/>
    </row>
    <row r="6" spans="2:8">
      <c r="B6" s="10" t="s">
        <v>8</v>
      </c>
      <c r="C6" s="11"/>
      <c r="D6" s="87">
        <f>6110*D3</f>
        <v>6110</v>
      </c>
      <c r="E6" s="87">
        <f>D6</f>
        <v>6110</v>
      </c>
      <c r="F6" s="87">
        <f t="shared" ref="F6:H7" si="0">E6</f>
        <v>6110</v>
      </c>
      <c r="G6" s="87">
        <f t="shared" si="0"/>
        <v>6110</v>
      </c>
      <c r="H6" s="88">
        <f t="shared" si="0"/>
        <v>6110</v>
      </c>
    </row>
    <row r="7" spans="2:8">
      <c r="B7" s="10" t="s">
        <v>9</v>
      </c>
      <c r="C7" s="11"/>
      <c r="D7" s="89">
        <f>-3000*D2</f>
        <v>-3000</v>
      </c>
      <c r="E7" s="89">
        <f>D7</f>
        <v>-3000</v>
      </c>
      <c r="F7" s="89">
        <f t="shared" si="0"/>
        <v>-3000</v>
      </c>
      <c r="G7" s="89">
        <f t="shared" si="0"/>
        <v>-3000</v>
      </c>
      <c r="H7" s="90">
        <f t="shared" si="0"/>
        <v>-3000</v>
      </c>
    </row>
    <row r="8" spans="2:8">
      <c r="B8" s="13" t="s">
        <v>10</v>
      </c>
      <c r="C8" s="14"/>
      <c r="D8" s="14"/>
      <c r="E8" s="14"/>
      <c r="F8" s="14"/>
      <c r="G8" s="14"/>
      <c r="H8" s="15">
        <v>2000</v>
      </c>
    </row>
    <row r="9" spans="2:8">
      <c r="B9" s="10" t="s">
        <v>11</v>
      </c>
      <c r="C9" s="11">
        <f>SUM(C5:C8)</f>
        <v>-10000</v>
      </c>
      <c r="D9" s="11">
        <f t="shared" ref="D9:H9" si="1">SUM(D5:D8)</f>
        <v>3110</v>
      </c>
      <c r="E9" s="11">
        <f t="shared" si="1"/>
        <v>3110</v>
      </c>
      <c r="F9" s="11">
        <f t="shared" si="1"/>
        <v>3110</v>
      </c>
      <c r="G9" s="11">
        <f t="shared" si="1"/>
        <v>3110</v>
      </c>
      <c r="H9" s="12">
        <f t="shared" si="1"/>
        <v>5110</v>
      </c>
    </row>
    <row r="10" spans="2:8">
      <c r="B10" s="10" t="s">
        <v>12</v>
      </c>
      <c r="C10" s="16"/>
      <c r="D10" s="44">
        <v>0.1</v>
      </c>
      <c r="E10" s="16">
        <f t="shared" ref="E10:H10" si="2">D10</f>
        <v>0.1</v>
      </c>
      <c r="F10" s="16">
        <f t="shared" si="2"/>
        <v>0.1</v>
      </c>
      <c r="G10" s="16">
        <f t="shared" si="2"/>
        <v>0.1</v>
      </c>
      <c r="H10" s="17">
        <f t="shared" si="2"/>
        <v>0.1</v>
      </c>
    </row>
    <row r="11" spans="2:8">
      <c r="B11" s="10" t="s">
        <v>13</v>
      </c>
      <c r="C11" s="18">
        <f>1/(1+C10)^C4</f>
        <v>1</v>
      </c>
      <c r="D11" s="18">
        <f>1/(1+D10)^D4</f>
        <v>0.90909090909090906</v>
      </c>
      <c r="E11" s="18">
        <f t="shared" ref="E11:H11" si="3">1/(1+E10)^E4</f>
        <v>0.82644628099173545</v>
      </c>
      <c r="F11" s="18">
        <f t="shared" si="3"/>
        <v>0.75131480090157754</v>
      </c>
      <c r="G11" s="18">
        <f t="shared" si="3"/>
        <v>0.68301345536507052</v>
      </c>
      <c r="H11" s="19">
        <f t="shared" si="3"/>
        <v>0.62092132305915493</v>
      </c>
    </row>
    <row r="12" spans="2:8">
      <c r="B12" s="13" t="s">
        <v>14</v>
      </c>
      <c r="C12" s="171">
        <f>C9*C11</f>
        <v>-10000</v>
      </c>
      <c r="D12" s="171">
        <f>D9*D11</f>
        <v>2827.272727272727</v>
      </c>
      <c r="E12" s="171">
        <f>E9*E11</f>
        <v>2570.2479338842973</v>
      </c>
      <c r="F12" s="171">
        <f>F9*F11</f>
        <v>2336.5890308039061</v>
      </c>
      <c r="G12" s="171">
        <f t="shared" ref="G12" si="4">G9*G11</f>
        <v>2124.1718461853693</v>
      </c>
      <c r="H12" s="172">
        <f>H9*H11</f>
        <v>3172.9079608322818</v>
      </c>
    </row>
    <row r="13" spans="2:8" ht="23.4">
      <c r="B13" s="21" t="s">
        <v>15</v>
      </c>
      <c r="C13" s="164">
        <f>SUM(C12:H12)</f>
        <v>3031.1894989785819</v>
      </c>
      <c r="D13" s="23"/>
      <c r="E13" s="23"/>
      <c r="F13" s="23"/>
      <c r="G13" s="23"/>
      <c r="H13" s="24"/>
    </row>
    <row r="14" spans="2:8" ht="23.4">
      <c r="B14" s="91" t="s">
        <v>3</v>
      </c>
      <c r="C14" s="92">
        <f>IRR(C9:H9)</f>
        <v>0.20442779234835018</v>
      </c>
      <c r="D14" s="26"/>
      <c r="E14" s="26"/>
      <c r="F14" s="26"/>
      <c r="G14" s="26"/>
      <c r="H14" s="26"/>
    </row>
    <row r="15" spans="2:8">
      <c r="B15" s="21" t="s">
        <v>56</v>
      </c>
      <c r="C15" s="93">
        <f>C9</f>
        <v>-10000</v>
      </c>
      <c r="D15" s="93">
        <f>C15+D9</f>
        <v>-6890</v>
      </c>
      <c r="E15" s="93">
        <f>D15+E9</f>
        <v>-3780</v>
      </c>
      <c r="F15" s="94">
        <f>E15+F9</f>
        <v>-670</v>
      </c>
      <c r="G15" s="95">
        <f>F15+G9</f>
        <v>2440</v>
      </c>
      <c r="H15" s="26"/>
    </row>
    <row r="16" spans="2:8">
      <c r="B16" s="21" t="s">
        <v>57</v>
      </c>
      <c r="C16" s="93">
        <f>C9</f>
        <v>-10000</v>
      </c>
      <c r="D16" s="93">
        <f>C16+D12</f>
        <v>-7172.727272727273</v>
      </c>
      <c r="E16" s="93">
        <f t="shared" ref="E16:H16" si="5">D16+E12</f>
        <v>-4602.4793388429753</v>
      </c>
      <c r="F16" s="93">
        <f t="shared" si="5"/>
        <v>-2265.8903080390692</v>
      </c>
      <c r="G16" s="94">
        <f t="shared" si="5"/>
        <v>-141.71846185369986</v>
      </c>
      <c r="H16" s="95">
        <f t="shared" si="5"/>
        <v>3031.1894989785819</v>
      </c>
    </row>
  </sheetData>
  <pageMargins left="0.7" right="0.7" top="0.75" bottom="0.75" header="0.3" footer="0.3"/>
  <pageSetup orientation="portrait" r:id="rId1"/>
  <ignoredErrors>
    <ignoredError sqref="C9" formulaRange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A9D64-33F7-414C-AD18-60CF90BD8ECD}">
  <dimension ref="B3:F16"/>
  <sheetViews>
    <sheetView zoomScale="150" zoomScaleNormal="150" workbookViewId="0">
      <selection activeCell="B10" sqref="B10:C16"/>
    </sheetView>
  </sheetViews>
  <sheetFormatPr baseColWidth="10" defaultRowHeight="14.4"/>
  <cols>
    <col min="2" max="2" width="19.77734375" bestFit="1" customWidth="1"/>
  </cols>
  <sheetData>
    <row r="3" spans="2:6">
      <c r="B3" t="s">
        <v>12</v>
      </c>
      <c r="C3" s="180">
        <v>0.19439999999999999</v>
      </c>
    </row>
    <row r="4" spans="2:6">
      <c r="C4" s="177">
        <v>0</v>
      </c>
      <c r="D4">
        <v>1</v>
      </c>
      <c r="E4">
        <v>2</v>
      </c>
      <c r="F4">
        <v>3</v>
      </c>
    </row>
    <row r="5" spans="2:6">
      <c r="B5" t="s">
        <v>11</v>
      </c>
      <c r="C5" s="1">
        <v>-1000</v>
      </c>
      <c r="D5" s="1">
        <v>250</v>
      </c>
      <c r="E5" s="1">
        <v>500</v>
      </c>
      <c r="F5" s="1">
        <v>750</v>
      </c>
    </row>
    <row r="6" spans="2:6">
      <c r="B6" t="s">
        <v>14</v>
      </c>
      <c r="C6" s="1">
        <f>C5/(1+$C$3)^C4</f>
        <v>-1000</v>
      </c>
      <c r="D6" s="1">
        <f t="shared" ref="D6:F6" si="0">D5/(1+$C$3)^D4</f>
        <v>209.31011386470195</v>
      </c>
      <c r="E6" s="1">
        <f t="shared" si="0"/>
        <v>350.48579012843601</v>
      </c>
      <c r="F6" s="1">
        <f t="shared" si="0"/>
        <v>440.1613238384578</v>
      </c>
    </row>
    <row r="7" spans="2:6">
      <c r="B7" t="s">
        <v>15</v>
      </c>
      <c r="C7" s="178">
        <f>SUM(C6:F6)</f>
        <v>-4.2772168404212607E-2</v>
      </c>
    </row>
    <row r="8" spans="2:6">
      <c r="B8" t="s">
        <v>3</v>
      </c>
      <c r="C8" s="180">
        <f>IRR(C5:F5)</f>
        <v>0.19437709962747873</v>
      </c>
    </row>
    <row r="10" spans="2:6">
      <c r="B10" s="179" t="s">
        <v>12</v>
      </c>
      <c r="C10" s="179" t="s">
        <v>15</v>
      </c>
    </row>
    <row r="11" spans="2:6">
      <c r="B11" s="181">
        <v>0</v>
      </c>
      <c r="C11" s="62">
        <v>500</v>
      </c>
    </row>
    <row r="12" spans="2:6">
      <c r="B12" s="181">
        <v>0.1</v>
      </c>
      <c r="C12" s="62">
        <v>203.98196844477809</v>
      </c>
    </row>
    <row r="13" spans="2:6">
      <c r="B13" s="181">
        <v>0.15</v>
      </c>
      <c r="C13" s="62">
        <v>88.600312320210662</v>
      </c>
    </row>
    <row r="14" spans="2:6">
      <c r="B14" s="181">
        <v>0.19439999999999999</v>
      </c>
      <c r="C14" s="62">
        <v>-4.2772168404212607E-2</v>
      </c>
    </row>
    <row r="15" spans="2:6">
      <c r="B15" s="181">
        <v>0.2</v>
      </c>
      <c r="C15" s="62">
        <v>-10.416666666666629</v>
      </c>
    </row>
    <row r="16" spans="2:6">
      <c r="B16" s="181">
        <v>0.25</v>
      </c>
      <c r="C16" s="62">
        <v>-96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K15"/>
  <sheetViews>
    <sheetView zoomScale="110" zoomScaleNormal="110" workbookViewId="0">
      <selection activeCell="M16" sqref="M16"/>
    </sheetView>
  </sheetViews>
  <sheetFormatPr baseColWidth="10" defaultRowHeight="14.4"/>
  <cols>
    <col min="2" max="2" width="21.44140625" bestFit="1" customWidth="1"/>
    <col min="3" max="3" width="18.5546875" bestFit="1" customWidth="1"/>
    <col min="4" max="10" width="8" bestFit="1" customWidth="1"/>
    <col min="11" max="11" width="9" bestFit="1" customWidth="1"/>
  </cols>
  <sheetData>
    <row r="2" spans="2:11">
      <c r="C2" t="s">
        <v>4</v>
      </c>
      <c r="D2" s="39">
        <v>1</v>
      </c>
    </row>
    <row r="3" spans="2:11">
      <c r="C3" t="s">
        <v>5</v>
      </c>
      <c r="D3" s="40">
        <v>1</v>
      </c>
    </row>
    <row r="4" spans="2:11">
      <c r="B4" s="5" t="s">
        <v>6</v>
      </c>
      <c r="C4" s="6">
        <v>0</v>
      </c>
      <c r="D4" s="6">
        <v>1</v>
      </c>
      <c r="E4" s="6">
        <v>2</v>
      </c>
      <c r="F4" s="6">
        <v>3</v>
      </c>
      <c r="G4" s="6">
        <v>4</v>
      </c>
      <c r="H4" s="51">
        <v>5</v>
      </c>
      <c r="I4" s="54">
        <v>6</v>
      </c>
      <c r="J4" s="52">
        <v>7</v>
      </c>
      <c r="K4" s="6">
        <v>8</v>
      </c>
    </row>
    <row r="5" spans="2:11">
      <c r="B5" s="7" t="s">
        <v>7</v>
      </c>
      <c r="C5" s="8">
        <v>-8000</v>
      </c>
      <c r="D5" s="8"/>
      <c r="E5" s="8"/>
      <c r="F5" s="8"/>
      <c r="G5" s="8"/>
      <c r="H5" s="8"/>
      <c r="I5" s="8"/>
      <c r="J5" s="8"/>
      <c r="K5" s="9"/>
    </row>
    <row r="6" spans="2:11">
      <c r="B6" s="10" t="s">
        <v>8</v>
      </c>
      <c r="C6" s="11"/>
      <c r="D6" s="41">
        <f>2500*D3</f>
        <v>2500</v>
      </c>
      <c r="E6" s="41">
        <f>D6</f>
        <v>2500</v>
      </c>
      <c r="F6" s="41">
        <f t="shared" ref="F6:H7" si="0">E6</f>
        <v>2500</v>
      </c>
      <c r="G6" s="41">
        <f t="shared" si="0"/>
        <v>2500</v>
      </c>
      <c r="H6" s="41">
        <f t="shared" si="0"/>
        <v>2500</v>
      </c>
      <c r="I6" s="41">
        <f t="shared" ref="I6:I7" si="1">H6</f>
        <v>2500</v>
      </c>
      <c r="J6" s="41">
        <f t="shared" ref="J6:J7" si="2">I6</f>
        <v>2500</v>
      </c>
      <c r="K6" s="42">
        <f t="shared" ref="K6:K7" si="3">J6</f>
        <v>2500</v>
      </c>
    </row>
    <row r="7" spans="2:11">
      <c r="B7" s="10" t="s">
        <v>9</v>
      </c>
      <c r="C7" s="11"/>
      <c r="D7" s="37">
        <f>-1000*D2</f>
        <v>-1000</v>
      </c>
      <c r="E7" s="37">
        <f>D7</f>
        <v>-1000</v>
      </c>
      <c r="F7" s="37">
        <f t="shared" si="0"/>
        <v>-1000</v>
      </c>
      <c r="G7" s="37">
        <f t="shared" si="0"/>
        <v>-1000</v>
      </c>
      <c r="H7" s="37">
        <f t="shared" si="0"/>
        <v>-1000</v>
      </c>
      <c r="I7" s="37">
        <f t="shared" si="1"/>
        <v>-1000</v>
      </c>
      <c r="J7" s="37">
        <f t="shared" si="2"/>
        <v>-1000</v>
      </c>
      <c r="K7" s="38">
        <f t="shared" si="3"/>
        <v>-1000</v>
      </c>
    </row>
    <row r="8" spans="2:11">
      <c r="B8" s="13" t="s">
        <v>10</v>
      </c>
      <c r="C8" s="14"/>
      <c r="D8" s="14"/>
      <c r="E8" s="14"/>
      <c r="F8" s="14"/>
      <c r="G8" s="14"/>
      <c r="H8" s="14"/>
      <c r="I8" s="14"/>
      <c r="J8" s="14"/>
      <c r="K8" s="15">
        <v>8500</v>
      </c>
    </row>
    <row r="9" spans="2:11">
      <c r="B9" s="10" t="s">
        <v>11</v>
      </c>
      <c r="C9" s="11">
        <f>SUM(C5:C8)</f>
        <v>-8000</v>
      </c>
      <c r="D9" s="11">
        <f t="shared" ref="D9:H9" si="4">SUM(D5:D8)</f>
        <v>1500</v>
      </c>
      <c r="E9" s="11">
        <f t="shared" si="4"/>
        <v>1500</v>
      </c>
      <c r="F9" s="11">
        <f t="shared" si="4"/>
        <v>1500</v>
      </c>
      <c r="G9" s="11">
        <f t="shared" si="4"/>
        <v>1500</v>
      </c>
      <c r="H9" s="11">
        <f t="shared" si="4"/>
        <v>1500</v>
      </c>
      <c r="I9" s="11">
        <f t="shared" ref="I9:K9" si="5">SUM(I5:I8)</f>
        <v>1500</v>
      </c>
      <c r="J9" s="11">
        <f t="shared" si="5"/>
        <v>1500</v>
      </c>
      <c r="K9" s="12">
        <f t="shared" si="5"/>
        <v>10000</v>
      </c>
    </row>
    <row r="10" spans="2:11">
      <c r="B10" s="10" t="s">
        <v>12</v>
      </c>
      <c r="C10" s="44">
        <v>0.12</v>
      </c>
      <c r="D10" s="16">
        <f>C10</f>
        <v>0.12</v>
      </c>
      <c r="E10" s="16">
        <f t="shared" ref="E10:H10" si="6">D10</f>
        <v>0.12</v>
      </c>
      <c r="F10" s="16">
        <f t="shared" si="6"/>
        <v>0.12</v>
      </c>
      <c r="G10" s="16">
        <f t="shared" si="6"/>
        <v>0.12</v>
      </c>
      <c r="H10" s="16">
        <f t="shared" si="6"/>
        <v>0.12</v>
      </c>
      <c r="I10" s="16">
        <f t="shared" ref="I10" si="7">H10</f>
        <v>0.12</v>
      </c>
      <c r="J10" s="16">
        <f t="shared" ref="J10" si="8">I10</f>
        <v>0.12</v>
      </c>
      <c r="K10" s="17">
        <f t="shared" ref="K10" si="9">J10</f>
        <v>0.12</v>
      </c>
    </row>
    <row r="11" spans="2:11">
      <c r="B11" s="10" t="s">
        <v>13</v>
      </c>
      <c r="C11" s="18">
        <f>1/(1+C10)^C4</f>
        <v>1</v>
      </c>
      <c r="D11" s="18">
        <f>1/(1+D10)^D4</f>
        <v>0.89285714285714279</v>
      </c>
      <c r="E11" s="18">
        <f t="shared" ref="E11:H11" si="10">1/(1+E10)^E4</f>
        <v>0.79719387755102034</v>
      </c>
      <c r="F11" s="18">
        <f t="shared" si="10"/>
        <v>0.71178024781341087</v>
      </c>
      <c r="G11" s="18">
        <f t="shared" si="10"/>
        <v>0.63551807840483121</v>
      </c>
      <c r="H11" s="18">
        <f t="shared" si="10"/>
        <v>0.56742685571859919</v>
      </c>
      <c r="I11" s="18">
        <f t="shared" ref="I11:K11" si="11">1/(1+I10)^I4</f>
        <v>0.50663112117732068</v>
      </c>
      <c r="J11" s="18">
        <f t="shared" si="11"/>
        <v>0.45234921533689343</v>
      </c>
      <c r="K11" s="19">
        <f t="shared" si="11"/>
        <v>0.4038832279793691</v>
      </c>
    </row>
    <row r="12" spans="2:11">
      <c r="B12" s="13" t="s">
        <v>14</v>
      </c>
      <c r="C12" s="20">
        <f>C9*C11</f>
        <v>-8000</v>
      </c>
      <c r="D12" s="20">
        <f>D9*D11</f>
        <v>1339.2857142857142</v>
      </c>
      <c r="E12" s="20">
        <f t="shared" ref="E12:G12" si="12">E9*E11</f>
        <v>1195.7908163265306</v>
      </c>
      <c r="F12" s="20">
        <f t="shared" si="12"/>
        <v>1067.6703717201162</v>
      </c>
      <c r="G12" s="20">
        <f t="shared" si="12"/>
        <v>953.27711760724685</v>
      </c>
      <c r="H12" s="55">
        <f>H9*H11</f>
        <v>851.1402835778988</v>
      </c>
      <c r="I12" s="55">
        <f t="shared" ref="I12:K12" si="13">I9*I11</f>
        <v>759.946681765981</v>
      </c>
      <c r="J12" s="55">
        <f t="shared" si="13"/>
        <v>678.52382300534009</v>
      </c>
      <c r="K12" s="53">
        <f t="shared" si="13"/>
        <v>4038.8322797936908</v>
      </c>
    </row>
    <row r="13" spans="2:11" ht="23.4">
      <c r="B13" s="21" t="s">
        <v>15</v>
      </c>
      <c r="C13" s="22">
        <f>SUM(C12:K12)</f>
        <v>2884.4670880825183</v>
      </c>
      <c r="D13" s="23"/>
      <c r="E13" s="23"/>
      <c r="F13" s="23"/>
      <c r="G13" s="23"/>
      <c r="H13" s="24"/>
    </row>
    <row r="14" spans="2:11" ht="23.4">
      <c r="B14" s="21" t="s">
        <v>3</v>
      </c>
      <c r="C14" s="25">
        <f>IRR(C9:K9)</f>
        <v>0.19140994996390925</v>
      </c>
      <c r="D14" s="26"/>
      <c r="E14" s="26"/>
      <c r="F14" s="26"/>
      <c r="G14" s="26"/>
      <c r="H14" s="26"/>
    </row>
    <row r="15" spans="2:11">
      <c r="B15" s="26"/>
      <c r="C15" s="26"/>
      <c r="D15" s="26"/>
      <c r="E15" s="26"/>
      <c r="F15" s="26"/>
      <c r="G15" s="26"/>
      <c r="H15" s="26"/>
    </row>
  </sheetData>
  <pageMargins left="0.7" right="0.7" top="0.75" bottom="0.75" header="0.3" footer="0.3"/>
  <pageSetup orientation="portrait" r:id="rId1"/>
  <ignoredErrors>
    <ignoredError sqref="C9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H2:N22"/>
  <sheetViews>
    <sheetView zoomScale="120" zoomScaleNormal="120" workbookViewId="0">
      <selection activeCell="I10" sqref="I10"/>
    </sheetView>
  </sheetViews>
  <sheetFormatPr baseColWidth="10" defaultRowHeight="14.4"/>
  <cols>
    <col min="8" max="8" width="18.21875" bestFit="1" customWidth="1"/>
    <col min="9" max="9" width="10.44140625" bestFit="1" customWidth="1"/>
    <col min="10" max="14" width="7.88671875" bestFit="1" customWidth="1"/>
  </cols>
  <sheetData>
    <row r="2" spans="8:14">
      <c r="H2" s="175" t="s">
        <v>58</v>
      </c>
      <c r="I2" s="176">
        <v>0</v>
      </c>
      <c r="J2" s="176">
        <v>1</v>
      </c>
      <c r="K2" s="176">
        <v>2</v>
      </c>
      <c r="L2" s="176">
        <v>3</v>
      </c>
      <c r="M2" s="176">
        <v>4</v>
      </c>
      <c r="N2" s="176">
        <v>5</v>
      </c>
    </row>
    <row r="3" spans="8:14">
      <c r="H3" t="s">
        <v>12</v>
      </c>
      <c r="I3" s="27">
        <v>0.1</v>
      </c>
    </row>
    <row r="4" spans="8:14">
      <c r="H4" t="s">
        <v>13</v>
      </c>
      <c r="I4" s="28">
        <f t="shared" ref="I4:N4" si="0">1/(1+$I$3)^I2</f>
        <v>1</v>
      </c>
      <c r="J4" s="28">
        <f>1/(1+$I$3)^J2</f>
        <v>0.90909090909090906</v>
      </c>
      <c r="K4" s="28">
        <f t="shared" si="0"/>
        <v>0.82644628099173545</v>
      </c>
      <c r="L4" s="28">
        <f t="shared" si="0"/>
        <v>0.75131480090157754</v>
      </c>
      <c r="M4" s="28">
        <f t="shared" si="0"/>
        <v>0.68301345536507052</v>
      </c>
      <c r="N4" s="28">
        <f t="shared" si="0"/>
        <v>0.62092132305915493</v>
      </c>
    </row>
    <row r="6" spans="8:14">
      <c r="H6" s="3" t="s">
        <v>16</v>
      </c>
      <c r="I6" s="29">
        <v>-1000</v>
      </c>
      <c r="J6" s="29">
        <v>1000</v>
      </c>
      <c r="K6" s="29">
        <v>0</v>
      </c>
      <c r="L6" s="29">
        <v>0</v>
      </c>
      <c r="M6" s="29">
        <v>0</v>
      </c>
      <c r="N6" s="29">
        <v>0</v>
      </c>
    </row>
    <row r="7" spans="8:14" ht="15" thickBot="1">
      <c r="H7" t="s">
        <v>17</v>
      </c>
      <c r="I7" s="1">
        <f>I4*I6</f>
        <v>-1000</v>
      </c>
      <c r="J7" s="1">
        <f t="shared" ref="J7:N7" si="1">J4*J6</f>
        <v>909.09090909090901</v>
      </c>
      <c r="K7" s="1">
        <f t="shared" si="1"/>
        <v>0</v>
      </c>
      <c r="L7" s="1">
        <f t="shared" si="1"/>
        <v>0</v>
      </c>
      <c r="M7" s="1">
        <f t="shared" si="1"/>
        <v>0</v>
      </c>
      <c r="N7" s="1">
        <f t="shared" si="1"/>
        <v>0</v>
      </c>
    </row>
    <row r="8" spans="8:14">
      <c r="H8" s="30" t="s">
        <v>15</v>
      </c>
      <c r="I8" s="165">
        <f>SUM(I7:N7)</f>
        <v>-90.909090909090992</v>
      </c>
    </row>
    <row r="9" spans="8:14">
      <c r="H9" s="31" t="s">
        <v>3</v>
      </c>
      <c r="I9" s="32">
        <f>IRR(I6:N6)</f>
        <v>0</v>
      </c>
      <c r="K9" s="166"/>
    </row>
    <row r="10" spans="8:14" ht="15" thickBot="1">
      <c r="H10" s="33" t="s">
        <v>18</v>
      </c>
      <c r="I10" s="34">
        <v>1</v>
      </c>
    </row>
    <row r="12" spans="8:14">
      <c r="H12" s="3" t="s">
        <v>19</v>
      </c>
      <c r="I12" s="29">
        <v>-2000</v>
      </c>
      <c r="J12" s="29">
        <v>1000</v>
      </c>
      <c r="K12" s="29">
        <v>1000</v>
      </c>
      <c r="L12" s="29">
        <v>4000</v>
      </c>
      <c r="M12" s="29">
        <v>1000</v>
      </c>
      <c r="N12" s="29">
        <v>1000</v>
      </c>
    </row>
    <row r="13" spans="8:14" ht="15" thickBot="1">
      <c r="H13" t="s">
        <v>17</v>
      </c>
      <c r="I13" s="1">
        <f>I4*I12</f>
        <v>-2000</v>
      </c>
      <c r="J13" s="1">
        <f t="shared" ref="J13:M13" si="2">J4*J12</f>
        <v>909.09090909090901</v>
      </c>
      <c r="K13" s="1">
        <f t="shared" si="2"/>
        <v>826.44628099173542</v>
      </c>
      <c r="L13" s="1">
        <f t="shared" si="2"/>
        <v>3005.2592036063102</v>
      </c>
      <c r="M13" s="1">
        <f t="shared" si="2"/>
        <v>683.01345536507051</v>
      </c>
      <c r="N13" s="1">
        <f>N4*N12</f>
        <v>620.92132305915493</v>
      </c>
    </row>
    <row r="14" spans="8:14">
      <c r="H14" s="30" t="s">
        <v>15</v>
      </c>
      <c r="I14" s="165">
        <f>SUM(I13:N13)</f>
        <v>4044.73117211318</v>
      </c>
    </row>
    <row r="15" spans="8:14">
      <c r="H15" s="31" t="s">
        <v>3</v>
      </c>
      <c r="I15" s="32">
        <f>IRR(I12:N12)</f>
        <v>0.67765069880404627</v>
      </c>
    </row>
    <row r="16" spans="8:14" ht="15" thickBot="1">
      <c r="H16" s="33" t="s">
        <v>18</v>
      </c>
      <c r="I16" s="34">
        <v>2</v>
      </c>
    </row>
    <row r="18" spans="8:14">
      <c r="H18" s="3" t="s">
        <v>20</v>
      </c>
      <c r="I18" s="29">
        <v>-3000</v>
      </c>
      <c r="J18" s="29">
        <v>1000</v>
      </c>
      <c r="K18" s="29">
        <v>1000</v>
      </c>
      <c r="L18" s="29">
        <v>0</v>
      </c>
      <c r="M18" s="29">
        <v>1000</v>
      </c>
      <c r="N18" s="29">
        <v>1000</v>
      </c>
    </row>
    <row r="19" spans="8:14" ht="15" thickBot="1">
      <c r="H19" t="s">
        <v>17</v>
      </c>
      <c r="I19" s="1">
        <f>I4*I18</f>
        <v>-3000</v>
      </c>
      <c r="J19" s="1">
        <f t="shared" ref="J19:N19" si="3">J4*J18</f>
        <v>909.09090909090901</v>
      </c>
      <c r="K19" s="1">
        <f t="shared" si="3"/>
        <v>826.44628099173542</v>
      </c>
      <c r="L19" s="1">
        <f t="shared" si="3"/>
        <v>0</v>
      </c>
      <c r="M19" s="1">
        <f t="shared" si="3"/>
        <v>683.01345536507051</v>
      </c>
      <c r="N19" s="1">
        <f t="shared" si="3"/>
        <v>620.92132305915493</v>
      </c>
    </row>
    <row r="20" spans="8:14">
      <c r="H20" s="30" t="s">
        <v>15</v>
      </c>
      <c r="I20" s="165">
        <f>SUM(I19:N19)</f>
        <v>39.471968506869871</v>
      </c>
    </row>
    <row r="21" spans="8:14">
      <c r="H21" s="31" t="s">
        <v>3</v>
      </c>
      <c r="I21" s="32">
        <f>IRR(I18:N18)</f>
        <v>0.10522699511196554</v>
      </c>
    </row>
    <row r="22" spans="8:14" ht="15" thickBot="1">
      <c r="H22" s="33" t="s">
        <v>18</v>
      </c>
      <c r="I22" s="34">
        <v>4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S24"/>
  <sheetViews>
    <sheetView zoomScale="70" zoomScaleNormal="70" workbookViewId="0"/>
  </sheetViews>
  <sheetFormatPr baseColWidth="10" defaultRowHeight="14.4"/>
  <cols>
    <col min="1" max="1" width="5.77734375" customWidth="1"/>
    <col min="2" max="2" width="22.6640625" bestFit="1" customWidth="1"/>
    <col min="3" max="3" width="13" bestFit="1" customWidth="1"/>
    <col min="4" max="6" width="12" bestFit="1" customWidth="1"/>
    <col min="9" max="9" width="11.44140625" customWidth="1"/>
    <col min="10" max="10" width="11.6640625" bestFit="1" customWidth="1"/>
    <col min="11" max="12" width="12.77734375" bestFit="1" customWidth="1"/>
    <col min="14" max="14" width="11.44140625" customWidth="1"/>
    <col min="19" max="19" width="13.109375" bestFit="1" customWidth="1"/>
  </cols>
  <sheetData>
    <row r="3" spans="2:19" ht="15" thickBot="1"/>
    <row r="4" spans="2:19" ht="24" thickBot="1">
      <c r="J4" s="96" t="s">
        <v>12</v>
      </c>
      <c r="K4" s="98" t="s">
        <v>21</v>
      </c>
      <c r="R4" s="96" t="s">
        <v>12</v>
      </c>
      <c r="S4" s="98" t="s">
        <v>22</v>
      </c>
    </row>
    <row r="5" spans="2:19" ht="23.4">
      <c r="J5" s="150">
        <v>0</v>
      </c>
      <c r="K5" s="100">
        <v>12</v>
      </c>
      <c r="R5" s="150">
        <v>0</v>
      </c>
      <c r="S5" s="100">
        <v>29</v>
      </c>
    </row>
    <row r="6" spans="2:19" ht="23.4">
      <c r="J6" s="150">
        <v>6.1140184877324089E-2</v>
      </c>
      <c r="K6" s="100">
        <v>0</v>
      </c>
      <c r="R6" s="150">
        <v>0.1</v>
      </c>
      <c r="S6" s="100">
        <v>3.9068369646881962</v>
      </c>
    </row>
    <row r="7" spans="2:19" ht="23.4">
      <c r="J7" s="150">
        <v>0.1</v>
      </c>
      <c r="K7" s="100">
        <v>-6.536438767843741</v>
      </c>
      <c r="R7" s="150">
        <v>0.11906467606614002</v>
      </c>
      <c r="S7" s="100">
        <v>0</v>
      </c>
    </row>
    <row r="8" spans="2:19" ht="24" thickBot="1">
      <c r="J8" s="151">
        <v>0.2</v>
      </c>
      <c r="K8" s="102">
        <v>-20.37037037037036</v>
      </c>
      <c r="R8" s="151">
        <v>0.2</v>
      </c>
      <c r="S8" s="102">
        <v>-14.236111111111114</v>
      </c>
    </row>
    <row r="12" spans="2:19" ht="18">
      <c r="B12" s="103" t="s">
        <v>23</v>
      </c>
      <c r="C12" s="103">
        <v>0</v>
      </c>
      <c r="D12" s="103">
        <v>1</v>
      </c>
      <c r="E12" s="103">
        <v>2</v>
      </c>
      <c r="F12" s="103">
        <v>3</v>
      </c>
    </row>
    <row r="13" spans="2:19" ht="18">
      <c r="B13" s="104" t="s">
        <v>12</v>
      </c>
      <c r="C13" s="105">
        <v>0.1</v>
      </c>
      <c r="D13" s="104"/>
      <c r="E13" s="104"/>
      <c r="F13" s="104"/>
    </row>
    <row r="14" spans="2:19" ht="18">
      <c r="B14" s="104" t="s">
        <v>13</v>
      </c>
      <c r="C14" s="106">
        <f>1/(1+$C$13)^C12</f>
        <v>1</v>
      </c>
      <c r="D14" s="106">
        <f>1/(1+$C$13)^D12</f>
        <v>0.90909090909090906</v>
      </c>
      <c r="E14" s="106">
        <f>1/(1+$C$13)^E12</f>
        <v>0.82644628099173545</v>
      </c>
      <c r="F14" s="106">
        <f>1/(1+$C$13)^F12</f>
        <v>0.75131480090157754</v>
      </c>
    </row>
    <row r="15" spans="2:19" ht="18">
      <c r="B15" s="104"/>
      <c r="C15" s="104"/>
      <c r="D15" s="104"/>
      <c r="E15" s="104"/>
      <c r="F15" s="104"/>
    </row>
    <row r="16" spans="2:19" ht="18">
      <c r="B16" s="103" t="s">
        <v>16</v>
      </c>
      <c r="C16" s="107">
        <v>-100</v>
      </c>
      <c r="D16" s="107">
        <v>40</v>
      </c>
      <c r="E16" s="107">
        <v>40</v>
      </c>
      <c r="F16" s="107">
        <v>32</v>
      </c>
    </row>
    <row r="17" spans="2:6" ht="18.600000000000001" thickBot="1">
      <c r="B17" s="104" t="s">
        <v>17</v>
      </c>
      <c r="C17" s="108">
        <f>C14*C16</f>
        <v>-100</v>
      </c>
      <c r="D17" s="108">
        <f>D14*D16</f>
        <v>36.36363636363636</v>
      </c>
      <c r="E17" s="108">
        <f>E14*E16</f>
        <v>33.057851239669418</v>
      </c>
      <c r="F17" s="108">
        <f>F14*F16</f>
        <v>24.042073628850481</v>
      </c>
    </row>
    <row r="18" spans="2:6" ht="18">
      <c r="B18" s="109" t="s">
        <v>15</v>
      </c>
      <c r="C18" s="110">
        <f>SUM(C17:F17)</f>
        <v>-6.536438767843741</v>
      </c>
      <c r="D18" s="104"/>
      <c r="E18" s="104"/>
      <c r="F18" s="104"/>
    </row>
    <row r="19" spans="2:6" ht="18.600000000000001" thickBot="1">
      <c r="B19" s="111" t="s">
        <v>3</v>
      </c>
      <c r="C19" s="112">
        <f>IRR(C16:F16)</f>
        <v>6.1140184877324089E-2</v>
      </c>
      <c r="D19" s="104"/>
      <c r="E19" s="104"/>
      <c r="F19" s="104"/>
    </row>
    <row r="20" spans="2:6" ht="18">
      <c r="B20" s="104"/>
      <c r="C20" s="104"/>
      <c r="D20" s="104"/>
      <c r="E20" s="104"/>
      <c r="F20" s="104"/>
    </row>
    <row r="21" spans="2:6" ht="18">
      <c r="B21" s="103" t="s">
        <v>19</v>
      </c>
      <c r="C21" s="107">
        <v>-100</v>
      </c>
      <c r="D21" s="107">
        <v>30</v>
      </c>
      <c r="E21" s="107">
        <v>30</v>
      </c>
      <c r="F21" s="107">
        <v>69</v>
      </c>
    </row>
    <row r="22" spans="2:6" ht="18.600000000000001" thickBot="1">
      <c r="B22" s="104" t="s">
        <v>17</v>
      </c>
      <c r="C22" s="108">
        <f>C14*C21</f>
        <v>-100</v>
      </c>
      <c r="D22" s="108">
        <f t="shared" ref="D22:F22" si="0">D14*D21</f>
        <v>27.272727272727273</v>
      </c>
      <c r="E22" s="108">
        <f t="shared" si="0"/>
        <v>24.793388429752063</v>
      </c>
      <c r="F22" s="108">
        <f t="shared" si="0"/>
        <v>51.840721262208852</v>
      </c>
    </row>
    <row r="23" spans="2:6" ht="18">
      <c r="B23" s="109" t="s">
        <v>15</v>
      </c>
      <c r="C23" s="110">
        <f>SUM(C22:F22)</f>
        <v>3.9068369646881962</v>
      </c>
      <c r="D23" s="104"/>
      <c r="E23" s="104"/>
      <c r="F23" s="104"/>
    </row>
    <row r="24" spans="2:6" ht="18.600000000000001" thickBot="1">
      <c r="B24" s="111" t="s">
        <v>3</v>
      </c>
      <c r="C24" s="112">
        <f>IRR(C21:F21)</f>
        <v>0.11906467606614002</v>
      </c>
      <c r="D24" s="104"/>
      <c r="E24" s="104"/>
      <c r="F24" s="104"/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23E19-69A5-45D0-80B3-6D88635A4290}">
  <dimension ref="B3:L24"/>
  <sheetViews>
    <sheetView zoomScale="70" zoomScaleNormal="70" workbookViewId="0">
      <selection activeCell="L7" sqref="L7"/>
    </sheetView>
  </sheetViews>
  <sheetFormatPr baseColWidth="10" defaultRowHeight="14.4"/>
  <cols>
    <col min="1" max="1" width="5.77734375" customWidth="1"/>
    <col min="2" max="2" width="22.6640625" bestFit="1" customWidth="1"/>
    <col min="3" max="3" width="13" bestFit="1" customWidth="1"/>
    <col min="4" max="6" width="12" bestFit="1" customWidth="1"/>
    <col min="9" max="9" width="11.44140625" customWidth="1"/>
    <col min="10" max="10" width="11.6640625" bestFit="1" customWidth="1"/>
    <col min="11" max="12" width="12.77734375" bestFit="1" customWidth="1"/>
    <col min="14" max="14" width="11.44140625" customWidth="1"/>
  </cols>
  <sheetData>
    <row r="3" spans="2:12" ht="15" thickBot="1"/>
    <row r="4" spans="2:12" ht="24" thickBot="1">
      <c r="J4" s="96" t="s">
        <v>12</v>
      </c>
      <c r="K4" s="97" t="s">
        <v>21</v>
      </c>
      <c r="L4" s="98" t="s">
        <v>22</v>
      </c>
    </row>
    <row r="5" spans="2:12" ht="23.4">
      <c r="J5" s="150">
        <v>0</v>
      </c>
      <c r="K5" s="99">
        <v>12</v>
      </c>
      <c r="L5" s="100">
        <v>29</v>
      </c>
    </row>
    <row r="6" spans="2:12" ht="23.4">
      <c r="J6" s="150">
        <v>0.1</v>
      </c>
      <c r="K6" s="99">
        <v>-6.536438767843741</v>
      </c>
      <c r="L6" s="100">
        <v>3.9068369646881962</v>
      </c>
    </row>
    <row r="7" spans="2:12" ht="24" thickBot="1">
      <c r="J7" s="151">
        <v>0.2</v>
      </c>
      <c r="K7" s="101">
        <v>-20.37037037037036</v>
      </c>
      <c r="L7" s="102">
        <v>-14.236111111111114</v>
      </c>
    </row>
    <row r="12" spans="2:12" ht="18">
      <c r="B12" s="103" t="s">
        <v>23</v>
      </c>
      <c r="C12" s="103">
        <v>0</v>
      </c>
      <c r="D12" s="103">
        <v>1</v>
      </c>
      <c r="E12" s="103">
        <v>2</v>
      </c>
      <c r="F12" s="103">
        <v>3</v>
      </c>
    </row>
    <row r="13" spans="2:12" ht="18">
      <c r="B13" s="104" t="s">
        <v>12</v>
      </c>
      <c r="C13" s="105">
        <v>0.1</v>
      </c>
      <c r="D13" s="104"/>
      <c r="E13" s="104"/>
      <c r="F13" s="104"/>
    </row>
    <row r="14" spans="2:12" ht="18">
      <c r="B14" s="104" t="s">
        <v>13</v>
      </c>
      <c r="C14" s="106">
        <f>1/(1+$C$13)^C12</f>
        <v>1</v>
      </c>
      <c r="D14" s="106">
        <f>1/(1+$C$13)^D12</f>
        <v>0.90909090909090906</v>
      </c>
      <c r="E14" s="106">
        <f>1/(1+$C$13)^E12</f>
        <v>0.82644628099173545</v>
      </c>
      <c r="F14" s="106">
        <f>1/(1+$C$13)^F12</f>
        <v>0.75131480090157754</v>
      </c>
    </row>
    <row r="15" spans="2:12" ht="18">
      <c r="B15" s="104"/>
      <c r="C15" s="104"/>
      <c r="D15" s="104"/>
      <c r="E15" s="104"/>
      <c r="F15" s="104"/>
    </row>
    <row r="16" spans="2:12" ht="18">
      <c r="B16" s="103" t="s">
        <v>16</v>
      </c>
      <c r="C16" s="107">
        <v>-100</v>
      </c>
      <c r="D16" s="107">
        <v>40</v>
      </c>
      <c r="E16" s="107">
        <v>40</v>
      </c>
      <c r="F16" s="107">
        <v>32</v>
      </c>
    </row>
    <row r="17" spans="2:6" ht="18.600000000000001" thickBot="1">
      <c r="B17" s="104" t="s">
        <v>17</v>
      </c>
      <c r="C17" s="108">
        <f>C14*C16</f>
        <v>-100</v>
      </c>
      <c r="D17" s="108">
        <f>D14*D16</f>
        <v>36.36363636363636</v>
      </c>
      <c r="E17" s="108">
        <f>E14*E16</f>
        <v>33.057851239669418</v>
      </c>
      <c r="F17" s="108">
        <f>F14*F16</f>
        <v>24.042073628850481</v>
      </c>
    </row>
    <row r="18" spans="2:6" ht="18">
      <c r="B18" s="109" t="s">
        <v>15</v>
      </c>
      <c r="C18" s="110">
        <f>SUM(C17:F17)</f>
        <v>-6.536438767843741</v>
      </c>
      <c r="D18" s="104"/>
      <c r="E18" s="104"/>
      <c r="F18" s="104"/>
    </row>
    <row r="19" spans="2:6" ht="18.600000000000001" thickBot="1">
      <c r="B19" s="111" t="s">
        <v>3</v>
      </c>
      <c r="C19" s="112">
        <f>IRR(C16:F16)</f>
        <v>6.1140184877324089E-2</v>
      </c>
      <c r="D19" s="104"/>
      <c r="E19" s="104"/>
      <c r="F19" s="104"/>
    </row>
    <row r="20" spans="2:6" ht="18">
      <c r="B20" s="104"/>
      <c r="C20" s="104"/>
      <c r="D20" s="104"/>
      <c r="E20" s="104"/>
      <c r="F20" s="104"/>
    </row>
    <row r="21" spans="2:6" ht="18">
      <c r="B21" s="103" t="s">
        <v>19</v>
      </c>
      <c r="C21" s="107">
        <v>-100</v>
      </c>
      <c r="D21" s="107">
        <v>30</v>
      </c>
      <c r="E21" s="107">
        <v>30</v>
      </c>
      <c r="F21" s="107">
        <v>69</v>
      </c>
    </row>
    <row r="22" spans="2:6" ht="18.600000000000001" thickBot="1">
      <c r="B22" s="104" t="s">
        <v>17</v>
      </c>
      <c r="C22" s="108">
        <f>C14*C21</f>
        <v>-100</v>
      </c>
      <c r="D22" s="108">
        <f t="shared" ref="D22:F22" si="0">D14*D21</f>
        <v>27.272727272727273</v>
      </c>
      <c r="E22" s="108">
        <f t="shared" si="0"/>
        <v>24.793388429752063</v>
      </c>
      <c r="F22" s="108">
        <f t="shared" si="0"/>
        <v>51.840721262208852</v>
      </c>
    </row>
    <row r="23" spans="2:6" ht="18">
      <c r="B23" s="109" t="s">
        <v>15</v>
      </c>
      <c r="C23" s="110">
        <f>SUM(C22:F22)</f>
        <v>3.9068369646881962</v>
      </c>
      <c r="D23" s="104"/>
      <c r="E23" s="104"/>
      <c r="F23" s="104"/>
    </row>
    <row r="24" spans="2:6" ht="18.600000000000001" thickBot="1">
      <c r="B24" s="111" t="s">
        <v>3</v>
      </c>
      <c r="C24" s="112">
        <f>IRR(C21:F21)</f>
        <v>0.11906467606614002</v>
      </c>
      <c r="D24" s="104"/>
      <c r="E24" s="104"/>
      <c r="F24" s="104"/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3:X27"/>
  <sheetViews>
    <sheetView zoomScale="120" zoomScaleNormal="120" workbookViewId="0">
      <selection activeCell="C26" sqref="C26"/>
    </sheetView>
  </sheetViews>
  <sheetFormatPr baseColWidth="10" defaultRowHeight="14.4"/>
  <cols>
    <col min="2" max="2" width="10.6640625" bestFit="1" customWidth="1"/>
    <col min="3" max="3" width="19" bestFit="1" customWidth="1"/>
    <col min="4" max="4" width="12.21875" bestFit="1" customWidth="1"/>
    <col min="5" max="23" width="11.21875" bestFit="1" customWidth="1"/>
    <col min="24" max="24" width="12.21875" bestFit="1" customWidth="1"/>
  </cols>
  <sheetData>
    <row r="13" spans="3:24">
      <c r="C13" t="s">
        <v>0</v>
      </c>
      <c r="D13" s="36">
        <v>0.12</v>
      </c>
    </row>
    <row r="15" spans="3:24">
      <c r="C15" s="3" t="s">
        <v>25</v>
      </c>
      <c r="D15">
        <v>0</v>
      </c>
      <c r="E15">
        <f>D15+1</f>
        <v>1</v>
      </c>
      <c r="F15">
        <f t="shared" ref="F15:X15" si="0">E15+1</f>
        <v>2</v>
      </c>
      <c r="G15">
        <f t="shared" si="0"/>
        <v>3</v>
      </c>
      <c r="H15">
        <f t="shared" si="0"/>
        <v>4</v>
      </c>
      <c r="I15">
        <f t="shared" si="0"/>
        <v>5</v>
      </c>
      <c r="J15">
        <f t="shared" si="0"/>
        <v>6</v>
      </c>
      <c r="K15">
        <f t="shared" si="0"/>
        <v>7</v>
      </c>
      <c r="L15">
        <f t="shared" si="0"/>
        <v>8</v>
      </c>
      <c r="M15">
        <f t="shared" si="0"/>
        <v>9</v>
      </c>
      <c r="N15">
        <f t="shared" si="0"/>
        <v>10</v>
      </c>
      <c r="O15">
        <f t="shared" si="0"/>
        <v>11</v>
      </c>
      <c r="P15">
        <f>O15+1</f>
        <v>12</v>
      </c>
      <c r="Q15">
        <f t="shared" si="0"/>
        <v>13</v>
      </c>
      <c r="R15">
        <f t="shared" si="0"/>
        <v>14</v>
      </c>
      <c r="S15">
        <f t="shared" si="0"/>
        <v>15</v>
      </c>
      <c r="T15">
        <f t="shared" si="0"/>
        <v>16</v>
      </c>
      <c r="U15">
        <f t="shared" si="0"/>
        <v>17</v>
      </c>
      <c r="V15">
        <f t="shared" si="0"/>
        <v>18</v>
      </c>
      <c r="W15">
        <f t="shared" si="0"/>
        <v>19</v>
      </c>
      <c r="X15">
        <f t="shared" si="0"/>
        <v>20</v>
      </c>
    </row>
    <row r="16" spans="3:24">
      <c r="D16" s="1">
        <v>-300000</v>
      </c>
      <c r="E16" s="1">
        <v>70000</v>
      </c>
      <c r="F16" s="1">
        <v>70000</v>
      </c>
      <c r="G16" s="1">
        <v>70000</v>
      </c>
      <c r="H16" s="1">
        <v>70000</v>
      </c>
      <c r="I16" s="1">
        <v>70000</v>
      </c>
      <c r="J16" s="1">
        <v>70000</v>
      </c>
      <c r="K16" s="1">
        <v>70000</v>
      </c>
      <c r="L16" s="1">
        <v>70000</v>
      </c>
      <c r="M16" s="1">
        <v>70000</v>
      </c>
      <c r="N16" s="1">
        <v>70000</v>
      </c>
      <c r="O16" s="1">
        <v>70000</v>
      </c>
      <c r="P16" s="1">
        <v>70000</v>
      </c>
      <c r="Q16" s="1">
        <v>70000</v>
      </c>
      <c r="R16" s="1">
        <v>70000</v>
      </c>
      <c r="S16" s="1">
        <v>70000</v>
      </c>
      <c r="T16" s="1">
        <v>70000</v>
      </c>
      <c r="U16" s="1">
        <v>70000</v>
      </c>
      <c r="V16" s="1">
        <v>70000</v>
      </c>
      <c r="W16" s="1">
        <v>70000</v>
      </c>
      <c r="X16" s="1">
        <v>70000</v>
      </c>
    </row>
    <row r="17" spans="2:24">
      <c r="B17" s="35" t="s">
        <v>15</v>
      </c>
      <c r="C17" s="2">
        <f>SUM(D17:X17)</f>
        <v>222861.0537029315</v>
      </c>
      <c r="D17" s="1">
        <f>D16/(1+$D$13)^D15</f>
        <v>-300000</v>
      </c>
      <c r="E17" s="1">
        <f>E16/(1+$D$13)^E15</f>
        <v>62499.999999999993</v>
      </c>
      <c r="F17" s="1">
        <f t="shared" ref="F17:X17" si="1">F16/(1+$D$13)^F15</f>
        <v>55803.57142857142</v>
      </c>
      <c r="G17" s="1">
        <f t="shared" si="1"/>
        <v>49824.617346938765</v>
      </c>
      <c r="H17" s="1">
        <f t="shared" si="1"/>
        <v>44486.265488338184</v>
      </c>
      <c r="I17" s="1">
        <f t="shared" si="1"/>
        <v>39719.879900301945</v>
      </c>
      <c r="J17" s="1">
        <f t="shared" si="1"/>
        <v>35464.178482412448</v>
      </c>
      <c r="K17" s="1">
        <f t="shared" si="1"/>
        <v>31664.445073582541</v>
      </c>
      <c r="L17" s="1">
        <f t="shared" si="1"/>
        <v>28271.825958555837</v>
      </c>
      <c r="M17" s="1">
        <f t="shared" si="1"/>
        <v>25242.70174871057</v>
      </c>
      <c r="N17" s="1">
        <f t="shared" si="1"/>
        <v>22538.126561348719</v>
      </c>
      <c r="O17" s="1">
        <f t="shared" si="1"/>
        <v>20123.327286918498</v>
      </c>
      <c r="P17" s="1">
        <f t="shared" si="1"/>
        <v>17967.256506177229</v>
      </c>
      <c r="Q17" s="1">
        <f t="shared" si="1"/>
        <v>16042.193309086811</v>
      </c>
      <c r="R17" s="1">
        <f t="shared" si="1"/>
        <v>14323.386883113222</v>
      </c>
      <c r="S17" s="1">
        <f t="shared" si="1"/>
        <v>12788.738288493949</v>
      </c>
      <c r="T17" s="1">
        <f t="shared" si="1"/>
        <v>11418.516329012453</v>
      </c>
      <c r="U17" s="1">
        <f t="shared" si="1"/>
        <v>10195.103865189689</v>
      </c>
      <c r="V17" s="1">
        <f t="shared" si="1"/>
        <v>9102.7713082050795</v>
      </c>
      <c r="W17" s="1">
        <f t="shared" si="1"/>
        <v>8127.4743823259623</v>
      </c>
      <c r="X17" s="1">
        <f t="shared" si="1"/>
        <v>7256.6735556481808</v>
      </c>
    </row>
    <row r="18" spans="2:24">
      <c r="B18" s="35" t="s">
        <v>3</v>
      </c>
      <c r="C18" s="4">
        <f>IRR(D16:X16)</f>
        <v>0.22959447761947271</v>
      </c>
    </row>
    <row r="19" spans="2:24" s="169" customFormat="1">
      <c r="B19" s="167" t="s">
        <v>26</v>
      </c>
      <c r="C19" s="168">
        <f>C17/-D16</f>
        <v>0.7428701790097717</v>
      </c>
    </row>
    <row r="20" spans="2:24" s="169" customFormat="1">
      <c r="B20" s="167" t="s">
        <v>27</v>
      </c>
      <c r="C20" s="170">
        <f>NPV(D13,E16:X16)+D16</f>
        <v>222861.0537029315</v>
      </c>
    </row>
    <row r="22" spans="2:24">
      <c r="C22" s="3" t="s">
        <v>24</v>
      </c>
      <c r="D22">
        <v>0</v>
      </c>
      <c r="E22">
        <f>D22+1</f>
        <v>1</v>
      </c>
      <c r="F22">
        <f t="shared" ref="F22:O22" si="2">E22+1</f>
        <v>2</v>
      </c>
      <c r="G22">
        <f t="shared" si="2"/>
        <v>3</v>
      </c>
      <c r="H22">
        <f t="shared" si="2"/>
        <v>4</v>
      </c>
      <c r="I22">
        <f t="shared" si="2"/>
        <v>5</v>
      </c>
      <c r="J22">
        <f t="shared" si="2"/>
        <v>6</v>
      </c>
      <c r="K22">
        <f t="shared" si="2"/>
        <v>7</v>
      </c>
      <c r="L22">
        <f t="shared" si="2"/>
        <v>8</v>
      </c>
      <c r="M22">
        <f t="shared" si="2"/>
        <v>9</v>
      </c>
      <c r="N22">
        <f t="shared" si="2"/>
        <v>10</v>
      </c>
      <c r="O22">
        <f t="shared" si="2"/>
        <v>11</v>
      </c>
      <c r="P22">
        <f>O22+1</f>
        <v>12</v>
      </c>
      <c r="Q22">
        <f t="shared" ref="Q22:X22" si="3">P22+1</f>
        <v>13</v>
      </c>
      <c r="R22">
        <f t="shared" si="3"/>
        <v>14</v>
      </c>
      <c r="S22">
        <f t="shared" si="3"/>
        <v>15</v>
      </c>
      <c r="T22">
        <f t="shared" si="3"/>
        <v>16</v>
      </c>
      <c r="U22">
        <f t="shared" si="3"/>
        <v>17</v>
      </c>
      <c r="V22">
        <f t="shared" si="3"/>
        <v>18</v>
      </c>
      <c r="W22">
        <f t="shared" si="3"/>
        <v>19</v>
      </c>
      <c r="X22">
        <f t="shared" si="3"/>
        <v>20</v>
      </c>
    </row>
    <row r="23" spans="2:24">
      <c r="D23" s="1">
        <v>-12000000</v>
      </c>
      <c r="E23" s="1">
        <v>1400000</v>
      </c>
      <c r="F23" s="1">
        <v>1400000</v>
      </c>
      <c r="G23" s="1">
        <v>1400000</v>
      </c>
      <c r="H23" s="1">
        <v>1400000</v>
      </c>
      <c r="I23" s="1">
        <v>1400000</v>
      </c>
      <c r="J23" s="1">
        <v>1400000</v>
      </c>
      <c r="K23" s="1">
        <v>1400000</v>
      </c>
      <c r="L23" s="1">
        <v>1400000</v>
      </c>
      <c r="M23" s="1">
        <v>1400000</v>
      </c>
      <c r="N23" s="1">
        <v>1400000</v>
      </c>
      <c r="O23" s="1">
        <v>1400000</v>
      </c>
      <c r="P23" s="1">
        <v>1400000</v>
      </c>
      <c r="Q23" s="1">
        <v>1400000</v>
      </c>
      <c r="R23" s="1">
        <v>1400000</v>
      </c>
      <c r="S23" s="1">
        <v>1400000</v>
      </c>
      <c r="T23" s="1">
        <v>1400000</v>
      </c>
      <c r="U23" s="1">
        <v>1400000</v>
      </c>
      <c r="V23" s="1">
        <v>1400000</v>
      </c>
      <c r="W23" s="1">
        <v>1400000</v>
      </c>
      <c r="X23" s="1">
        <v>21400000</v>
      </c>
    </row>
    <row r="24" spans="2:24">
      <c r="B24" s="35" t="s">
        <v>15</v>
      </c>
      <c r="C24" s="2">
        <f>SUM(D24:X24)</f>
        <v>530556.37567239837</v>
      </c>
      <c r="D24" s="1">
        <f>D23/(1+$D$13)^D22</f>
        <v>-12000000</v>
      </c>
      <c r="E24" s="1">
        <f t="shared" ref="E24" si="4">E23/(1+$D$13)^E22</f>
        <v>1249999.9999999998</v>
      </c>
      <c r="F24" s="1">
        <f t="shared" ref="F24" si="5">F23/(1+$D$13)^F22</f>
        <v>1116071.4285714284</v>
      </c>
      <c r="G24" s="1">
        <f>G23/(1+$D$13)^G22</f>
        <v>996492.34693877527</v>
      </c>
      <c r="H24" s="1">
        <f t="shared" ref="H24" si="6">H23/(1+$D$13)^H22</f>
        <v>889725.30976676359</v>
      </c>
      <c r="I24" s="1">
        <f t="shared" ref="I24" si="7">I23/(1+$D$13)^I22</f>
        <v>794397.59800603893</v>
      </c>
      <c r="J24" s="1">
        <f t="shared" ref="J24" si="8">J23/(1+$D$13)^J22</f>
        <v>709283.56964824896</v>
      </c>
      <c r="K24" s="1">
        <f t="shared" ref="K24" si="9">K23/(1+$D$13)^K22</f>
        <v>633288.90147165081</v>
      </c>
      <c r="L24" s="1">
        <f t="shared" ref="L24" si="10">L23/(1+$D$13)^L22</f>
        <v>565436.51917111676</v>
      </c>
      <c r="M24" s="1">
        <f t="shared" ref="M24" si="11">M23/(1+$D$13)^M22</f>
        <v>504854.03497421136</v>
      </c>
      <c r="N24" s="1">
        <f t="shared" ref="N24" si="12">N23/(1+$D$13)^N22</f>
        <v>450762.53122697439</v>
      </c>
      <c r="O24" s="1">
        <f t="shared" ref="O24" si="13">O23/(1+$D$13)^O22</f>
        <v>402466.54573836992</v>
      </c>
      <c r="P24" s="1">
        <f t="shared" ref="P24" si="14">P23/(1+$D$13)^P22</f>
        <v>359345.1301235446</v>
      </c>
      <c r="Q24" s="1">
        <f t="shared" ref="Q24" si="15">Q23/(1+$D$13)^Q22</f>
        <v>320843.86618173623</v>
      </c>
      <c r="R24" s="1">
        <f t="shared" ref="R24" si="16">R23/(1+$D$13)^R22</f>
        <v>286467.73766226444</v>
      </c>
      <c r="S24" s="1">
        <f t="shared" ref="S24" si="17">S23/(1+$D$13)^S22</f>
        <v>255774.76576987898</v>
      </c>
      <c r="T24" s="1">
        <f t="shared" ref="T24" si="18">T23/(1+$D$13)^T22</f>
        <v>228370.32658024906</v>
      </c>
      <c r="U24" s="1">
        <f t="shared" ref="U24" si="19">U23/(1+$D$13)^U22</f>
        <v>203902.07730379378</v>
      </c>
      <c r="V24" s="1">
        <f t="shared" ref="V24" si="20">V23/(1+$D$13)^V22</f>
        <v>182055.42616410158</v>
      </c>
      <c r="W24" s="1">
        <f t="shared" ref="W24" si="21">W23/(1+$D$13)^W22</f>
        <v>162549.48764651924</v>
      </c>
      <c r="X24" s="1">
        <f t="shared" ref="X24" si="22">X23/(1+$D$13)^X22</f>
        <v>2218468.7727267295</v>
      </c>
    </row>
    <row r="25" spans="2:24">
      <c r="B25" s="35" t="s">
        <v>3</v>
      </c>
      <c r="C25" s="4">
        <f>IRR(D23:X23)</f>
        <v>0.12536058218585566</v>
      </c>
    </row>
    <row r="26" spans="2:24" s="169" customFormat="1">
      <c r="B26" s="167" t="s">
        <v>26</v>
      </c>
      <c r="C26" s="168">
        <f>C24/-D23</f>
        <v>4.4213031306033199E-2</v>
      </c>
    </row>
    <row r="27" spans="2:24" s="169" customFormat="1">
      <c r="B27" s="167" t="s">
        <v>27</v>
      </c>
      <c r="C27" s="170">
        <f>NPV(D13,E23:X23)+D23</f>
        <v>530556.37567239441</v>
      </c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K31"/>
  <sheetViews>
    <sheetView zoomScaleNormal="100" workbookViewId="0">
      <selection activeCell="A19" sqref="A19"/>
    </sheetView>
  </sheetViews>
  <sheetFormatPr baseColWidth="10" defaultRowHeight="14.4"/>
  <cols>
    <col min="2" max="2" width="7" bestFit="1" customWidth="1"/>
    <col min="3" max="3" width="19.109375" bestFit="1" customWidth="1"/>
    <col min="4" max="6" width="9.77734375" bestFit="1" customWidth="1"/>
    <col min="7" max="7" width="11.21875" bestFit="1" customWidth="1"/>
    <col min="8" max="9" width="9.77734375" bestFit="1" customWidth="1"/>
    <col min="10" max="11" width="11.21875" bestFit="1" customWidth="1"/>
  </cols>
  <sheetData>
    <row r="2" spans="2:11" ht="15" thickBot="1">
      <c r="C2" t="s">
        <v>2</v>
      </c>
      <c r="D2" s="27">
        <v>0.14000000000000001</v>
      </c>
    </row>
    <row r="3" spans="2:11">
      <c r="B3" s="146"/>
      <c r="C3" s="147" t="s">
        <v>1</v>
      </c>
      <c r="D3" s="148">
        <v>0</v>
      </c>
      <c r="E3" s="148">
        <f>D3+1</f>
        <v>1</v>
      </c>
      <c r="F3" s="148">
        <f t="shared" ref="F3:J3" si="0">E3+1</f>
        <v>2</v>
      </c>
      <c r="G3" s="148">
        <f t="shared" si="0"/>
        <v>3</v>
      </c>
      <c r="H3" s="148">
        <f t="shared" si="0"/>
        <v>4</v>
      </c>
      <c r="I3" s="148">
        <f t="shared" si="0"/>
        <v>5</v>
      </c>
      <c r="J3" s="148">
        <f t="shared" si="0"/>
        <v>6</v>
      </c>
      <c r="K3" s="149">
        <v>7</v>
      </c>
    </row>
    <row r="4" spans="2:11">
      <c r="B4" s="113"/>
      <c r="C4" s="115"/>
      <c r="D4" s="117">
        <v>-500000</v>
      </c>
      <c r="E4" s="117">
        <v>300000</v>
      </c>
      <c r="F4" s="117">
        <v>300000</v>
      </c>
      <c r="G4" s="117">
        <v>300000</v>
      </c>
      <c r="H4" s="117">
        <v>300000</v>
      </c>
      <c r="I4" s="117">
        <v>300000</v>
      </c>
      <c r="J4" s="117">
        <v>1300000</v>
      </c>
      <c r="K4" s="116"/>
    </row>
    <row r="5" spans="2:11">
      <c r="B5" s="118" t="s">
        <v>15</v>
      </c>
      <c r="C5" s="119">
        <f>SUM(D5:J5)</f>
        <v>1122186.8026468006</v>
      </c>
      <c r="D5" s="117">
        <f>D4/(1+$D$2)^D3</f>
        <v>-500000</v>
      </c>
      <c r="E5" s="117">
        <f t="shared" ref="E5:J5" si="1">E4/(1+$D$2)^E3</f>
        <v>263157.89473684208</v>
      </c>
      <c r="F5" s="117">
        <f t="shared" si="1"/>
        <v>230840.25854108951</v>
      </c>
      <c r="G5" s="117">
        <f t="shared" si="1"/>
        <v>202491.45486060483</v>
      </c>
      <c r="H5" s="117">
        <f t="shared" si="1"/>
        <v>177624.08321105683</v>
      </c>
      <c r="I5" s="117">
        <f t="shared" si="1"/>
        <v>155810.59930794456</v>
      </c>
      <c r="J5" s="117">
        <f t="shared" si="1"/>
        <v>592262.51198926289</v>
      </c>
      <c r="K5" s="116"/>
    </row>
    <row r="6" spans="2:11">
      <c r="B6" s="118" t="s">
        <v>3</v>
      </c>
      <c r="C6" s="120">
        <f>IRR(D4:J4)</f>
        <v>0.63507092058510728</v>
      </c>
      <c r="D6" s="115"/>
      <c r="E6" s="115"/>
      <c r="F6" s="115"/>
      <c r="G6" s="115"/>
      <c r="H6" s="115"/>
      <c r="I6" s="115"/>
      <c r="J6" s="115"/>
      <c r="K6" s="116"/>
    </row>
    <row r="7" spans="2:11">
      <c r="B7" s="118" t="s">
        <v>26</v>
      </c>
      <c r="C7" s="121">
        <f>C5/-D4</f>
        <v>2.2443736052936014</v>
      </c>
      <c r="D7" s="115"/>
      <c r="E7" s="115"/>
      <c r="F7" s="115"/>
      <c r="G7" s="115"/>
      <c r="H7" s="115"/>
      <c r="I7" s="115"/>
      <c r="J7" s="115"/>
      <c r="K7" s="116"/>
    </row>
    <row r="8" spans="2:11">
      <c r="B8" s="122"/>
      <c r="C8" s="123"/>
      <c r="D8" s="123"/>
      <c r="E8" s="123"/>
      <c r="F8" s="123"/>
      <c r="G8" s="123"/>
      <c r="H8" s="123"/>
      <c r="I8" s="123"/>
      <c r="J8" s="123"/>
      <c r="K8" s="124"/>
    </row>
    <row r="9" spans="2:11">
      <c r="B9" s="125"/>
      <c r="C9" s="126" t="s">
        <v>1</v>
      </c>
      <c r="D9" s="123">
        <v>0</v>
      </c>
      <c r="E9" s="123">
        <f>D9+1</f>
        <v>1</v>
      </c>
      <c r="F9" s="123">
        <f t="shared" ref="F9" si="2">E9+1</f>
        <v>2</v>
      </c>
      <c r="G9" s="123">
        <f t="shared" ref="G9" si="3">F9+1</f>
        <v>3</v>
      </c>
      <c r="H9" s="123">
        <f t="shared" ref="H9" si="4">G9+1</f>
        <v>4</v>
      </c>
      <c r="I9" s="123">
        <f t="shared" ref="I9" si="5">H9+1</f>
        <v>5</v>
      </c>
      <c r="J9" s="123">
        <f t="shared" ref="J9" si="6">I9+1</f>
        <v>6</v>
      </c>
      <c r="K9" s="124">
        <v>7</v>
      </c>
    </row>
    <row r="10" spans="2:11">
      <c r="B10" s="125"/>
      <c r="C10" s="123"/>
      <c r="D10" s="127">
        <v>-500000</v>
      </c>
      <c r="E10" s="127">
        <v>300000</v>
      </c>
      <c r="F10" s="127">
        <v>300000</v>
      </c>
      <c r="G10" s="127">
        <v>300000</v>
      </c>
      <c r="H10" s="127">
        <v>300000</v>
      </c>
      <c r="I10" s="127">
        <v>300000</v>
      </c>
      <c r="J10" s="127">
        <v>300000</v>
      </c>
      <c r="K10" s="128">
        <v>1000000</v>
      </c>
    </row>
    <row r="11" spans="2:11">
      <c r="B11" s="49" t="s">
        <v>15</v>
      </c>
      <c r="C11" s="45">
        <f>SUM(D11:K11)</f>
        <v>1066237.5774926194</v>
      </c>
      <c r="D11" s="127">
        <f t="shared" ref="D11:K11" si="7">D10/(1+$D$2)^D9</f>
        <v>-500000</v>
      </c>
      <c r="E11" s="127">
        <f t="shared" si="7"/>
        <v>263157.89473684208</v>
      </c>
      <c r="F11" s="127">
        <f t="shared" si="7"/>
        <v>230840.25854108951</v>
      </c>
      <c r="G11" s="127">
        <f t="shared" si="7"/>
        <v>202491.45486060483</v>
      </c>
      <c r="H11" s="127">
        <f t="shared" si="7"/>
        <v>177624.08321105683</v>
      </c>
      <c r="I11" s="127">
        <f t="shared" si="7"/>
        <v>155810.59930794456</v>
      </c>
      <c r="J11" s="127">
        <f t="shared" si="7"/>
        <v>136675.96430521453</v>
      </c>
      <c r="K11" s="128">
        <f t="shared" si="7"/>
        <v>399637.32252986694</v>
      </c>
    </row>
    <row r="12" spans="2:11">
      <c r="B12" s="49" t="s">
        <v>3</v>
      </c>
      <c r="C12" s="46">
        <f>IRR(D10:K10)</f>
        <v>0.6090482796195873</v>
      </c>
      <c r="D12" s="123"/>
      <c r="E12" s="123"/>
      <c r="F12" s="123"/>
      <c r="G12" s="123"/>
      <c r="H12" s="123"/>
      <c r="I12" s="123"/>
      <c r="J12" s="123"/>
      <c r="K12" s="124"/>
    </row>
    <row r="13" spans="2:11" ht="15" thickBot="1">
      <c r="B13" s="50" t="s">
        <v>26</v>
      </c>
      <c r="C13" s="48">
        <f>C11/-D10</f>
        <v>2.1324751549852388</v>
      </c>
      <c r="D13" s="129"/>
      <c r="E13" s="129"/>
      <c r="F13" s="129"/>
      <c r="G13" s="129"/>
      <c r="H13" s="129"/>
      <c r="I13" s="129"/>
      <c r="J13" s="129"/>
      <c r="K13" s="130"/>
    </row>
    <row r="14" spans="2:11" ht="15" thickBot="1"/>
    <row r="15" spans="2:11">
      <c r="B15" s="131"/>
      <c r="C15" s="132" t="s">
        <v>28</v>
      </c>
      <c r="D15" s="133">
        <v>0</v>
      </c>
      <c r="E15" s="133">
        <f>D15+1</f>
        <v>1</v>
      </c>
      <c r="F15" s="133">
        <f t="shared" ref="F15:J15" si="8">E15+1</f>
        <v>2</v>
      </c>
      <c r="G15" s="133">
        <f t="shared" si="8"/>
        <v>3</v>
      </c>
      <c r="H15" s="133">
        <f t="shared" si="8"/>
        <v>4</v>
      </c>
      <c r="I15" s="133">
        <f t="shared" si="8"/>
        <v>5</v>
      </c>
      <c r="J15" s="133">
        <f t="shared" si="8"/>
        <v>6</v>
      </c>
      <c r="K15" s="134">
        <v>7</v>
      </c>
    </row>
    <row r="16" spans="2:11">
      <c r="B16" s="135"/>
      <c r="C16" s="136"/>
      <c r="D16" s="137">
        <f>-500000+400000</f>
        <v>-100000</v>
      </c>
      <c r="E16" s="137">
        <v>400000</v>
      </c>
      <c r="F16" s="137">
        <v>400000</v>
      </c>
      <c r="G16" s="137">
        <v>800000</v>
      </c>
      <c r="H16" s="137"/>
      <c r="I16" s="137"/>
      <c r="J16" s="137"/>
      <c r="K16" s="138"/>
    </row>
    <row r="17" spans="2:11">
      <c r="B17" s="49" t="s">
        <v>15</v>
      </c>
      <c r="C17" s="45">
        <f>SUM(D17:J17)</f>
        <v>1098641.4173321882</v>
      </c>
      <c r="D17" s="137">
        <f>D16/(1+$D$2)^D15</f>
        <v>-100000</v>
      </c>
      <c r="E17" s="137">
        <f t="shared" ref="E17:G17" si="9">E16/(1+$D$2)^E15</f>
        <v>350877.19298245612</v>
      </c>
      <c r="F17" s="137">
        <f t="shared" si="9"/>
        <v>307787.01138811937</v>
      </c>
      <c r="G17" s="137">
        <f t="shared" si="9"/>
        <v>539977.21296161285</v>
      </c>
      <c r="H17" s="137"/>
      <c r="I17" s="137"/>
      <c r="J17" s="137"/>
      <c r="K17" s="138"/>
    </row>
    <row r="18" spans="2:11">
      <c r="B18" s="49" t="s">
        <v>3</v>
      </c>
      <c r="C18" s="46">
        <f>IRR(D16:G16)</f>
        <v>4.0936365537681656</v>
      </c>
      <c r="D18" s="136"/>
      <c r="E18" s="136"/>
      <c r="F18" s="136"/>
      <c r="G18" s="136"/>
      <c r="H18" s="136"/>
      <c r="I18" s="136"/>
      <c r="J18" s="136"/>
      <c r="K18" s="138"/>
    </row>
    <row r="19" spans="2:11">
      <c r="B19" s="49" t="s">
        <v>26</v>
      </c>
      <c r="C19" s="47">
        <f>C17/-D16</f>
        <v>10.986414173321883</v>
      </c>
      <c r="D19" s="136"/>
      <c r="E19" s="136"/>
      <c r="F19" s="136"/>
      <c r="G19" s="136"/>
      <c r="H19" s="136"/>
      <c r="I19" s="136"/>
      <c r="J19" s="136"/>
      <c r="K19" s="138"/>
    </row>
    <row r="20" spans="2:11">
      <c r="B20" s="135"/>
      <c r="C20" s="136"/>
      <c r="D20" s="136"/>
      <c r="E20" s="136"/>
      <c r="F20" s="136"/>
      <c r="G20" s="136"/>
      <c r="H20" s="136"/>
      <c r="I20" s="136"/>
      <c r="J20" s="136"/>
      <c r="K20" s="138"/>
    </row>
    <row r="21" spans="2:11">
      <c r="B21" s="113"/>
      <c r="C21" s="114" t="s">
        <v>29</v>
      </c>
      <c r="D21" s="115">
        <v>0</v>
      </c>
      <c r="E21" s="115">
        <f>D21+1</f>
        <v>1</v>
      </c>
      <c r="F21" s="115">
        <f t="shared" ref="F21" si="10">E21+1</f>
        <v>2</v>
      </c>
      <c r="G21" s="115">
        <f t="shared" ref="G21" si="11">F21+1</f>
        <v>3</v>
      </c>
      <c r="H21" s="115">
        <f t="shared" ref="H21" si="12">G21+1</f>
        <v>4</v>
      </c>
      <c r="I21" s="115">
        <f t="shared" ref="I21" si="13">H21+1</f>
        <v>5</v>
      </c>
      <c r="J21" s="115">
        <f t="shared" ref="J21" si="14">I21+1</f>
        <v>6</v>
      </c>
      <c r="K21" s="116">
        <v>7</v>
      </c>
    </row>
    <row r="22" spans="2:11">
      <c r="B22" s="113"/>
      <c r="C22" s="115"/>
      <c r="D22" s="117">
        <f>-500000</f>
        <v>-500000</v>
      </c>
      <c r="E22" s="117">
        <v>400000</v>
      </c>
      <c r="F22" s="117">
        <v>400000</v>
      </c>
      <c r="G22" s="117">
        <v>400000</v>
      </c>
      <c r="H22" s="117">
        <v>800000</v>
      </c>
      <c r="I22" s="117"/>
      <c r="J22" s="117"/>
      <c r="K22" s="116"/>
    </row>
    <row r="23" spans="2:11">
      <c r="B23" s="118" t="s">
        <v>15</v>
      </c>
      <c r="C23" s="119">
        <f>SUM(D23:J23)</f>
        <v>902317.03274753341</v>
      </c>
      <c r="D23" s="117">
        <f>D22/(1+$D$2)^D21</f>
        <v>-500000</v>
      </c>
      <c r="E23" s="117">
        <f t="shared" ref="E23:G23" si="15">E22/(1+$D$2)^E21</f>
        <v>350877.19298245612</v>
      </c>
      <c r="F23" s="117">
        <f t="shared" si="15"/>
        <v>307787.01138811937</v>
      </c>
      <c r="G23" s="117">
        <f t="shared" si="15"/>
        <v>269988.60648080643</v>
      </c>
      <c r="H23" s="117">
        <f>H22/(1+$D$2)^H21</f>
        <v>473664.22189615155</v>
      </c>
      <c r="I23" s="117"/>
      <c r="J23" s="117"/>
      <c r="K23" s="116"/>
    </row>
    <row r="24" spans="2:11">
      <c r="B24" s="118" t="s">
        <v>3</v>
      </c>
      <c r="C24" s="120">
        <f>IRR(D22:H22)</f>
        <v>0.78279951249601831</v>
      </c>
      <c r="D24" s="115"/>
      <c r="E24" s="115"/>
      <c r="F24" s="115"/>
      <c r="G24" s="115"/>
      <c r="H24" s="115"/>
      <c r="I24" s="115"/>
      <c r="J24" s="115"/>
      <c r="K24" s="116"/>
    </row>
    <row r="25" spans="2:11">
      <c r="B25" s="118" t="s">
        <v>26</v>
      </c>
      <c r="C25" s="121">
        <f>C23/-D22</f>
        <v>1.8046340654950668</v>
      </c>
      <c r="D25" s="115"/>
      <c r="E25" s="115"/>
      <c r="F25" s="115"/>
      <c r="G25" s="115"/>
      <c r="H25" s="115"/>
      <c r="I25" s="115"/>
      <c r="J25" s="115"/>
      <c r="K25" s="116"/>
    </row>
    <row r="26" spans="2:11">
      <c r="B26" s="139"/>
      <c r="C26" s="140"/>
      <c r="D26" s="140"/>
      <c r="E26" s="140"/>
      <c r="F26" s="140"/>
      <c r="G26" s="140"/>
      <c r="H26" s="140"/>
      <c r="I26" s="140"/>
      <c r="J26" s="140"/>
      <c r="K26" s="141"/>
    </row>
    <row r="27" spans="2:11">
      <c r="B27" s="139"/>
      <c r="C27" s="142" t="s">
        <v>29</v>
      </c>
      <c r="D27" s="140">
        <v>0</v>
      </c>
      <c r="E27" s="140">
        <f>D27+1</f>
        <v>1</v>
      </c>
      <c r="F27" s="140">
        <f t="shared" ref="F27:J27" si="16">E27+1</f>
        <v>2</v>
      </c>
      <c r="G27" s="140">
        <f t="shared" si="16"/>
        <v>3</v>
      </c>
      <c r="H27" s="140">
        <f t="shared" si="16"/>
        <v>4</v>
      </c>
      <c r="I27" s="140">
        <f t="shared" si="16"/>
        <v>5</v>
      </c>
      <c r="J27" s="140">
        <f t="shared" si="16"/>
        <v>6</v>
      </c>
      <c r="K27" s="141">
        <v>7</v>
      </c>
    </row>
    <row r="28" spans="2:11">
      <c r="B28" s="139"/>
      <c r="C28" s="140"/>
      <c r="D28" s="143">
        <f>-500000</f>
        <v>-500000</v>
      </c>
      <c r="E28" s="143">
        <v>400000</v>
      </c>
      <c r="F28" s="143">
        <v>400000</v>
      </c>
      <c r="G28" s="143">
        <v>1200000</v>
      </c>
      <c r="H28" s="143"/>
      <c r="I28" s="143"/>
      <c r="J28" s="143"/>
      <c r="K28" s="141"/>
    </row>
    <row r="29" spans="2:11">
      <c r="B29" s="49" t="s">
        <v>15</v>
      </c>
      <c r="C29" s="45">
        <f>SUM(D29:J29)</f>
        <v>968630.02381299483</v>
      </c>
      <c r="D29" s="143">
        <f>D28/(1+$D$2)^D27</f>
        <v>-500000</v>
      </c>
      <c r="E29" s="143">
        <f t="shared" ref="E29" si="17">E28/(1+$D$2)^E27</f>
        <v>350877.19298245612</v>
      </c>
      <c r="F29" s="143">
        <f t="shared" ref="F29" si="18">F28/(1+$D$2)^F27</f>
        <v>307787.01138811937</v>
      </c>
      <c r="G29" s="143">
        <f t="shared" ref="G29" si="19">G28/(1+$D$2)^G27</f>
        <v>809965.81944241934</v>
      </c>
      <c r="H29" s="143"/>
      <c r="I29" s="143"/>
      <c r="J29" s="143"/>
      <c r="K29" s="141"/>
    </row>
    <row r="30" spans="2:11">
      <c r="B30" s="49" t="s">
        <v>3</v>
      </c>
      <c r="C30" s="46">
        <f>IRR(D28:G28)</f>
        <v>0.89266621615943897</v>
      </c>
      <c r="D30" s="140"/>
      <c r="E30" s="140"/>
      <c r="F30" s="140"/>
      <c r="G30" s="140"/>
      <c r="H30" s="140"/>
      <c r="I30" s="140"/>
      <c r="J30" s="140"/>
      <c r="K30" s="141"/>
    </row>
    <row r="31" spans="2:11" ht="15" thickBot="1">
      <c r="B31" s="50" t="s">
        <v>26</v>
      </c>
      <c r="C31" s="48">
        <f>C29/-D28</f>
        <v>1.9372600476259896</v>
      </c>
      <c r="D31" s="144"/>
      <c r="E31" s="144"/>
      <c r="F31" s="144"/>
      <c r="G31" s="144"/>
      <c r="H31" s="144"/>
      <c r="I31" s="144"/>
      <c r="J31" s="144"/>
      <c r="K31" s="145"/>
    </row>
  </sheetData>
  <pageMargins left="0.7" right="0.7" top="0.75" bottom="0.75" header="0.3" footer="0.3"/>
  <pageSetup orientation="portrait" horizontalDpi="90" verticalDpi="9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Hoja1</vt:lpstr>
      <vt:lpstr>P16</vt:lpstr>
      <vt:lpstr>Hoja2</vt:lpstr>
      <vt:lpstr>P16 (2)</vt:lpstr>
      <vt:lpstr>ej1</vt:lpstr>
      <vt:lpstr>ej2</vt:lpstr>
      <vt:lpstr>ej2 (2)</vt:lpstr>
      <vt:lpstr>Firma México</vt:lpstr>
      <vt:lpstr>Neponuceno</vt:lpstr>
      <vt:lpstr>Concreto</vt:lpstr>
    </vt:vector>
  </TitlesOfParts>
  <Company>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Navarro Guerrero</dc:creator>
  <cp:lastModifiedBy>Rodrigo Navarro Guerrero</cp:lastModifiedBy>
  <dcterms:created xsi:type="dcterms:W3CDTF">2019-03-16T14:55:35Z</dcterms:created>
  <dcterms:modified xsi:type="dcterms:W3CDTF">2023-03-23T02:38:50Z</dcterms:modified>
</cp:coreProperties>
</file>