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rnavarro\Documents\Impartación Clases\EIGP (POSG-Ingenierías)\Material\"/>
    </mc:Choice>
  </mc:AlternateContent>
  <xr:revisionPtr revIDLastSave="0" documentId="13_ncr:1_{823C49BB-97C6-4EA8-A045-817BDD102947}" xr6:coauthVersionLast="36" xr6:coauthVersionMax="36" xr10:uidLastSave="{00000000-0000-0000-0000-000000000000}"/>
  <bookViews>
    <workbookView xWindow="0" yWindow="0" windowWidth="19200" windowHeight="7620" tabRatio="704" activeTab="1" xr2:uid="{00000000-000D-0000-FFFF-FFFF00000000}"/>
  </bookViews>
  <sheets>
    <sheet name="Financiamiento" sheetId="19" r:id="rId1"/>
    <sheet name="Helicos" sheetId="16" r:id="rId2"/>
    <sheet name="MAC" sheetId="20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6" l="1"/>
  <c r="L24" i="16"/>
  <c r="J24" i="19"/>
  <c r="L56" i="16" l="1"/>
  <c r="L52" i="16"/>
  <c r="K6" i="19"/>
  <c r="K8" i="19"/>
  <c r="G22" i="20" l="1"/>
  <c r="G21" i="20"/>
  <c r="H20" i="20"/>
  <c r="O20" i="20"/>
  <c r="P20" i="20"/>
  <c r="H18" i="20"/>
  <c r="H11" i="20"/>
  <c r="G19" i="20"/>
  <c r="H16" i="20"/>
  <c r="U4" i="19" l="1"/>
  <c r="V4" i="19"/>
  <c r="T4" i="19"/>
  <c r="S12" i="19"/>
  <c r="U5" i="19"/>
  <c r="V5" i="19"/>
  <c r="T5" i="19"/>
  <c r="R20" i="19"/>
  <c r="R19" i="19"/>
  <c r="V12" i="19"/>
  <c r="U12" i="19"/>
  <c r="T12" i="19"/>
  <c r="S8" i="19"/>
  <c r="T8" i="19" s="1"/>
  <c r="V6" i="19"/>
  <c r="V7" i="19" s="1"/>
  <c r="S6" i="19"/>
  <c r="S7" i="19" s="1"/>
  <c r="T6" i="19"/>
  <c r="T7" i="19" s="1"/>
  <c r="K15" i="19"/>
  <c r="K7" i="19"/>
  <c r="M4" i="19"/>
  <c r="N4" i="19"/>
  <c r="L4" i="19"/>
  <c r="U6" i="19" l="1"/>
  <c r="U7" i="19" s="1"/>
  <c r="S11" i="19"/>
  <c r="S13" i="19" s="1"/>
  <c r="S15" i="19"/>
  <c r="S16" i="19"/>
  <c r="S17" i="19" s="1"/>
  <c r="U8" i="19"/>
  <c r="T11" i="19"/>
  <c r="T13" i="19" s="1"/>
  <c r="T15" i="19"/>
  <c r="T16" i="19"/>
  <c r="T17" i="19" s="1"/>
  <c r="L8" i="19"/>
  <c r="K11" i="19"/>
  <c r="K16" i="19"/>
  <c r="S18" i="19" l="1"/>
  <c r="S19" i="19" s="1"/>
  <c r="S20" i="19" s="1"/>
  <c r="U15" i="19"/>
  <c r="V8" i="19"/>
  <c r="U16" i="19"/>
  <c r="U17" i="19" s="1"/>
  <c r="U11" i="19"/>
  <c r="U13" i="19" s="1"/>
  <c r="T18" i="19"/>
  <c r="T19" i="19" s="1"/>
  <c r="M8" i="19"/>
  <c r="L16" i="19"/>
  <c r="L11" i="19"/>
  <c r="L15" i="19"/>
  <c r="L5" i="19"/>
  <c r="L6" i="19" s="1"/>
  <c r="L7" i="19" s="1"/>
  <c r="M5" i="19"/>
  <c r="M6" i="19" s="1"/>
  <c r="M7" i="19" s="1"/>
  <c r="N5" i="19"/>
  <c r="N6" i="19" s="1"/>
  <c r="N7" i="19" s="1"/>
  <c r="H5" i="20"/>
  <c r="I5" i="20"/>
  <c r="J5" i="20" s="1"/>
  <c r="K5" i="20" s="1"/>
  <c r="L5" i="20" s="1"/>
  <c r="M5" i="20" s="1"/>
  <c r="N5" i="20" s="1"/>
  <c r="O5" i="20" s="1"/>
  <c r="P5" i="20" s="1"/>
  <c r="P17" i="20"/>
  <c r="O17" i="20"/>
  <c r="N17" i="20"/>
  <c r="M17" i="20"/>
  <c r="L17" i="20"/>
  <c r="K17" i="20"/>
  <c r="J17" i="20"/>
  <c r="I17" i="20"/>
  <c r="H17" i="20"/>
  <c r="G17" i="20"/>
  <c r="G12" i="20" s="1"/>
  <c r="G11" i="20"/>
  <c r="G10" i="20"/>
  <c r="G9" i="20"/>
  <c r="G8" i="20"/>
  <c r="P7" i="20"/>
  <c r="P6" i="20" s="1"/>
  <c r="G7" i="20"/>
  <c r="O6" i="20"/>
  <c r="N6" i="20"/>
  <c r="M6" i="20"/>
  <c r="L6" i="20"/>
  <c r="K6" i="20"/>
  <c r="J6" i="20"/>
  <c r="I6" i="20"/>
  <c r="H6" i="20"/>
  <c r="H4" i="20"/>
  <c r="L3" i="20"/>
  <c r="K3" i="20"/>
  <c r="J3" i="20"/>
  <c r="I3" i="20"/>
  <c r="H2" i="20"/>
  <c r="I2" i="20" s="1"/>
  <c r="J2" i="20" s="1"/>
  <c r="K2" i="20" s="1"/>
  <c r="L2" i="20" s="1"/>
  <c r="M2" i="20" s="1"/>
  <c r="N2" i="20" s="1"/>
  <c r="O2" i="20" s="1"/>
  <c r="P2" i="20" s="1"/>
  <c r="T20" i="19" l="1"/>
  <c r="V16" i="19"/>
  <c r="V17" i="19" s="1"/>
  <c r="V15" i="19"/>
  <c r="V11" i="19"/>
  <c r="V13" i="19" s="1"/>
  <c r="U18" i="19"/>
  <c r="U19" i="19" s="1"/>
  <c r="N8" i="19"/>
  <c r="M11" i="19"/>
  <c r="M15" i="19"/>
  <c r="M16" i="19"/>
  <c r="G6" i="20"/>
  <c r="I4" i="20"/>
  <c r="J4" i="20" s="1"/>
  <c r="J11" i="20" s="1"/>
  <c r="G18" i="20"/>
  <c r="H13" i="20"/>
  <c r="H14" i="20"/>
  <c r="H15" i="20"/>
  <c r="G23" i="20" l="1"/>
  <c r="V18" i="19"/>
  <c r="V19" i="19" s="1"/>
  <c r="U20" i="19"/>
  <c r="N11" i="19"/>
  <c r="N15" i="19"/>
  <c r="N16" i="19"/>
  <c r="G20" i="20"/>
  <c r="I11" i="20"/>
  <c r="I13" i="20"/>
  <c r="I15" i="20"/>
  <c r="I14" i="20"/>
  <c r="H12" i="20"/>
  <c r="J15" i="20"/>
  <c r="J14" i="20"/>
  <c r="J13" i="20"/>
  <c r="K4" i="20"/>
  <c r="I16" i="20" l="1"/>
  <c r="I12" i="20" s="1"/>
  <c r="V20" i="19"/>
  <c r="R22" i="19" s="1"/>
  <c r="R23" i="19"/>
  <c r="R24" i="19" s="1"/>
  <c r="H19" i="20"/>
  <c r="K14" i="20"/>
  <c r="K13" i="20"/>
  <c r="K11" i="20"/>
  <c r="L4" i="20"/>
  <c r="L11" i="20" s="1"/>
  <c r="K15" i="20"/>
  <c r="J16" i="20"/>
  <c r="J12" i="20" s="1"/>
  <c r="J18" i="20" s="1"/>
  <c r="I19" i="20" l="1"/>
  <c r="I18" i="20"/>
  <c r="I20" i="20"/>
  <c r="H23" i="20"/>
  <c r="L13" i="20"/>
  <c r="M4" i="20"/>
  <c r="L15" i="20"/>
  <c r="L14" i="20"/>
  <c r="K16" i="20"/>
  <c r="K12" i="20" s="1"/>
  <c r="K19" i="20" s="1"/>
  <c r="K20" i="20" s="1"/>
  <c r="J19" i="20"/>
  <c r="J20" i="20" s="1"/>
  <c r="I23" i="20" l="1"/>
  <c r="J23" i="20" s="1"/>
  <c r="K23" i="20" s="1"/>
  <c r="K18" i="20"/>
  <c r="L16" i="20"/>
  <c r="L12" i="20" s="1"/>
  <c r="M11" i="20"/>
  <c r="N4" i="20"/>
  <c r="M15" i="20"/>
  <c r="M14" i="20"/>
  <c r="M13" i="20"/>
  <c r="L18" i="20" l="1"/>
  <c r="L19" i="20"/>
  <c r="L20" i="20" s="1"/>
  <c r="M16" i="20"/>
  <c r="M12" i="20" s="1"/>
  <c r="N11" i="20"/>
  <c r="O4" i="20"/>
  <c r="N15" i="20"/>
  <c r="N14" i="20"/>
  <c r="N13" i="20"/>
  <c r="L23" i="20" l="1"/>
  <c r="O11" i="20"/>
  <c r="P4" i="20"/>
  <c r="O15" i="20"/>
  <c r="O14" i="20"/>
  <c r="O13" i="20"/>
  <c r="N16" i="20"/>
  <c r="N12" i="20" s="1"/>
  <c r="M19" i="20"/>
  <c r="M18" i="20"/>
  <c r="N19" i="20" l="1"/>
  <c r="N20" i="20" s="1"/>
  <c r="N18" i="20"/>
  <c r="P15" i="20"/>
  <c r="P14" i="20"/>
  <c r="P13" i="20"/>
  <c r="P11" i="20"/>
  <c r="M20" i="20"/>
  <c r="M23" i="20"/>
  <c r="O16" i="20"/>
  <c r="O12" i="20" s="1"/>
  <c r="O19" i="20" s="1"/>
  <c r="N23" i="20" l="1"/>
  <c r="O23" i="20" s="1"/>
  <c r="O18" i="20"/>
  <c r="P16" i="20"/>
  <c r="P12" i="20" s="1"/>
  <c r="P19" i="20" l="1"/>
  <c r="P23" i="20" s="1"/>
  <c r="P18" i="20"/>
  <c r="L55" i="16" l="1"/>
  <c r="L12" i="19" l="1"/>
  <c r="M12" i="19"/>
  <c r="N12" i="19"/>
  <c r="K12" i="19"/>
  <c r="K17" i="19" s="1"/>
  <c r="J19" i="19"/>
  <c r="K18" i="19" l="1"/>
  <c r="J20" i="19"/>
  <c r="L17" i="19" l="1"/>
  <c r="L13" i="19"/>
  <c r="K13" i="19"/>
  <c r="K19" i="19" s="1"/>
  <c r="K20" i="19" l="1"/>
  <c r="L18" i="19"/>
  <c r="L19" i="19" s="1"/>
  <c r="M17" i="19"/>
  <c r="M13" i="19"/>
  <c r="L20" i="19" l="1"/>
  <c r="M18" i="19"/>
  <c r="M19" i="19" s="1"/>
  <c r="N17" i="19"/>
  <c r="N13" i="19"/>
  <c r="M20" i="19" l="1"/>
  <c r="N18" i="19"/>
  <c r="N19" i="19" s="1"/>
  <c r="J23" i="19" l="1"/>
  <c r="N20" i="19"/>
  <c r="J22" i="19" s="1"/>
  <c r="M56" i="16" l="1"/>
  <c r="N56" i="16" s="1"/>
  <c r="U55" i="16"/>
  <c r="T55" i="16"/>
  <c r="S55" i="16"/>
  <c r="R55" i="16"/>
  <c r="Q55" i="16"/>
  <c r="P55" i="16"/>
  <c r="O55" i="16"/>
  <c r="N55" i="16"/>
  <c r="M55" i="16"/>
  <c r="L54" i="16"/>
  <c r="L58" i="16" s="1"/>
  <c r="M52" i="16"/>
  <c r="K50" i="16"/>
  <c r="K58" i="16" s="1"/>
  <c r="L49" i="16"/>
  <c r="M49" i="16" s="1"/>
  <c r="N49" i="16" s="1"/>
  <c r="O49" i="16" s="1"/>
  <c r="P49" i="16" s="1"/>
  <c r="Q49" i="16" s="1"/>
  <c r="R49" i="16" s="1"/>
  <c r="S49" i="16" s="1"/>
  <c r="T49" i="16" s="1"/>
  <c r="U49" i="16" s="1"/>
  <c r="L43" i="16"/>
  <c r="U43" i="16" s="1"/>
  <c r="L42" i="16"/>
  <c r="L39" i="16"/>
  <c r="T39" i="16" s="1"/>
  <c r="K37" i="16"/>
  <c r="K45" i="16" s="1"/>
  <c r="L36" i="16"/>
  <c r="M36" i="16" s="1"/>
  <c r="N36" i="16" s="1"/>
  <c r="O36" i="16" s="1"/>
  <c r="P36" i="16" s="1"/>
  <c r="Q36" i="16" s="1"/>
  <c r="R36" i="16" s="1"/>
  <c r="S36" i="16" s="1"/>
  <c r="T36" i="16" s="1"/>
  <c r="U36" i="16" s="1"/>
  <c r="K25" i="16"/>
  <c r="U24" i="16"/>
  <c r="T24" i="16"/>
  <c r="U23" i="16"/>
  <c r="T23" i="16"/>
  <c r="S23" i="16"/>
  <c r="R23" i="16"/>
  <c r="Q23" i="16"/>
  <c r="P23" i="16"/>
  <c r="O23" i="16"/>
  <c r="N23" i="16"/>
  <c r="M23" i="16"/>
  <c r="L23" i="16"/>
  <c r="L22" i="16" s="1"/>
  <c r="S20" i="16"/>
  <c r="K19" i="16"/>
  <c r="L18" i="16"/>
  <c r="M18" i="16" s="1"/>
  <c r="N18" i="16" s="1"/>
  <c r="O18" i="16" s="1"/>
  <c r="P18" i="16" s="1"/>
  <c r="Q18" i="16" s="1"/>
  <c r="R18" i="16" s="1"/>
  <c r="S18" i="16" s="1"/>
  <c r="T18" i="16" s="1"/>
  <c r="U18" i="16" s="1"/>
  <c r="N43" i="16" l="1"/>
  <c r="U22" i="16"/>
  <c r="L41" i="16"/>
  <c r="L45" i="16" s="1"/>
  <c r="M54" i="16"/>
  <c r="M58" i="16" s="1"/>
  <c r="M24" i="16"/>
  <c r="M22" i="16" s="1"/>
  <c r="O43" i="16"/>
  <c r="N24" i="16"/>
  <c r="N22" i="16" s="1"/>
  <c r="M39" i="16"/>
  <c r="R43" i="16"/>
  <c r="Q24" i="16"/>
  <c r="Q22" i="16" s="1"/>
  <c r="Q39" i="16"/>
  <c r="S43" i="16"/>
  <c r="M42" i="16"/>
  <c r="R24" i="16"/>
  <c r="R22" i="16" s="1"/>
  <c r="U39" i="16"/>
  <c r="M41" i="16"/>
  <c r="M45" i="16" s="1"/>
  <c r="T22" i="16"/>
  <c r="N54" i="16"/>
  <c r="O56" i="16"/>
  <c r="T20" i="16"/>
  <c r="M20" i="16"/>
  <c r="Q20" i="16"/>
  <c r="U20" i="16"/>
  <c r="O24" i="16"/>
  <c r="O22" i="16" s="1"/>
  <c r="S24" i="16"/>
  <c r="S22" i="16" s="1"/>
  <c r="S25" i="16" s="1"/>
  <c r="S26" i="16" s="1"/>
  <c r="L25" i="16"/>
  <c r="L26" i="16" s="1"/>
  <c r="N39" i="16"/>
  <c r="R39" i="16"/>
  <c r="N42" i="16"/>
  <c r="P43" i="16"/>
  <c r="T43" i="16"/>
  <c r="N52" i="16"/>
  <c r="N20" i="16"/>
  <c r="R20" i="16"/>
  <c r="P24" i="16"/>
  <c r="P22" i="16" s="1"/>
  <c r="O39" i="16"/>
  <c r="S39" i="16"/>
  <c r="M43" i="16"/>
  <c r="Q43" i="16"/>
  <c r="P20" i="16"/>
  <c r="O20" i="16"/>
  <c r="K26" i="16"/>
  <c r="P39" i="16"/>
  <c r="U25" i="16" l="1"/>
  <c r="U26" i="16" s="1"/>
  <c r="R25" i="16"/>
  <c r="R26" i="16" s="1"/>
  <c r="Q25" i="16"/>
  <c r="Q26" i="16" s="1"/>
  <c r="M25" i="16"/>
  <c r="M26" i="16" s="1"/>
  <c r="N25" i="16"/>
  <c r="N26" i="16" s="1"/>
  <c r="T25" i="16"/>
  <c r="T26" i="16" s="1"/>
  <c r="P25" i="16"/>
  <c r="P26" i="16" s="1"/>
  <c r="N41" i="16"/>
  <c r="N45" i="16" s="1"/>
  <c r="O42" i="16"/>
  <c r="O54" i="16"/>
  <c r="P56" i="16"/>
  <c r="O25" i="16"/>
  <c r="O26" i="16" s="1"/>
  <c r="N58" i="16"/>
  <c r="O52" i="16"/>
  <c r="K27" i="16" l="1"/>
  <c r="K28" i="16"/>
  <c r="K29" i="16" s="1"/>
  <c r="P42" i="16"/>
  <c r="O41" i="16"/>
  <c r="O45" i="16" s="1"/>
  <c r="O58" i="16"/>
  <c r="P52" i="16"/>
  <c r="Q56" i="16"/>
  <c r="P54" i="16"/>
  <c r="R56" i="16" l="1"/>
  <c r="Q54" i="16"/>
  <c r="P41" i="16"/>
  <c r="P45" i="16" s="1"/>
  <c r="Q42" i="16"/>
  <c r="P58" i="16"/>
  <c r="Q52" i="16"/>
  <c r="Q58" i="16" l="1"/>
  <c r="R52" i="16"/>
  <c r="R54" i="16"/>
  <c r="S56" i="16"/>
  <c r="Q41" i="16"/>
  <c r="Q45" i="16" s="1"/>
  <c r="R42" i="16"/>
  <c r="R41" i="16" l="1"/>
  <c r="R45" i="16" s="1"/>
  <c r="S42" i="16"/>
  <c r="R58" i="16"/>
  <c r="S52" i="16"/>
  <c r="T56" i="16"/>
  <c r="S54" i="16"/>
  <c r="S58" i="16" l="1"/>
  <c r="T52" i="16"/>
  <c r="T42" i="16"/>
  <c r="S41" i="16"/>
  <c r="S45" i="16" s="1"/>
  <c r="U56" i="16"/>
  <c r="U54" i="16" s="1"/>
  <c r="T54" i="16"/>
  <c r="T58" i="16" l="1"/>
  <c r="U52" i="16"/>
  <c r="U58" i="16" s="1"/>
  <c r="K59" i="16" s="1"/>
  <c r="U42" i="16"/>
  <c r="U41" i="16" s="1"/>
  <c r="U45" i="16" s="1"/>
  <c r="T41" i="16"/>
  <c r="T45" i="16" s="1"/>
  <c r="K60" i="16" l="1"/>
  <c r="K46" i="16"/>
  <c r="K47" i="16"/>
</calcChain>
</file>

<file path=xl/sharedStrings.xml><?xml version="1.0" encoding="utf-8"?>
<sst xmlns="http://schemas.openxmlformats.org/spreadsheetml/2006/main" count="156" uniqueCount="94">
  <si>
    <t>TIR</t>
  </si>
  <si>
    <t>Inversión</t>
  </si>
  <si>
    <t>Ingresos</t>
  </si>
  <si>
    <t>Costos</t>
  </si>
  <si>
    <t>Flujo Neto</t>
  </si>
  <si>
    <t>Tasa</t>
  </si>
  <si>
    <t>Flujo Neto Descontado</t>
  </si>
  <si>
    <t>VPN</t>
  </si>
  <si>
    <t>Costo Variable</t>
  </si>
  <si>
    <t>Variable</t>
  </si>
  <si>
    <t>Fijo</t>
  </si>
  <si>
    <t>Precio</t>
  </si>
  <si>
    <t>x kg</t>
  </si>
  <si>
    <t>10 años</t>
  </si>
  <si>
    <t xml:space="preserve">vida util </t>
  </si>
  <si>
    <t>Capacidad de producción</t>
  </si>
  <si>
    <t>anual</t>
  </si>
  <si>
    <t>Costos fijos</t>
  </si>
  <si>
    <t>Costo variable</t>
  </si>
  <si>
    <t>VPN o VAN</t>
  </si>
  <si>
    <t>Pesimiste</t>
  </si>
  <si>
    <t>kg</t>
  </si>
  <si>
    <t>Probable</t>
  </si>
  <si>
    <t>Optimista</t>
  </si>
  <si>
    <t>Demanda para que VPN = 0</t>
  </si>
  <si>
    <t>Flujo</t>
  </si>
  <si>
    <t>VAN o VPN</t>
  </si>
  <si>
    <t>Ventas</t>
  </si>
  <si>
    <t>Horizonte 1 año de construcción y 9 de flujo</t>
  </si>
  <si>
    <t>Toneladas</t>
  </si>
  <si>
    <t>toneladas anuales</t>
  </si>
  <si>
    <t>COSTO</t>
  </si>
  <si>
    <t>Material</t>
  </si>
  <si>
    <t>Crec. Ventas</t>
  </si>
  <si>
    <t>2do año</t>
  </si>
  <si>
    <t>Indirectos</t>
  </si>
  <si>
    <t>3er año</t>
  </si>
  <si>
    <t>4to año</t>
  </si>
  <si>
    <t>5to año</t>
  </si>
  <si>
    <t>Inversiones</t>
  </si>
  <si>
    <t>Gasto de venta variable</t>
  </si>
  <si>
    <t>comisión sobre venta</t>
  </si>
  <si>
    <t>Una nueva planta en el norte del país</t>
  </si>
  <si>
    <t>Utilidad (Ingresos -Costos)</t>
  </si>
  <si>
    <t>AÑO</t>
  </si>
  <si>
    <t>Flujo Descontado</t>
  </si>
  <si>
    <t>Tasa Real</t>
  </si>
  <si>
    <t>Factor VP</t>
  </si>
  <si>
    <t>Precio x Unidad</t>
  </si>
  <si>
    <t>Ventas Unidades</t>
  </si>
  <si>
    <t>Ingresos Totales</t>
  </si>
  <si>
    <t>Fijos</t>
  </si>
  <si>
    <t>Variable (Costo x Unidad)</t>
  </si>
  <si>
    <t>Ingresos Netos</t>
  </si>
  <si>
    <t>Costo Totales</t>
  </si>
  <si>
    <t>Concepto / Periodo</t>
  </si>
  <si>
    <t>VPN Proyecto</t>
  </si>
  <si>
    <t>Crecimiento Ventas</t>
  </si>
  <si>
    <t>miles de pesos</t>
  </si>
  <si>
    <t>Costo de Oportunidad Real</t>
  </si>
  <si>
    <t>INVERSIÓN</t>
  </si>
  <si>
    <t>Terreno / Valor de Rescate</t>
  </si>
  <si>
    <t>Venta</t>
  </si>
  <si>
    <t>Construcción Planta</t>
  </si>
  <si>
    <t>Precio 1er. Año</t>
  </si>
  <si>
    <t>x tonelada</t>
  </si>
  <si>
    <t>Maquinaria</t>
  </si>
  <si>
    <t>Precio 2do. Año</t>
  </si>
  <si>
    <t>Mobiliario y Equipo</t>
  </si>
  <si>
    <t>INGRESOS</t>
  </si>
  <si>
    <t>Terreno</t>
  </si>
  <si>
    <t>Mobiliario y Computo</t>
  </si>
  <si>
    <t>Valor de Rescate</t>
  </si>
  <si>
    <t>Costo Fabricación (constantes TODO el plazo)</t>
  </si>
  <si>
    <t>Mono de obra</t>
  </si>
  <si>
    <t>TIR Proyecto</t>
  </si>
  <si>
    <t>Costo de Administración</t>
  </si>
  <si>
    <t>año 0 y 1</t>
  </si>
  <si>
    <t>año 2</t>
  </si>
  <si>
    <t>Flujo descontado</t>
  </si>
  <si>
    <t>Pay Back (entre año 4 y 5)</t>
  </si>
  <si>
    <t>Comisión (variable-ingresos)</t>
  </si>
  <si>
    <t>Mano Obra (variable - toneladas)</t>
  </si>
  <si>
    <t>Material (variable - toneladas)</t>
  </si>
  <si>
    <t>Indirectos (variable - toneladas)</t>
  </si>
  <si>
    <t>Gatos Administrativos (fijo)</t>
  </si>
  <si>
    <t>Inflación</t>
  </si>
  <si>
    <t>Tasa Nominal</t>
  </si>
  <si>
    <t>Índice de Precios</t>
  </si>
  <si>
    <t xml:space="preserve">TIR Nominal Proyecto </t>
  </si>
  <si>
    <t>TIR Real Proyecto</t>
  </si>
  <si>
    <t>TIR Nomial</t>
  </si>
  <si>
    <t>TIR REAL</t>
  </si>
  <si>
    <t>Factor Descuento 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</si>
</sst>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%"/>
    <numFmt numFmtId="166" formatCode="_-* #,##0.0000_-;\-* #,##0.0000_-;_-* &quot;-&quot;??_-;_-@_-"/>
    <numFmt numFmtId="167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indexed="64"/>
      </right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n">
        <color theme="3"/>
      </right>
      <top style="thick">
        <color theme="3"/>
      </top>
      <bottom style="thick">
        <color theme="3"/>
      </bottom>
      <diagonal/>
    </border>
    <border>
      <left/>
      <right/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 style="thin">
        <color theme="3"/>
      </right>
      <top style="thick">
        <color theme="3"/>
      </top>
      <bottom/>
      <diagonal/>
    </border>
    <border>
      <left style="thick">
        <color theme="3"/>
      </left>
      <right style="thin">
        <color theme="3"/>
      </right>
      <top/>
      <bottom/>
      <diagonal/>
    </border>
    <border>
      <left style="thick">
        <color theme="3"/>
      </left>
      <right style="thin">
        <color theme="3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n">
        <color theme="3"/>
      </right>
      <top/>
      <bottom style="dashed">
        <color theme="3"/>
      </bottom>
      <diagonal/>
    </border>
    <border>
      <left/>
      <right/>
      <top/>
      <bottom style="dashed">
        <color theme="3"/>
      </bottom>
      <diagonal/>
    </border>
    <border>
      <left/>
      <right style="thick">
        <color indexed="64"/>
      </right>
      <top/>
      <bottom style="dashed">
        <color theme="3"/>
      </bottom>
      <diagonal/>
    </border>
    <border>
      <left style="thick">
        <color theme="3"/>
      </left>
      <right/>
      <top/>
      <bottom style="thick">
        <color theme="3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7">
    <xf numFmtId="0" fontId="0" fillId="0" borderId="0" xfId="0"/>
    <xf numFmtId="0" fontId="5" fillId="4" borderId="0" xfId="4" applyFont="1" applyFill="1"/>
    <xf numFmtId="164" fontId="5" fillId="4" borderId="0" xfId="5" applyNumberFormat="1" applyFont="1" applyFill="1"/>
    <xf numFmtId="0" fontId="3" fillId="0" borderId="0" xfId="4"/>
    <xf numFmtId="164" fontId="5" fillId="4" borderId="0" xfId="4" applyNumberFormat="1" applyFont="1" applyFill="1"/>
    <xf numFmtId="164" fontId="5" fillId="4" borderId="0" xfId="6" applyNumberFormat="1" applyFont="1" applyFill="1"/>
    <xf numFmtId="0" fontId="5" fillId="3" borderId="11" xfId="4" applyFont="1" applyFill="1" applyBorder="1" applyAlignment="1">
      <alignment horizontal="center"/>
    </xf>
    <xf numFmtId="0" fontId="5" fillId="3" borderId="12" xfId="4" applyFont="1" applyFill="1" applyBorder="1" applyAlignment="1">
      <alignment horizontal="center"/>
    </xf>
    <xf numFmtId="167" fontId="5" fillId="2" borderId="0" xfId="1" applyNumberFormat="1" applyFont="1" applyFill="1"/>
    <xf numFmtId="164" fontId="5" fillId="3" borderId="13" xfId="2" applyNumberFormat="1" applyFont="1" applyFill="1" applyBorder="1"/>
    <xf numFmtId="165" fontId="5" fillId="3" borderId="14" xfId="3" applyNumberFormat="1" applyFont="1" applyFill="1" applyBorder="1" applyAlignment="1">
      <alignment horizontal="center"/>
    </xf>
    <xf numFmtId="164" fontId="5" fillId="3" borderId="15" xfId="2" applyNumberFormat="1" applyFont="1" applyFill="1" applyBorder="1"/>
    <xf numFmtId="165" fontId="5" fillId="3" borderId="16" xfId="3" applyNumberFormat="1" applyFont="1" applyFill="1" applyBorder="1" applyAlignment="1">
      <alignment horizontal="center"/>
    </xf>
    <xf numFmtId="0" fontId="5" fillId="3" borderId="17" xfId="4" applyFont="1" applyFill="1" applyBorder="1"/>
    <xf numFmtId="167" fontId="5" fillId="3" borderId="8" xfId="1" applyNumberFormat="1" applyFont="1" applyFill="1" applyBorder="1"/>
    <xf numFmtId="0" fontId="5" fillId="3" borderId="9" xfId="4" applyFont="1" applyFill="1" applyBorder="1"/>
    <xf numFmtId="9" fontId="5" fillId="4" borderId="0" xfId="7" applyFont="1" applyFill="1"/>
    <xf numFmtId="0" fontId="5" fillId="0" borderId="0" xfId="4" applyFont="1" applyAlignment="1">
      <alignment horizontal="center"/>
    </xf>
    <xf numFmtId="0" fontId="5" fillId="0" borderId="0" xfId="4" applyFont="1"/>
    <xf numFmtId="164" fontId="5" fillId="0" borderId="0" xfId="5" applyNumberFormat="1" applyFont="1"/>
    <xf numFmtId="164" fontId="0" fillId="0" borderId="0" xfId="5" applyNumberFormat="1" applyFont="1"/>
    <xf numFmtId="164" fontId="5" fillId="2" borderId="0" xfId="5" applyNumberFormat="1" applyFont="1" applyFill="1"/>
    <xf numFmtId="164" fontId="5" fillId="0" borderId="0" xfId="4" applyNumberFormat="1" applyFont="1"/>
    <xf numFmtId="0" fontId="3" fillId="0" borderId="0" xfId="4" applyAlignment="1">
      <alignment horizontal="left" indent="2"/>
    </xf>
    <xf numFmtId="164" fontId="3" fillId="0" borderId="0" xfId="4" applyNumberFormat="1"/>
    <xf numFmtId="164" fontId="3" fillId="2" borderId="0" xfId="4" applyNumberFormat="1" applyFill="1"/>
    <xf numFmtId="164" fontId="5" fillId="2" borderId="0" xfId="4" applyNumberFormat="1" applyFont="1" applyFill="1"/>
    <xf numFmtId="165" fontId="5" fillId="0" borderId="0" xfId="4" applyNumberFormat="1" applyFont="1"/>
    <xf numFmtId="0" fontId="6" fillId="4" borderId="0" xfId="4" applyFont="1" applyFill="1"/>
    <xf numFmtId="164" fontId="6" fillId="4" borderId="0" xfId="5" applyNumberFormat="1" applyFont="1" applyFill="1"/>
    <xf numFmtId="164" fontId="6" fillId="5" borderId="0" xfId="5" applyNumberFormat="1" applyFont="1" applyFill="1"/>
    <xf numFmtId="0" fontId="3" fillId="0" borderId="17" xfId="4" applyBorder="1"/>
    <xf numFmtId="0" fontId="5" fillId="0" borderId="8" xfId="4" applyFont="1" applyBorder="1" applyAlignment="1">
      <alignment horizontal="center"/>
    </xf>
    <xf numFmtId="0" fontId="5" fillId="0" borderId="9" xfId="4" applyFont="1" applyBorder="1" applyAlignment="1">
      <alignment horizontal="center"/>
    </xf>
    <xf numFmtId="0" fontId="5" fillId="0" borderId="2" xfId="4" applyFont="1" applyBorder="1"/>
    <xf numFmtId="164" fontId="5" fillId="0" borderId="10" xfId="5" applyNumberFormat="1" applyFont="1" applyBorder="1"/>
    <xf numFmtId="164" fontId="0" fillId="0" borderId="10" xfId="5" applyNumberFormat="1" applyFont="1" applyBorder="1"/>
    <xf numFmtId="164" fontId="0" fillId="0" borderId="3" xfId="5" applyNumberFormat="1" applyFont="1" applyBorder="1"/>
    <xf numFmtId="0" fontId="3" fillId="0" borderId="1" xfId="4" applyBorder="1"/>
    <xf numFmtId="164" fontId="0" fillId="0" borderId="0" xfId="5" applyNumberFormat="1" applyFont="1" applyBorder="1"/>
    <xf numFmtId="164" fontId="0" fillId="0" borderId="4" xfId="5" applyNumberFormat="1" applyFont="1" applyBorder="1"/>
    <xf numFmtId="0" fontId="5" fillId="0" borderId="1" xfId="4" applyFont="1" applyBorder="1"/>
    <xf numFmtId="164" fontId="5" fillId="0" borderId="0" xfId="5" applyNumberFormat="1" applyFont="1" applyBorder="1"/>
    <xf numFmtId="164" fontId="5" fillId="2" borderId="0" xfId="5" applyNumberFormat="1" applyFont="1" applyFill="1" applyBorder="1"/>
    <xf numFmtId="164" fontId="5" fillId="0" borderId="4" xfId="5" applyNumberFormat="1" applyFont="1" applyBorder="1"/>
    <xf numFmtId="0" fontId="3" fillId="0" borderId="0" xfId="4" applyBorder="1"/>
    <xf numFmtId="0" fontId="3" fillId="0" borderId="4" xfId="4" applyBorder="1"/>
    <xf numFmtId="164" fontId="5" fillId="0" borderId="0" xfId="4" applyNumberFormat="1" applyFont="1" applyBorder="1"/>
    <xf numFmtId="164" fontId="5" fillId="0" borderId="4" xfId="4" applyNumberFormat="1" applyFont="1" applyBorder="1"/>
    <xf numFmtId="0" fontId="3" fillId="0" borderId="1" xfId="4" applyBorder="1" applyAlignment="1">
      <alignment horizontal="left" indent="2"/>
    </xf>
    <xf numFmtId="164" fontId="3" fillId="2" borderId="0" xfId="4" applyNumberFormat="1" applyFill="1" applyBorder="1"/>
    <xf numFmtId="164" fontId="3" fillId="0" borderId="0" xfId="4" applyNumberFormat="1" applyBorder="1"/>
    <xf numFmtId="164" fontId="3" fillId="0" borderId="4" xfId="4" applyNumberFormat="1" applyBorder="1"/>
    <xf numFmtId="6" fontId="5" fillId="2" borderId="0" xfId="4" applyNumberFormat="1" applyFont="1" applyFill="1" applyBorder="1"/>
    <xf numFmtId="0" fontId="5" fillId="0" borderId="5" xfId="4" applyFont="1" applyBorder="1"/>
    <xf numFmtId="165" fontId="5" fillId="0" borderId="7" xfId="4" applyNumberFormat="1" applyFont="1" applyBorder="1"/>
    <xf numFmtId="0" fontId="3" fillId="0" borderId="7" xfId="4" applyBorder="1"/>
    <xf numFmtId="0" fontId="3" fillId="0" borderId="6" xfId="4" applyBorder="1"/>
    <xf numFmtId="6" fontId="5" fillId="6" borderId="0" xfId="4" applyNumberFormat="1" applyFont="1" applyFill="1" applyBorder="1"/>
    <xf numFmtId="0" fontId="0" fillId="0" borderId="0" xfId="0" applyFont="1"/>
    <xf numFmtId="164" fontId="0" fillId="2" borderId="0" xfId="2" applyNumberFormat="1" applyFont="1" applyFill="1" applyBorder="1"/>
    <xf numFmtId="0" fontId="2" fillId="9" borderId="23" xfId="0" applyFont="1" applyFill="1" applyBorder="1" applyAlignment="1">
      <alignment horizontal="center"/>
    </xf>
    <xf numFmtId="0" fontId="0" fillId="9" borderId="0" xfId="0" applyFont="1" applyFill="1" applyBorder="1"/>
    <xf numFmtId="166" fontId="0" fillId="9" borderId="0" xfId="1" applyNumberFormat="1" applyFont="1" applyFill="1" applyBorder="1"/>
    <xf numFmtId="164" fontId="0" fillId="9" borderId="0" xfId="2" applyNumberFormat="1" applyFont="1" applyFill="1" applyBorder="1"/>
    <xf numFmtId="164" fontId="0" fillId="9" borderId="19" xfId="2" applyNumberFormat="1" applyFont="1" applyFill="1" applyBorder="1"/>
    <xf numFmtId="167" fontId="0" fillId="9" borderId="0" xfId="1" applyNumberFormat="1" applyFont="1" applyFill="1" applyBorder="1"/>
    <xf numFmtId="164" fontId="2" fillId="9" borderId="21" xfId="2" applyNumberFormat="1" applyFont="1" applyFill="1" applyBorder="1"/>
    <xf numFmtId="164" fontId="2" fillId="9" borderId="22" xfId="2" applyNumberFormat="1" applyFont="1" applyFill="1" applyBorder="1"/>
    <xf numFmtId="164" fontId="2" fillId="9" borderId="19" xfId="2" applyNumberFormat="1" applyFont="1" applyFill="1" applyBorder="1"/>
    <xf numFmtId="164" fontId="2" fillId="9" borderId="0" xfId="2" applyNumberFormat="1" applyFont="1" applyFill="1" applyBorder="1"/>
    <xf numFmtId="10" fontId="0" fillId="2" borderId="0" xfId="3" applyNumberFormat="1" applyFont="1" applyFill="1" applyBorder="1" applyAlignment="1">
      <alignment horizontal="right"/>
    </xf>
    <xf numFmtId="10" fontId="0" fillId="9" borderId="0" xfId="3" applyNumberFormat="1" applyFont="1" applyFill="1" applyBorder="1" applyAlignment="1">
      <alignment horizontal="right"/>
    </xf>
    <xf numFmtId="0" fontId="3" fillId="0" borderId="0" xfId="0" applyFont="1"/>
    <xf numFmtId="0" fontId="7" fillId="10" borderId="28" xfId="0" applyFont="1" applyFill="1" applyBorder="1" applyAlignment="1">
      <alignment horizontal="center"/>
    </xf>
    <xf numFmtId="0" fontId="7" fillId="10" borderId="29" xfId="0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8" fillId="8" borderId="33" xfId="0" applyFont="1" applyFill="1" applyBorder="1"/>
    <xf numFmtId="164" fontId="8" fillId="8" borderId="26" xfId="2" applyNumberFormat="1" applyFont="1" applyFill="1" applyBorder="1"/>
    <xf numFmtId="9" fontId="8" fillId="8" borderId="26" xfId="3" applyFont="1" applyFill="1" applyBorder="1" applyAlignment="1">
      <alignment horizontal="center"/>
    </xf>
    <xf numFmtId="164" fontId="8" fillId="8" borderId="27" xfId="2" applyNumberFormat="1" applyFont="1" applyFill="1" applyBorder="1"/>
    <xf numFmtId="0" fontId="7" fillId="8" borderId="31" xfId="0" applyFont="1" applyFill="1" applyBorder="1" applyAlignment="1"/>
    <xf numFmtId="0" fontId="7" fillId="8" borderId="0" xfId="0" applyFont="1" applyFill="1" applyBorder="1" applyAlignment="1"/>
    <xf numFmtId="0" fontId="7" fillId="8" borderId="32" xfId="0" applyFont="1" applyFill="1" applyBorder="1" applyAlignment="1"/>
    <xf numFmtId="0" fontId="8" fillId="8" borderId="34" xfId="0" applyFont="1" applyFill="1" applyBorder="1"/>
    <xf numFmtId="167" fontId="8" fillId="8" borderId="0" xfId="1" applyNumberFormat="1" applyFont="1" applyFill="1" applyBorder="1"/>
    <xf numFmtId="167" fontId="8" fillId="8" borderId="32" xfId="1" applyNumberFormat="1" applyFont="1" applyFill="1" applyBorder="1"/>
    <xf numFmtId="0" fontId="9" fillId="8" borderId="31" xfId="0" applyFont="1" applyFill="1" applyBorder="1"/>
    <xf numFmtId="165" fontId="7" fillId="8" borderId="0" xfId="3" applyNumberFormat="1" applyFont="1" applyFill="1" applyBorder="1" applyAlignment="1">
      <alignment horizontal="right"/>
    </xf>
    <xf numFmtId="0" fontId="7" fillId="8" borderId="32" xfId="0" applyFont="1" applyFill="1" applyBorder="1"/>
    <xf numFmtId="0" fontId="8" fillId="8" borderId="35" xfId="0" applyFont="1" applyFill="1" applyBorder="1"/>
    <xf numFmtId="164" fontId="8" fillId="8" borderId="36" xfId="2" applyNumberFormat="1" applyFont="1" applyFill="1" applyBorder="1"/>
    <xf numFmtId="44" fontId="8" fillId="8" borderId="36" xfId="2" applyNumberFormat="1" applyFont="1" applyFill="1" applyBorder="1"/>
    <xf numFmtId="44" fontId="8" fillId="8" borderId="37" xfId="2" applyNumberFormat="1" applyFont="1" applyFill="1" applyBorder="1"/>
    <xf numFmtId="43" fontId="5" fillId="7" borderId="33" xfId="1" applyFont="1" applyFill="1" applyBorder="1"/>
    <xf numFmtId="164" fontId="5" fillId="7" borderId="26" xfId="2" applyNumberFormat="1" applyFont="1" applyFill="1" applyBorder="1"/>
    <xf numFmtId="164" fontId="5" fillId="7" borderId="27" xfId="2" applyNumberFormat="1" applyFont="1" applyFill="1" applyBorder="1"/>
    <xf numFmtId="0" fontId="3" fillId="0" borderId="34" xfId="0" applyFont="1" applyBorder="1"/>
    <xf numFmtId="164" fontId="3" fillId="0" borderId="0" xfId="2" applyNumberFormat="1" applyFont="1" applyBorder="1"/>
    <xf numFmtId="164" fontId="3" fillId="0" borderId="32" xfId="2" applyNumberFormat="1" applyFont="1" applyBorder="1"/>
    <xf numFmtId="3" fontId="7" fillId="8" borderId="0" xfId="0" applyNumberFormat="1" applyFont="1" applyFill="1" applyBorder="1"/>
    <xf numFmtId="44" fontId="7" fillId="8" borderId="0" xfId="2" applyFont="1" applyFill="1" applyBorder="1"/>
    <xf numFmtId="165" fontId="7" fillId="8" borderId="0" xfId="0" applyNumberFormat="1" applyFont="1" applyFill="1" applyBorder="1"/>
    <xf numFmtId="43" fontId="5" fillId="7" borderId="34" xfId="1" applyFont="1" applyFill="1" applyBorder="1"/>
    <xf numFmtId="164" fontId="5" fillId="7" borderId="0" xfId="2" applyNumberFormat="1" applyFont="1" applyFill="1" applyBorder="1"/>
    <xf numFmtId="164" fontId="5" fillId="7" borderId="24" xfId="2" applyNumberFormat="1" applyFont="1" applyFill="1" applyBorder="1"/>
    <xf numFmtId="0" fontId="7" fillId="8" borderId="31" xfId="0" applyFont="1" applyFill="1" applyBorder="1"/>
    <xf numFmtId="164" fontId="3" fillId="0" borderId="24" xfId="2" applyNumberFormat="1" applyFont="1" applyBorder="1"/>
    <xf numFmtId="164" fontId="7" fillId="8" borderId="0" xfId="2" applyNumberFormat="1" applyFont="1" applyFill="1" applyBorder="1"/>
    <xf numFmtId="3" fontId="7" fillId="8" borderId="32" xfId="0" applyNumberFormat="1" applyFont="1" applyFill="1" applyBorder="1"/>
    <xf numFmtId="167" fontId="5" fillId="7" borderId="38" xfId="1" applyNumberFormat="1" applyFont="1" applyFill="1" applyBorder="1"/>
    <xf numFmtId="164" fontId="5" fillId="7" borderId="39" xfId="2" applyNumberFormat="1" applyFont="1" applyFill="1" applyBorder="1"/>
    <xf numFmtId="164" fontId="5" fillId="7" borderId="40" xfId="2" applyNumberFormat="1" applyFont="1" applyFill="1" applyBorder="1"/>
    <xf numFmtId="9" fontId="7" fillId="8" borderId="0" xfId="3" applyFont="1" applyFill="1" applyBorder="1"/>
    <xf numFmtId="0" fontId="7" fillId="8" borderId="37" xfId="0" applyFont="1" applyFill="1" applyBorder="1"/>
    <xf numFmtId="0" fontId="7" fillId="8" borderId="41" xfId="0" applyFont="1" applyFill="1" applyBorder="1"/>
    <xf numFmtId="164" fontId="7" fillId="8" borderId="36" xfId="2" applyNumberFormat="1" applyFont="1" applyFill="1" applyBorder="1"/>
    <xf numFmtId="0" fontId="2" fillId="9" borderId="42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0" fillId="9" borderId="1" xfId="0" applyFont="1" applyFill="1" applyBorder="1"/>
    <xf numFmtId="10" fontId="0" fillId="9" borderId="4" xfId="3" applyNumberFormat="1" applyFont="1" applyFill="1" applyBorder="1" applyAlignment="1">
      <alignment horizontal="right"/>
    </xf>
    <xf numFmtId="0" fontId="0" fillId="9" borderId="44" xfId="0" applyFont="1" applyFill="1" applyBorder="1"/>
    <xf numFmtId="0" fontId="2" fillId="9" borderId="1" xfId="0" applyFont="1" applyFill="1" applyBorder="1"/>
    <xf numFmtId="166" fontId="0" fillId="9" borderId="4" xfId="1" applyNumberFormat="1" applyFont="1" applyFill="1" applyBorder="1"/>
    <xf numFmtId="0" fontId="2" fillId="9" borderId="18" xfId="0" applyFont="1" applyFill="1" applyBorder="1"/>
    <xf numFmtId="164" fontId="0" fillId="9" borderId="20" xfId="2" applyNumberFormat="1" applyFont="1" applyFill="1" applyBorder="1"/>
    <xf numFmtId="164" fontId="0" fillId="9" borderId="4" xfId="2" applyNumberFormat="1" applyFont="1" applyFill="1" applyBorder="1"/>
    <xf numFmtId="167" fontId="0" fillId="9" borderId="4" xfId="1" applyNumberFormat="1" applyFont="1" applyFill="1" applyBorder="1"/>
    <xf numFmtId="0" fontId="2" fillId="9" borderId="44" xfId="0" applyFont="1" applyFill="1" applyBorder="1"/>
    <xf numFmtId="164" fontId="2" fillId="9" borderId="45" xfId="2" applyNumberFormat="1" applyFont="1" applyFill="1" applyBorder="1"/>
    <xf numFmtId="0" fontId="2" fillId="9" borderId="46" xfId="0" applyFont="1" applyFill="1" applyBorder="1"/>
    <xf numFmtId="164" fontId="2" fillId="9" borderId="47" xfId="2" applyNumberFormat="1" applyFont="1" applyFill="1" applyBorder="1"/>
    <xf numFmtId="164" fontId="2" fillId="9" borderId="20" xfId="2" applyNumberFormat="1" applyFont="1" applyFill="1" applyBorder="1"/>
    <xf numFmtId="164" fontId="2" fillId="9" borderId="4" xfId="2" applyNumberFormat="1" applyFont="1" applyFill="1" applyBorder="1"/>
    <xf numFmtId="0" fontId="2" fillId="9" borderId="5" xfId="0" applyFont="1" applyFill="1" applyBorder="1"/>
    <xf numFmtId="167" fontId="7" fillId="8" borderId="34" xfId="1" applyNumberFormat="1" applyFont="1" applyFill="1" applyBorder="1"/>
    <xf numFmtId="164" fontId="7" fillId="8" borderId="24" xfId="2" applyNumberFormat="1" applyFont="1" applyFill="1" applyBorder="1"/>
    <xf numFmtId="0" fontId="5" fillId="0" borderId="0" xfId="0" applyFont="1" applyBorder="1"/>
    <xf numFmtId="0" fontId="5" fillId="0" borderId="32" xfId="0" applyFont="1" applyBorder="1"/>
    <xf numFmtId="165" fontId="7" fillId="8" borderId="0" xfId="3" applyNumberFormat="1" applyFont="1" applyFill="1" applyBorder="1"/>
    <xf numFmtId="167" fontId="7" fillId="8" borderId="35" xfId="1" applyNumberFormat="1" applyFont="1" applyFill="1" applyBorder="1"/>
    <xf numFmtId="167" fontId="7" fillId="8" borderId="36" xfId="1" applyNumberFormat="1" applyFont="1" applyFill="1" applyBorder="1"/>
    <xf numFmtId="167" fontId="5" fillId="0" borderId="36" xfId="1" applyNumberFormat="1" applyFont="1" applyFill="1" applyBorder="1"/>
    <xf numFmtId="167" fontId="5" fillId="0" borderId="37" xfId="1" applyNumberFormat="1" applyFont="1" applyFill="1" applyBorder="1"/>
    <xf numFmtId="0" fontId="2" fillId="9" borderId="0" xfId="0" applyFont="1" applyFill="1" applyBorder="1" applyAlignment="1">
      <alignment horizontal="center"/>
    </xf>
    <xf numFmtId="10" fontId="2" fillId="9" borderId="0" xfId="3" applyNumberFormat="1" applyFont="1" applyFill="1" applyBorder="1"/>
    <xf numFmtId="10" fontId="2" fillId="9" borderId="7" xfId="3" applyNumberFormat="1" applyFont="1" applyFill="1" applyBorder="1"/>
    <xf numFmtId="0" fontId="2" fillId="9" borderId="48" xfId="0" applyFont="1" applyFill="1" applyBorder="1" applyAlignment="1">
      <alignment horizontal="center"/>
    </xf>
    <xf numFmtId="0" fontId="0" fillId="9" borderId="49" xfId="0" applyFont="1" applyFill="1" applyBorder="1"/>
    <xf numFmtId="0" fontId="0" fillId="9" borderId="50" xfId="0" applyFont="1" applyFill="1" applyBorder="1"/>
    <xf numFmtId="0" fontId="2" fillId="9" borderId="49" xfId="0" applyFont="1" applyFill="1" applyBorder="1"/>
    <xf numFmtId="0" fontId="2" fillId="9" borderId="51" xfId="0" applyFont="1" applyFill="1" applyBorder="1"/>
    <xf numFmtId="0" fontId="2" fillId="9" borderId="50" xfId="0" applyFont="1" applyFill="1" applyBorder="1"/>
    <xf numFmtId="0" fontId="2" fillId="9" borderId="52" xfId="0" applyFont="1" applyFill="1" applyBorder="1"/>
    <xf numFmtId="0" fontId="2" fillId="9" borderId="53" xfId="0" applyFont="1" applyFill="1" applyBorder="1"/>
    <xf numFmtId="0" fontId="0" fillId="9" borderId="2" xfId="0" applyFont="1" applyFill="1" applyBorder="1"/>
    <xf numFmtId="0" fontId="0" fillId="9" borderId="10" xfId="0" applyFont="1" applyFill="1" applyBorder="1"/>
    <xf numFmtId="0" fontId="0" fillId="9" borderId="3" xfId="0" applyFont="1" applyFill="1" applyBorder="1"/>
    <xf numFmtId="0" fontId="0" fillId="9" borderId="0" xfId="0" applyFont="1" applyFill="1"/>
    <xf numFmtId="0" fontId="0" fillId="9" borderId="7" xfId="0" applyFont="1" applyFill="1" applyBorder="1"/>
    <xf numFmtId="0" fontId="0" fillId="9" borderId="6" xfId="0" applyFont="1" applyFill="1" applyBorder="1"/>
    <xf numFmtId="164" fontId="0" fillId="2" borderId="49" xfId="2" applyNumberFormat="1" applyFont="1" applyFill="1" applyBorder="1"/>
    <xf numFmtId="167" fontId="0" fillId="2" borderId="49" xfId="1" applyNumberFormat="1" applyFont="1" applyFill="1" applyBorder="1"/>
    <xf numFmtId="166" fontId="10" fillId="9" borderId="0" xfId="1" applyNumberFormat="1" applyFont="1" applyFill="1" applyBorder="1"/>
    <xf numFmtId="166" fontId="10" fillId="9" borderId="4" xfId="1" applyNumberFormat="1" applyFont="1" applyFill="1" applyBorder="1"/>
    <xf numFmtId="166" fontId="10" fillId="9" borderId="21" xfId="1" applyNumberFormat="1" applyFont="1" applyFill="1" applyBorder="1"/>
    <xf numFmtId="166" fontId="10" fillId="9" borderId="45" xfId="1" applyNumberFormat="1" applyFont="1" applyFill="1" applyBorder="1"/>
    <xf numFmtId="10" fontId="5" fillId="6" borderId="7" xfId="4" applyNumberFormat="1" applyFont="1" applyFill="1" applyBorder="1"/>
    <xf numFmtId="0" fontId="7" fillId="8" borderId="25" xfId="0" applyFont="1" applyFill="1" applyBorder="1" applyAlignment="1">
      <alignment horizontal="left"/>
    </xf>
    <xf numFmtId="0" fontId="7" fillId="8" borderId="26" xfId="0" applyFont="1" applyFill="1" applyBorder="1" applyAlignment="1">
      <alignment horizontal="left"/>
    </xf>
    <xf numFmtId="0" fontId="7" fillId="8" borderId="27" xfId="0" applyFont="1" applyFill="1" applyBorder="1" applyAlignment="1">
      <alignment horizontal="left"/>
    </xf>
    <xf numFmtId="0" fontId="7" fillId="8" borderId="31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32" xfId="0" applyFont="1" applyFill="1" applyBorder="1" applyAlignment="1">
      <alignment horizontal="left"/>
    </xf>
    <xf numFmtId="0" fontId="9" fillId="8" borderId="31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left" wrapText="1"/>
    </xf>
    <xf numFmtId="0" fontId="9" fillId="8" borderId="32" xfId="0" applyFont="1" applyFill="1" applyBorder="1" applyAlignment="1">
      <alignment horizontal="left" wrapText="1"/>
    </xf>
  </cellXfs>
  <cellStyles count="8">
    <cellStyle name="Millares" xfId="1" builtinId="3"/>
    <cellStyle name="Millares 2" xfId="6" xr:uid="{00000000-0005-0000-0000-000001000000}"/>
    <cellStyle name="Moneda" xfId="2" builtinId="4"/>
    <cellStyle name="Moneda 2" xfId="5" xr:uid="{00000000-0005-0000-0000-000003000000}"/>
    <cellStyle name="Normal" xfId="0" builtinId="0"/>
    <cellStyle name="Normal 2" xfId="4" xr:uid="{00000000-0005-0000-0000-000005000000}"/>
    <cellStyle name="Porcentaje" xfId="3" builtinId="5"/>
    <cellStyle name="Porcentaje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240084</xdr:colOff>
      <xdr:row>0</xdr:row>
      <xdr:rowOff>147796</xdr:rowOff>
    </xdr:from>
    <xdr:to>
      <xdr:col>5</xdr:col>
      <xdr:colOff>677334</xdr:colOff>
      <xdr:row>22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40084" y="147796"/>
          <a:ext cx="4374250" cy="4034737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s-MX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 solicita para un proyecto una inversión por $6,500.</a:t>
          </a:r>
          <a:endParaRPr lang="es-MX" sz="1600">
            <a:effectLst/>
          </a:endParaRPr>
        </a:p>
        <a:p>
          <a:pPr rtl="0" eaLnBrk="1" latinLnBrk="0" hangingPunct="1"/>
          <a:r>
            <a:rPr lang="es-MX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Dicho proyecto permitirá la producción y venta durante los primeros cuatro años de 85 unidades.</a:t>
          </a:r>
          <a:endParaRPr lang="es-MX" sz="1600">
            <a:effectLst/>
          </a:endParaRPr>
        </a:p>
        <a:p>
          <a:pPr rtl="0" eaLnBrk="1" latinLnBrk="0" hangingPunct="1"/>
          <a:r>
            <a:rPr lang="es-MX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El precio de venta al inicio del proyecto se estima será de $50 por unidad.</a:t>
          </a:r>
          <a:endParaRPr lang="es-MX" sz="1600">
            <a:effectLst/>
          </a:endParaRPr>
        </a:p>
        <a:p>
          <a:pPr rtl="0" eaLnBrk="1" latinLnBrk="0" hangingPunct="1"/>
          <a:r>
            <a:rPr lang="es-MX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Los costos variables se han calculado en $15 por unidad y los costos fijos en $200 anuales.</a:t>
          </a:r>
          <a:endParaRPr lang="es-MX" sz="1600">
            <a:effectLst/>
          </a:endParaRPr>
        </a:p>
        <a:p>
          <a:pPr rtl="0" eaLnBrk="1" latinLnBrk="0" hangingPunct="1"/>
          <a:r>
            <a:rPr lang="es-MX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 ha proyectado una inflación del 10% anual y una tasa real del 8%, como costo de oportunidad de la empresa.</a:t>
          </a:r>
        </a:p>
        <a:p>
          <a:pPr rtl="0" eaLnBrk="1" latinLnBrk="0" hangingPunct="1"/>
          <a:endParaRPr lang="es-MX" sz="1600">
            <a:effectLst/>
          </a:endParaRPr>
        </a:p>
        <a:p>
          <a:pPr rtl="0" eaLnBrk="1" latinLnBrk="0" hangingPunct="1"/>
          <a:r>
            <a:rPr lang="es-MX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la información anterior obtener:</a:t>
          </a:r>
          <a:endParaRPr lang="es-MX" sz="1600">
            <a:effectLst/>
          </a:endParaRPr>
        </a:p>
        <a:p>
          <a:pPr rtl="0" eaLnBrk="1" latinLnBrk="0" hangingPunct="1"/>
          <a:r>
            <a:rPr lang="es-MX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Los flujos del proyecto, VPN y TIR Nominal.</a:t>
          </a:r>
          <a:endParaRPr lang="es-MX" sz="16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37041</xdr:colOff>
      <xdr:row>1</xdr:row>
      <xdr:rowOff>66675</xdr:rowOff>
    </xdr:from>
    <xdr:to>
      <xdr:col>8</xdr:col>
      <xdr:colOff>436418</xdr:colOff>
      <xdr:row>19</xdr:row>
      <xdr:rowOff>93108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3" y="267566"/>
          <a:ext cx="5878850" cy="3663251"/>
        </a:xfrm>
        <a:prstGeom prst="rect">
          <a:avLst/>
        </a:prstGeom>
      </xdr:spPr>
    </xdr:pic>
    <xdr:clientData/>
  </xdr:twoCellAnchor>
  <xdr:twoCellAnchor editAs="oneCell">
    <xdr:from>
      <xdr:col>1</xdr:col>
      <xdr:colOff>43515</xdr:colOff>
      <xdr:row>20</xdr:row>
      <xdr:rowOff>14720</xdr:rowOff>
    </xdr:from>
    <xdr:to>
      <xdr:col>8</xdr:col>
      <xdr:colOff>207817</xdr:colOff>
      <xdr:row>49</xdr:row>
      <xdr:rowOff>113931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297" y="4053320"/>
          <a:ext cx="5643775" cy="3542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:V24"/>
  <sheetViews>
    <sheetView zoomScale="120" zoomScaleNormal="120" workbookViewId="0">
      <selection activeCell="J24" sqref="J24"/>
    </sheetView>
  </sheetViews>
  <sheetFormatPr baseColWidth="10" defaultColWidth="11.44140625" defaultRowHeight="14.4"/>
  <cols>
    <col min="1" max="6" width="11.44140625" style="59"/>
    <col min="7" max="7" width="5.77734375" style="59" customWidth="1"/>
    <col min="8" max="8" width="23" style="59" bestFit="1" customWidth="1"/>
    <col min="9" max="9" width="6.77734375" style="59" bestFit="1" customWidth="1"/>
    <col min="10" max="14" width="8.33203125" style="59" bestFit="1" customWidth="1"/>
    <col min="15" max="15" width="5.77734375" style="59" customWidth="1"/>
    <col min="16" max="16" width="23" style="59" hidden="1" customWidth="1"/>
    <col min="17" max="17" width="6.77734375" style="59" hidden="1" customWidth="1"/>
    <col min="18" max="22" width="8.33203125" style="59" hidden="1" customWidth="1"/>
    <col min="23" max="16384" width="11.44140625" style="59"/>
  </cols>
  <sheetData>
    <row r="1" spans="8:22" ht="15" thickBot="1"/>
    <row r="2" spans="8:22" ht="15" thickBot="1">
      <c r="H2" s="155"/>
      <c r="I2" s="156"/>
      <c r="J2" s="156"/>
      <c r="K2" s="156"/>
      <c r="L2" s="156"/>
      <c r="M2" s="156"/>
      <c r="N2" s="157"/>
      <c r="P2" s="155"/>
      <c r="Q2" s="156"/>
      <c r="R2" s="156"/>
      <c r="S2" s="156"/>
      <c r="T2" s="156"/>
      <c r="U2" s="156"/>
      <c r="V2" s="157"/>
    </row>
    <row r="3" spans="8:22" ht="20.25" customHeight="1" thickTop="1">
      <c r="H3" s="117" t="s">
        <v>55</v>
      </c>
      <c r="I3" s="147"/>
      <c r="J3" s="61">
        <v>0</v>
      </c>
      <c r="K3" s="61">
        <v>1</v>
      </c>
      <c r="L3" s="61">
        <v>2</v>
      </c>
      <c r="M3" s="61">
        <v>3</v>
      </c>
      <c r="N3" s="118">
        <v>4</v>
      </c>
      <c r="P3" s="117" t="s">
        <v>55</v>
      </c>
      <c r="Q3" s="147"/>
      <c r="R3" s="61">
        <v>0</v>
      </c>
      <c r="S3" s="61">
        <v>1</v>
      </c>
      <c r="T3" s="61">
        <v>2</v>
      </c>
      <c r="U3" s="61">
        <v>3</v>
      </c>
      <c r="V3" s="118">
        <v>4</v>
      </c>
    </row>
    <row r="4" spans="8:22">
      <c r="H4" s="119" t="s">
        <v>86</v>
      </c>
      <c r="I4" s="148"/>
      <c r="J4" s="144"/>
      <c r="K4" s="71">
        <v>0.1</v>
      </c>
      <c r="L4" s="72">
        <f>$K$4</f>
        <v>0.1</v>
      </c>
      <c r="M4" s="72">
        <f t="shared" ref="M4:N4" si="0">$K$4</f>
        <v>0.1</v>
      </c>
      <c r="N4" s="120">
        <f t="shared" si="0"/>
        <v>0.1</v>
      </c>
      <c r="P4" s="119" t="s">
        <v>86</v>
      </c>
      <c r="Q4" s="148"/>
      <c r="R4" s="144"/>
      <c r="S4" s="71">
        <v>0</v>
      </c>
      <c r="T4" s="72">
        <f>$S$4</f>
        <v>0</v>
      </c>
      <c r="U4" s="72">
        <f t="shared" ref="U4:V4" si="1">$S$4</f>
        <v>0</v>
      </c>
      <c r="V4" s="120">
        <f t="shared" si="1"/>
        <v>0</v>
      </c>
    </row>
    <row r="5" spans="8:22">
      <c r="H5" s="119" t="s">
        <v>46</v>
      </c>
      <c r="I5" s="148"/>
      <c r="J5" s="62"/>
      <c r="K5" s="71">
        <v>0.08</v>
      </c>
      <c r="L5" s="72">
        <f>$K$5</f>
        <v>0.08</v>
      </c>
      <c r="M5" s="72">
        <f t="shared" ref="M5:N5" si="2">$K$5</f>
        <v>0.08</v>
      </c>
      <c r="N5" s="120">
        <f t="shared" si="2"/>
        <v>0.08</v>
      </c>
      <c r="P5" s="119" t="s">
        <v>46</v>
      </c>
      <c r="Q5" s="148"/>
      <c r="R5" s="62"/>
      <c r="S5" s="71">
        <v>0.08</v>
      </c>
      <c r="T5" s="72">
        <f>$S$5</f>
        <v>0.08</v>
      </c>
      <c r="U5" s="72">
        <f t="shared" ref="U5:V5" si="3">$S$5</f>
        <v>0.08</v>
      </c>
      <c r="V5" s="120">
        <f t="shared" si="3"/>
        <v>0.08</v>
      </c>
    </row>
    <row r="6" spans="8:22">
      <c r="H6" s="119" t="s">
        <v>87</v>
      </c>
      <c r="I6" s="148"/>
      <c r="J6" s="62"/>
      <c r="K6" s="72">
        <f>((1+K4)*(1+K5))-1</f>
        <v>0.18800000000000017</v>
      </c>
      <c r="L6" s="72">
        <f t="shared" ref="L6:N6" si="4">((1+L4)*(1+L5))-1</f>
        <v>0.18800000000000017</v>
      </c>
      <c r="M6" s="72">
        <f t="shared" si="4"/>
        <v>0.18800000000000017</v>
      </c>
      <c r="N6" s="120">
        <f t="shared" si="4"/>
        <v>0.18800000000000017</v>
      </c>
      <c r="P6" s="119" t="s">
        <v>87</v>
      </c>
      <c r="Q6" s="148"/>
      <c r="R6" s="62"/>
      <c r="S6" s="72">
        <f>((1+S4)*(1+S5))-1</f>
        <v>8.0000000000000071E-2</v>
      </c>
      <c r="T6" s="72">
        <f t="shared" ref="T6" si="5">((1+T4)*(1+T5))-1</f>
        <v>8.0000000000000071E-2</v>
      </c>
      <c r="U6" s="72">
        <f t="shared" ref="U6" si="6">((1+U4)*(1+U5))-1</f>
        <v>8.0000000000000071E-2</v>
      </c>
      <c r="V6" s="120">
        <f t="shared" ref="V6" si="7">((1+V4)*(1+V5))-1</f>
        <v>8.0000000000000071E-2</v>
      </c>
    </row>
    <row r="7" spans="8:22">
      <c r="H7" s="119" t="s">
        <v>93</v>
      </c>
      <c r="I7" s="148"/>
      <c r="J7" s="163">
        <v>1</v>
      </c>
      <c r="K7" s="163">
        <f>1/(1+K6)^K3</f>
        <v>0.84175084175084158</v>
      </c>
      <c r="L7" s="163">
        <f t="shared" ref="L7:N7" si="8">1/(1+L6)^L3</f>
        <v>0.7085444795882504</v>
      </c>
      <c r="M7" s="163">
        <f t="shared" si="8"/>
        <v>0.59641791211132189</v>
      </c>
      <c r="N7" s="164">
        <f t="shared" si="8"/>
        <v>0.50203527955498461</v>
      </c>
      <c r="P7" s="119" t="s">
        <v>47</v>
      </c>
      <c r="Q7" s="148"/>
      <c r="R7" s="163">
        <v>1</v>
      </c>
      <c r="S7" s="163">
        <f>1/(1+S6)^S3</f>
        <v>0.92592592592592582</v>
      </c>
      <c r="T7" s="163">
        <f t="shared" ref="T7" si="9">1/(1+T6)^T3</f>
        <v>0.85733882030178321</v>
      </c>
      <c r="U7" s="163">
        <f t="shared" ref="U7" si="10">1/(1+U6)^U3</f>
        <v>0.79383224102016958</v>
      </c>
      <c r="V7" s="164">
        <f t="shared" ref="V7" si="11">1/(1+V6)^V3</f>
        <v>0.73502985279645328</v>
      </c>
    </row>
    <row r="8" spans="8:22">
      <c r="H8" s="121" t="s">
        <v>88</v>
      </c>
      <c r="I8" s="149"/>
      <c r="J8" s="165">
        <v>1</v>
      </c>
      <c r="K8" s="165">
        <f>J8*(1+K4)</f>
        <v>1.1000000000000001</v>
      </c>
      <c r="L8" s="165">
        <f t="shared" ref="L8:N8" si="12">K8*(1+L4)</f>
        <v>1.2100000000000002</v>
      </c>
      <c r="M8" s="165">
        <f t="shared" si="12"/>
        <v>1.3310000000000004</v>
      </c>
      <c r="N8" s="166">
        <f t="shared" si="12"/>
        <v>1.4641000000000006</v>
      </c>
      <c r="P8" s="121" t="s">
        <v>88</v>
      </c>
      <c r="Q8" s="149"/>
      <c r="R8" s="165">
        <v>1</v>
      </c>
      <c r="S8" s="165">
        <f>R8*(1+S4)</f>
        <v>1</v>
      </c>
      <c r="T8" s="165">
        <f t="shared" ref="T8:V8" si="13">S8*(1+T4)</f>
        <v>1</v>
      </c>
      <c r="U8" s="165">
        <f t="shared" si="13"/>
        <v>1</v>
      </c>
      <c r="V8" s="166">
        <f t="shared" si="13"/>
        <v>1</v>
      </c>
    </row>
    <row r="9" spans="8:22">
      <c r="H9" s="122" t="s">
        <v>1</v>
      </c>
      <c r="I9" s="150"/>
      <c r="J9" s="60">
        <v>-6500</v>
      </c>
      <c r="K9" s="63"/>
      <c r="L9" s="63"/>
      <c r="M9" s="63"/>
      <c r="N9" s="123"/>
      <c r="P9" s="122" t="s">
        <v>1</v>
      </c>
      <c r="Q9" s="150"/>
      <c r="R9" s="60">
        <v>-6500</v>
      </c>
      <c r="S9" s="63"/>
      <c r="T9" s="63"/>
      <c r="U9" s="63"/>
      <c r="V9" s="123"/>
    </row>
    <row r="10" spans="8:22">
      <c r="H10" s="124" t="s">
        <v>2</v>
      </c>
      <c r="I10" s="151"/>
      <c r="J10" s="65"/>
      <c r="K10" s="65"/>
      <c r="L10" s="65"/>
      <c r="M10" s="65"/>
      <c r="N10" s="125"/>
      <c r="P10" s="124" t="s">
        <v>2</v>
      </c>
      <c r="Q10" s="151"/>
      <c r="R10" s="65"/>
      <c r="S10" s="65"/>
      <c r="T10" s="65"/>
      <c r="U10" s="65"/>
      <c r="V10" s="125"/>
    </row>
    <row r="11" spans="8:22">
      <c r="H11" s="119" t="s">
        <v>48</v>
      </c>
      <c r="I11" s="161">
        <v>50</v>
      </c>
      <c r="J11" s="158"/>
      <c r="K11" s="64">
        <f>$I$11*K8</f>
        <v>55.000000000000007</v>
      </c>
      <c r="L11" s="64">
        <f>$I$11*L8</f>
        <v>60.500000000000007</v>
      </c>
      <c r="M11" s="64">
        <f>$I$11*M8</f>
        <v>66.550000000000026</v>
      </c>
      <c r="N11" s="126">
        <f>$I$11*N8</f>
        <v>73.205000000000027</v>
      </c>
      <c r="P11" s="119" t="s">
        <v>48</v>
      </c>
      <c r="Q11" s="161">
        <v>50</v>
      </c>
      <c r="R11" s="158"/>
      <c r="S11" s="64">
        <f>$Q$11*S8</f>
        <v>50</v>
      </c>
      <c r="T11" s="64">
        <f>$I$11*T8</f>
        <v>50</v>
      </c>
      <c r="U11" s="64">
        <f>$I$11*U8</f>
        <v>50</v>
      </c>
      <c r="V11" s="126">
        <f>$I$11*V8</f>
        <v>50</v>
      </c>
    </row>
    <row r="12" spans="8:22">
      <c r="H12" s="119" t="s">
        <v>49</v>
      </c>
      <c r="I12" s="162">
        <v>85</v>
      </c>
      <c r="J12" s="158"/>
      <c r="K12" s="66">
        <f>$I$12</f>
        <v>85</v>
      </c>
      <c r="L12" s="66">
        <f>$I$12</f>
        <v>85</v>
      </c>
      <c r="M12" s="66">
        <f>$I$12</f>
        <v>85</v>
      </c>
      <c r="N12" s="127">
        <f>$I$12</f>
        <v>85</v>
      </c>
      <c r="P12" s="119" t="s">
        <v>49</v>
      </c>
      <c r="Q12" s="162">
        <v>85</v>
      </c>
      <c r="R12" s="158"/>
      <c r="S12" s="66">
        <f>$Q$12</f>
        <v>85</v>
      </c>
      <c r="T12" s="66">
        <f>$I$12</f>
        <v>85</v>
      </c>
      <c r="U12" s="66">
        <f>$I$12</f>
        <v>85</v>
      </c>
      <c r="V12" s="127">
        <f>$I$12</f>
        <v>85</v>
      </c>
    </row>
    <row r="13" spans="8:22">
      <c r="H13" s="128" t="s">
        <v>50</v>
      </c>
      <c r="I13" s="152"/>
      <c r="J13" s="67"/>
      <c r="K13" s="67">
        <f>K11*K12</f>
        <v>4675.0000000000009</v>
      </c>
      <c r="L13" s="67">
        <f t="shared" ref="L13:N13" si="14">L11*L12</f>
        <v>5142.5000000000009</v>
      </c>
      <c r="M13" s="67">
        <f t="shared" si="14"/>
        <v>5656.7500000000018</v>
      </c>
      <c r="N13" s="129">
        <f t="shared" si="14"/>
        <v>6222.425000000002</v>
      </c>
      <c r="P13" s="128" t="s">
        <v>50</v>
      </c>
      <c r="Q13" s="152"/>
      <c r="R13" s="67"/>
      <c r="S13" s="67">
        <f>S11*S12</f>
        <v>4250</v>
      </c>
      <c r="T13" s="67">
        <f t="shared" ref="T13:V13" si="15">T11*T12</f>
        <v>4250</v>
      </c>
      <c r="U13" s="67">
        <f t="shared" si="15"/>
        <v>4250</v>
      </c>
      <c r="V13" s="129">
        <f t="shared" si="15"/>
        <v>4250</v>
      </c>
    </row>
    <row r="14" spans="8:22">
      <c r="H14" s="124" t="s">
        <v>3</v>
      </c>
      <c r="I14" s="151"/>
      <c r="J14" s="65"/>
      <c r="K14" s="65"/>
      <c r="L14" s="65"/>
      <c r="M14" s="65"/>
      <c r="N14" s="125"/>
      <c r="P14" s="124" t="s">
        <v>3</v>
      </c>
      <c r="Q14" s="151"/>
      <c r="R14" s="65"/>
      <c r="S14" s="65"/>
      <c r="T14" s="65"/>
      <c r="U14" s="65"/>
      <c r="V14" s="125"/>
    </row>
    <row r="15" spans="8:22">
      <c r="H15" s="119" t="s">
        <v>51</v>
      </c>
      <c r="I15" s="161">
        <v>200</v>
      </c>
      <c r="J15" s="158"/>
      <c r="K15" s="64">
        <f>$I$15*K8</f>
        <v>220.00000000000003</v>
      </c>
      <c r="L15" s="64">
        <f>$I$15*L8</f>
        <v>242.00000000000003</v>
      </c>
      <c r="M15" s="64">
        <f>$I$15*M8</f>
        <v>266.2000000000001</v>
      </c>
      <c r="N15" s="126">
        <f>$I$15*N8</f>
        <v>292.82000000000011</v>
      </c>
      <c r="P15" s="119" t="s">
        <v>51</v>
      </c>
      <c r="Q15" s="161">
        <v>200</v>
      </c>
      <c r="R15" s="158"/>
      <c r="S15" s="64">
        <f>$Q$15*S8</f>
        <v>200</v>
      </c>
      <c r="T15" s="64">
        <f>$I$15*T8</f>
        <v>200</v>
      </c>
      <c r="U15" s="64">
        <f>$I$15*U8</f>
        <v>200</v>
      </c>
      <c r="V15" s="126">
        <f>$I$15*V8</f>
        <v>200</v>
      </c>
    </row>
    <row r="16" spans="8:22">
      <c r="H16" s="119" t="s">
        <v>52</v>
      </c>
      <c r="I16" s="161">
        <v>15</v>
      </c>
      <c r="J16" s="158"/>
      <c r="K16" s="64">
        <f>$I$16*K8</f>
        <v>16.5</v>
      </c>
      <c r="L16" s="64">
        <f>$I$16*L8</f>
        <v>18.150000000000002</v>
      </c>
      <c r="M16" s="64">
        <f>$I$16*M8</f>
        <v>19.965000000000007</v>
      </c>
      <c r="N16" s="126">
        <f>$I$16*N8</f>
        <v>21.961500000000008</v>
      </c>
      <c r="P16" s="119" t="s">
        <v>52</v>
      </c>
      <c r="Q16" s="161">
        <v>15</v>
      </c>
      <c r="R16" s="158"/>
      <c r="S16" s="64">
        <f>$Q$16*S8</f>
        <v>15</v>
      </c>
      <c r="T16" s="64">
        <f>$I$16*T8</f>
        <v>15</v>
      </c>
      <c r="U16" s="64">
        <f>$I$16*U8</f>
        <v>15</v>
      </c>
      <c r="V16" s="126">
        <f>$I$16*V8</f>
        <v>15</v>
      </c>
    </row>
    <row r="17" spans="8:22">
      <c r="H17" s="119" t="s">
        <v>8</v>
      </c>
      <c r="I17" s="148"/>
      <c r="J17" s="64"/>
      <c r="K17" s="64">
        <f>K12*K16</f>
        <v>1402.5</v>
      </c>
      <c r="L17" s="64">
        <f>L12*L16</f>
        <v>1542.7500000000002</v>
      </c>
      <c r="M17" s="64">
        <f>M12*M16</f>
        <v>1697.0250000000005</v>
      </c>
      <c r="N17" s="126">
        <f>N12*N16</f>
        <v>1866.7275000000006</v>
      </c>
      <c r="P17" s="119" t="s">
        <v>8</v>
      </c>
      <c r="Q17" s="148"/>
      <c r="R17" s="64"/>
      <c r="S17" s="64">
        <f>S12*S16</f>
        <v>1275</v>
      </c>
      <c r="T17" s="64">
        <f>T12*T16</f>
        <v>1275</v>
      </c>
      <c r="U17" s="64">
        <f>U12*U16</f>
        <v>1275</v>
      </c>
      <c r="V17" s="126">
        <f>V12*V16</f>
        <v>1275</v>
      </c>
    </row>
    <row r="18" spans="8:22">
      <c r="H18" s="128" t="s">
        <v>54</v>
      </c>
      <c r="I18" s="152"/>
      <c r="J18" s="67"/>
      <c r="K18" s="67">
        <f>K15+K17</f>
        <v>1622.5</v>
      </c>
      <c r="L18" s="67">
        <f t="shared" ref="L18:N18" si="16">L15+L17</f>
        <v>1784.7500000000002</v>
      </c>
      <c r="M18" s="67">
        <f t="shared" si="16"/>
        <v>1963.2250000000006</v>
      </c>
      <c r="N18" s="129">
        <f t="shared" si="16"/>
        <v>2159.5475000000006</v>
      </c>
      <c r="P18" s="128" t="s">
        <v>54</v>
      </c>
      <c r="Q18" s="152"/>
      <c r="R18" s="67"/>
      <c r="S18" s="67">
        <f>S15+S17</f>
        <v>1475</v>
      </c>
      <c r="T18" s="67">
        <f t="shared" ref="T18:V18" si="17">T15+T17</f>
        <v>1475</v>
      </c>
      <c r="U18" s="67">
        <f t="shared" si="17"/>
        <v>1475</v>
      </c>
      <c r="V18" s="129">
        <f t="shared" si="17"/>
        <v>1475</v>
      </c>
    </row>
    <row r="19" spans="8:22">
      <c r="H19" s="130" t="s">
        <v>53</v>
      </c>
      <c r="I19" s="153"/>
      <c r="J19" s="68">
        <f>J9+J13-J18</f>
        <v>-6500</v>
      </c>
      <c r="K19" s="68">
        <f>K9+K13-K18</f>
        <v>3052.5000000000009</v>
      </c>
      <c r="L19" s="68">
        <f>L9+L13-L18</f>
        <v>3357.7500000000009</v>
      </c>
      <c r="M19" s="68">
        <f>M9+M13-M18</f>
        <v>3693.5250000000015</v>
      </c>
      <c r="N19" s="131">
        <f>N9+N13-N18</f>
        <v>4062.8775000000014</v>
      </c>
      <c r="P19" s="130" t="s">
        <v>53</v>
      </c>
      <c r="Q19" s="153"/>
      <c r="R19" s="68">
        <f>R9+R13-R18</f>
        <v>-6500</v>
      </c>
      <c r="S19" s="68">
        <f>S9+S13-S18</f>
        <v>2775</v>
      </c>
      <c r="T19" s="68">
        <f>T9+T13-T18</f>
        <v>2775</v>
      </c>
      <c r="U19" s="68">
        <f>U9+U13-U18</f>
        <v>2775</v>
      </c>
      <c r="V19" s="131">
        <f>V9+V13-V18</f>
        <v>2775</v>
      </c>
    </row>
    <row r="20" spans="8:22">
      <c r="H20" s="124" t="s">
        <v>45</v>
      </c>
      <c r="I20" s="151"/>
      <c r="J20" s="69">
        <f>J19*J7</f>
        <v>-6500</v>
      </c>
      <c r="K20" s="69">
        <f>K19*K7</f>
        <v>2569.4444444444448</v>
      </c>
      <c r="L20" s="69">
        <f>L19*L7</f>
        <v>2379.1152263374483</v>
      </c>
      <c r="M20" s="69">
        <f>M19*M7</f>
        <v>2202.8844688309709</v>
      </c>
      <c r="N20" s="132">
        <f>N19*N7</f>
        <v>2039.7078415101578</v>
      </c>
      <c r="P20" s="124" t="s">
        <v>45</v>
      </c>
      <c r="Q20" s="151"/>
      <c r="R20" s="69">
        <f>R19*R7</f>
        <v>-6500</v>
      </c>
      <c r="S20" s="69">
        <f>S19*S7</f>
        <v>2569.4444444444443</v>
      </c>
      <c r="T20" s="69">
        <f>T19*T7</f>
        <v>2379.1152263374483</v>
      </c>
      <c r="U20" s="69">
        <f>U19*U7</f>
        <v>2202.8844688309705</v>
      </c>
      <c r="V20" s="132">
        <f>V19*V7</f>
        <v>2039.7078415101578</v>
      </c>
    </row>
    <row r="21" spans="8:22">
      <c r="H21" s="122"/>
      <c r="I21" s="150"/>
      <c r="J21" s="70"/>
      <c r="K21" s="70"/>
      <c r="L21" s="70"/>
      <c r="M21" s="70"/>
      <c r="N21" s="133"/>
      <c r="P21" s="122"/>
      <c r="Q21" s="150"/>
      <c r="R21" s="70"/>
      <c r="S21" s="70"/>
      <c r="T21" s="70"/>
      <c r="U21" s="70"/>
      <c r="V21" s="133"/>
    </row>
    <row r="22" spans="8:22">
      <c r="H22" s="122" t="s">
        <v>56</v>
      </c>
      <c r="I22" s="150"/>
      <c r="J22" s="70">
        <f>SUM(J20:N20)</f>
        <v>2691.1519811230219</v>
      </c>
      <c r="K22" s="64"/>
      <c r="L22" s="64"/>
      <c r="M22" s="64"/>
      <c r="N22" s="126"/>
      <c r="P22" s="122" t="s">
        <v>56</v>
      </c>
      <c r="Q22" s="150"/>
      <c r="R22" s="70">
        <f>SUM(R20:V20)</f>
        <v>2691.151981123021</v>
      </c>
      <c r="S22" s="64"/>
      <c r="T22" s="64"/>
      <c r="U22" s="64"/>
      <c r="V22" s="126"/>
    </row>
    <row r="23" spans="8:22">
      <c r="H23" s="122" t="s">
        <v>89</v>
      </c>
      <c r="I23" s="150"/>
      <c r="J23" s="145">
        <f>IRR(J19:N19)</f>
        <v>0.38007447298741992</v>
      </c>
      <c r="K23" s="64"/>
      <c r="L23" s="64"/>
      <c r="M23" s="64"/>
      <c r="N23" s="126"/>
      <c r="P23" s="122" t="s">
        <v>89</v>
      </c>
      <c r="Q23" s="150"/>
      <c r="R23" s="145">
        <f>IRR(R19:V19)</f>
        <v>0.25461315726018841</v>
      </c>
      <c r="S23" s="64"/>
      <c r="T23" s="64"/>
      <c r="U23" s="64"/>
      <c r="V23" s="126"/>
    </row>
    <row r="24" spans="8:22" ht="15" thickBot="1">
      <c r="H24" s="134" t="s">
        <v>90</v>
      </c>
      <c r="I24" s="154"/>
      <c r="J24" s="146">
        <f>((1+J23)/(1+K4))-1</f>
        <v>0.25461315726129063</v>
      </c>
      <c r="K24" s="159"/>
      <c r="L24" s="159"/>
      <c r="M24" s="159"/>
      <c r="N24" s="160"/>
      <c r="P24" s="134" t="s">
        <v>90</v>
      </c>
      <c r="Q24" s="154"/>
      <c r="R24" s="146">
        <f>((1+R23)/(1+S4))-1</f>
        <v>0.25461315726018841</v>
      </c>
      <c r="S24" s="159"/>
      <c r="T24" s="159"/>
      <c r="U24" s="159"/>
      <c r="V24" s="16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:U60"/>
  <sheetViews>
    <sheetView tabSelected="1" zoomScale="110" zoomScaleNormal="110" workbookViewId="0">
      <selection activeCell="K12" sqref="K12"/>
    </sheetView>
  </sheetViews>
  <sheetFormatPr baseColWidth="10" defaultColWidth="11.44140625" defaultRowHeight="15.6" outlineLevelRow="1"/>
  <cols>
    <col min="1" max="1" width="11.44140625" style="3" customWidth="1"/>
    <col min="2" max="9" width="11.44140625" style="3"/>
    <col min="10" max="10" width="27.109375" style="3" bestFit="1" customWidth="1"/>
    <col min="11" max="12" width="9.5546875" style="3" bestFit="1" customWidth="1"/>
    <col min="13" max="13" width="11.44140625" style="3" bestFit="1" customWidth="1"/>
    <col min="14" max="14" width="9.5546875" style="3" bestFit="1" customWidth="1"/>
    <col min="15" max="15" width="10.21875" style="3" bestFit="1" customWidth="1"/>
    <col min="16" max="21" width="9.5546875" style="3" bestFit="1" customWidth="1"/>
    <col min="22" max="16384" width="11.44140625" style="3"/>
  </cols>
  <sheetData>
    <row r="3" spans="10:14">
      <c r="J3" s="1" t="s">
        <v>11</v>
      </c>
      <c r="K3" s="2">
        <v>6</v>
      </c>
      <c r="L3" s="1" t="s">
        <v>12</v>
      </c>
      <c r="M3" s="1"/>
    </row>
    <row r="4" spans="10:14">
      <c r="J4" s="1"/>
      <c r="K4" s="4"/>
      <c r="L4" s="1"/>
      <c r="M4" s="1"/>
    </row>
    <row r="5" spans="10:14">
      <c r="J5" s="1" t="s">
        <v>1</v>
      </c>
      <c r="K5" s="2">
        <v>30000</v>
      </c>
      <c r="L5" s="1" t="s">
        <v>13</v>
      </c>
      <c r="M5" s="1" t="s">
        <v>14</v>
      </c>
    </row>
    <row r="6" spans="10:14">
      <c r="J6" s="1" t="s">
        <v>15</v>
      </c>
      <c r="K6" s="5">
        <v>12000</v>
      </c>
      <c r="L6" s="1" t="s">
        <v>16</v>
      </c>
      <c r="M6" s="1"/>
    </row>
    <row r="7" spans="10:14">
      <c r="J7" s="1"/>
      <c r="K7" s="4"/>
      <c r="L7" s="1"/>
      <c r="M7" s="1"/>
    </row>
    <row r="8" spans="10:14">
      <c r="J8" s="1" t="s">
        <v>17</v>
      </c>
      <c r="K8" s="2">
        <v>18000</v>
      </c>
      <c r="L8" s="1"/>
      <c r="M8" s="1"/>
    </row>
    <row r="9" spans="10:14">
      <c r="J9" s="1" t="s">
        <v>18</v>
      </c>
      <c r="K9" s="2">
        <v>2</v>
      </c>
      <c r="L9" s="1" t="s">
        <v>12</v>
      </c>
      <c r="M9" s="1"/>
    </row>
    <row r="10" spans="10:14" ht="16.2" thickBot="1">
      <c r="J10" s="1"/>
      <c r="K10" s="4"/>
      <c r="L10" s="1"/>
      <c r="M10" s="1"/>
    </row>
    <row r="11" spans="10:14">
      <c r="J11" s="1"/>
      <c r="K11" s="4"/>
      <c r="L11" s="1"/>
      <c r="M11" s="6" t="s">
        <v>19</v>
      </c>
      <c r="N11" s="7" t="s">
        <v>0</v>
      </c>
    </row>
    <row r="12" spans="10:14">
      <c r="J12" s="1" t="s">
        <v>20</v>
      </c>
      <c r="K12" s="8">
        <v>6000</v>
      </c>
      <c r="L12" s="1" t="s">
        <v>21</v>
      </c>
      <c r="M12" s="9">
        <v>6867.4026342280777</v>
      </c>
      <c r="N12" s="10">
        <v>0.15098414477083444</v>
      </c>
    </row>
    <row r="13" spans="10:14">
      <c r="J13" s="1" t="s">
        <v>22</v>
      </c>
      <c r="K13" s="8">
        <v>7000</v>
      </c>
      <c r="L13" s="1" t="s">
        <v>21</v>
      </c>
      <c r="M13" s="9">
        <v>31445.671057046802</v>
      </c>
      <c r="N13" s="10">
        <v>0.31112981410738882</v>
      </c>
    </row>
    <row r="14" spans="10:14" ht="16.2" thickBot="1">
      <c r="J14" s="1" t="s">
        <v>23</v>
      </c>
      <c r="K14" s="8">
        <v>8000</v>
      </c>
      <c r="L14" s="1" t="s">
        <v>21</v>
      </c>
      <c r="M14" s="11">
        <v>56023.939479865527</v>
      </c>
      <c r="N14" s="12">
        <v>0.45574867533837149</v>
      </c>
    </row>
    <row r="15" spans="10:14" ht="16.2" thickBot="1">
      <c r="J15" s="13" t="s">
        <v>24</v>
      </c>
      <c r="K15" s="14">
        <v>5720.5904616188354</v>
      </c>
      <c r="L15" s="15" t="s">
        <v>21</v>
      </c>
      <c r="M15" s="1"/>
      <c r="N15" s="1"/>
    </row>
    <row r="16" spans="10:14">
      <c r="J16" s="1" t="s">
        <v>5</v>
      </c>
      <c r="K16" s="16">
        <v>0.1</v>
      </c>
      <c r="L16" s="1"/>
      <c r="M16" s="1"/>
      <c r="N16" s="1"/>
    </row>
    <row r="17" spans="10:21">
      <c r="J17"/>
      <c r="K17"/>
      <c r="L17"/>
      <c r="M17"/>
      <c r="N17"/>
      <c r="O17"/>
      <c r="P17"/>
      <c r="Q17"/>
      <c r="R17"/>
      <c r="S17"/>
      <c r="T17"/>
      <c r="U17"/>
    </row>
    <row r="18" spans="10:21" outlineLevel="1">
      <c r="K18" s="17">
        <v>0</v>
      </c>
      <c r="L18" s="17">
        <f>K18+1</f>
        <v>1</v>
      </c>
      <c r="M18" s="17">
        <f t="shared" ref="M18:T18" si="0">L18+1</f>
        <v>2</v>
      </c>
      <c r="N18" s="17">
        <f t="shared" si="0"/>
        <v>3</v>
      </c>
      <c r="O18" s="17">
        <f t="shared" si="0"/>
        <v>4</v>
      </c>
      <c r="P18" s="17">
        <f t="shared" si="0"/>
        <v>5</v>
      </c>
      <c r="Q18" s="17">
        <f t="shared" si="0"/>
        <v>6</v>
      </c>
      <c r="R18" s="17">
        <f t="shared" si="0"/>
        <v>7</v>
      </c>
      <c r="S18" s="17">
        <f t="shared" si="0"/>
        <v>8</v>
      </c>
      <c r="T18" s="17">
        <f t="shared" si="0"/>
        <v>9</v>
      </c>
      <c r="U18" s="17">
        <f>T18+1</f>
        <v>10</v>
      </c>
    </row>
    <row r="19" spans="10:21" outlineLevel="1">
      <c r="J19" s="18" t="s">
        <v>1</v>
      </c>
      <c r="K19" s="19">
        <f>-K5</f>
        <v>-30000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0:21" outlineLevel="1">
      <c r="J20" s="18" t="s">
        <v>2</v>
      </c>
      <c r="K20" s="19"/>
      <c r="L20" s="21">
        <f>$K$3*$K$12</f>
        <v>36000</v>
      </c>
      <c r="M20" s="19">
        <f>$L$20</f>
        <v>36000</v>
      </c>
      <c r="N20" s="19">
        <f t="shared" ref="N20:U20" si="1">$L$20</f>
        <v>36000</v>
      </c>
      <c r="O20" s="19">
        <f t="shared" si="1"/>
        <v>36000</v>
      </c>
      <c r="P20" s="19">
        <f t="shared" si="1"/>
        <v>36000</v>
      </c>
      <c r="Q20" s="19">
        <f t="shared" si="1"/>
        <v>36000</v>
      </c>
      <c r="R20" s="19">
        <f t="shared" si="1"/>
        <v>36000</v>
      </c>
      <c r="S20" s="19">
        <f t="shared" si="1"/>
        <v>36000</v>
      </c>
      <c r="T20" s="19">
        <f t="shared" si="1"/>
        <v>36000</v>
      </c>
      <c r="U20" s="19">
        <f t="shared" si="1"/>
        <v>36000</v>
      </c>
    </row>
    <row r="21" spans="10:21" outlineLevel="1"/>
    <row r="22" spans="10:21" outlineLevel="1">
      <c r="J22" s="18" t="s">
        <v>3</v>
      </c>
      <c r="L22" s="22">
        <f>L23+L24</f>
        <v>30000</v>
      </c>
      <c r="M22" s="22">
        <f t="shared" ref="M22:U22" si="2">M23+M24</f>
        <v>30000</v>
      </c>
      <c r="N22" s="22">
        <f t="shared" si="2"/>
        <v>30000</v>
      </c>
      <c r="O22" s="22">
        <f t="shared" si="2"/>
        <v>30000</v>
      </c>
      <c r="P22" s="22">
        <f t="shared" si="2"/>
        <v>30000</v>
      </c>
      <c r="Q22" s="22">
        <f t="shared" si="2"/>
        <v>30000</v>
      </c>
      <c r="R22" s="22">
        <f t="shared" si="2"/>
        <v>30000</v>
      </c>
      <c r="S22" s="22">
        <f t="shared" si="2"/>
        <v>30000</v>
      </c>
      <c r="T22" s="22">
        <f t="shared" si="2"/>
        <v>30000</v>
      </c>
      <c r="U22" s="22">
        <f t="shared" si="2"/>
        <v>30000</v>
      </c>
    </row>
    <row r="23" spans="10:21" outlineLevel="1">
      <c r="J23" s="23" t="s">
        <v>10</v>
      </c>
      <c r="L23" s="24">
        <f>$K$8</f>
        <v>18000</v>
      </c>
      <c r="M23" s="24">
        <f t="shared" ref="M23:U23" si="3">$K$8</f>
        <v>18000</v>
      </c>
      <c r="N23" s="24">
        <f t="shared" si="3"/>
        <v>18000</v>
      </c>
      <c r="O23" s="24">
        <f t="shared" si="3"/>
        <v>18000</v>
      </c>
      <c r="P23" s="24">
        <f t="shared" si="3"/>
        <v>18000</v>
      </c>
      <c r="Q23" s="24">
        <f t="shared" si="3"/>
        <v>18000</v>
      </c>
      <c r="R23" s="24">
        <f t="shared" si="3"/>
        <v>18000</v>
      </c>
      <c r="S23" s="24">
        <f t="shared" si="3"/>
        <v>18000</v>
      </c>
      <c r="T23" s="24">
        <f t="shared" si="3"/>
        <v>18000</v>
      </c>
      <c r="U23" s="24">
        <f t="shared" si="3"/>
        <v>18000</v>
      </c>
    </row>
    <row r="24" spans="10:21" outlineLevel="1">
      <c r="J24" s="23" t="s">
        <v>9</v>
      </c>
      <c r="L24" s="25">
        <f>$K$9*$K$12</f>
        <v>12000</v>
      </c>
      <c r="M24" s="24">
        <f>$L$24</f>
        <v>12000</v>
      </c>
      <c r="N24" s="24">
        <f t="shared" ref="N24:U24" si="4">$L$24</f>
        <v>12000</v>
      </c>
      <c r="O24" s="24">
        <f t="shared" si="4"/>
        <v>12000</v>
      </c>
      <c r="P24" s="24">
        <f t="shared" si="4"/>
        <v>12000</v>
      </c>
      <c r="Q24" s="24">
        <f t="shared" si="4"/>
        <v>12000</v>
      </c>
      <c r="R24" s="24">
        <f t="shared" si="4"/>
        <v>12000</v>
      </c>
      <c r="S24" s="24">
        <f t="shared" si="4"/>
        <v>12000</v>
      </c>
      <c r="T24" s="24">
        <f t="shared" si="4"/>
        <v>12000</v>
      </c>
      <c r="U24" s="24">
        <f t="shared" si="4"/>
        <v>12000</v>
      </c>
    </row>
    <row r="25" spans="10:21" outlineLevel="1">
      <c r="J25" s="18" t="s">
        <v>25</v>
      </c>
      <c r="K25" s="22">
        <f>K19+K20-K22</f>
        <v>-30000</v>
      </c>
      <c r="L25" s="22">
        <f>L19+L20-L22</f>
        <v>6000</v>
      </c>
      <c r="M25" s="22">
        <f>M19+M20-M22</f>
        <v>6000</v>
      </c>
      <c r="N25" s="22">
        <f>N19+N20-N22</f>
        <v>6000</v>
      </c>
      <c r="O25" s="22">
        <f>O19+O20-O22</f>
        <v>6000</v>
      </c>
      <c r="P25" s="22">
        <f>P19+P20-P22</f>
        <v>6000</v>
      </c>
      <c r="Q25" s="22">
        <f>Q19+Q20-Q22</f>
        <v>6000</v>
      </c>
      <c r="R25" s="22">
        <f>R19+R20-R22</f>
        <v>6000</v>
      </c>
      <c r="S25" s="22">
        <f>S19+S20-S22</f>
        <v>6000</v>
      </c>
      <c r="T25" s="22">
        <f>T19+T20-T22</f>
        <v>6000</v>
      </c>
      <c r="U25" s="22">
        <f>U19+U20-U22</f>
        <v>6000</v>
      </c>
    </row>
    <row r="26" spans="10:21" outlineLevel="1">
      <c r="J26" s="18" t="s">
        <v>79</v>
      </c>
      <c r="K26" s="22">
        <f>K25/(1+$K$16)^K18</f>
        <v>-30000</v>
      </c>
      <c r="L26" s="22">
        <f>L25/(1+$K$16)^L18</f>
        <v>5454.545454545454</v>
      </c>
      <c r="M26" s="22">
        <f>M25/(1+$K$16)^M18</f>
        <v>4958.6776859504125</v>
      </c>
      <c r="N26" s="22">
        <f>N25/(1+$K$16)^N18</f>
        <v>4507.888805409465</v>
      </c>
      <c r="O26" s="22">
        <f>O25/(1+$K$16)^O18</f>
        <v>4098.0807321904231</v>
      </c>
      <c r="P26" s="22">
        <f>P25/(1+$K$16)^P18</f>
        <v>3725.5279383549296</v>
      </c>
      <c r="Q26" s="22">
        <f>Q25/(1+$K$16)^Q18</f>
        <v>3386.843580322663</v>
      </c>
      <c r="R26" s="22">
        <f>R25/(1+$K$16)^R18</f>
        <v>3078.9487093842386</v>
      </c>
      <c r="S26" s="22">
        <f>S25/(1+$K$16)^S18</f>
        <v>2799.0442812583992</v>
      </c>
      <c r="T26" s="22">
        <f>T25/(1+$K$16)^T18</f>
        <v>2544.5857102349078</v>
      </c>
      <c r="U26" s="22">
        <f>U25/(1+$K$16)^U18</f>
        <v>2313.259736577189</v>
      </c>
    </row>
    <row r="27" spans="10:21" outlineLevel="1">
      <c r="J27" s="18" t="s">
        <v>26</v>
      </c>
      <c r="K27" s="26">
        <f>SUM(K26:U26)</f>
        <v>6867.4026342280831</v>
      </c>
    </row>
    <row r="28" spans="10:21" outlineLevel="1">
      <c r="J28" s="18" t="s">
        <v>91</v>
      </c>
      <c r="K28" s="27">
        <f>IRR(K25:U25)</f>
        <v>0.15098414477083444</v>
      </c>
    </row>
    <row r="29" spans="10:21">
      <c r="J29" s="18" t="s">
        <v>92</v>
      </c>
      <c r="K29" s="27">
        <f>K28</f>
        <v>0.15098414477083444</v>
      </c>
    </row>
    <row r="30" spans="10:21" ht="16.2" thickBot="1"/>
    <row r="31" spans="10:21">
      <c r="J31" s="28" t="s">
        <v>17</v>
      </c>
      <c r="K31" s="29">
        <v>2000</v>
      </c>
      <c r="L31" s="28" t="s">
        <v>16</v>
      </c>
      <c r="M31" s="6" t="s">
        <v>19</v>
      </c>
      <c r="N31" s="7" t="s">
        <v>0</v>
      </c>
    </row>
    <row r="32" spans="10:21">
      <c r="J32" s="28" t="s">
        <v>18</v>
      </c>
      <c r="K32" s="29">
        <v>4</v>
      </c>
      <c r="L32" s="28" t="s">
        <v>12</v>
      </c>
      <c r="M32" s="9">
        <v>31445.671057046799</v>
      </c>
      <c r="N32" s="10">
        <v>0.31112981410738882</v>
      </c>
      <c r="O32" s="1" t="s">
        <v>20</v>
      </c>
    </row>
    <row r="33" spans="10:21">
      <c r="J33" s="28"/>
      <c r="K33" s="29"/>
      <c r="L33" s="28"/>
      <c r="M33" s="9">
        <v>43734.805268456155</v>
      </c>
      <c r="N33" s="10">
        <v>0.3845481952107197</v>
      </c>
      <c r="O33" s="1" t="s">
        <v>22</v>
      </c>
    </row>
    <row r="34" spans="10:21" ht="16.2" thickBot="1">
      <c r="J34" s="28" t="s">
        <v>27</v>
      </c>
      <c r="K34" s="30">
        <v>5200</v>
      </c>
      <c r="L34" s="28" t="s">
        <v>16</v>
      </c>
      <c r="M34" s="11">
        <v>56023.939479865512</v>
      </c>
      <c r="N34" s="12">
        <v>0.45574867533837149</v>
      </c>
      <c r="O34" s="1" t="s">
        <v>23</v>
      </c>
    </row>
    <row r="35" spans="10:21">
      <c r="J35"/>
      <c r="K35"/>
      <c r="L35"/>
      <c r="M35"/>
      <c r="N35"/>
      <c r="O35"/>
      <c r="P35"/>
      <c r="Q35"/>
      <c r="R35"/>
      <c r="S35"/>
      <c r="T35"/>
      <c r="U35"/>
    </row>
    <row r="36" spans="10:21" ht="16.2" hidden="1" thickBot="1">
      <c r="J36" s="31"/>
      <c r="K36" s="32">
        <v>0</v>
      </c>
      <c r="L36" s="32">
        <f>K36+1</f>
        <v>1</v>
      </c>
      <c r="M36" s="32">
        <f t="shared" ref="M36:T36" si="5">L36+1</f>
        <v>2</v>
      </c>
      <c r="N36" s="32">
        <f t="shared" si="5"/>
        <v>3</v>
      </c>
      <c r="O36" s="32">
        <f t="shared" si="5"/>
        <v>4</v>
      </c>
      <c r="P36" s="32">
        <f t="shared" si="5"/>
        <v>5</v>
      </c>
      <c r="Q36" s="32">
        <f t="shared" si="5"/>
        <v>6</v>
      </c>
      <c r="R36" s="32">
        <f t="shared" si="5"/>
        <v>7</v>
      </c>
      <c r="S36" s="32">
        <f t="shared" si="5"/>
        <v>8</v>
      </c>
      <c r="T36" s="32">
        <f t="shared" si="5"/>
        <v>9</v>
      </c>
      <c r="U36" s="33">
        <f>T36+1</f>
        <v>10</v>
      </c>
    </row>
    <row r="37" spans="10:21" hidden="1">
      <c r="J37" s="34" t="s">
        <v>1</v>
      </c>
      <c r="K37" s="35">
        <f>-K5</f>
        <v>-30000</v>
      </c>
      <c r="L37" s="36"/>
      <c r="M37" s="36"/>
      <c r="N37" s="36"/>
      <c r="O37" s="36"/>
      <c r="P37" s="36"/>
      <c r="Q37" s="36"/>
      <c r="R37" s="36"/>
      <c r="S37" s="36"/>
      <c r="T37" s="36"/>
      <c r="U37" s="37"/>
    </row>
    <row r="38" spans="10:21" hidden="1">
      <c r="J38" s="38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40"/>
    </row>
    <row r="39" spans="10:21" hidden="1">
      <c r="J39" s="41" t="s">
        <v>2</v>
      </c>
      <c r="K39" s="42"/>
      <c r="L39" s="43">
        <f>$K$3*$K$13</f>
        <v>42000</v>
      </c>
      <c r="M39" s="42">
        <f>$L$39</f>
        <v>42000</v>
      </c>
      <c r="N39" s="42">
        <f t="shared" ref="N39:U39" si="6">$L$39</f>
        <v>42000</v>
      </c>
      <c r="O39" s="42">
        <f t="shared" si="6"/>
        <v>42000</v>
      </c>
      <c r="P39" s="42">
        <f t="shared" si="6"/>
        <v>42000</v>
      </c>
      <c r="Q39" s="42">
        <f t="shared" si="6"/>
        <v>42000</v>
      </c>
      <c r="R39" s="42">
        <f t="shared" si="6"/>
        <v>42000</v>
      </c>
      <c r="S39" s="42">
        <f t="shared" si="6"/>
        <v>42000</v>
      </c>
      <c r="T39" s="42">
        <f t="shared" si="6"/>
        <v>42000</v>
      </c>
      <c r="U39" s="44">
        <f t="shared" si="6"/>
        <v>42000</v>
      </c>
    </row>
    <row r="40" spans="10:21" hidden="1">
      <c r="J40" s="38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6"/>
    </row>
    <row r="41" spans="10:21" hidden="1">
      <c r="J41" s="41" t="s">
        <v>3</v>
      </c>
      <c r="K41" s="45"/>
      <c r="L41" s="47">
        <f>L42+L43</f>
        <v>32000</v>
      </c>
      <c r="M41" s="47">
        <f t="shared" ref="M41:U41" si="7">M42+M43</f>
        <v>32000</v>
      </c>
      <c r="N41" s="47">
        <f t="shared" si="7"/>
        <v>32000</v>
      </c>
      <c r="O41" s="47">
        <f t="shared" si="7"/>
        <v>32000</v>
      </c>
      <c r="P41" s="47">
        <f t="shared" si="7"/>
        <v>32000</v>
      </c>
      <c r="Q41" s="47">
        <f t="shared" si="7"/>
        <v>32000</v>
      </c>
      <c r="R41" s="47">
        <f t="shared" si="7"/>
        <v>32000</v>
      </c>
      <c r="S41" s="47">
        <f t="shared" si="7"/>
        <v>32000</v>
      </c>
      <c r="T41" s="47">
        <f t="shared" si="7"/>
        <v>32000</v>
      </c>
      <c r="U41" s="48">
        <f t="shared" si="7"/>
        <v>32000</v>
      </c>
    </row>
    <row r="42" spans="10:21" hidden="1">
      <c r="J42" s="49" t="s">
        <v>10</v>
      </c>
      <c r="K42" s="45"/>
      <c r="L42" s="50">
        <f>$K$8</f>
        <v>18000</v>
      </c>
      <c r="M42" s="51">
        <f>L42</f>
        <v>18000</v>
      </c>
      <c r="N42" s="51">
        <f t="shared" ref="N42:U42" si="8">M42</f>
        <v>18000</v>
      </c>
      <c r="O42" s="51">
        <f t="shared" si="8"/>
        <v>18000</v>
      </c>
      <c r="P42" s="51">
        <f t="shared" si="8"/>
        <v>18000</v>
      </c>
      <c r="Q42" s="51">
        <f t="shared" si="8"/>
        <v>18000</v>
      </c>
      <c r="R42" s="51">
        <f t="shared" si="8"/>
        <v>18000</v>
      </c>
      <c r="S42" s="51">
        <f t="shared" si="8"/>
        <v>18000</v>
      </c>
      <c r="T42" s="51">
        <f t="shared" si="8"/>
        <v>18000</v>
      </c>
      <c r="U42" s="52">
        <f t="shared" si="8"/>
        <v>18000</v>
      </c>
    </row>
    <row r="43" spans="10:21" hidden="1">
      <c r="J43" s="49" t="s">
        <v>9</v>
      </c>
      <c r="K43" s="45"/>
      <c r="L43" s="50">
        <f>$K$9*$K$13</f>
        <v>14000</v>
      </c>
      <c r="M43" s="51">
        <f>$L$43</f>
        <v>14000</v>
      </c>
      <c r="N43" s="51">
        <f t="shared" ref="N43:U43" si="9">$L$43</f>
        <v>14000</v>
      </c>
      <c r="O43" s="51">
        <f t="shared" si="9"/>
        <v>14000</v>
      </c>
      <c r="P43" s="51">
        <f t="shared" si="9"/>
        <v>14000</v>
      </c>
      <c r="Q43" s="51">
        <f t="shared" si="9"/>
        <v>14000</v>
      </c>
      <c r="R43" s="51">
        <f t="shared" si="9"/>
        <v>14000</v>
      </c>
      <c r="S43" s="51">
        <f t="shared" si="9"/>
        <v>14000</v>
      </c>
      <c r="T43" s="51">
        <f t="shared" si="9"/>
        <v>14000</v>
      </c>
      <c r="U43" s="52">
        <f t="shared" si="9"/>
        <v>14000</v>
      </c>
    </row>
    <row r="44" spans="10:21" hidden="1">
      <c r="J44" s="38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6"/>
    </row>
    <row r="45" spans="10:21" hidden="1">
      <c r="J45" s="41" t="s">
        <v>25</v>
      </c>
      <c r="K45" s="47">
        <f>K37+K39-K41</f>
        <v>-30000</v>
      </c>
      <c r="L45" s="47">
        <f>L37+L39-L41</f>
        <v>10000</v>
      </c>
      <c r="M45" s="47">
        <f t="shared" ref="M45:U45" si="10">M37+M39-M41</f>
        <v>10000</v>
      </c>
      <c r="N45" s="47">
        <f t="shared" si="10"/>
        <v>10000</v>
      </c>
      <c r="O45" s="47">
        <f t="shared" si="10"/>
        <v>10000</v>
      </c>
      <c r="P45" s="47">
        <f t="shared" si="10"/>
        <v>10000</v>
      </c>
      <c r="Q45" s="47">
        <f t="shared" si="10"/>
        <v>10000</v>
      </c>
      <c r="R45" s="47">
        <f t="shared" si="10"/>
        <v>10000</v>
      </c>
      <c r="S45" s="47">
        <f t="shared" si="10"/>
        <v>10000</v>
      </c>
      <c r="T45" s="47">
        <f t="shared" si="10"/>
        <v>10000</v>
      </c>
      <c r="U45" s="48">
        <f t="shared" si="10"/>
        <v>10000</v>
      </c>
    </row>
    <row r="46" spans="10:21" hidden="1">
      <c r="J46" s="41" t="s">
        <v>26</v>
      </c>
      <c r="K46" s="53">
        <f>NPV(K16,L45:U45)+K45</f>
        <v>31445.671057046799</v>
      </c>
      <c r="L46" s="45"/>
      <c r="M46" s="45"/>
      <c r="N46" s="45"/>
      <c r="O46" s="45"/>
      <c r="P46" s="45"/>
      <c r="Q46" s="45"/>
      <c r="R46" s="45"/>
      <c r="S46" s="45"/>
      <c r="T46" s="45"/>
      <c r="U46" s="46"/>
    </row>
    <row r="47" spans="10:21" ht="16.2" hidden="1" thickBot="1">
      <c r="J47" s="54" t="s">
        <v>0</v>
      </c>
      <c r="K47" s="55">
        <f>IRR(K45:U45)</f>
        <v>0.31112981410738882</v>
      </c>
      <c r="L47" s="56"/>
      <c r="M47" s="56"/>
      <c r="N47" s="56"/>
      <c r="O47" s="56"/>
      <c r="P47" s="56"/>
      <c r="Q47" s="56"/>
      <c r="R47" s="56"/>
      <c r="S47" s="56"/>
      <c r="T47" s="56"/>
      <c r="U47" s="57"/>
    </row>
    <row r="48" spans="10:21" ht="16.2" thickBot="1"/>
    <row r="49" spans="10:21" ht="16.2" thickBot="1">
      <c r="J49" s="31"/>
      <c r="K49" s="32">
        <v>0</v>
      </c>
      <c r="L49" s="32">
        <f>K49+1</f>
        <v>1</v>
      </c>
      <c r="M49" s="32">
        <f t="shared" ref="M49:T49" si="11">L49+1</f>
        <v>2</v>
      </c>
      <c r="N49" s="32">
        <f t="shared" si="11"/>
        <v>3</v>
      </c>
      <c r="O49" s="32">
        <f t="shared" si="11"/>
        <v>4</v>
      </c>
      <c r="P49" s="32">
        <f t="shared" si="11"/>
        <v>5</v>
      </c>
      <c r="Q49" s="32">
        <f t="shared" si="11"/>
        <v>6</v>
      </c>
      <c r="R49" s="32">
        <f t="shared" si="11"/>
        <v>7</v>
      </c>
      <c r="S49" s="32">
        <f t="shared" si="11"/>
        <v>8</v>
      </c>
      <c r="T49" s="32">
        <f t="shared" si="11"/>
        <v>9</v>
      </c>
      <c r="U49" s="33">
        <f>T49+1</f>
        <v>10</v>
      </c>
    </row>
    <row r="50" spans="10:21">
      <c r="J50" s="34" t="s">
        <v>1</v>
      </c>
      <c r="K50" s="35">
        <f>-K5</f>
        <v>-30000</v>
      </c>
      <c r="L50" s="36"/>
      <c r="M50" s="36"/>
      <c r="N50" s="36"/>
      <c r="O50" s="36"/>
      <c r="P50" s="36"/>
      <c r="Q50" s="36"/>
      <c r="R50" s="36"/>
      <c r="S50" s="36"/>
      <c r="T50" s="36"/>
      <c r="U50" s="37"/>
    </row>
    <row r="51" spans="10:21">
      <c r="J51" s="38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40"/>
    </row>
    <row r="52" spans="10:21">
      <c r="J52" s="41" t="s">
        <v>2</v>
      </c>
      <c r="K52" s="42"/>
      <c r="L52" s="43">
        <f>$K$3*$K$34</f>
        <v>31200</v>
      </c>
      <c r="M52" s="42">
        <f>L52</f>
        <v>31200</v>
      </c>
      <c r="N52" s="42">
        <f t="shared" ref="N52:U52" si="12">M52</f>
        <v>31200</v>
      </c>
      <c r="O52" s="42">
        <f t="shared" si="12"/>
        <v>31200</v>
      </c>
      <c r="P52" s="42">
        <f t="shared" si="12"/>
        <v>31200</v>
      </c>
      <c r="Q52" s="42">
        <f t="shared" si="12"/>
        <v>31200</v>
      </c>
      <c r="R52" s="42">
        <f t="shared" si="12"/>
        <v>31200</v>
      </c>
      <c r="S52" s="42">
        <f t="shared" si="12"/>
        <v>31200</v>
      </c>
      <c r="T52" s="42">
        <f t="shared" si="12"/>
        <v>31200</v>
      </c>
      <c r="U52" s="44">
        <f t="shared" si="12"/>
        <v>31200</v>
      </c>
    </row>
    <row r="53" spans="10:21">
      <c r="J53" s="38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6"/>
    </row>
    <row r="54" spans="10:21">
      <c r="J54" s="41" t="s">
        <v>3</v>
      </c>
      <c r="K54" s="45"/>
      <c r="L54" s="47">
        <f>L55+L56</f>
        <v>22800</v>
      </c>
      <c r="M54" s="47">
        <f t="shared" ref="M54:U54" si="13">M55+M56</f>
        <v>22800</v>
      </c>
      <c r="N54" s="47">
        <f t="shared" si="13"/>
        <v>22800</v>
      </c>
      <c r="O54" s="47">
        <f t="shared" si="13"/>
        <v>22800</v>
      </c>
      <c r="P54" s="47">
        <f t="shared" si="13"/>
        <v>22800</v>
      </c>
      <c r="Q54" s="47">
        <f t="shared" si="13"/>
        <v>22800</v>
      </c>
      <c r="R54" s="47">
        <f t="shared" si="13"/>
        <v>22800</v>
      </c>
      <c r="S54" s="47">
        <f t="shared" si="13"/>
        <v>22800</v>
      </c>
      <c r="T54" s="47">
        <f t="shared" si="13"/>
        <v>22800</v>
      </c>
      <c r="U54" s="48">
        <f t="shared" si="13"/>
        <v>22800</v>
      </c>
    </row>
    <row r="55" spans="10:21">
      <c r="J55" s="49" t="s">
        <v>10</v>
      </c>
      <c r="K55" s="45"/>
      <c r="L55" s="51">
        <f>$K$31</f>
        <v>2000</v>
      </c>
      <c r="M55" s="51">
        <f t="shared" ref="M55:U55" si="14">$K$31</f>
        <v>2000</v>
      </c>
      <c r="N55" s="51">
        <f t="shared" si="14"/>
        <v>2000</v>
      </c>
      <c r="O55" s="51">
        <f t="shared" si="14"/>
        <v>2000</v>
      </c>
      <c r="P55" s="51">
        <f t="shared" si="14"/>
        <v>2000</v>
      </c>
      <c r="Q55" s="51">
        <f t="shared" si="14"/>
        <v>2000</v>
      </c>
      <c r="R55" s="51">
        <f t="shared" si="14"/>
        <v>2000</v>
      </c>
      <c r="S55" s="51">
        <f t="shared" si="14"/>
        <v>2000</v>
      </c>
      <c r="T55" s="51">
        <f t="shared" si="14"/>
        <v>2000</v>
      </c>
      <c r="U55" s="52">
        <f t="shared" si="14"/>
        <v>2000</v>
      </c>
    </row>
    <row r="56" spans="10:21">
      <c r="J56" s="49" t="s">
        <v>9</v>
      </c>
      <c r="K56" s="45"/>
      <c r="L56" s="50">
        <f>$K$32*$K$34</f>
        <v>20800</v>
      </c>
      <c r="M56" s="51">
        <f>L56</f>
        <v>20800</v>
      </c>
      <c r="N56" s="51">
        <f t="shared" ref="N56:U56" si="15">M56</f>
        <v>20800</v>
      </c>
      <c r="O56" s="51">
        <f t="shared" si="15"/>
        <v>20800</v>
      </c>
      <c r="P56" s="51">
        <f t="shared" si="15"/>
        <v>20800</v>
      </c>
      <c r="Q56" s="51">
        <f t="shared" si="15"/>
        <v>20800</v>
      </c>
      <c r="R56" s="51">
        <f t="shared" si="15"/>
        <v>20800</v>
      </c>
      <c r="S56" s="51">
        <f t="shared" si="15"/>
        <v>20800</v>
      </c>
      <c r="T56" s="51">
        <f t="shared" si="15"/>
        <v>20800</v>
      </c>
      <c r="U56" s="52">
        <f t="shared" si="15"/>
        <v>20800</v>
      </c>
    </row>
    <row r="57" spans="10:21">
      <c r="J57" s="38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6"/>
    </row>
    <row r="58" spans="10:21">
      <c r="J58" s="41" t="s">
        <v>25</v>
      </c>
      <c r="K58" s="47">
        <f>K50+K52-K54</f>
        <v>-30000</v>
      </c>
      <c r="L58" s="47">
        <f t="shared" ref="L58:U58" si="16">L50+L52-L54</f>
        <v>8400</v>
      </c>
      <c r="M58" s="47">
        <f t="shared" si="16"/>
        <v>8400</v>
      </c>
      <c r="N58" s="47">
        <f t="shared" si="16"/>
        <v>8400</v>
      </c>
      <c r="O58" s="47">
        <f t="shared" si="16"/>
        <v>8400</v>
      </c>
      <c r="P58" s="47">
        <f t="shared" si="16"/>
        <v>8400</v>
      </c>
      <c r="Q58" s="47">
        <f t="shared" si="16"/>
        <v>8400</v>
      </c>
      <c r="R58" s="47">
        <f t="shared" si="16"/>
        <v>8400</v>
      </c>
      <c r="S58" s="47">
        <f t="shared" si="16"/>
        <v>8400</v>
      </c>
      <c r="T58" s="47">
        <f t="shared" si="16"/>
        <v>8400</v>
      </c>
      <c r="U58" s="48">
        <f t="shared" si="16"/>
        <v>8400</v>
      </c>
    </row>
    <row r="59" spans="10:21">
      <c r="J59" s="41" t="s">
        <v>26</v>
      </c>
      <c r="K59" s="58">
        <f>NPV(K16,L58:U58)+K58</f>
        <v>21614.363687919315</v>
      </c>
      <c r="L59" s="45"/>
      <c r="M59" s="45"/>
      <c r="N59" s="45"/>
      <c r="O59" s="45"/>
      <c r="P59" s="45"/>
      <c r="Q59" s="45"/>
      <c r="R59" s="45"/>
      <c r="S59" s="45"/>
      <c r="T59" s="45"/>
      <c r="U59" s="46"/>
    </row>
    <row r="60" spans="10:21" ht="16.2" thickBot="1">
      <c r="J60" s="54" t="s">
        <v>0</v>
      </c>
      <c r="K60" s="167">
        <f>IRR(K58:U58)</f>
        <v>0.24991470661921533</v>
      </c>
      <c r="L60" s="56"/>
      <c r="M60" s="56"/>
      <c r="N60" s="56"/>
      <c r="O60" s="56"/>
      <c r="P60" s="56"/>
      <c r="Q60" s="56"/>
      <c r="R60" s="56"/>
      <c r="S60" s="56"/>
      <c r="T60" s="56"/>
      <c r="U60" s="5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E9C0-8925-4688-8FC8-7C49EC37395F}">
  <dimension ref="B1:P25"/>
  <sheetViews>
    <sheetView showGridLines="0" zoomScaleNormal="100" workbookViewId="0"/>
  </sheetViews>
  <sheetFormatPr baseColWidth="10" defaultColWidth="11.44140625" defaultRowHeight="15.6"/>
  <cols>
    <col min="1" max="1" width="5.6640625" style="73" customWidth="1"/>
    <col min="2" max="2" width="26.77734375" style="73" bestFit="1" customWidth="1"/>
    <col min="3" max="3" width="9.5546875" style="73" bestFit="1" customWidth="1"/>
    <col min="4" max="4" width="21.6640625" style="73" bestFit="1" customWidth="1"/>
    <col min="5" max="5" width="5.6640625" style="73" customWidth="1"/>
    <col min="6" max="6" width="32.33203125" style="73" bestFit="1" customWidth="1"/>
    <col min="7" max="16" width="9.5546875" style="73" bestFit="1" customWidth="1"/>
    <col min="17" max="17" width="0" style="73" hidden="1" customWidth="1"/>
    <col min="18" max="18" width="31.88671875" style="73" bestFit="1" customWidth="1"/>
    <col min="19" max="28" width="9.5546875" style="73" bestFit="1" customWidth="1"/>
    <col min="29" max="16384" width="11.44140625" style="73"/>
  </cols>
  <sheetData>
    <row r="1" spans="2:16" ht="16.2" thickBot="1"/>
    <row r="2" spans="2:16" ht="16.8" thickTop="1" thickBot="1">
      <c r="B2" s="168" t="s">
        <v>42</v>
      </c>
      <c r="C2" s="169"/>
      <c r="D2" s="170"/>
      <c r="F2" s="74" t="s">
        <v>44</v>
      </c>
      <c r="G2" s="75">
        <v>0</v>
      </c>
      <c r="H2" s="75">
        <f>+G2+1</f>
        <v>1</v>
      </c>
      <c r="I2" s="75">
        <f t="shared" ref="I2:P2" si="0">+H2+1</f>
        <v>2</v>
      </c>
      <c r="J2" s="75">
        <f t="shared" si="0"/>
        <v>3</v>
      </c>
      <c r="K2" s="75">
        <f t="shared" si="0"/>
        <v>4</v>
      </c>
      <c r="L2" s="75">
        <f t="shared" si="0"/>
        <v>5</v>
      </c>
      <c r="M2" s="75">
        <f t="shared" si="0"/>
        <v>6</v>
      </c>
      <c r="N2" s="75">
        <f t="shared" si="0"/>
        <v>7</v>
      </c>
      <c r="O2" s="75">
        <f t="shared" si="0"/>
        <v>8</v>
      </c>
      <c r="P2" s="76">
        <f t="shared" si="0"/>
        <v>9</v>
      </c>
    </row>
    <row r="3" spans="2:16" ht="16.2" thickTop="1">
      <c r="B3" s="171" t="s">
        <v>28</v>
      </c>
      <c r="C3" s="172"/>
      <c r="D3" s="173"/>
      <c r="F3" s="77" t="s">
        <v>57</v>
      </c>
      <c r="G3" s="78"/>
      <c r="H3" s="78"/>
      <c r="I3" s="79">
        <f>C9</f>
        <v>0.05</v>
      </c>
      <c r="J3" s="79">
        <f>C10</f>
        <v>0.05</v>
      </c>
      <c r="K3" s="79">
        <f>C11</f>
        <v>0.05</v>
      </c>
      <c r="L3" s="79">
        <f>C12</f>
        <v>0.05</v>
      </c>
      <c r="M3" s="78"/>
      <c r="N3" s="78"/>
      <c r="O3" s="78"/>
      <c r="P3" s="80"/>
    </row>
    <row r="4" spans="2:16">
      <c r="B4" s="81" t="s">
        <v>58</v>
      </c>
      <c r="C4" s="82"/>
      <c r="D4" s="83"/>
      <c r="F4" s="84" t="s">
        <v>29</v>
      </c>
      <c r="G4" s="85"/>
      <c r="H4" s="85">
        <f>C6</f>
        <v>30000</v>
      </c>
      <c r="I4" s="85">
        <f>H4*(1+I3)</f>
        <v>31500</v>
      </c>
      <c r="J4" s="85">
        <f>I4*(1+J3)</f>
        <v>33075</v>
      </c>
      <c r="K4" s="85">
        <f>J4*(1+K3)</f>
        <v>34728.75</v>
      </c>
      <c r="L4" s="85">
        <f>K4*(1+L3)</f>
        <v>36465.1875</v>
      </c>
      <c r="M4" s="85">
        <f>L4</f>
        <v>36465.1875</v>
      </c>
      <c r="N4" s="85">
        <f t="shared" ref="N4:P4" si="1">M4</f>
        <v>36465.1875</v>
      </c>
      <c r="O4" s="85">
        <f t="shared" si="1"/>
        <v>36465.1875</v>
      </c>
      <c r="P4" s="86">
        <f t="shared" si="1"/>
        <v>36465.1875</v>
      </c>
    </row>
    <row r="5" spans="2:16" ht="16.2" thickBot="1">
      <c r="B5" s="87" t="s">
        <v>59</v>
      </c>
      <c r="C5" s="88">
        <v>0.15</v>
      </c>
      <c r="D5" s="89" t="s">
        <v>16</v>
      </c>
      <c r="F5" s="90" t="s">
        <v>11</v>
      </c>
      <c r="G5" s="91"/>
      <c r="H5" s="92">
        <f>C7</f>
        <v>0.95</v>
      </c>
      <c r="I5" s="92">
        <f>C8</f>
        <v>1.05</v>
      </c>
      <c r="J5" s="92">
        <f>I5</f>
        <v>1.05</v>
      </c>
      <c r="K5" s="92">
        <f t="shared" ref="K5:P5" si="2">J5</f>
        <v>1.05</v>
      </c>
      <c r="L5" s="92">
        <f t="shared" si="2"/>
        <v>1.05</v>
      </c>
      <c r="M5" s="92">
        <f t="shared" si="2"/>
        <v>1.05</v>
      </c>
      <c r="N5" s="92">
        <f t="shared" si="2"/>
        <v>1.05</v>
      </c>
      <c r="O5" s="92">
        <f t="shared" si="2"/>
        <v>1.05</v>
      </c>
      <c r="P5" s="93">
        <f t="shared" si="2"/>
        <v>1.05</v>
      </c>
    </row>
    <row r="6" spans="2:16" ht="16.2" thickTop="1">
      <c r="B6" s="87" t="s">
        <v>62</v>
      </c>
      <c r="C6" s="100">
        <v>30000</v>
      </c>
      <c r="D6" s="89" t="s">
        <v>30</v>
      </c>
      <c r="F6" s="94" t="s">
        <v>60</v>
      </c>
      <c r="G6" s="95">
        <f>SUM(G7:G10)</f>
        <v>-21100</v>
      </c>
      <c r="H6" s="95">
        <f t="shared" ref="H6:P6" si="3">SUM(H7:H10)</f>
        <v>0</v>
      </c>
      <c r="I6" s="95">
        <f t="shared" si="3"/>
        <v>0</v>
      </c>
      <c r="J6" s="95">
        <f t="shared" si="3"/>
        <v>0</v>
      </c>
      <c r="K6" s="95">
        <f t="shared" si="3"/>
        <v>0</v>
      </c>
      <c r="L6" s="95">
        <f t="shared" si="3"/>
        <v>0</v>
      </c>
      <c r="M6" s="95">
        <f t="shared" si="3"/>
        <v>0</v>
      </c>
      <c r="N6" s="95">
        <f t="shared" si="3"/>
        <v>0</v>
      </c>
      <c r="O6" s="95">
        <f t="shared" si="3"/>
        <v>0</v>
      </c>
      <c r="P6" s="96">
        <f t="shared" si="3"/>
        <v>10000</v>
      </c>
    </row>
    <row r="7" spans="2:16">
      <c r="B7" s="87" t="s">
        <v>64</v>
      </c>
      <c r="C7" s="101">
        <v>0.95</v>
      </c>
      <c r="D7" s="89" t="s">
        <v>65</v>
      </c>
      <c r="F7" s="97" t="s">
        <v>61</v>
      </c>
      <c r="G7" s="98">
        <f>-C13</f>
        <v>-4150</v>
      </c>
      <c r="H7" s="98"/>
      <c r="I7" s="98"/>
      <c r="J7" s="98"/>
      <c r="K7" s="98"/>
      <c r="L7" s="98"/>
      <c r="M7" s="98"/>
      <c r="N7" s="98"/>
      <c r="O7" s="98"/>
      <c r="P7" s="99">
        <f>C17</f>
        <v>10000</v>
      </c>
    </row>
    <row r="8" spans="2:16">
      <c r="B8" s="87" t="s">
        <v>67</v>
      </c>
      <c r="C8" s="101">
        <v>1.05</v>
      </c>
      <c r="D8" s="89" t="s">
        <v>65</v>
      </c>
      <c r="F8" s="97" t="s">
        <v>63</v>
      </c>
      <c r="G8" s="98">
        <f>-C14</f>
        <v>-8800</v>
      </c>
      <c r="H8" s="98"/>
      <c r="I8" s="98"/>
      <c r="J8" s="98"/>
      <c r="K8" s="98"/>
      <c r="L8" s="98"/>
      <c r="M8" s="98"/>
      <c r="N8" s="98"/>
      <c r="O8" s="98"/>
      <c r="P8" s="99"/>
    </row>
    <row r="9" spans="2:16">
      <c r="B9" s="87" t="s">
        <v>33</v>
      </c>
      <c r="C9" s="102">
        <v>0.05</v>
      </c>
      <c r="D9" s="89" t="s">
        <v>34</v>
      </c>
      <c r="F9" s="97" t="s">
        <v>66</v>
      </c>
      <c r="G9" s="98">
        <f>-C15</f>
        <v>-8000</v>
      </c>
      <c r="H9" s="98"/>
      <c r="I9" s="98"/>
      <c r="J9" s="98"/>
      <c r="K9" s="98"/>
      <c r="L9" s="98"/>
      <c r="M9" s="98"/>
      <c r="N9" s="98"/>
      <c r="O9" s="98"/>
      <c r="P9" s="99"/>
    </row>
    <row r="10" spans="2:16">
      <c r="B10" s="106"/>
      <c r="C10" s="102">
        <v>0.05</v>
      </c>
      <c r="D10" s="89" t="s">
        <v>36</v>
      </c>
      <c r="F10" s="97" t="s">
        <v>68</v>
      </c>
      <c r="G10" s="98">
        <f>-C16</f>
        <v>-150</v>
      </c>
      <c r="H10" s="98"/>
      <c r="I10" s="98"/>
      <c r="J10" s="98"/>
      <c r="K10" s="98"/>
      <c r="L10" s="98"/>
      <c r="M10" s="98"/>
      <c r="N10" s="98"/>
      <c r="O10" s="98"/>
      <c r="P10" s="99"/>
    </row>
    <row r="11" spans="2:16">
      <c r="B11" s="106"/>
      <c r="C11" s="102">
        <v>0.05</v>
      </c>
      <c r="D11" s="89" t="s">
        <v>37</v>
      </c>
      <c r="F11" s="103" t="s">
        <v>69</v>
      </c>
      <c r="G11" s="104">
        <f t="shared" ref="G11:P11" si="4">G4*G5</f>
        <v>0</v>
      </c>
      <c r="H11" s="104">
        <f>H4*H5</f>
        <v>28500</v>
      </c>
      <c r="I11" s="104">
        <f t="shared" si="4"/>
        <v>33075</v>
      </c>
      <c r="J11" s="104">
        <f>J4*J5</f>
        <v>34728.75</v>
      </c>
      <c r="K11" s="104">
        <f t="shared" si="4"/>
        <v>36465.1875</v>
      </c>
      <c r="L11" s="104">
        <f>L4*L5</f>
        <v>38288.446875000001</v>
      </c>
      <c r="M11" s="104">
        <f t="shared" si="4"/>
        <v>38288.446875000001</v>
      </c>
      <c r="N11" s="104">
        <f t="shared" si="4"/>
        <v>38288.446875000001</v>
      </c>
      <c r="O11" s="104">
        <f t="shared" si="4"/>
        <v>38288.446875000001</v>
      </c>
      <c r="P11" s="105">
        <f t="shared" si="4"/>
        <v>38288.446875000001</v>
      </c>
    </row>
    <row r="12" spans="2:16">
      <c r="B12" s="106"/>
      <c r="C12" s="102">
        <v>0.05</v>
      </c>
      <c r="D12" s="89" t="s">
        <v>38</v>
      </c>
      <c r="F12" s="103" t="s">
        <v>31</v>
      </c>
      <c r="G12" s="104">
        <f>SUM(G13:G17)</f>
        <v>-2200</v>
      </c>
      <c r="H12" s="104">
        <f t="shared" ref="H12:P12" si="5">SUM(H13:H17)</f>
        <v>-25525</v>
      </c>
      <c r="I12" s="104">
        <f>SUM(I13:I17)</f>
        <v>-28148.75</v>
      </c>
      <c r="J12" s="104">
        <f t="shared" si="5"/>
        <v>-29381.1875</v>
      </c>
      <c r="K12" s="104">
        <f t="shared" si="5"/>
        <v>-30675.246875000001</v>
      </c>
      <c r="L12" s="104">
        <f t="shared" si="5"/>
        <v>-32034.009218750001</v>
      </c>
      <c r="M12" s="104">
        <f t="shared" si="5"/>
        <v>-32034.009218750001</v>
      </c>
      <c r="N12" s="104">
        <f t="shared" si="5"/>
        <v>-32034.009218750001</v>
      </c>
      <c r="O12" s="104">
        <f t="shared" si="5"/>
        <v>-32034.009218750001</v>
      </c>
      <c r="P12" s="105">
        <f t="shared" si="5"/>
        <v>-32034.009218750001</v>
      </c>
    </row>
    <row r="13" spans="2:16">
      <c r="B13" s="87" t="s">
        <v>39</v>
      </c>
      <c r="C13" s="108">
        <v>4150</v>
      </c>
      <c r="D13" s="89" t="s">
        <v>70</v>
      </c>
      <c r="F13" s="97" t="s">
        <v>82</v>
      </c>
      <c r="G13" s="98"/>
      <c r="H13" s="98">
        <f t="shared" ref="H13:P13" si="6">-$C$19*H4</f>
        <v>-7500</v>
      </c>
      <c r="I13" s="98">
        <f t="shared" si="6"/>
        <v>-7875</v>
      </c>
      <c r="J13" s="98">
        <f t="shared" si="6"/>
        <v>-8268.75</v>
      </c>
      <c r="K13" s="98">
        <f t="shared" si="6"/>
        <v>-8682.1875</v>
      </c>
      <c r="L13" s="98">
        <f t="shared" si="6"/>
        <v>-9116.296875</v>
      </c>
      <c r="M13" s="98">
        <f t="shared" si="6"/>
        <v>-9116.296875</v>
      </c>
      <c r="N13" s="98">
        <f t="shared" si="6"/>
        <v>-9116.296875</v>
      </c>
      <c r="O13" s="98">
        <f t="shared" si="6"/>
        <v>-9116.296875</v>
      </c>
      <c r="P13" s="107">
        <f t="shared" si="6"/>
        <v>-9116.296875</v>
      </c>
    </row>
    <row r="14" spans="2:16">
      <c r="B14" s="106"/>
      <c r="C14" s="108">
        <v>8800</v>
      </c>
      <c r="D14" s="109" t="s">
        <v>63</v>
      </c>
      <c r="F14" s="97" t="s">
        <v>83</v>
      </c>
      <c r="G14" s="98"/>
      <c r="H14" s="98">
        <f t="shared" ref="H14:P14" si="7">-$C$20*H4</f>
        <v>-9000</v>
      </c>
      <c r="I14" s="98">
        <f t="shared" si="7"/>
        <v>-9450</v>
      </c>
      <c r="J14" s="98">
        <f t="shared" si="7"/>
        <v>-9922.5</v>
      </c>
      <c r="K14" s="98">
        <f t="shared" si="7"/>
        <v>-10418.625</v>
      </c>
      <c r="L14" s="98">
        <f t="shared" si="7"/>
        <v>-10939.55625</v>
      </c>
      <c r="M14" s="98">
        <f t="shared" si="7"/>
        <v>-10939.55625</v>
      </c>
      <c r="N14" s="98">
        <f t="shared" si="7"/>
        <v>-10939.55625</v>
      </c>
      <c r="O14" s="98">
        <f t="shared" si="7"/>
        <v>-10939.55625</v>
      </c>
      <c r="P14" s="107">
        <f t="shared" si="7"/>
        <v>-10939.55625</v>
      </c>
    </row>
    <row r="15" spans="2:16">
      <c r="B15" s="106"/>
      <c r="C15" s="108">
        <v>8000</v>
      </c>
      <c r="D15" s="89" t="s">
        <v>66</v>
      </c>
      <c r="F15" s="97" t="s">
        <v>84</v>
      </c>
      <c r="G15" s="98"/>
      <c r="H15" s="98">
        <f t="shared" ref="H15:P15" si="8">-$C$21*H4</f>
        <v>-5400</v>
      </c>
      <c r="I15" s="98">
        <f t="shared" si="8"/>
        <v>-5670</v>
      </c>
      <c r="J15" s="98">
        <f t="shared" si="8"/>
        <v>-5953.5</v>
      </c>
      <c r="K15" s="98">
        <f t="shared" si="8"/>
        <v>-6251.1750000000002</v>
      </c>
      <c r="L15" s="98">
        <f t="shared" si="8"/>
        <v>-6563.7337499999994</v>
      </c>
      <c r="M15" s="98">
        <f t="shared" si="8"/>
        <v>-6563.7337499999994</v>
      </c>
      <c r="N15" s="98">
        <f t="shared" si="8"/>
        <v>-6563.7337499999994</v>
      </c>
      <c r="O15" s="98">
        <f t="shared" si="8"/>
        <v>-6563.7337499999994</v>
      </c>
      <c r="P15" s="107">
        <f t="shared" si="8"/>
        <v>-6563.7337499999994</v>
      </c>
    </row>
    <row r="16" spans="2:16">
      <c r="B16" s="106"/>
      <c r="C16" s="108">
        <v>150</v>
      </c>
      <c r="D16" s="89" t="s">
        <v>71</v>
      </c>
      <c r="F16" s="97" t="s">
        <v>81</v>
      </c>
      <c r="G16" s="98"/>
      <c r="H16" s="98">
        <f>-$C$22*H11</f>
        <v>-1425</v>
      </c>
      <c r="I16" s="98">
        <f t="shared" ref="I16:P16" si="9">-$C$22*I11</f>
        <v>-1653.75</v>
      </c>
      <c r="J16" s="98">
        <f t="shared" si="9"/>
        <v>-1736.4375</v>
      </c>
      <c r="K16" s="98">
        <f t="shared" si="9"/>
        <v>-1823.2593750000001</v>
      </c>
      <c r="L16" s="98">
        <f t="shared" si="9"/>
        <v>-1914.4223437500002</v>
      </c>
      <c r="M16" s="98">
        <f t="shared" si="9"/>
        <v>-1914.4223437500002</v>
      </c>
      <c r="N16" s="98">
        <f t="shared" si="9"/>
        <v>-1914.4223437500002</v>
      </c>
      <c r="O16" s="98">
        <f t="shared" si="9"/>
        <v>-1914.4223437500002</v>
      </c>
      <c r="P16" s="107">
        <f t="shared" si="9"/>
        <v>-1914.4223437500002</v>
      </c>
    </row>
    <row r="17" spans="2:16">
      <c r="B17" s="87" t="s">
        <v>72</v>
      </c>
      <c r="C17" s="108">
        <v>10000</v>
      </c>
      <c r="D17" s="89"/>
      <c r="F17" s="97" t="s">
        <v>85</v>
      </c>
      <c r="G17" s="98">
        <f>-$C$23</f>
        <v>-2200</v>
      </c>
      <c r="H17" s="98">
        <f>-$C$23</f>
        <v>-2200</v>
      </c>
      <c r="I17" s="98">
        <f>-$C$24</f>
        <v>-3500</v>
      </c>
      <c r="J17" s="98">
        <f t="shared" ref="J17:P17" si="10">-$C$24</f>
        <v>-3500</v>
      </c>
      <c r="K17" s="98">
        <f t="shared" si="10"/>
        <v>-3500</v>
      </c>
      <c r="L17" s="98">
        <f t="shared" si="10"/>
        <v>-3500</v>
      </c>
      <c r="M17" s="98">
        <f t="shared" si="10"/>
        <v>-3500</v>
      </c>
      <c r="N17" s="98">
        <f t="shared" si="10"/>
        <v>-3500</v>
      </c>
      <c r="O17" s="98">
        <f t="shared" si="10"/>
        <v>-3500</v>
      </c>
      <c r="P17" s="107">
        <f t="shared" si="10"/>
        <v>-3500</v>
      </c>
    </row>
    <row r="18" spans="2:16">
      <c r="B18" s="174" t="s">
        <v>73</v>
      </c>
      <c r="C18" s="175"/>
      <c r="D18" s="176"/>
      <c r="F18" s="110" t="s">
        <v>43</v>
      </c>
      <c r="G18" s="111">
        <f>G11+G12</f>
        <v>-2200</v>
      </c>
      <c r="H18" s="111">
        <f>H11+H12</f>
        <v>2975</v>
      </c>
      <c r="I18" s="111">
        <f t="shared" ref="I18:P18" si="11">I11+I12</f>
        <v>4926.25</v>
      </c>
      <c r="J18" s="111">
        <f t="shared" si="11"/>
        <v>5347.5625</v>
      </c>
      <c r="K18" s="111">
        <f t="shared" si="11"/>
        <v>5789.9406249999993</v>
      </c>
      <c r="L18" s="111">
        <f t="shared" si="11"/>
        <v>6254.4376562500001</v>
      </c>
      <c r="M18" s="111">
        <f t="shared" si="11"/>
        <v>6254.4376562500001</v>
      </c>
      <c r="N18" s="111">
        <f t="shared" si="11"/>
        <v>6254.4376562500001</v>
      </c>
      <c r="O18" s="111">
        <f t="shared" si="11"/>
        <v>6254.4376562500001</v>
      </c>
      <c r="P18" s="112">
        <f t="shared" si="11"/>
        <v>6254.4376562500001</v>
      </c>
    </row>
    <row r="19" spans="2:16">
      <c r="B19" s="106" t="s">
        <v>74</v>
      </c>
      <c r="C19" s="101">
        <v>0.25</v>
      </c>
      <c r="D19" s="89" t="s">
        <v>65</v>
      </c>
      <c r="F19" s="135" t="s">
        <v>4</v>
      </c>
      <c r="G19" s="108">
        <f>G6+G11+G12</f>
        <v>-23300</v>
      </c>
      <c r="H19" s="108">
        <f t="shared" ref="H19:P19" si="12">H6+H11+H12</f>
        <v>2975</v>
      </c>
      <c r="I19" s="108">
        <f>I6+I11+I12</f>
        <v>4926.25</v>
      </c>
      <c r="J19" s="108">
        <f t="shared" si="12"/>
        <v>5347.5625</v>
      </c>
      <c r="K19" s="108">
        <f t="shared" si="12"/>
        <v>5789.9406249999993</v>
      </c>
      <c r="L19" s="108">
        <f t="shared" si="12"/>
        <v>6254.4376562500001</v>
      </c>
      <c r="M19" s="108">
        <f t="shared" si="12"/>
        <v>6254.4376562500001</v>
      </c>
      <c r="N19" s="108">
        <f t="shared" si="12"/>
        <v>6254.4376562500001</v>
      </c>
      <c r="O19" s="108">
        <f t="shared" si="12"/>
        <v>6254.4376562500001</v>
      </c>
      <c r="P19" s="136">
        <f t="shared" si="12"/>
        <v>16254.43765625</v>
      </c>
    </row>
    <row r="20" spans="2:16">
      <c r="B20" s="106" t="s">
        <v>32</v>
      </c>
      <c r="C20" s="101">
        <v>0.3</v>
      </c>
      <c r="D20" s="89" t="s">
        <v>65</v>
      </c>
      <c r="F20" s="135" t="s">
        <v>6</v>
      </c>
      <c r="G20" s="108">
        <f t="shared" ref="G20:N20" si="13">G19/(1+$C$5)^G2</f>
        <v>-23300</v>
      </c>
      <c r="H20" s="108">
        <f>H19/(1+$C$5)^H2</f>
        <v>2586.9565217391305</v>
      </c>
      <c r="I20" s="108">
        <f t="shared" si="13"/>
        <v>3724.9527410207947</v>
      </c>
      <c r="J20" s="108">
        <f t="shared" si="13"/>
        <v>3516.1091476945849</v>
      </c>
      <c r="K20" s="108">
        <f t="shared" si="13"/>
        <v>3310.4173441347057</v>
      </c>
      <c r="L20" s="108">
        <f t="shared" si="13"/>
        <v>3109.5608950610631</v>
      </c>
      <c r="M20" s="108">
        <f t="shared" si="13"/>
        <v>2703.9659957052722</v>
      </c>
      <c r="N20" s="108">
        <f t="shared" si="13"/>
        <v>2351.2747788741503</v>
      </c>
      <c r="O20" s="108">
        <f>O19/(1+$C$5)^O2</f>
        <v>2044.5867642383919</v>
      </c>
      <c r="P20" s="136">
        <f>P19/(1+$C$5)^P2</f>
        <v>4620.5256545217981</v>
      </c>
    </row>
    <row r="21" spans="2:16">
      <c r="B21" s="106" t="s">
        <v>35</v>
      </c>
      <c r="C21" s="101">
        <v>0.18</v>
      </c>
      <c r="D21" s="89" t="s">
        <v>65</v>
      </c>
      <c r="F21" s="135" t="s">
        <v>7</v>
      </c>
      <c r="G21" s="108">
        <f>SUM(G20:P20)</f>
        <v>4668.3498429898918</v>
      </c>
      <c r="H21" s="137"/>
      <c r="I21" s="137"/>
      <c r="J21" s="137"/>
      <c r="K21" s="137"/>
      <c r="L21" s="137"/>
      <c r="M21" s="137"/>
      <c r="N21" s="137"/>
      <c r="O21" s="137"/>
      <c r="P21" s="138"/>
    </row>
    <row r="22" spans="2:16">
      <c r="B22" s="87" t="s">
        <v>40</v>
      </c>
      <c r="C22" s="113">
        <v>0.05</v>
      </c>
      <c r="D22" s="89" t="s">
        <v>41</v>
      </c>
      <c r="F22" s="135" t="s">
        <v>75</v>
      </c>
      <c r="G22" s="139">
        <f>IRR(G19:P19)</f>
        <v>0.19390046229013724</v>
      </c>
      <c r="H22" s="137"/>
      <c r="I22" s="137"/>
      <c r="J22" s="137"/>
      <c r="K22" s="137"/>
      <c r="L22" s="137"/>
      <c r="M22" s="137"/>
      <c r="N22" s="137"/>
      <c r="O22" s="137"/>
      <c r="P22" s="138"/>
    </row>
    <row r="23" spans="2:16" ht="16.2" thickBot="1">
      <c r="B23" s="87" t="s">
        <v>76</v>
      </c>
      <c r="C23" s="108">
        <v>2200</v>
      </c>
      <c r="D23" s="89" t="s">
        <v>77</v>
      </c>
      <c r="F23" s="140" t="s">
        <v>80</v>
      </c>
      <c r="G23" s="141">
        <f>G19</f>
        <v>-23300</v>
      </c>
      <c r="H23" s="141">
        <f>G23+H19</f>
        <v>-20325</v>
      </c>
      <c r="I23" s="141">
        <f>H23+I19</f>
        <v>-15398.75</v>
      </c>
      <c r="J23" s="141">
        <f>I23+J19</f>
        <v>-10051.1875</v>
      </c>
      <c r="K23" s="141">
        <f>J23+K19</f>
        <v>-4261.2468750000007</v>
      </c>
      <c r="L23" s="141">
        <f t="shared" ref="L23:P23" si="14">K23+L19</f>
        <v>1993.1907812499994</v>
      </c>
      <c r="M23" s="142">
        <f t="shared" si="14"/>
        <v>8247.6284374999996</v>
      </c>
      <c r="N23" s="142">
        <f t="shared" si="14"/>
        <v>14502.06609375</v>
      </c>
      <c r="O23" s="142">
        <f t="shared" si="14"/>
        <v>20756.50375</v>
      </c>
      <c r="P23" s="143">
        <f t="shared" si="14"/>
        <v>37010.94140625</v>
      </c>
    </row>
    <row r="24" spans="2:16" ht="16.8" thickTop="1" thickBot="1">
      <c r="B24" s="115"/>
      <c r="C24" s="116">
        <v>3500</v>
      </c>
      <c r="D24" s="114" t="s">
        <v>78</v>
      </c>
    </row>
    <row r="25" spans="2:16" ht="16.2" thickTop="1"/>
  </sheetData>
  <mergeCells count="3">
    <mergeCell ref="B2:D2"/>
    <mergeCell ref="B3:D3"/>
    <mergeCell ref="B18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Helicos</vt:lpstr>
      <vt:lpstr>MAC</vt:lpstr>
    </vt:vector>
  </TitlesOfParts>
  <Company>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Navarro Guerrero</dc:creator>
  <cp:lastModifiedBy>Rodrigo Navarro Guerrero</cp:lastModifiedBy>
  <dcterms:created xsi:type="dcterms:W3CDTF">2019-03-16T14:55:35Z</dcterms:created>
  <dcterms:modified xsi:type="dcterms:W3CDTF">2023-03-25T19:24:24Z</dcterms:modified>
</cp:coreProperties>
</file>