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5\"/>
    </mc:Choice>
  </mc:AlternateContent>
  <xr:revisionPtr revIDLastSave="0" documentId="13_ncr:1_{4DF13F5B-2C54-4082-8AE5-989431D81694}" xr6:coauthVersionLast="47" xr6:coauthVersionMax="47" xr10:uidLastSave="{00000000-0000-0000-0000-000000000000}"/>
  <bookViews>
    <workbookView xWindow="-120" yWindow="-120" windowWidth="29040" windowHeight="15840" firstSheet="9" activeTab="24" xr2:uid="{9F559EE0-24DC-4C0C-8898-02AA049EDE74}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dg" sheetId="9" r:id="rId9"/>
    <sheet name="ex10" sheetId="10" r:id="rId10"/>
    <sheet name="ex11" sheetId="11" r:id="rId11"/>
    <sheet name="ex12dg" sheetId="12" r:id="rId12"/>
    <sheet name="ex13g" sheetId="13" r:id="rId13"/>
    <sheet name="ex14" sheetId="14" r:id="rId14"/>
    <sheet name="ex15dg" sheetId="15" r:id="rId15"/>
    <sheet name="ex16" sheetId="16" r:id="rId16"/>
    <sheet name="ex17" sheetId="17" r:id="rId17"/>
    <sheet name="ex18dg" sheetId="18" r:id="rId18"/>
    <sheet name="ex19" sheetId="19" r:id="rId19"/>
    <sheet name="ex20" sheetId="20" r:id="rId20"/>
    <sheet name="ex21dg" sheetId="21" r:id="rId21"/>
    <sheet name="ex22" sheetId="22" r:id="rId22"/>
    <sheet name="ex23g" sheetId="23" r:id="rId23"/>
    <sheet name="ex24g" sheetId="24" r:id="rId24"/>
    <sheet name="ex25g" sheetId="25" r:id="rId25"/>
    <sheet name="Sheet3" sheetId="28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5" l="1"/>
  <c r="B26" i="25"/>
  <c r="B25" i="25"/>
  <c r="B24" i="25"/>
  <c r="C23" i="25"/>
  <c r="D23" i="25"/>
  <c r="E23" i="25"/>
  <c r="B23" i="25"/>
  <c r="D22" i="25"/>
  <c r="E22" i="25"/>
  <c r="C22" i="25"/>
  <c r="B22" i="25"/>
  <c r="D21" i="25"/>
  <c r="E21" i="25"/>
  <c r="C21" i="25"/>
  <c r="D20" i="25"/>
  <c r="E20" i="25"/>
  <c r="C20" i="25"/>
  <c r="D19" i="25"/>
  <c r="E19" i="25"/>
  <c r="C19" i="25"/>
  <c r="D18" i="25"/>
  <c r="E18" i="25"/>
  <c r="C18" i="25"/>
  <c r="B13" i="25"/>
  <c r="D17" i="25"/>
  <c r="E17" i="25"/>
  <c r="C17" i="25"/>
  <c r="D16" i="25"/>
  <c r="E16" i="25"/>
  <c r="C16" i="25"/>
  <c r="D15" i="25"/>
  <c r="E15" i="25"/>
  <c r="C15" i="25"/>
  <c r="K6" i="25"/>
  <c r="AG28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B27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C26" i="23"/>
  <c r="B26" i="23"/>
  <c r="AG19" i="23"/>
  <c r="B35" i="22"/>
  <c r="G35" i="22"/>
  <c r="C35" i="22"/>
  <c r="G30" i="22"/>
  <c r="D30" i="22"/>
  <c r="E30" i="22"/>
  <c r="F30" i="22"/>
  <c r="C30" i="22"/>
  <c r="O23" i="21"/>
  <c r="P23" i="21" s="1"/>
  <c r="Q23" i="21" s="1"/>
  <c r="R23" i="21" s="1"/>
  <c r="S23" i="21" s="1"/>
  <c r="T23" i="21" s="1"/>
  <c r="U23" i="21" s="1"/>
  <c r="V23" i="21" s="1"/>
  <c r="W23" i="21" s="1"/>
  <c r="X23" i="21" s="1"/>
  <c r="Y23" i="21" s="1"/>
  <c r="Z23" i="21" s="1"/>
  <c r="AA23" i="21" s="1"/>
  <c r="AB23" i="21" s="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N23" i="21"/>
  <c r="I23" i="21"/>
  <c r="H23" i="21"/>
  <c r="G23" i="21"/>
  <c r="H29" i="21"/>
  <c r="B41" i="15" l="1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40" i="15"/>
  <c r="B34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C31" i="15"/>
  <c r="C27" i="15"/>
  <c r="D27" i="15"/>
  <c r="E27" i="15"/>
  <c r="F27" i="15"/>
  <c r="G27" i="15"/>
  <c r="K26" i="13"/>
  <c r="K21" i="13"/>
  <c r="E15" i="3"/>
  <c r="D15" i="3"/>
  <c r="B12" i="28"/>
  <c r="C12" i="28"/>
  <c r="D12" i="28"/>
  <c r="E12" i="28"/>
  <c r="F12" i="28"/>
  <c r="G12" i="28"/>
  <c r="H12" i="28"/>
  <c r="I12" i="28"/>
  <c r="A12" i="28"/>
  <c r="I13" i="28" s="1"/>
  <c r="I11" i="28"/>
  <c r="D11" i="28"/>
  <c r="E11" i="28" s="1"/>
  <c r="F11" i="28" s="1"/>
  <c r="G11" i="28" s="1"/>
  <c r="H11" i="28" s="1"/>
  <c r="C11" i="28"/>
  <c r="B11" i="28"/>
  <c r="B7" i="28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B18" i="23"/>
  <c r="F17" i="23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AB17" i="23" s="1"/>
  <c r="AC17" i="23" s="1"/>
  <c r="AD17" i="23" s="1"/>
  <c r="AE17" i="23" s="1"/>
  <c r="AF17" i="23" s="1"/>
  <c r="AG17" i="23" s="1"/>
  <c r="E17" i="23"/>
  <c r="D17" i="23"/>
  <c r="W10" i="23"/>
  <c r="D14" i="23"/>
  <c r="E14" i="23" s="1"/>
  <c r="C15" i="23"/>
  <c r="B15" i="23"/>
  <c r="G37" i="22"/>
  <c r="C37" i="22"/>
  <c r="B24" i="22"/>
  <c r="J29" i="2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AB29" i="21" s="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C16" i="21"/>
  <c r="B20" i="18"/>
  <c r="D19" i="15"/>
  <c r="E19" i="15"/>
  <c r="F19" i="15"/>
  <c r="G19" i="15"/>
  <c r="C19" i="15"/>
  <c r="Q26" i="13"/>
  <c r="Q21" i="13"/>
  <c r="K31" i="13"/>
  <c r="J21" i="13"/>
  <c r="E13" i="9"/>
  <c r="F13" i="9"/>
  <c r="D13" i="9"/>
  <c r="G13" i="9" s="1"/>
  <c r="G11" i="9"/>
  <c r="C22" i="1"/>
  <c r="H14" i="1"/>
  <c r="J23" i="21" l="1"/>
  <c r="D16" i="2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33" i="15"/>
  <c r="E15" i="23"/>
  <c r="F14" i="23"/>
  <c r="D15" i="23"/>
  <c r="C11" i="6"/>
  <c r="C28" i="15"/>
  <c r="B36" i="15"/>
  <c r="L31" i="15"/>
  <c r="M31" i="15"/>
  <c r="M33" i="15" s="1"/>
  <c r="N31" i="15"/>
  <c r="O31" i="15"/>
  <c r="P31" i="15"/>
  <c r="Q31" i="15"/>
  <c r="R31" i="15"/>
  <c r="S31" i="15"/>
  <c r="T31" i="15"/>
  <c r="U31" i="15"/>
  <c r="U33" i="15" s="1"/>
  <c r="V31" i="15"/>
  <c r="W31" i="15"/>
  <c r="X31" i="15"/>
  <c r="Y31" i="15"/>
  <c r="Z31" i="15"/>
  <c r="AA31" i="15"/>
  <c r="AB31" i="15"/>
  <c r="AC31" i="15"/>
  <c r="AC33" i="15" s="1"/>
  <c r="AD31" i="15"/>
  <c r="AE31" i="15"/>
  <c r="D31" i="15"/>
  <c r="D33" i="15" s="1"/>
  <c r="E31" i="15"/>
  <c r="E33" i="15" s="1"/>
  <c r="F31" i="15"/>
  <c r="G31" i="15"/>
  <c r="G33" i="15" s="1"/>
  <c r="H31" i="15"/>
  <c r="I31" i="15"/>
  <c r="J31" i="15"/>
  <c r="K31" i="15"/>
  <c r="K33" i="15" s="1"/>
  <c r="C25" i="15"/>
  <c r="C26" i="15" s="1"/>
  <c r="D23" i="15"/>
  <c r="B26" i="15"/>
  <c r="B27" i="15"/>
  <c r="B28" i="15" s="1"/>
  <c r="D28" i="15"/>
  <c r="E28" i="15"/>
  <c r="F28" i="15"/>
  <c r="G28" i="15"/>
  <c r="D25" i="15"/>
  <c r="D26" i="15" s="1"/>
  <c r="E25" i="15"/>
  <c r="E26" i="15" s="1"/>
  <c r="F25" i="15"/>
  <c r="F26" i="15" s="1"/>
  <c r="G25" i="15"/>
  <c r="G26" i="15" s="1"/>
  <c r="B25" i="15"/>
  <c r="J14" i="24"/>
  <c r="I14" i="24"/>
  <c r="H14" i="24"/>
  <c r="H21" i="24"/>
  <c r="B21" i="24"/>
  <c r="C20" i="24"/>
  <c r="C21" i="24" s="1"/>
  <c r="B20" i="24"/>
  <c r="D19" i="24"/>
  <c r="D20" i="24" s="1"/>
  <c r="D21" i="24" s="1"/>
  <c r="C14" i="24"/>
  <c r="D14" i="24"/>
  <c r="E14" i="24"/>
  <c r="F14" i="24"/>
  <c r="G14" i="24"/>
  <c r="B14" i="24"/>
  <c r="C13" i="24"/>
  <c r="D13" i="24"/>
  <c r="E13" i="24"/>
  <c r="F13" i="24"/>
  <c r="G13" i="24"/>
  <c r="B13" i="24"/>
  <c r="E12" i="24"/>
  <c r="F12" i="24"/>
  <c r="G12" i="24" s="1"/>
  <c r="D12" i="24"/>
  <c r="B37" i="22"/>
  <c r="G36" i="22"/>
  <c r="F36" i="22"/>
  <c r="E36" i="22"/>
  <c r="D36" i="22"/>
  <c r="C36" i="22"/>
  <c r="B36" i="22"/>
  <c r="H21" i="22"/>
  <c r="D21" i="22"/>
  <c r="C21" i="22"/>
  <c r="C29" i="22"/>
  <c r="D29" i="22"/>
  <c r="E29" i="22"/>
  <c r="F29" i="22"/>
  <c r="G29" i="22"/>
  <c r="B29" i="22"/>
  <c r="D35" i="22"/>
  <c r="I26" i="22"/>
  <c r="C25" i="22"/>
  <c r="C26" i="22" s="1"/>
  <c r="D25" i="22"/>
  <c r="D26" i="22" s="1"/>
  <c r="E25" i="22"/>
  <c r="E26" i="22" s="1"/>
  <c r="F25" i="22"/>
  <c r="F26" i="22" s="1"/>
  <c r="G25" i="22"/>
  <c r="G26" i="22" s="1"/>
  <c r="B25" i="22"/>
  <c r="B26" i="22" s="1"/>
  <c r="E24" i="22"/>
  <c r="F24" i="22" s="1"/>
  <c r="G24" i="22" s="1"/>
  <c r="D24" i="22"/>
  <c r="C24" i="22"/>
  <c r="H31" i="21"/>
  <c r="I31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G31" i="21" s="1"/>
  <c r="F30" i="21"/>
  <c r="F31" i="21" s="1"/>
  <c r="E30" i="21"/>
  <c r="E31" i="21" s="1"/>
  <c r="D30" i="21"/>
  <c r="D31" i="21" s="1"/>
  <c r="C30" i="21"/>
  <c r="C31" i="21" s="1"/>
  <c r="B30" i="21"/>
  <c r="B31" i="21" s="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I25" i="21" s="1"/>
  <c r="H24" i="21"/>
  <c r="H25" i="21" s="1"/>
  <c r="G24" i="21"/>
  <c r="G25" i="21" s="1"/>
  <c r="F24" i="21"/>
  <c r="F25" i="21" s="1"/>
  <c r="E24" i="21"/>
  <c r="E25" i="21" s="1"/>
  <c r="D24" i="21"/>
  <c r="D25" i="21" s="1"/>
  <c r="C24" i="21"/>
  <c r="C25" i="21" s="1"/>
  <c r="B24" i="21"/>
  <c r="B25" i="21" s="1"/>
  <c r="C17" i="21"/>
  <c r="C18" i="21" s="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U17" i="21"/>
  <c r="AV17" i="21"/>
  <c r="AW17" i="21"/>
  <c r="AX17" i="21"/>
  <c r="AY17" i="21"/>
  <c r="AZ17" i="21"/>
  <c r="B17" i="21"/>
  <c r="B18" i="21" s="1"/>
  <c r="D15" i="21"/>
  <c r="E15" i="21"/>
  <c r="C14" i="21"/>
  <c r="C15" i="21" s="1"/>
  <c r="D14" i="21"/>
  <c r="E14" i="21"/>
  <c r="F14" i="21"/>
  <c r="F15" i="21" s="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14" i="21"/>
  <c r="B15" i="21" s="1"/>
  <c r="F16" i="20"/>
  <c r="F13" i="20"/>
  <c r="E16" i="20"/>
  <c r="E13" i="20"/>
  <c r="D16" i="20"/>
  <c r="D13" i="20"/>
  <c r="C16" i="20"/>
  <c r="B16" i="20"/>
  <c r="C13" i="20"/>
  <c r="B13" i="20"/>
  <c r="C15" i="20"/>
  <c r="B15" i="20"/>
  <c r="C12" i="20"/>
  <c r="B12" i="20"/>
  <c r="F14" i="19"/>
  <c r="E14" i="19"/>
  <c r="C14" i="19"/>
  <c r="D14" i="19"/>
  <c r="B14" i="19"/>
  <c r="C13" i="19"/>
  <c r="D13" i="19"/>
  <c r="B13" i="19"/>
  <c r="F22" i="18"/>
  <c r="C21" i="18"/>
  <c r="C22" i="18" s="1"/>
  <c r="D21" i="18"/>
  <c r="D22" i="18" s="1"/>
  <c r="B21" i="18"/>
  <c r="B22" i="18" s="1"/>
  <c r="C20" i="18"/>
  <c r="D20" i="18"/>
  <c r="H13" i="18"/>
  <c r="F19" i="18"/>
  <c r="F16" i="18"/>
  <c r="C18" i="18"/>
  <c r="C19" i="18" s="1"/>
  <c r="D18" i="18"/>
  <c r="D19" i="18" s="1"/>
  <c r="B18" i="18"/>
  <c r="B19" i="18" s="1"/>
  <c r="C15" i="18"/>
  <c r="C16" i="18" s="1"/>
  <c r="D15" i="18"/>
  <c r="D16" i="18" s="1"/>
  <c r="B15" i="18"/>
  <c r="B16" i="18" s="1"/>
  <c r="G30" i="17"/>
  <c r="D29" i="17"/>
  <c r="E29" i="17"/>
  <c r="E30" i="17" s="1"/>
  <c r="C29" i="17"/>
  <c r="D24" i="17"/>
  <c r="E24" i="17"/>
  <c r="E25" i="17" s="1"/>
  <c r="C24" i="17"/>
  <c r="C25" i="17" s="1"/>
  <c r="C30" i="17"/>
  <c r="D30" i="17"/>
  <c r="G25" i="17"/>
  <c r="D25" i="17"/>
  <c r="G19" i="17"/>
  <c r="G14" i="17"/>
  <c r="F14" i="17"/>
  <c r="E14" i="17"/>
  <c r="D18" i="17"/>
  <c r="E18" i="17"/>
  <c r="E19" i="17" s="1"/>
  <c r="C18" i="17"/>
  <c r="D13" i="17"/>
  <c r="E13" i="17"/>
  <c r="C13" i="17"/>
  <c r="C19" i="17"/>
  <c r="D19" i="17"/>
  <c r="D14" i="17"/>
  <c r="C14" i="17"/>
  <c r="H12" i="16"/>
  <c r="H17" i="16"/>
  <c r="G17" i="16"/>
  <c r="G12" i="16"/>
  <c r="F17" i="16"/>
  <c r="F12" i="16"/>
  <c r="D17" i="16"/>
  <c r="E17" i="16"/>
  <c r="C17" i="16"/>
  <c r="D12" i="16"/>
  <c r="E12" i="16"/>
  <c r="C12" i="16"/>
  <c r="D16" i="16"/>
  <c r="E16" i="16"/>
  <c r="C16" i="16"/>
  <c r="D11" i="16"/>
  <c r="E11" i="16"/>
  <c r="C11" i="16"/>
  <c r="B19" i="15"/>
  <c r="C20" i="15"/>
  <c r="D20" i="15"/>
  <c r="E20" i="15"/>
  <c r="F20" i="15"/>
  <c r="G20" i="15"/>
  <c r="B20" i="15"/>
  <c r="D21" i="15"/>
  <c r="E21" i="15"/>
  <c r="F21" i="15"/>
  <c r="G21" i="15"/>
  <c r="C21" i="15"/>
  <c r="C17" i="15"/>
  <c r="C18" i="15" s="1"/>
  <c r="D17" i="15"/>
  <c r="D18" i="15" s="1"/>
  <c r="E17" i="15"/>
  <c r="E18" i="15" s="1"/>
  <c r="F17" i="15"/>
  <c r="F18" i="15" s="1"/>
  <c r="G17" i="15"/>
  <c r="G18" i="15" s="1"/>
  <c r="B17" i="15"/>
  <c r="B18" i="15" s="1"/>
  <c r="F19" i="14"/>
  <c r="C25" i="14"/>
  <c r="C26" i="14" s="1"/>
  <c r="D25" i="14"/>
  <c r="D26" i="14" s="1"/>
  <c r="B25" i="14"/>
  <c r="B26" i="14" s="1"/>
  <c r="C19" i="14"/>
  <c r="C20" i="14" s="1"/>
  <c r="D19" i="14"/>
  <c r="D20" i="14" s="1"/>
  <c r="B19" i="14"/>
  <c r="B20" i="14" s="1"/>
  <c r="C13" i="14"/>
  <c r="C14" i="14" s="1"/>
  <c r="D13" i="14"/>
  <c r="D14" i="14" s="1"/>
  <c r="B13" i="14"/>
  <c r="B14" i="14" s="1"/>
  <c r="Q31" i="13"/>
  <c r="P31" i="13"/>
  <c r="O31" i="13"/>
  <c r="P26" i="13"/>
  <c r="O26" i="13"/>
  <c r="R26" i="13" s="1"/>
  <c r="P21" i="13"/>
  <c r="O21" i="13"/>
  <c r="R21" i="13" s="1"/>
  <c r="J31" i="13"/>
  <c r="I31" i="13"/>
  <c r="L31" i="13" s="1"/>
  <c r="L26" i="13"/>
  <c r="J26" i="13"/>
  <c r="I26" i="13"/>
  <c r="I21" i="13"/>
  <c r="E31" i="13"/>
  <c r="D31" i="13"/>
  <c r="C31" i="13"/>
  <c r="E26" i="13"/>
  <c r="D26" i="13"/>
  <c r="C26" i="13"/>
  <c r="F21" i="13"/>
  <c r="D21" i="13"/>
  <c r="E21" i="13"/>
  <c r="C21" i="13"/>
  <c r="H17" i="12"/>
  <c r="H14" i="12"/>
  <c r="H11" i="12"/>
  <c r="E16" i="12"/>
  <c r="E17" i="12" s="1"/>
  <c r="D16" i="12"/>
  <c r="D17" i="12" s="1"/>
  <c r="C16" i="12"/>
  <c r="C17" i="12" s="1"/>
  <c r="E13" i="12"/>
  <c r="E14" i="12" s="1"/>
  <c r="D13" i="12"/>
  <c r="D14" i="12" s="1"/>
  <c r="C13" i="12"/>
  <c r="C14" i="12" s="1"/>
  <c r="D10" i="12"/>
  <c r="D11" i="12" s="1"/>
  <c r="E10" i="12"/>
  <c r="E11" i="12" s="1"/>
  <c r="C10" i="12"/>
  <c r="C11" i="12" s="1"/>
  <c r="J19" i="11"/>
  <c r="J20" i="11" s="1"/>
  <c r="I19" i="11"/>
  <c r="I20" i="11" s="1"/>
  <c r="H19" i="11"/>
  <c r="H20" i="11" s="1"/>
  <c r="J16" i="11"/>
  <c r="I16" i="11"/>
  <c r="H16" i="11"/>
  <c r="H17" i="11" s="1"/>
  <c r="I13" i="11"/>
  <c r="I14" i="11" s="1"/>
  <c r="J13" i="11"/>
  <c r="J14" i="11" s="1"/>
  <c r="H13" i="11"/>
  <c r="H14" i="11" s="1"/>
  <c r="J17" i="11"/>
  <c r="I17" i="11"/>
  <c r="D19" i="11"/>
  <c r="D20" i="11" s="1"/>
  <c r="C19" i="11"/>
  <c r="C20" i="11" s="1"/>
  <c r="B19" i="11"/>
  <c r="B20" i="11" s="1"/>
  <c r="D17" i="11"/>
  <c r="D16" i="11"/>
  <c r="C16" i="11"/>
  <c r="C17" i="11" s="1"/>
  <c r="B16" i="11"/>
  <c r="B17" i="11" s="1"/>
  <c r="C14" i="11"/>
  <c r="D13" i="11"/>
  <c r="D14" i="11" s="1"/>
  <c r="C13" i="11"/>
  <c r="B13" i="11"/>
  <c r="B14" i="11" s="1"/>
  <c r="C16" i="10"/>
  <c r="C17" i="10" s="1"/>
  <c r="D19" i="10"/>
  <c r="D20" i="10" s="1"/>
  <c r="C19" i="10"/>
  <c r="C20" i="10" s="1"/>
  <c r="B19" i="10"/>
  <c r="B20" i="10" s="1"/>
  <c r="D16" i="10"/>
  <c r="D17" i="10" s="1"/>
  <c r="B16" i="10"/>
  <c r="B17" i="10" s="1"/>
  <c r="C13" i="10"/>
  <c r="C14" i="10" s="1"/>
  <c r="D13" i="10"/>
  <c r="D14" i="10" s="1"/>
  <c r="B13" i="10"/>
  <c r="B14" i="10" s="1"/>
  <c r="C13" i="9"/>
  <c r="D12" i="9"/>
  <c r="E12" i="9"/>
  <c r="F12" i="9"/>
  <c r="C12" i="9"/>
  <c r="D11" i="9"/>
  <c r="E11" i="9"/>
  <c r="F11" i="9"/>
  <c r="C11" i="9"/>
  <c r="C10" i="9"/>
  <c r="I22" i="8"/>
  <c r="I19" i="8"/>
  <c r="I16" i="8"/>
  <c r="F21" i="8"/>
  <c r="F22" i="8" s="1"/>
  <c r="E21" i="8"/>
  <c r="E22" i="8" s="1"/>
  <c r="D21" i="8"/>
  <c r="D22" i="8" s="1"/>
  <c r="C21" i="8"/>
  <c r="C22" i="8" s="1"/>
  <c r="C17" i="8"/>
  <c r="D18" i="8"/>
  <c r="D19" i="8" s="1"/>
  <c r="E18" i="8"/>
  <c r="E19" i="8" s="1"/>
  <c r="F18" i="8"/>
  <c r="F19" i="8" s="1"/>
  <c r="C18" i="8"/>
  <c r="C19" i="8" s="1"/>
  <c r="D15" i="8"/>
  <c r="D16" i="8" s="1"/>
  <c r="E15" i="8"/>
  <c r="E16" i="8" s="1"/>
  <c r="F15" i="8"/>
  <c r="F16" i="8" s="1"/>
  <c r="C15" i="8"/>
  <c r="C16" i="8" s="1"/>
  <c r="F11" i="7"/>
  <c r="F12" i="7" s="1"/>
  <c r="E11" i="7"/>
  <c r="E12" i="7" s="1"/>
  <c r="D11" i="7"/>
  <c r="D12" i="7" s="1"/>
  <c r="C11" i="7"/>
  <c r="C12" i="7" s="1"/>
  <c r="D11" i="6"/>
  <c r="D12" i="6" s="1"/>
  <c r="E11" i="6"/>
  <c r="E12" i="6" s="1"/>
  <c r="F11" i="6"/>
  <c r="F12" i="6" s="1"/>
  <c r="C12" i="6"/>
  <c r="E30" i="5"/>
  <c r="D30" i="5"/>
  <c r="C30" i="5"/>
  <c r="E27" i="5"/>
  <c r="D27" i="5"/>
  <c r="C27" i="5"/>
  <c r="C24" i="5"/>
  <c r="E24" i="5"/>
  <c r="D24" i="5"/>
  <c r="H19" i="5"/>
  <c r="H20" i="5" s="1"/>
  <c r="G19" i="5"/>
  <c r="G20" i="5" s="1"/>
  <c r="F19" i="5"/>
  <c r="F20" i="5" s="1"/>
  <c r="E19" i="5"/>
  <c r="E20" i="5" s="1"/>
  <c r="D19" i="5"/>
  <c r="D20" i="5" s="1"/>
  <c r="C19" i="5"/>
  <c r="C20" i="5" s="1"/>
  <c r="G17" i="5"/>
  <c r="H16" i="5"/>
  <c r="H17" i="5" s="1"/>
  <c r="G16" i="5"/>
  <c r="F16" i="5"/>
  <c r="F17" i="5" s="1"/>
  <c r="E16" i="5"/>
  <c r="E17" i="5" s="1"/>
  <c r="D16" i="5"/>
  <c r="D17" i="5" s="1"/>
  <c r="C16" i="5"/>
  <c r="C17" i="5" s="1"/>
  <c r="H14" i="5"/>
  <c r="G14" i="5"/>
  <c r="H13" i="5"/>
  <c r="G13" i="5"/>
  <c r="F13" i="5"/>
  <c r="F14" i="5" s="1"/>
  <c r="E13" i="5"/>
  <c r="E14" i="5" s="1"/>
  <c r="D13" i="5"/>
  <c r="D14" i="5" s="1"/>
  <c r="C13" i="5"/>
  <c r="C14" i="5" s="1"/>
  <c r="D20" i="4"/>
  <c r="H19" i="4"/>
  <c r="H20" i="4" s="1"/>
  <c r="G19" i="4"/>
  <c r="G20" i="4" s="1"/>
  <c r="F19" i="4"/>
  <c r="F20" i="4" s="1"/>
  <c r="E19" i="4"/>
  <c r="E20" i="4" s="1"/>
  <c r="D19" i="4"/>
  <c r="C19" i="4"/>
  <c r="C20" i="4" s="1"/>
  <c r="E17" i="4"/>
  <c r="H16" i="4"/>
  <c r="H17" i="4" s="1"/>
  <c r="G16" i="4"/>
  <c r="G17" i="4" s="1"/>
  <c r="F16" i="4"/>
  <c r="F17" i="4" s="1"/>
  <c r="E16" i="4"/>
  <c r="D16" i="4"/>
  <c r="D17" i="4" s="1"/>
  <c r="C16" i="4"/>
  <c r="C17" i="4" s="1"/>
  <c r="F14" i="4"/>
  <c r="C14" i="4"/>
  <c r="H13" i="4"/>
  <c r="H14" i="4" s="1"/>
  <c r="G13" i="4"/>
  <c r="G14" i="4" s="1"/>
  <c r="F13" i="4"/>
  <c r="E13" i="4"/>
  <c r="E14" i="4" s="1"/>
  <c r="D13" i="4"/>
  <c r="D14" i="4" s="1"/>
  <c r="C13" i="4"/>
  <c r="E26" i="3"/>
  <c r="F26" i="3"/>
  <c r="G26" i="3" s="1"/>
  <c r="H26" i="3" s="1"/>
  <c r="D26" i="3"/>
  <c r="C26" i="3"/>
  <c r="E25" i="3"/>
  <c r="F25" i="3" s="1"/>
  <c r="G25" i="3" s="1"/>
  <c r="H25" i="3" s="1"/>
  <c r="D25" i="3"/>
  <c r="C25" i="3"/>
  <c r="E21" i="3"/>
  <c r="F21" i="3" s="1"/>
  <c r="G21" i="3" s="1"/>
  <c r="H21" i="3" s="1"/>
  <c r="D21" i="3"/>
  <c r="C21" i="3"/>
  <c r="E20" i="3"/>
  <c r="F20" i="3"/>
  <c r="G20" i="3" s="1"/>
  <c r="H20" i="3" s="1"/>
  <c r="D20" i="3"/>
  <c r="C20" i="3"/>
  <c r="E16" i="3"/>
  <c r="F16" i="3"/>
  <c r="G16" i="3" s="1"/>
  <c r="H16" i="3" s="1"/>
  <c r="D16" i="3"/>
  <c r="C16" i="3"/>
  <c r="F15" i="3"/>
  <c r="G15" i="3" s="1"/>
  <c r="H15" i="3" s="1"/>
  <c r="C15" i="3"/>
  <c r="H23" i="3"/>
  <c r="H24" i="3" s="1"/>
  <c r="G23" i="3"/>
  <c r="G24" i="3" s="1"/>
  <c r="F23" i="3"/>
  <c r="F24" i="3" s="1"/>
  <c r="E23" i="3"/>
  <c r="E24" i="3" s="1"/>
  <c r="D23" i="3"/>
  <c r="D24" i="3" s="1"/>
  <c r="C23" i="3"/>
  <c r="C24" i="3" s="1"/>
  <c r="H18" i="3"/>
  <c r="H19" i="3" s="1"/>
  <c r="G18" i="3"/>
  <c r="G19" i="3" s="1"/>
  <c r="F18" i="3"/>
  <c r="F19" i="3" s="1"/>
  <c r="E18" i="3"/>
  <c r="E19" i="3" s="1"/>
  <c r="D18" i="3"/>
  <c r="D19" i="3" s="1"/>
  <c r="C18" i="3"/>
  <c r="C19" i="3" s="1"/>
  <c r="H13" i="3"/>
  <c r="H14" i="3" s="1"/>
  <c r="G13" i="3"/>
  <c r="G14" i="3" s="1"/>
  <c r="F13" i="3"/>
  <c r="F14" i="3" s="1"/>
  <c r="E13" i="3"/>
  <c r="E14" i="3" s="1"/>
  <c r="D13" i="3"/>
  <c r="D14" i="3" s="1"/>
  <c r="C13" i="3"/>
  <c r="C14" i="3" s="1"/>
  <c r="H19" i="2"/>
  <c r="H20" i="2" s="1"/>
  <c r="G19" i="2"/>
  <c r="G20" i="2" s="1"/>
  <c r="F19" i="2"/>
  <c r="F20" i="2" s="1"/>
  <c r="E19" i="2"/>
  <c r="E20" i="2" s="1"/>
  <c r="D19" i="2"/>
  <c r="D20" i="2" s="1"/>
  <c r="C19" i="2"/>
  <c r="C20" i="2" s="1"/>
  <c r="D17" i="2"/>
  <c r="H16" i="2"/>
  <c r="H17" i="2" s="1"/>
  <c r="G16" i="2"/>
  <c r="G17" i="2" s="1"/>
  <c r="F16" i="2"/>
  <c r="F17" i="2" s="1"/>
  <c r="E16" i="2"/>
  <c r="E17" i="2" s="1"/>
  <c r="D16" i="2"/>
  <c r="C16" i="2"/>
  <c r="C17" i="2" s="1"/>
  <c r="H13" i="2"/>
  <c r="H14" i="2" s="1"/>
  <c r="G13" i="2"/>
  <c r="G14" i="2" s="1"/>
  <c r="F13" i="2"/>
  <c r="F14" i="2" s="1"/>
  <c r="E13" i="2"/>
  <c r="E14" i="2" s="1"/>
  <c r="D13" i="2"/>
  <c r="D14" i="2" s="1"/>
  <c r="C13" i="2"/>
  <c r="C14" i="2" s="1"/>
  <c r="I20" i="1"/>
  <c r="H20" i="1"/>
  <c r="D20" i="1"/>
  <c r="E20" i="1"/>
  <c r="F20" i="1"/>
  <c r="G20" i="1"/>
  <c r="C20" i="1"/>
  <c r="H19" i="1"/>
  <c r="G19" i="1"/>
  <c r="F19" i="1"/>
  <c r="E19" i="1"/>
  <c r="D19" i="1"/>
  <c r="C19" i="1"/>
  <c r="I17" i="1"/>
  <c r="D17" i="1"/>
  <c r="E17" i="1"/>
  <c r="F17" i="1"/>
  <c r="G17" i="1"/>
  <c r="H17" i="1"/>
  <c r="C17" i="1"/>
  <c r="D16" i="1"/>
  <c r="E16" i="1"/>
  <c r="F16" i="1"/>
  <c r="G16" i="1"/>
  <c r="H16" i="1"/>
  <c r="C16" i="1"/>
  <c r="I14" i="1"/>
  <c r="D14" i="1"/>
  <c r="E14" i="1"/>
  <c r="F14" i="1"/>
  <c r="G14" i="1"/>
  <c r="C14" i="1"/>
  <c r="D13" i="1"/>
  <c r="E13" i="1"/>
  <c r="F13" i="1"/>
  <c r="G13" i="1"/>
  <c r="H13" i="1"/>
  <c r="C13" i="1"/>
  <c r="E35" i="22" l="1"/>
  <c r="D37" i="22"/>
  <c r="D18" i="21"/>
  <c r="J25" i="21"/>
  <c r="K23" i="21"/>
  <c r="R31" i="13"/>
  <c r="G14" i="23"/>
  <c r="F15" i="23"/>
  <c r="K31" i="21"/>
  <c r="H18" i="15"/>
  <c r="J18" i="15" s="1"/>
  <c r="N33" i="15"/>
  <c r="AD33" i="15"/>
  <c r="V33" i="15"/>
  <c r="C33" i="15"/>
  <c r="AB33" i="15"/>
  <c r="T33" i="15"/>
  <c r="L33" i="15"/>
  <c r="F33" i="15"/>
  <c r="AA33" i="15"/>
  <c r="S33" i="15"/>
  <c r="J33" i="15"/>
  <c r="I33" i="15"/>
  <c r="Y33" i="15"/>
  <c r="Q33" i="15"/>
  <c r="AE33" i="15"/>
  <c r="W33" i="15"/>
  <c r="O33" i="15"/>
  <c r="Z33" i="15"/>
  <c r="R33" i="15"/>
  <c r="X33" i="15"/>
  <c r="P33" i="15"/>
  <c r="H33" i="15"/>
  <c r="H26" i="15"/>
  <c r="H28" i="15"/>
  <c r="E19" i="24"/>
  <c r="B30" i="22"/>
  <c r="H30" i="22" s="1"/>
  <c r="H26" i="22"/>
  <c r="N31" i="21"/>
  <c r="L31" i="21"/>
  <c r="M31" i="21"/>
  <c r="O31" i="21"/>
  <c r="J31" i="21"/>
  <c r="G15" i="21"/>
  <c r="E22" i="18"/>
  <c r="E16" i="18"/>
  <c r="G16" i="18" s="1"/>
  <c r="E19" i="18"/>
  <c r="G19" i="18" s="1"/>
  <c r="F25" i="17"/>
  <c r="H25" i="17" s="1"/>
  <c r="F30" i="17"/>
  <c r="H30" i="17" s="1"/>
  <c r="H14" i="17"/>
  <c r="F19" i="17"/>
  <c r="H19" i="17" s="1"/>
  <c r="B21" i="15"/>
  <c r="H21" i="15" s="1"/>
  <c r="J21" i="15" s="1"/>
  <c r="E26" i="14"/>
  <c r="E20" i="14"/>
  <c r="E14" i="14"/>
  <c r="L21" i="13"/>
  <c r="F31" i="13"/>
  <c r="F26" i="13"/>
  <c r="F14" i="12"/>
  <c r="F17" i="12"/>
  <c r="F11" i="12"/>
  <c r="K17" i="11"/>
  <c r="K20" i="11"/>
  <c r="K14" i="11"/>
  <c r="E14" i="11"/>
  <c r="E20" i="11"/>
  <c r="E17" i="11"/>
  <c r="E20" i="10"/>
  <c r="E14" i="10"/>
  <c r="E17" i="10"/>
  <c r="G19" i="8"/>
  <c r="G16" i="8"/>
  <c r="G22" i="8"/>
  <c r="G12" i="7"/>
  <c r="G12" i="6"/>
  <c r="I20" i="5"/>
  <c r="I17" i="5"/>
  <c r="I14" i="5"/>
  <c r="I20" i="4"/>
  <c r="I17" i="4"/>
  <c r="I14" i="4"/>
  <c r="I19" i="3"/>
  <c r="I14" i="3"/>
  <c r="I24" i="3"/>
  <c r="I20" i="2"/>
  <c r="I14" i="2"/>
  <c r="I17" i="2"/>
  <c r="F35" i="22" l="1"/>
  <c r="F37" i="22" s="1"/>
  <c r="E37" i="22"/>
  <c r="L23" i="21"/>
  <c r="K25" i="21"/>
  <c r="H14" i="23"/>
  <c r="G15" i="23"/>
  <c r="E18" i="21"/>
  <c r="E20" i="24"/>
  <c r="E21" i="24" s="1"/>
  <c r="F19" i="24"/>
  <c r="P31" i="21"/>
  <c r="H15" i="21"/>
  <c r="M23" i="21" l="1"/>
  <c r="L25" i="21"/>
  <c r="I14" i="23"/>
  <c r="H15" i="23"/>
  <c r="F18" i="21"/>
  <c r="G19" i="24"/>
  <c r="G20" i="24" s="1"/>
  <c r="G21" i="24" s="1"/>
  <c r="F20" i="24"/>
  <c r="F21" i="24" s="1"/>
  <c r="H37" i="22"/>
  <c r="Q31" i="21"/>
  <c r="I15" i="21"/>
  <c r="M25" i="21" l="1"/>
  <c r="J14" i="23"/>
  <c r="I15" i="23"/>
  <c r="G18" i="21"/>
  <c r="R31" i="21"/>
  <c r="J15" i="21"/>
  <c r="N25" i="21" l="1"/>
  <c r="K14" i="23"/>
  <c r="J15" i="23"/>
  <c r="H18" i="21"/>
  <c r="S31" i="21"/>
  <c r="K15" i="21"/>
  <c r="O25" i="21" l="1"/>
  <c r="L14" i="23"/>
  <c r="K15" i="23"/>
  <c r="I18" i="21"/>
  <c r="T31" i="21"/>
  <c r="L15" i="21"/>
  <c r="P25" i="21" l="1"/>
  <c r="M14" i="23"/>
  <c r="L15" i="23"/>
  <c r="J18" i="21"/>
  <c r="U31" i="21"/>
  <c r="M15" i="21"/>
  <c r="Q25" i="21" l="1"/>
  <c r="N14" i="23"/>
  <c r="M15" i="23"/>
  <c r="K18" i="21"/>
  <c r="V31" i="21"/>
  <c r="N15" i="21"/>
  <c r="R25" i="21" l="1"/>
  <c r="O14" i="23"/>
  <c r="N15" i="23"/>
  <c r="L18" i="21"/>
  <c r="W31" i="21"/>
  <c r="O15" i="21"/>
  <c r="S25" i="21" l="1"/>
  <c r="P14" i="23"/>
  <c r="O15" i="23"/>
  <c r="M18" i="21"/>
  <c r="X31" i="21"/>
  <c r="P15" i="21"/>
  <c r="T25" i="21" l="1"/>
  <c r="Q14" i="23"/>
  <c r="P15" i="23"/>
  <c r="N18" i="21"/>
  <c r="Y31" i="21"/>
  <c r="Q15" i="21"/>
  <c r="U25" i="21" l="1"/>
  <c r="R14" i="23"/>
  <c r="Q15" i="23"/>
  <c r="O18" i="21"/>
  <c r="Z31" i="21"/>
  <c r="R15" i="21"/>
  <c r="V25" i="21" l="1"/>
  <c r="S14" i="23"/>
  <c r="R15" i="23"/>
  <c r="P18" i="21"/>
  <c r="AA31" i="21"/>
  <c r="S15" i="21"/>
  <c r="W25" i="21" l="1"/>
  <c r="T14" i="23"/>
  <c r="S15" i="23"/>
  <c r="Q18" i="21"/>
  <c r="AB31" i="21"/>
  <c r="T15" i="21"/>
  <c r="X25" i="21" l="1"/>
  <c r="U14" i="23"/>
  <c r="T15" i="23"/>
  <c r="R18" i="21"/>
  <c r="AC31" i="21"/>
  <c r="U15" i="21"/>
  <c r="Y25" i="21" l="1"/>
  <c r="V14" i="23"/>
  <c r="U15" i="23"/>
  <c r="S18" i="21"/>
  <c r="AD31" i="21"/>
  <c r="V15" i="21"/>
  <c r="Z25" i="21" l="1"/>
  <c r="W14" i="23"/>
  <c r="V15" i="23"/>
  <c r="T18" i="21"/>
  <c r="AE31" i="21"/>
  <c r="W15" i="21"/>
  <c r="AA25" i="21" l="1"/>
  <c r="X14" i="23"/>
  <c r="W15" i="23"/>
  <c r="U18" i="21"/>
  <c r="AF31" i="21"/>
  <c r="X15" i="21"/>
  <c r="AB25" i="21" l="1"/>
  <c r="Y14" i="23"/>
  <c r="X15" i="23"/>
  <c r="V18" i="21"/>
  <c r="AG31" i="21"/>
  <c r="Y15" i="21"/>
  <c r="AC25" i="21" l="1"/>
  <c r="Z14" i="23"/>
  <c r="Y15" i="23"/>
  <c r="W18" i="21"/>
  <c r="AH31" i="21"/>
  <c r="Z15" i="21"/>
  <c r="AD25" i="21" l="1"/>
  <c r="AA14" i="23"/>
  <c r="Z15" i="23"/>
  <c r="X18" i="21"/>
  <c r="AI31" i="21"/>
  <c r="AA15" i="21"/>
  <c r="AE25" i="21" l="1"/>
  <c r="AB14" i="23"/>
  <c r="AA15" i="23"/>
  <c r="Y18" i="21"/>
  <c r="AJ31" i="21"/>
  <c r="AB15" i="21"/>
  <c r="AF25" i="21" l="1"/>
  <c r="AC14" i="23"/>
  <c r="AB15" i="23"/>
  <c r="Z18" i="21"/>
  <c r="AK31" i="21"/>
  <c r="AC15" i="21"/>
  <c r="AG25" i="21" l="1"/>
  <c r="AD14" i="23"/>
  <c r="AC15" i="23"/>
  <c r="AA18" i="21"/>
  <c r="AL31" i="21"/>
  <c r="AD15" i="21"/>
  <c r="AH25" i="21" l="1"/>
  <c r="AE14" i="23"/>
  <c r="AD15" i="23"/>
  <c r="AB18" i="21"/>
  <c r="AM31" i="21"/>
  <c r="AE15" i="21"/>
  <c r="AI25" i="21" l="1"/>
  <c r="AF14" i="23"/>
  <c r="AE15" i="23"/>
  <c r="AC18" i="21"/>
  <c r="AN31" i="21"/>
  <c r="AF15" i="21"/>
  <c r="AJ25" i="21" l="1"/>
  <c r="AG14" i="23"/>
  <c r="AG15" i="23" s="1"/>
  <c r="AG16" i="23" s="1"/>
  <c r="AF15" i="23"/>
  <c r="AD18" i="21"/>
  <c r="AO31" i="21"/>
  <c r="AG15" i="21"/>
  <c r="AK25" i="21" l="1"/>
  <c r="AE18" i="21"/>
  <c r="AP31" i="21"/>
  <c r="AH15" i="21"/>
  <c r="AL25" i="21" l="1"/>
  <c r="AF18" i="21"/>
  <c r="AQ31" i="21"/>
  <c r="AI15" i="21"/>
  <c r="AM25" i="21" l="1"/>
  <c r="AG18" i="21"/>
  <c r="AR31" i="21"/>
  <c r="AJ15" i="21"/>
  <c r="AN25" i="21" l="1"/>
  <c r="AH18" i="21"/>
  <c r="AS31" i="21"/>
  <c r="AK15" i="21"/>
  <c r="AO25" i="21" l="1"/>
  <c r="AI18" i="21"/>
  <c r="AT31" i="21"/>
  <c r="AL15" i="21"/>
  <c r="AP25" i="21" l="1"/>
  <c r="AJ18" i="21"/>
  <c r="AU31" i="21"/>
  <c r="AM15" i="21"/>
  <c r="AQ25" i="21" l="1"/>
  <c r="AK18" i="21"/>
  <c r="AV31" i="21"/>
  <c r="AN15" i="21"/>
  <c r="AR25" i="21" l="1"/>
  <c r="AL18" i="21"/>
  <c r="AW31" i="21"/>
  <c r="AO15" i="21"/>
  <c r="AS25" i="21" l="1"/>
  <c r="AM18" i="21"/>
  <c r="AX31" i="21"/>
  <c r="AP15" i="21"/>
  <c r="AT25" i="21" l="1"/>
  <c r="AN18" i="21"/>
  <c r="AY31" i="21"/>
  <c r="AQ15" i="21"/>
  <c r="AU25" i="21" l="1"/>
  <c r="AO18" i="21"/>
  <c r="AZ31" i="21"/>
  <c r="BA31" i="21" s="1"/>
  <c r="BC31" i="21" s="1"/>
  <c r="AR15" i="21"/>
  <c r="AV25" i="21" l="1"/>
  <c r="AP18" i="21"/>
  <c r="AS15" i="21"/>
  <c r="AW25" i="21" l="1"/>
  <c r="AQ18" i="21"/>
  <c r="AT15" i="21"/>
  <c r="AX25" i="21" l="1"/>
  <c r="AR18" i="21"/>
  <c r="AU15" i="21"/>
  <c r="AZ25" i="21" l="1"/>
  <c r="AY25" i="21"/>
  <c r="AS18" i="21"/>
  <c r="AV15" i="21"/>
  <c r="AT18" i="21" l="1"/>
  <c r="AW15" i="21"/>
  <c r="AU18" i="21" l="1"/>
  <c r="AX15" i="21"/>
  <c r="AV18" i="21" l="1"/>
  <c r="AY15" i="21"/>
  <c r="AZ15" i="21"/>
  <c r="BA15" i="21" s="1"/>
  <c r="BC15" i="21" s="1"/>
  <c r="AW18" i="21" l="1"/>
  <c r="AX18" i="21" l="1"/>
  <c r="AY18" i="21" l="1"/>
  <c r="BA25" i="21"/>
  <c r="AZ18" i="21" l="1"/>
  <c r="BA18" i="21" s="1"/>
  <c r="BC18" i="21" s="1"/>
</calcChain>
</file>

<file path=xl/sharedStrings.xml><?xml version="1.0" encoding="utf-8"?>
<sst xmlns="http://schemas.openxmlformats.org/spreadsheetml/2006/main" count="458" uniqueCount="139">
  <si>
    <t>Flujo</t>
  </si>
  <si>
    <t>A</t>
  </si>
  <si>
    <t>tasa</t>
  </si>
  <si>
    <t>VPN</t>
  </si>
  <si>
    <t>B</t>
  </si>
  <si>
    <t>C</t>
  </si>
  <si>
    <t>TIR</t>
  </si>
  <si>
    <t>PR (neto)</t>
  </si>
  <si>
    <t>PR (desc)</t>
  </si>
  <si>
    <t>4y5</t>
  </si>
  <si>
    <t>3 y 4</t>
  </si>
  <si>
    <t>no hay</t>
  </si>
  <si>
    <t>4 y 5</t>
  </si>
  <si>
    <t>flujo</t>
  </si>
  <si>
    <t>a medida que r es más pequeña, el denominador del VP es más cercano a 1, lo que hace que</t>
  </si>
  <si>
    <t>mientras más cerca sea el denom de 1, más grande es el valor del VPN</t>
  </si>
  <si>
    <t>Periodo</t>
  </si>
  <si>
    <t>asumo</t>
  </si>
  <si>
    <t>flujo desc</t>
  </si>
  <si>
    <t>me pide vpn</t>
  </si>
  <si>
    <t>periodo</t>
  </si>
  <si>
    <t>f desc</t>
  </si>
  <si>
    <t>VPN/inv</t>
  </si>
  <si>
    <t>la A es la mejor opción, ya que gano 25% más de lo que invertí (el mayor porcentaje), y tiene el TIR más alto</t>
  </si>
  <si>
    <t>supongo que es el valor del incremento entre el flujo A respecto al B</t>
  </si>
  <si>
    <t>dif</t>
  </si>
  <si>
    <t>flujo neto</t>
  </si>
  <si>
    <t>VPN/Inv</t>
  </si>
  <si>
    <t>que significa VPN inv?</t>
  </si>
  <si>
    <t>en todas se invierte lo mismo, pero la B genera 78% de q se invierte</t>
  </si>
  <si>
    <t>contra 41% y 65%. Aunque el crecimiento de la C es 5% más grande que el de la B,</t>
  </si>
  <si>
    <t>la B da 13% más de lo que se invierte que la C.</t>
  </si>
  <si>
    <t>a)</t>
  </si>
  <si>
    <t>b)</t>
  </si>
  <si>
    <t>c)</t>
  </si>
  <si>
    <t>en el primer caso, como la r va en aumento y aparte mientras más lejano más se descuenta en el VP,</t>
  </si>
  <si>
    <t>el VPN se ve afectado y se va a -vos. Como en el otro caso la r disminuye conforme avanza el tiempo, el descuento no crece tanto al elevar un numero menor a mayores potencias, entonces la VPN no va tan abajo.</t>
  </si>
  <si>
    <t>desc</t>
  </si>
  <si>
    <t>VPN/i</t>
  </si>
  <si>
    <t>conviene la barata, pq invierto x y me regresa 4.05 veces x, con TIR 131% (mayor a 41% de la más cara)</t>
  </si>
  <si>
    <t>La opcion A (mayor TIR y mayor VPN/i)</t>
  </si>
  <si>
    <t>La opcion A, pq tienen la misma TIR peroA tiene mayor VPN</t>
  </si>
  <si>
    <t>La opción B, pq tienen la misma TIR, pero B tiene VPN &gt;0</t>
  </si>
  <si>
    <t>De las 4, la mejor es A con 5%, ya q las 4 tienen la misma TIR (pq son los mismos flujos), pero A con 5% saca el mayor VPN de todas</t>
  </si>
  <si>
    <t>duda: con los mismos flujos siempre sale la misma TIR indep de las tasas?</t>
  </si>
  <si>
    <t>La A, ya que invierto 85% de lo que se requiere en B, pero tengo casi el mismo VPN y TIR</t>
  </si>
  <si>
    <t>flujo rel</t>
  </si>
  <si>
    <t>o TIR menor a la expectativa pero mayor a 0: significa que los ingresos apenas cubren los egresos del proyecto y no se generan beneficios adicionales. o TIR menor a 0: significa que los ingresos no alcanzan a cubrir los egresos, por ende, el proyecto genera pérdidas.</t>
  </si>
  <si>
    <t>No hay crecimiento en la inversión (TIR 0%), los ingresos apenas cubrieron los egresos de la inversión</t>
  </si>
  <si>
    <t>es aceptable, ya que el VPN es +vo y además TIR es mucho mayor que el costo de op</t>
  </si>
  <si>
    <t>La A, ya que tiene mayor TIR y mayor ganancia respecto a lo que inviertes.</t>
  </si>
  <si>
    <t>tajo</t>
  </si>
  <si>
    <t>sub</t>
  </si>
  <si>
    <t>suponiendo anticipado</t>
  </si>
  <si>
    <t>si va aquí?</t>
  </si>
  <si>
    <t>reemplazar microbuses por 5 autobuses</t>
  </si>
  <si>
    <t>1 autobus = 2 microbuses</t>
  </si>
  <si>
    <t>5 autobuses = 10 microbuses tienen</t>
  </si>
  <si>
    <t xml:space="preserve">1 autobus </t>
  </si>
  <si>
    <t>5 años</t>
  </si>
  <si>
    <t>1 microbus</t>
  </si>
  <si>
    <t>Autobuses</t>
  </si>
  <si>
    <t>Microbuses</t>
  </si>
  <si>
    <t>(inf)</t>
  </si>
  <si>
    <t>no se deben adquirir los autobuses, ya que al ya tenerse no requiere inversión, haciendo que la TIR sea infinito, e incluso la VPN es mayor en el caso de seguir con microbuses</t>
  </si>
  <si>
    <t>i</t>
  </si>
  <si>
    <t>ganancia</t>
  </si>
  <si>
    <t>B (nada)</t>
  </si>
  <si>
    <t>duda: si vpn neg, tir tb neg?</t>
  </si>
  <si>
    <t>VPN / i</t>
  </si>
  <si>
    <t>inf neg</t>
  </si>
  <si>
    <t>conviene echarla a andar, ya que ambas opciones tienen VPN neg, pero si la echamos a andar se pierde menos dinero</t>
  </si>
  <si>
    <t>costo v</t>
  </si>
  <si>
    <t>costo f</t>
  </si>
  <si>
    <t>TN</t>
  </si>
  <si>
    <t>barata</t>
  </si>
  <si>
    <t>cara</t>
  </si>
  <si>
    <t>g</t>
  </si>
  <si>
    <t>VPN(cara)</t>
  </si>
  <si>
    <t>VPN(bara)</t>
  </si>
  <si>
    <t>inv</t>
  </si>
  <si>
    <t>el gasto es 0.5 más chico que la inv</t>
  </si>
  <si>
    <t>i cara</t>
  </si>
  <si>
    <t>g cara</t>
  </si>
  <si>
    <t>diff</t>
  </si>
  <si>
    <t>factor (g = i*factor)</t>
  </si>
  <si>
    <t>si la TIR es mayor q el costo de op, realmente importa cuánto?</t>
  </si>
  <si>
    <t>este</t>
  </si>
  <si>
    <t>entre mayor la r, menor el vpn</t>
  </si>
  <si>
    <t>combinas 2 inversiones sumando los flujos y la inversión, la c es mejor q la a + b (si tengo 11k meto la c o la a y b?)</t>
  </si>
  <si>
    <t>elijes con TIR</t>
  </si>
  <si>
    <t>B-A</t>
  </si>
  <si>
    <t>la tir no cambia</t>
  </si>
  <si>
    <t>cambia la tasa</t>
  </si>
  <si>
    <t>Jesus Rodriguez Franco</t>
  </si>
  <si>
    <t>1a ed</t>
  </si>
  <si>
    <t>Mate fin</t>
  </si>
  <si>
    <t>calcula la tir de la dif</t>
  </si>
  <si>
    <t>No se puede si -vo</t>
  </si>
  <si>
    <t>te esperas al año 6 para iniciar, pero tengo q comprar 1.6M para surtirle a mi jefe</t>
  </si>
  <si>
    <t>correcto</t>
  </si>
  <si>
    <t>no gana en 0</t>
  </si>
  <si>
    <t>los vendo en el 0</t>
  </si>
  <si>
    <t>años</t>
  </si>
  <si>
    <t>con curso</t>
  </si>
  <si>
    <t>t</t>
  </si>
  <si>
    <t>como si tuvieras 39 y solo haces 21 periodos</t>
  </si>
  <si>
    <t>sin curso</t>
  </si>
  <si>
    <t>no aquí pq no es un año sino un instante</t>
  </si>
  <si>
    <t>flujo con-sin y sacas TIR, porque el tomar el curso no me hace ganar 130, sino la resta con - sin</t>
  </si>
  <si>
    <t>noches/mes</t>
  </si>
  <si>
    <t>meses</t>
  </si>
  <si>
    <t>noche</t>
  </si>
  <si>
    <t>costo</t>
  </si>
  <si>
    <t>si no lo pongo aquí, en el banco me da 11%</t>
  </si>
  <si>
    <t>menos gasto de op (30%)</t>
  </si>
  <si>
    <t>si no hay inflación, la tir nominal (flujo neto) y la tir real (con inflación)</t>
  </si>
  <si>
    <t>1000 + VP - 333 en 5 años</t>
  </si>
  <si>
    <t>Siempre la cara involucra menos pérdida</t>
  </si>
  <si>
    <t>Sí conviene</t>
  </si>
  <si>
    <t>No, ya que la de tajo sin reemplazo es menor pérdida</t>
  </si>
  <si>
    <t>corr</t>
  </si>
  <si>
    <t>autobuses</t>
  </si>
  <si>
    <t>ahora, conviene los autobuses</t>
  </si>
  <si>
    <t>b)tomar el curso</t>
  </si>
  <si>
    <t>c)no tomar curso</t>
  </si>
  <si>
    <t>flujo (a-b)</t>
  </si>
  <si>
    <t>inversión</t>
  </si>
  <si>
    <t>unidades</t>
  </si>
  <si>
    <t>precio/u</t>
  </si>
  <si>
    <t>costo/u</t>
  </si>
  <si>
    <t>cost f</t>
  </si>
  <si>
    <t>inflación</t>
  </si>
  <si>
    <t>tR</t>
  </si>
  <si>
    <t>Ingreso</t>
  </si>
  <si>
    <t>costo tot</t>
  </si>
  <si>
    <t>TIR nom</t>
  </si>
  <si>
    <t>TIR real</t>
  </si>
  <si>
    <t>o flujo incr de la A con respecto 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</si>
</sst>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8">
    <xf numFmtId="0" fontId="0" fillId="0" borderId="0" xfId="0"/>
    <xf numFmtId="9" fontId="0" fillId="0" borderId="0" xfId="0" applyNumberFormat="1"/>
    <xf numFmtId="0" fontId="2" fillId="2" borderId="0" xfId="1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3" fillId="3" borderId="2" xfId="2" applyBorder="1"/>
    <xf numFmtId="0" fontId="2" fillId="2" borderId="3" xfId="1" applyBorder="1"/>
    <xf numFmtId="0" fontId="0" fillId="0" borderId="4" xfId="0" applyBorder="1"/>
    <xf numFmtId="0" fontId="0" fillId="0" borderId="5" xfId="0" applyBorder="1"/>
    <xf numFmtId="0" fontId="3" fillId="3" borderId="5" xfId="2" applyBorder="1"/>
    <xf numFmtId="0" fontId="2" fillId="2" borderId="6" xfId="1" applyBorder="1"/>
    <xf numFmtId="10" fontId="2" fillId="2" borderId="0" xfId="1" applyNumberFormat="1"/>
    <xf numFmtId="9" fontId="2" fillId="2" borderId="0" xfId="1" applyNumberFormat="1"/>
    <xf numFmtId="0" fontId="1" fillId="4" borderId="0" xfId="3"/>
    <xf numFmtId="9" fontId="0" fillId="0" borderId="1" xfId="0" applyNumberFormat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2" fillId="2" borderId="5" xfId="1" applyBorder="1"/>
    <xf numFmtId="9" fontId="0" fillId="0" borderId="8" xfId="0" applyNumberFormat="1" applyBorder="1"/>
    <xf numFmtId="10" fontId="2" fillId="2" borderId="6" xfId="1" applyNumberFormat="1" applyBorder="1"/>
    <xf numFmtId="0" fontId="0" fillId="0" borderId="0" xfId="0" applyAlignment="1">
      <alignment wrapText="1"/>
    </xf>
    <xf numFmtId="0" fontId="3" fillId="3" borderId="0" xfId="2"/>
    <xf numFmtId="0" fontId="1" fillId="5" borderId="0" xfId="4"/>
    <xf numFmtId="0" fontId="2" fillId="2" borderId="9" xfId="1" applyBorder="1"/>
    <xf numFmtId="165" fontId="2" fillId="2" borderId="0" xfId="1" applyNumberFormat="1"/>
  </cellXfs>
  <cellStyles count="5">
    <cellStyle name="20% - Accent1" xfId="3" builtinId="30"/>
    <cellStyle name="20% - Accent3" xfId="4" builtinId="3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VPN barato y VPN caro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ex15dg!$B$30:$AE$30</c:f>
              <c:numCache>
                <c:formatCode>General</c:formatCode>
                <c:ptCount val="30"/>
                <c:pt idx="0">
                  <c:v>-1100</c:v>
                </c:pt>
                <c:pt idx="1">
                  <c:v>-1200</c:v>
                </c:pt>
                <c:pt idx="2">
                  <c:v>-1300</c:v>
                </c:pt>
                <c:pt idx="3">
                  <c:v>-1400</c:v>
                </c:pt>
                <c:pt idx="4">
                  <c:v>-1500</c:v>
                </c:pt>
                <c:pt idx="5">
                  <c:v>-1600</c:v>
                </c:pt>
                <c:pt idx="6">
                  <c:v>-1700</c:v>
                </c:pt>
                <c:pt idx="7">
                  <c:v>-1800</c:v>
                </c:pt>
                <c:pt idx="8">
                  <c:v>-1900</c:v>
                </c:pt>
                <c:pt idx="9">
                  <c:v>-2000</c:v>
                </c:pt>
                <c:pt idx="10">
                  <c:v>-2100</c:v>
                </c:pt>
                <c:pt idx="11">
                  <c:v>-2200</c:v>
                </c:pt>
                <c:pt idx="12">
                  <c:v>-2300</c:v>
                </c:pt>
                <c:pt idx="13">
                  <c:v>-2400</c:v>
                </c:pt>
                <c:pt idx="14">
                  <c:v>-2500</c:v>
                </c:pt>
                <c:pt idx="15">
                  <c:v>-2600</c:v>
                </c:pt>
                <c:pt idx="16">
                  <c:v>-2700</c:v>
                </c:pt>
                <c:pt idx="17">
                  <c:v>-2800</c:v>
                </c:pt>
                <c:pt idx="18">
                  <c:v>-2900</c:v>
                </c:pt>
                <c:pt idx="19">
                  <c:v>-3000</c:v>
                </c:pt>
                <c:pt idx="20">
                  <c:v>-3100</c:v>
                </c:pt>
                <c:pt idx="21">
                  <c:v>-3200</c:v>
                </c:pt>
                <c:pt idx="22">
                  <c:v>-3300</c:v>
                </c:pt>
                <c:pt idx="23">
                  <c:v>-3400</c:v>
                </c:pt>
                <c:pt idx="24">
                  <c:v>-3500</c:v>
                </c:pt>
                <c:pt idx="25">
                  <c:v>-3600</c:v>
                </c:pt>
                <c:pt idx="26">
                  <c:v>-3700</c:v>
                </c:pt>
                <c:pt idx="27">
                  <c:v>-3800</c:v>
                </c:pt>
                <c:pt idx="28">
                  <c:v>-3900</c:v>
                </c:pt>
                <c:pt idx="29">
                  <c:v>-4000</c:v>
                </c:pt>
              </c:numCache>
            </c:numRef>
          </c:cat>
          <c:val>
            <c:numRef>
              <c:f>ex15dg!$B$31:$AE$31</c:f>
              <c:numCache>
                <c:formatCode>General</c:formatCode>
                <c:ptCount val="30"/>
                <c:pt idx="0">
                  <c:v>-5269.8654463492921</c:v>
                </c:pt>
                <c:pt idx="1">
                  <c:v>-5748.9441232901372</c:v>
                </c:pt>
                <c:pt idx="2">
                  <c:v>-6228.0228002309823</c:v>
                </c:pt>
                <c:pt idx="3">
                  <c:v>-6707.1014771718274</c:v>
                </c:pt>
                <c:pt idx="4">
                  <c:v>-7186.1801541126697</c:v>
                </c:pt>
                <c:pt idx="5">
                  <c:v>-7665.2588310535157</c:v>
                </c:pt>
                <c:pt idx="6">
                  <c:v>-8144.3375079943598</c:v>
                </c:pt>
                <c:pt idx="7">
                  <c:v>-8623.4161849352058</c:v>
                </c:pt>
                <c:pt idx="8">
                  <c:v>-9102.49486187605</c:v>
                </c:pt>
                <c:pt idx="9">
                  <c:v>-9581.573538816896</c:v>
                </c:pt>
                <c:pt idx="10">
                  <c:v>-10060.65221575774</c:v>
                </c:pt>
                <c:pt idx="11">
                  <c:v>-10539.730892698584</c:v>
                </c:pt>
                <c:pt idx="12">
                  <c:v>-11018.809569639428</c:v>
                </c:pt>
                <c:pt idx="13">
                  <c:v>-11497.888246580274</c:v>
                </c:pt>
                <c:pt idx="14">
                  <c:v>-11976.966923521119</c:v>
                </c:pt>
                <c:pt idx="15">
                  <c:v>-12456.045600461965</c:v>
                </c:pt>
                <c:pt idx="16">
                  <c:v>-12935.124277402809</c:v>
                </c:pt>
                <c:pt idx="17">
                  <c:v>-13414.202954343655</c:v>
                </c:pt>
                <c:pt idx="18">
                  <c:v>-13893.281631284497</c:v>
                </c:pt>
                <c:pt idx="19">
                  <c:v>-14372.360308225339</c:v>
                </c:pt>
                <c:pt idx="20">
                  <c:v>-14851.438985166187</c:v>
                </c:pt>
                <c:pt idx="21">
                  <c:v>-15330.517662107031</c:v>
                </c:pt>
                <c:pt idx="22">
                  <c:v>-15809.596339047876</c:v>
                </c:pt>
                <c:pt idx="23">
                  <c:v>-16288.67501598872</c:v>
                </c:pt>
                <c:pt idx="24">
                  <c:v>-16767.753692929567</c:v>
                </c:pt>
                <c:pt idx="25">
                  <c:v>-17246.832369870412</c:v>
                </c:pt>
                <c:pt idx="26">
                  <c:v>-17725.911046811256</c:v>
                </c:pt>
                <c:pt idx="27">
                  <c:v>-18204.9897237521</c:v>
                </c:pt>
                <c:pt idx="28">
                  <c:v>-18684.068400692944</c:v>
                </c:pt>
                <c:pt idx="29">
                  <c:v>-19163.147077633792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F56-B300-4252074096B1}"/>
            </c:ext>
          </c:extLst>
        </c:ser>
        <c:ser>
          <c:idx val="1"/>
          <c:order val="1"/>
          <c:tx>
            <c:v>bara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ex15dg!$B$32:$AE$32</c:f>
              <c:numCache>
                <c:formatCode>General</c:formatCode>
                <c:ptCount val="30"/>
                <c:pt idx="0">
                  <c:v>-5532.1974405623041</c:v>
                </c:pt>
                <c:pt idx="1">
                  <c:v>-6011.2761175031492</c:v>
                </c:pt>
                <c:pt idx="2">
                  <c:v>-6490.3547944439943</c:v>
                </c:pt>
                <c:pt idx="3">
                  <c:v>-6969.4334713848384</c:v>
                </c:pt>
                <c:pt idx="4">
                  <c:v>-7448.5121483256835</c:v>
                </c:pt>
                <c:pt idx="5">
                  <c:v>-7927.5908252665286</c:v>
                </c:pt>
                <c:pt idx="6">
                  <c:v>-8406.6695022073727</c:v>
                </c:pt>
                <c:pt idx="7">
                  <c:v>-8885.7481791482187</c:v>
                </c:pt>
                <c:pt idx="8">
                  <c:v>-9364.8268560890629</c:v>
                </c:pt>
                <c:pt idx="9">
                  <c:v>-9843.905533029907</c:v>
                </c:pt>
                <c:pt idx="10">
                  <c:v>-10322.984209970753</c:v>
                </c:pt>
                <c:pt idx="11">
                  <c:v>-10802.062886911597</c:v>
                </c:pt>
                <c:pt idx="12">
                  <c:v>-11281.141563852441</c:v>
                </c:pt>
                <c:pt idx="13">
                  <c:v>-11760.220240793287</c:v>
                </c:pt>
                <c:pt idx="14">
                  <c:v>-12239.298917734131</c:v>
                </c:pt>
                <c:pt idx="15">
                  <c:v>-12718.377594674976</c:v>
                </c:pt>
                <c:pt idx="16">
                  <c:v>-13197.456271615822</c:v>
                </c:pt>
                <c:pt idx="17">
                  <c:v>-13676.534948556666</c:v>
                </c:pt>
                <c:pt idx="18">
                  <c:v>-14155.61362549751</c:v>
                </c:pt>
                <c:pt idx="19">
                  <c:v>-14634.692302438356</c:v>
                </c:pt>
                <c:pt idx="20">
                  <c:v>-15113.7709793792</c:v>
                </c:pt>
                <c:pt idx="21">
                  <c:v>-15592.849656320046</c:v>
                </c:pt>
                <c:pt idx="22">
                  <c:v>-16071.928333260888</c:v>
                </c:pt>
                <c:pt idx="23">
                  <c:v>-16551.007010201734</c:v>
                </c:pt>
                <c:pt idx="24">
                  <c:v>-17030.085687142579</c:v>
                </c:pt>
                <c:pt idx="25">
                  <c:v>-17509.164364083423</c:v>
                </c:pt>
                <c:pt idx="26">
                  <c:v>-17988.243041024267</c:v>
                </c:pt>
                <c:pt idx="27">
                  <c:v>-18467.321717965111</c:v>
                </c:pt>
                <c:pt idx="28">
                  <c:v>-18946.400394905959</c:v>
                </c:pt>
                <c:pt idx="29">
                  <c:v>-19425.479071846803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E-4F56-B300-42520740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45760"/>
        <c:axId val="571695488"/>
      </c:lineChart>
      <c:catAx>
        <c:axId val="8181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71695488"/>
        <c:crosses val="autoZero"/>
        <c:auto val="1"/>
        <c:lblAlgn val="ctr"/>
        <c:lblOffset val="100"/>
        <c:noMultiLvlLbl val="0"/>
      </c:catAx>
      <c:valAx>
        <c:axId val="571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181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delta</a:t>
            </a:r>
            <a:r>
              <a:rPr lang="es-419" baseline="0"/>
              <a:t> VPN</a:t>
            </a:r>
            <a:r>
              <a:rPr lang="es-419"/>
              <a:t> =</a:t>
            </a:r>
            <a:r>
              <a:rPr lang="es-419" baseline="0"/>
              <a:t> t</a:t>
            </a:r>
            <a:r>
              <a:rPr lang="es-419"/>
              <a:t>amaño</a:t>
            </a:r>
            <a:r>
              <a:rPr lang="es-419" baseline="0"/>
              <a:t> del gasto respecto a inversión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ex15dg!$A$40:$A$59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ex15dg!$B$40:$B$59</c:f>
              <c:numCache>
                <c:formatCode>General</c:formatCode>
                <c:ptCount val="20"/>
                <c:pt idx="0">
                  <c:v>-262.33199421301299</c:v>
                </c:pt>
                <c:pt idx="1">
                  <c:v>-262.33199421301299</c:v>
                </c:pt>
                <c:pt idx="2">
                  <c:v>-262.33199421301299</c:v>
                </c:pt>
                <c:pt idx="3">
                  <c:v>-262.33199421301299</c:v>
                </c:pt>
                <c:pt idx="4">
                  <c:v>-262.33199421301299</c:v>
                </c:pt>
                <c:pt idx="5">
                  <c:v>-262.33199421301299</c:v>
                </c:pt>
                <c:pt idx="6">
                  <c:v>-262.33199421301299</c:v>
                </c:pt>
                <c:pt idx="7">
                  <c:v>-262.33199421301299</c:v>
                </c:pt>
                <c:pt idx="8">
                  <c:v>-262.33199421301299</c:v>
                </c:pt>
                <c:pt idx="9">
                  <c:v>-262.33199421301299</c:v>
                </c:pt>
                <c:pt idx="10">
                  <c:v>-262.33199421301299</c:v>
                </c:pt>
                <c:pt idx="11">
                  <c:v>-262.33199421301299</c:v>
                </c:pt>
                <c:pt idx="12">
                  <c:v>-262.33199421301299</c:v>
                </c:pt>
                <c:pt idx="13">
                  <c:v>-262.33199421301299</c:v>
                </c:pt>
                <c:pt idx="14">
                  <c:v>-262.33199421301299</c:v>
                </c:pt>
                <c:pt idx="15">
                  <c:v>-262.33199421301299</c:v>
                </c:pt>
                <c:pt idx="16">
                  <c:v>-262.33199421301299</c:v>
                </c:pt>
                <c:pt idx="17">
                  <c:v>-262.33199421301299</c:v>
                </c:pt>
                <c:pt idx="18">
                  <c:v>-262.33199421301299</c:v>
                </c:pt>
                <c:pt idx="19">
                  <c:v>-262.33199421301299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B-4A67-8F27-3B5D0B72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46960"/>
        <c:axId val="945564496"/>
      </c:lineChart>
      <c:catAx>
        <c:axId val="9190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45564496"/>
        <c:crosses val="autoZero"/>
        <c:auto val="1"/>
        <c:lblAlgn val="ctr"/>
        <c:lblOffset val="100"/>
        <c:noMultiLvlLbl val="0"/>
      </c:catAx>
      <c:valAx>
        <c:axId val="945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190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517767</xdr:colOff>
      <xdr:row>0</xdr:row>
      <xdr:rowOff>69696</xdr:rowOff>
    </xdr:from>
    <xdr:to>
      <xdr:col>10</xdr:col>
      <xdr:colOff>153330</xdr:colOff>
      <xdr:row>8</xdr:row>
      <xdr:rowOff>85487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0935F-DD57-DB18-F629-EADEFCD30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767" y="69696"/>
          <a:ext cx="5722270" cy="15397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465438</xdr:colOff>
      <xdr:row>0</xdr:row>
      <xdr:rowOff>70184</xdr:rowOff>
    </xdr:from>
    <xdr:to>
      <xdr:col>9</xdr:col>
      <xdr:colOff>241179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5E7805-604A-A2F2-E2AF-F111E42C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438" y="70184"/>
          <a:ext cx="5280188" cy="145381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8</xdr:col>
      <xdr:colOff>246256</xdr:colOff>
      <xdr:row>5</xdr:row>
      <xdr:rowOff>39851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49B55-7734-8B23-286E-54C5FFA87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2" y="190501"/>
          <a:ext cx="4506950" cy="801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173182</xdr:colOff>
      <xdr:row>0</xdr:row>
      <xdr:rowOff>28575</xdr:rowOff>
    </xdr:from>
    <xdr:to>
      <xdr:col>11</xdr:col>
      <xdr:colOff>149037</xdr:colOff>
      <xdr:row>4</xdr:row>
      <xdr:rowOff>176832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30BD2-6C48-01AA-62BE-529C9965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182" y="28575"/>
          <a:ext cx="6690980" cy="9102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28576</xdr:rowOff>
    </xdr:from>
    <xdr:to>
      <xdr:col>9</xdr:col>
      <xdr:colOff>392991</xdr:colOff>
      <xdr:row>15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FD8CB-B32C-F8B2-28EA-E36F8491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8576"/>
          <a:ext cx="5536491" cy="2971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151535</xdr:colOff>
      <xdr:row>0</xdr:row>
      <xdr:rowOff>0</xdr:rowOff>
    </xdr:from>
    <xdr:to>
      <xdr:col>7</xdr:col>
      <xdr:colOff>516693</xdr:colOff>
      <xdr:row>8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B1CA4-B278-F72C-5179-E8E11D822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535" y="0"/>
          <a:ext cx="4638419" cy="157595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0</xdr:row>
      <xdr:rowOff>77392</xdr:rowOff>
    </xdr:from>
    <xdr:to>
      <xdr:col>11</xdr:col>
      <xdr:colOff>190501</xdr:colOff>
      <xdr:row>12</xdr:row>
      <xdr:rowOff>58360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0D0706-221A-E558-E5DD-CB6FE7B6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77392"/>
          <a:ext cx="6381750" cy="2266968"/>
        </a:xfrm>
        <a:prstGeom prst="rect">
          <a:avLst/>
        </a:prstGeom>
      </xdr:spPr>
    </xdr:pic>
    <xdr:clientData/>
  </xdr:twoCellAnchor>
  <xdr:twoCellAnchor>
    <xdr:from>
      <xdr:col>11</xdr:col>
      <xdr:colOff>432517</xdr:colOff>
      <xdr:row>33</xdr:row>
      <xdr:rowOff>139349</xdr:rowOff>
    </xdr:from>
    <xdr:to>
      <xdr:col>19</xdr:col>
      <xdr:colOff>146767</xdr:colOff>
      <xdr:row>48</xdr:row>
      <xdr:rowOff>25049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58FCE-F9E2-6B66-B61D-F1D7DFC9A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245452</xdr:colOff>
      <xdr:row>38</xdr:row>
      <xdr:rowOff>114300</xdr:rowOff>
    </xdr:from>
    <xdr:to>
      <xdr:col>10</xdr:col>
      <xdr:colOff>560510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B01AA-5AF8-5C4C-7EB8-DF8ABA44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507776</xdr:colOff>
      <xdr:row>0</xdr:row>
      <xdr:rowOff>37171</xdr:rowOff>
    </xdr:from>
    <xdr:to>
      <xdr:col>9</xdr:col>
      <xdr:colOff>251004</xdr:colOff>
      <xdr:row>6</xdr:row>
      <xdr:rowOff>139390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1FF504-2A65-D4DB-C1CA-078501AA3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776" y="37171"/>
          <a:ext cx="5221265" cy="124521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369094</xdr:colOff>
      <xdr:row>0</xdr:row>
      <xdr:rowOff>0</xdr:rowOff>
    </xdr:from>
    <xdr:to>
      <xdr:col>10</xdr:col>
      <xdr:colOff>285750</xdr:colOff>
      <xdr:row>7</xdr:row>
      <xdr:rowOff>108303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B901C-914D-87CA-0DD4-A9ED8A20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0"/>
          <a:ext cx="5988844" cy="144180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9</xdr:col>
      <xdr:colOff>175846</xdr:colOff>
      <xdr:row>10</xdr:row>
      <xdr:rowOff>127244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F1FE5F-53B5-AED7-34AB-95695C59F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6" y="190501"/>
          <a:ext cx="5040922" cy="184174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497158</xdr:colOff>
      <xdr:row>0</xdr:row>
      <xdr:rowOff>32526</xdr:rowOff>
    </xdr:from>
    <xdr:to>
      <xdr:col>9</xdr:col>
      <xdr:colOff>92588</xdr:colOff>
      <xdr:row>8</xdr:row>
      <xdr:rowOff>24844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9E368-39C0-5372-91F9-A39F7728B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158" y="32526"/>
          <a:ext cx="5073467" cy="1516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155864</xdr:colOff>
      <xdr:row>5</xdr:row>
      <xdr:rowOff>186170</xdr:rowOff>
    </xdr:from>
    <xdr:to>
      <xdr:col>10</xdr:col>
      <xdr:colOff>528649</xdr:colOff>
      <xdr:row>8</xdr:row>
      <xdr:rowOff>39715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735CD-B17B-E628-D641-7D8AD3951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64" y="1138670"/>
          <a:ext cx="6477444" cy="42504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318553</xdr:colOff>
      <xdr:row>0</xdr:row>
      <xdr:rowOff>73603</xdr:rowOff>
    </xdr:from>
    <xdr:to>
      <xdr:col>8</xdr:col>
      <xdr:colOff>83599</xdr:colOff>
      <xdr:row>6</xdr:row>
      <xdr:rowOff>112569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836CFC-5D8F-8892-D7E1-DD40DF7C1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53" y="73603"/>
          <a:ext cx="4648773" cy="11819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124558</xdr:colOff>
      <xdr:row>0</xdr:row>
      <xdr:rowOff>51289</xdr:rowOff>
    </xdr:from>
    <xdr:to>
      <xdr:col>5</xdr:col>
      <xdr:colOff>605268</xdr:colOff>
      <xdr:row>9</xdr:row>
      <xdr:rowOff>131090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A4C05-8B6A-C6FA-ACDE-559B4941D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58" y="51289"/>
          <a:ext cx="4191000" cy="1794301"/>
        </a:xfrm>
        <a:prstGeom prst="rect">
          <a:avLst/>
        </a:prstGeom>
      </xdr:spPr>
    </xdr:pic>
    <xdr:clientData/>
  </xdr:twoCellAnchor>
  <xdr:twoCellAnchor editAs="oneCell">
    <xdr:from>
      <xdr:col>7</xdr:col>
      <xdr:colOff>65943</xdr:colOff>
      <xdr:row>0</xdr:row>
      <xdr:rowOff>51287</xdr:rowOff>
    </xdr:from>
    <xdr:to>
      <xdr:col>12</xdr:col>
      <xdr:colOff>693739</xdr:colOff>
      <xdr:row>6</xdr:row>
      <xdr:rowOff>153864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81042F-02D6-E5B3-C615-58472D2C8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2885" y="51287"/>
          <a:ext cx="4135799" cy="12455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289034</xdr:colOff>
      <xdr:row>0</xdr:row>
      <xdr:rowOff>13138</xdr:rowOff>
    </xdr:from>
    <xdr:to>
      <xdr:col>6</xdr:col>
      <xdr:colOff>446131</xdr:colOff>
      <xdr:row>13</xdr:row>
      <xdr:rowOff>136963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8A0E1D-C266-CC45-8C16-8A470D70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034" y="13138"/>
          <a:ext cx="4170735" cy="26003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112059</xdr:rowOff>
    </xdr:from>
    <xdr:to>
      <xdr:col>7</xdr:col>
      <xdr:colOff>380967</xdr:colOff>
      <xdr:row>9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E0D5C-CA78-67AE-DB07-3F0C7C414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112059"/>
          <a:ext cx="4448703" cy="17145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399051</xdr:colOff>
      <xdr:row>0</xdr:row>
      <xdr:rowOff>106424</xdr:rowOff>
    </xdr:from>
    <xdr:to>
      <xdr:col>15</xdr:col>
      <xdr:colOff>218743</xdr:colOff>
      <xdr:row>6</xdr:row>
      <xdr:rowOff>141516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CF27E-C09F-79F9-9CD3-849E6E610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6251" y="106424"/>
          <a:ext cx="4696492" cy="117809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28575</xdr:rowOff>
    </xdr:from>
    <xdr:to>
      <xdr:col>9</xdr:col>
      <xdr:colOff>384585</xdr:colOff>
      <xdr:row>7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3E705-4EF0-6408-2EC9-3F15FCFF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8575"/>
          <a:ext cx="5670960" cy="14097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72449</xdr:rowOff>
    </xdr:from>
    <xdr:to>
      <xdr:col>7</xdr:col>
      <xdr:colOff>588792</xdr:colOff>
      <xdr:row>9</xdr:row>
      <xdr:rowOff>99328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49A4D-4BD1-3A60-5D89-6CFAAF2D5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72449"/>
          <a:ext cx="4885918" cy="1741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264102</xdr:colOff>
      <xdr:row>5</xdr:row>
      <xdr:rowOff>168852</xdr:rowOff>
    </xdr:from>
    <xdr:to>
      <xdr:col>9</xdr:col>
      <xdr:colOff>457783</xdr:colOff>
      <xdr:row>7</xdr:row>
      <xdr:rowOff>182761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EDC994-0EEA-8BE3-2BD7-71A6E68C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02" y="1121352"/>
          <a:ext cx="5687874" cy="3949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331470</xdr:colOff>
      <xdr:row>5</xdr:row>
      <xdr:rowOff>64771</xdr:rowOff>
    </xdr:from>
    <xdr:to>
      <xdr:col>9</xdr:col>
      <xdr:colOff>93948</xdr:colOff>
      <xdr:row>8</xdr:row>
      <xdr:rowOff>25835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D7512-8019-DD94-701C-00AB7F9C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" y="1017271"/>
          <a:ext cx="5248878" cy="5325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416719</xdr:colOff>
      <xdr:row>0</xdr:row>
      <xdr:rowOff>130969</xdr:rowOff>
    </xdr:from>
    <xdr:to>
      <xdr:col>11</xdr:col>
      <xdr:colOff>174002</xdr:colOff>
      <xdr:row>5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76D78-00C8-6000-22C5-E336AC71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130969"/>
          <a:ext cx="6436689" cy="8453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461211</xdr:colOff>
      <xdr:row>0</xdr:row>
      <xdr:rowOff>60158</xdr:rowOff>
    </xdr:from>
    <xdr:to>
      <xdr:col>6</xdr:col>
      <xdr:colOff>365961</xdr:colOff>
      <xdr:row>6</xdr:row>
      <xdr:rowOff>180173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2EDE6-B97E-2AD6-5D80-3A6EC05D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211" y="60158"/>
          <a:ext cx="3574382" cy="1263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364735</xdr:colOff>
      <xdr:row>0</xdr:row>
      <xdr:rowOff>74342</xdr:rowOff>
    </xdr:from>
    <xdr:to>
      <xdr:col>10</xdr:col>
      <xdr:colOff>172016</xdr:colOff>
      <xdr:row>3</xdr:row>
      <xdr:rowOff>148684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38ABC9-3D81-CFC9-8D57-3E9BAF7B4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35" y="74342"/>
          <a:ext cx="5893988" cy="645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358349</xdr:colOff>
      <xdr:row>0</xdr:row>
      <xdr:rowOff>79521</xdr:rowOff>
    </xdr:from>
    <xdr:to>
      <xdr:col>10</xdr:col>
      <xdr:colOff>530719</xdr:colOff>
      <xdr:row>9</xdr:row>
      <xdr:rowOff>79521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18B4C7-F681-11AA-68E7-2E1C86D16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349" y="79521"/>
          <a:ext cx="6268370" cy="1714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355023</xdr:colOff>
      <xdr:row>0</xdr:row>
      <xdr:rowOff>77931</xdr:rowOff>
    </xdr:from>
    <xdr:to>
      <xdr:col>10</xdr:col>
      <xdr:colOff>443787</xdr:colOff>
      <xdr:row>4</xdr:row>
      <xdr:rowOff>172954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5271D-3468-8838-7C05-27276F15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23" y="77931"/>
          <a:ext cx="6193423" cy="857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13FC-AC4B-46FC-B38E-EA19A5AC14D4}">
  <dimension ref="A10:I22"/>
  <sheetViews>
    <sheetView topLeftCell="A7" zoomScale="205" zoomScaleNormal="205" workbookViewId="0">
      <selection activeCell="D22" sqref="D22"/>
    </sheetView>
  </sheetViews>
  <sheetFormatPr defaultRowHeight="15" x14ac:dyDescent="0.25"/>
  <sheetData>
    <row r="10" spans="1:9" x14ac:dyDescent="0.25">
      <c r="A10" s="1">
        <v>0.1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9" x14ac:dyDescent="0.25">
      <c r="C14">
        <f>C12/(1+C13)^(C11)</f>
        <v>-1000000</v>
      </c>
      <c r="D14">
        <f t="shared" ref="D14:G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>H12/(1+H13)^(H11)</f>
        <v>683013.45536507049</v>
      </c>
      <c r="I14" s="2">
        <f>SUM(C14:H14)</f>
        <v>0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9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</row>
    <row r="22" spans="2:9" x14ac:dyDescent="0.25">
      <c r="C22" s="1">
        <f>IRR(C15:H15)</f>
        <v>9.9999286562188372E-2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B3D-07DB-403D-B078-251ACAEB728E}">
  <dimension ref="A10:F20"/>
  <sheetViews>
    <sheetView zoomScale="190" zoomScaleNormal="190" workbookViewId="0">
      <selection activeCell="F15" sqref="F15"/>
    </sheetView>
  </sheetViews>
  <sheetFormatPr defaultRowHeight="15" x14ac:dyDescent="0.25"/>
  <cols>
    <col min="1" max="1" width="9.140625" customWidth="1"/>
    <col min="6" max="6" width="9.140625" customWidth="1"/>
  </cols>
  <sheetData>
    <row r="10" spans="1:6" x14ac:dyDescent="0.25">
      <c r="A10" s="1">
        <v>0.15</v>
      </c>
    </row>
    <row r="11" spans="1:6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6" x14ac:dyDescent="0.25">
      <c r="A12" s="15" t="s">
        <v>26</v>
      </c>
      <c r="B12" s="15">
        <v>-1000</v>
      </c>
      <c r="C12" s="15">
        <v>310</v>
      </c>
      <c r="D12" s="15">
        <v>1232</v>
      </c>
    </row>
    <row r="13" spans="1:6" x14ac:dyDescent="0.25">
      <c r="A13" t="s">
        <v>2</v>
      </c>
      <c r="B13" s="1">
        <f>$A$10</f>
        <v>0.15</v>
      </c>
      <c r="C13" s="1">
        <f t="shared" ref="C13:D13" si="0">$A$10</f>
        <v>0.15</v>
      </c>
      <c r="D13" s="1">
        <f t="shared" si="0"/>
        <v>0.15</v>
      </c>
    </row>
    <row r="14" spans="1:6" x14ac:dyDescent="0.25">
      <c r="A14" t="s">
        <v>21</v>
      </c>
      <c r="B14">
        <f>B12/(1+B13)^(B11)</f>
        <v>-1000</v>
      </c>
      <c r="C14">
        <f t="shared" ref="C14:D14" si="1">C12/(1+C13)^(C11)</f>
        <v>269.56521739130437</v>
      </c>
      <c r="D14">
        <f t="shared" si="1"/>
        <v>931.56899810964103</v>
      </c>
      <c r="E14" s="2">
        <f>SUM(B14:D14)</f>
        <v>201.1342155009454</v>
      </c>
      <c r="F14" s="13">
        <v>0.275725142651849</v>
      </c>
    </row>
    <row r="15" spans="1:6" x14ac:dyDescent="0.25">
      <c r="A15" s="15" t="s">
        <v>26</v>
      </c>
      <c r="B15" s="15">
        <v>-1000</v>
      </c>
      <c r="C15" s="15">
        <v>615</v>
      </c>
      <c r="D15" s="15">
        <v>1323</v>
      </c>
    </row>
    <row r="16" spans="1:6" x14ac:dyDescent="0.25">
      <c r="A16" t="s">
        <v>2</v>
      </c>
      <c r="B16" s="1">
        <f>$A$10</f>
        <v>0.15</v>
      </c>
      <c r="C16" s="1">
        <f>$A$10</f>
        <v>0.15</v>
      </c>
      <c r="D16" s="1">
        <f t="shared" ref="D16" si="2">$A$10</f>
        <v>0.15</v>
      </c>
    </row>
    <row r="17" spans="1:6" x14ac:dyDescent="0.25">
      <c r="A17" t="s">
        <v>21</v>
      </c>
      <c r="B17">
        <f>B15/(1+B16)^(B11)</f>
        <v>-1000</v>
      </c>
      <c r="C17">
        <f t="shared" ref="C17:D17" si="3">C15/(1+C16)^(C11)</f>
        <v>534.78260869565224</v>
      </c>
      <c r="D17">
        <f t="shared" si="3"/>
        <v>1000.3780718336485</v>
      </c>
      <c r="E17" s="2">
        <f>SUM(B17:D17)</f>
        <v>535.16068052930075</v>
      </c>
      <c r="F17" s="14">
        <v>0.498111530202138</v>
      </c>
    </row>
    <row r="18" spans="1:6" x14ac:dyDescent="0.25">
      <c r="A18" s="15" t="s">
        <v>26</v>
      </c>
      <c r="B18" s="15">
        <v>-1000</v>
      </c>
      <c r="C18" s="15">
        <v>1150</v>
      </c>
      <c r="D18" s="15">
        <v>615</v>
      </c>
    </row>
    <row r="19" spans="1:6" x14ac:dyDescent="0.25">
      <c r="A19" t="s">
        <v>2</v>
      </c>
      <c r="B19" s="1">
        <f>$A$10</f>
        <v>0.15</v>
      </c>
      <c r="C19" s="1">
        <f t="shared" ref="C19:D19" si="4">$A$10</f>
        <v>0.15</v>
      </c>
      <c r="D19" s="1">
        <f t="shared" si="4"/>
        <v>0.15</v>
      </c>
    </row>
    <row r="20" spans="1:6" x14ac:dyDescent="0.25">
      <c r="A20" t="s">
        <v>21</v>
      </c>
      <c r="B20">
        <f>B18/(1+B19)^(B11)</f>
        <v>-1000</v>
      </c>
      <c r="C20">
        <f>C18/(1+C19)^(C11)</f>
        <v>1000.0000000000001</v>
      </c>
      <c r="D20">
        <f t="shared" ref="D20" si="5">D18/(1+D19)^(D11)</f>
        <v>465.02835538752373</v>
      </c>
      <c r="E20" s="2">
        <f>SUM(B20:D20)</f>
        <v>465.02835538752385</v>
      </c>
      <c r="F20" s="14">
        <v>0.54743192325105705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920-31ED-4322-8AF2-7FC8CD0FFC72}">
  <dimension ref="A8:K20"/>
  <sheetViews>
    <sheetView zoomScale="205" zoomScaleNormal="205" workbookViewId="0">
      <selection activeCell="E8" sqref="E8"/>
    </sheetView>
  </sheetViews>
  <sheetFormatPr defaultRowHeight="15" x14ac:dyDescent="0.25"/>
  <sheetData>
    <row r="8" spans="1:11" x14ac:dyDescent="0.25">
      <c r="E8" t="s">
        <v>92</v>
      </c>
    </row>
    <row r="10" spans="1:11" x14ac:dyDescent="0.25">
      <c r="A10" s="1">
        <v>0.2</v>
      </c>
      <c r="G10" s="1">
        <v>0.05</v>
      </c>
    </row>
    <row r="11" spans="1:11" x14ac:dyDescent="0.25">
      <c r="B11">
        <v>0</v>
      </c>
      <c r="C11">
        <v>1</v>
      </c>
      <c r="D11">
        <v>2</v>
      </c>
      <c r="E11" t="s">
        <v>3</v>
      </c>
      <c r="H11">
        <v>0</v>
      </c>
      <c r="I11">
        <v>1</v>
      </c>
      <c r="J11">
        <v>2</v>
      </c>
      <c r="K11" t="s">
        <v>3</v>
      </c>
    </row>
    <row r="12" spans="1:11" x14ac:dyDescent="0.25">
      <c r="A12" s="15" t="s">
        <v>26</v>
      </c>
      <c r="B12" s="15">
        <v>-1000</v>
      </c>
      <c r="C12" s="15">
        <v>310</v>
      </c>
      <c r="D12" s="15">
        <v>1232</v>
      </c>
      <c r="G12" s="15" t="s">
        <v>26</v>
      </c>
      <c r="H12" s="15">
        <v>-1000</v>
      </c>
      <c r="I12" s="15">
        <v>310</v>
      </c>
      <c r="J12" s="15">
        <v>1232</v>
      </c>
    </row>
    <row r="13" spans="1:11" x14ac:dyDescent="0.25">
      <c r="A13" t="s">
        <v>2</v>
      </c>
      <c r="B13" s="1">
        <f>$A$10</f>
        <v>0.2</v>
      </c>
      <c r="C13" s="1">
        <f t="shared" ref="C13:D13" si="0">$A$10</f>
        <v>0.2</v>
      </c>
      <c r="D13" s="1">
        <f t="shared" si="0"/>
        <v>0.2</v>
      </c>
      <c r="G13" t="s">
        <v>2</v>
      </c>
      <c r="H13" s="1">
        <f>$G$10</f>
        <v>0.05</v>
      </c>
      <c r="I13" s="1">
        <f t="shared" ref="I13:J13" si="1">$G$10</f>
        <v>0.05</v>
      </c>
      <c r="J13" s="1">
        <f t="shared" si="1"/>
        <v>0.05</v>
      </c>
    </row>
    <row r="14" spans="1:11" x14ac:dyDescent="0.25">
      <c r="A14" t="s">
        <v>21</v>
      </c>
      <c r="B14">
        <f>B12/(1+B13)^(B11)</f>
        <v>-1000</v>
      </c>
      <c r="C14">
        <f t="shared" ref="C14:D14" si="2">C12/(1+C13)^(C11)</f>
        <v>258.33333333333337</v>
      </c>
      <c r="D14">
        <f t="shared" si="2"/>
        <v>855.55555555555554</v>
      </c>
      <c r="E14" s="2">
        <f>SUM(B14:D14)</f>
        <v>113.88888888888891</v>
      </c>
      <c r="G14" t="s">
        <v>21</v>
      </c>
      <c r="H14">
        <f>H12/(1+H13)^(H11)</f>
        <v>-1000</v>
      </c>
      <c r="I14">
        <f t="shared" ref="I14" si="3">I12/(1+I13)^(I11)</f>
        <v>295.23809523809524</v>
      </c>
      <c r="J14">
        <f t="shared" ref="J14" si="4">J12/(1+J13)^(J11)</f>
        <v>1117.4603174603174</v>
      </c>
      <c r="K14" s="2">
        <f>SUM(H14:J14)</f>
        <v>412.69841269841254</v>
      </c>
    </row>
    <row r="15" spans="1:11" x14ac:dyDescent="0.25">
      <c r="A15" s="15" t="s">
        <v>26</v>
      </c>
      <c r="B15" s="15">
        <v>-1000</v>
      </c>
      <c r="C15" s="15">
        <v>615</v>
      </c>
      <c r="D15" s="15">
        <v>1323</v>
      </c>
      <c r="G15" s="15" t="s">
        <v>26</v>
      </c>
      <c r="H15" s="15">
        <v>-1000</v>
      </c>
      <c r="I15" s="15">
        <v>615</v>
      </c>
      <c r="J15" s="15">
        <v>1323</v>
      </c>
    </row>
    <row r="16" spans="1:11" x14ac:dyDescent="0.25">
      <c r="A16" t="s">
        <v>2</v>
      </c>
      <c r="B16" s="1">
        <f>$A$10</f>
        <v>0.2</v>
      </c>
      <c r="C16" s="1">
        <f>$A$10</f>
        <v>0.2</v>
      </c>
      <c r="D16" s="1">
        <f t="shared" ref="D16" si="5">$A$10</f>
        <v>0.2</v>
      </c>
      <c r="G16" t="s">
        <v>2</v>
      </c>
      <c r="H16" s="1">
        <f>$G$10</f>
        <v>0.05</v>
      </c>
      <c r="I16" s="1">
        <f t="shared" ref="I16:J16" si="6">$G$10</f>
        <v>0.05</v>
      </c>
      <c r="J16" s="1">
        <f t="shared" si="6"/>
        <v>0.05</v>
      </c>
    </row>
    <row r="17" spans="1:11" x14ac:dyDescent="0.25">
      <c r="A17" t="s">
        <v>21</v>
      </c>
      <c r="B17">
        <f>B15/(1+B16)^(B11)</f>
        <v>-1000</v>
      </c>
      <c r="C17">
        <f t="shared" ref="C17:D17" si="7">C15/(1+C16)^(C11)</f>
        <v>512.5</v>
      </c>
      <c r="D17">
        <f t="shared" si="7"/>
        <v>918.75</v>
      </c>
      <c r="E17" s="2">
        <f>SUM(B17:D17)</f>
        <v>431.25</v>
      </c>
      <c r="G17" t="s">
        <v>21</v>
      </c>
      <c r="H17">
        <f>H15/(1+H16)^(H11)</f>
        <v>-1000</v>
      </c>
      <c r="I17">
        <f t="shared" ref="I17" si="8">I15/(1+I16)^(I11)</f>
        <v>585.71428571428567</v>
      </c>
      <c r="J17">
        <f t="shared" ref="J17" si="9">J15/(1+J16)^(J11)</f>
        <v>1200</v>
      </c>
      <c r="K17" s="2">
        <f>SUM(H17:J17)</f>
        <v>785.71428571428567</v>
      </c>
    </row>
    <row r="18" spans="1:11" x14ac:dyDescent="0.25">
      <c r="A18" s="15" t="s">
        <v>26</v>
      </c>
      <c r="B18" s="15">
        <v>-1000</v>
      </c>
      <c r="C18" s="15">
        <v>1150</v>
      </c>
      <c r="D18" s="15">
        <v>615</v>
      </c>
      <c r="G18" s="15" t="s">
        <v>26</v>
      </c>
      <c r="H18" s="15">
        <v>-1000</v>
      </c>
      <c r="I18" s="15">
        <v>1150</v>
      </c>
      <c r="J18" s="15">
        <v>615</v>
      </c>
    </row>
    <row r="19" spans="1:11" x14ac:dyDescent="0.25">
      <c r="A19" t="s">
        <v>2</v>
      </c>
      <c r="B19" s="1">
        <f>$A$10</f>
        <v>0.2</v>
      </c>
      <c r="C19" s="1">
        <f t="shared" ref="C19:D19" si="10">$A$10</f>
        <v>0.2</v>
      </c>
      <c r="D19" s="1">
        <f t="shared" si="10"/>
        <v>0.2</v>
      </c>
      <c r="G19" t="s">
        <v>2</v>
      </c>
      <c r="H19" s="1">
        <f>$G$10</f>
        <v>0.05</v>
      </c>
      <c r="I19" s="1">
        <f t="shared" ref="I19:J19" si="11">$G$10</f>
        <v>0.05</v>
      </c>
      <c r="J19" s="1">
        <f t="shared" si="11"/>
        <v>0.05</v>
      </c>
    </row>
    <row r="20" spans="1:11" x14ac:dyDescent="0.25">
      <c r="A20" t="s">
        <v>21</v>
      </c>
      <c r="B20">
        <f>B18/(1+B19)^(B11)</f>
        <v>-1000</v>
      </c>
      <c r="C20">
        <f>C18/(1+C19)^(C11)</f>
        <v>958.33333333333337</v>
      </c>
      <c r="D20">
        <f t="shared" ref="D20" si="12">D18/(1+D19)^(D11)</f>
        <v>427.08333333333337</v>
      </c>
      <c r="E20" s="2">
        <f>SUM(B20:D20)</f>
        <v>385.41666666666674</v>
      </c>
      <c r="G20" t="s">
        <v>21</v>
      </c>
      <c r="H20">
        <f>H18/(1+H19)^(H11)</f>
        <v>-1000</v>
      </c>
      <c r="I20">
        <f>I18/(1+I19)^(I11)</f>
        <v>1095.2380952380952</v>
      </c>
      <c r="J20">
        <f t="shared" ref="J20" si="13">J18/(1+J19)^(J11)</f>
        <v>557.82312925170061</v>
      </c>
      <c r="K20" s="2">
        <f>SUM(H20:J20)</f>
        <v>653.06122448979579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4EE4-AA93-4AEF-A565-63F12DD2D796}">
  <dimension ref="B6:I20"/>
  <sheetViews>
    <sheetView zoomScale="175" zoomScaleNormal="175" workbookViewId="0">
      <selection activeCell="B20" sqref="B20"/>
    </sheetView>
  </sheetViews>
  <sheetFormatPr defaultRowHeight="15" x14ac:dyDescent="0.25"/>
  <sheetData>
    <row r="6" spans="2:9" x14ac:dyDescent="0.25">
      <c r="I6" t="s">
        <v>28</v>
      </c>
    </row>
    <row r="7" spans="2:9" x14ac:dyDescent="0.25">
      <c r="B7" s="1">
        <v>0.05</v>
      </c>
    </row>
    <row r="8" spans="2:9" x14ac:dyDescent="0.25">
      <c r="C8">
        <v>0</v>
      </c>
      <c r="D8">
        <v>1</v>
      </c>
      <c r="E8">
        <v>2</v>
      </c>
      <c r="F8" t="s">
        <v>3</v>
      </c>
      <c r="G8" t="s">
        <v>6</v>
      </c>
      <c r="H8" t="s">
        <v>27</v>
      </c>
    </row>
    <row r="9" spans="2:9" x14ac:dyDescent="0.25">
      <c r="B9" s="15" t="s">
        <v>26</v>
      </c>
      <c r="C9" s="15">
        <v>-1000</v>
      </c>
      <c r="D9" s="15">
        <v>310</v>
      </c>
      <c r="E9" s="15">
        <v>1232</v>
      </c>
    </row>
    <row r="10" spans="2:9" x14ac:dyDescent="0.25">
      <c r="B10" t="s">
        <v>2</v>
      </c>
      <c r="C10" s="1">
        <f>$B$7</f>
        <v>0.05</v>
      </c>
      <c r="D10" s="1">
        <f t="shared" ref="D10:E10" si="0">$B$7</f>
        <v>0.05</v>
      </c>
      <c r="E10" s="1">
        <f t="shared" si="0"/>
        <v>0.05</v>
      </c>
      <c r="I10" t="s">
        <v>29</v>
      </c>
    </row>
    <row r="11" spans="2:9" x14ac:dyDescent="0.25">
      <c r="B11" t="s">
        <v>21</v>
      </c>
      <c r="C11">
        <f>C9/(1+C10)^(C8)</f>
        <v>-1000</v>
      </c>
      <c r="D11">
        <f t="shared" ref="D11:E11" si="1">D9/(1+D10)^(D8)</f>
        <v>295.23809523809524</v>
      </c>
      <c r="E11">
        <f t="shared" si="1"/>
        <v>1117.4603174603174</v>
      </c>
      <c r="F11" s="2">
        <f>SUM(C11:E11)</f>
        <v>412.69841269841254</v>
      </c>
      <c r="G11" s="13">
        <v>0.275725199800055</v>
      </c>
      <c r="H11">
        <f>F11/C9</f>
        <v>-0.41269841269841256</v>
      </c>
      <c r="I11" t="s">
        <v>30</v>
      </c>
    </row>
    <row r="12" spans="2:9" x14ac:dyDescent="0.25">
      <c r="B12" s="15" t="s">
        <v>26</v>
      </c>
      <c r="C12" s="15">
        <v>-1000</v>
      </c>
      <c r="D12" s="15">
        <v>615</v>
      </c>
      <c r="E12" s="15">
        <v>1323</v>
      </c>
      <c r="I12" t="s">
        <v>31</v>
      </c>
    </row>
    <row r="13" spans="2:9" x14ac:dyDescent="0.25">
      <c r="B13" t="s">
        <v>2</v>
      </c>
      <c r="C13" s="1">
        <f>$B$7</f>
        <v>0.05</v>
      </c>
      <c r="D13" s="1">
        <f t="shared" ref="D13:E13" si="2">$B$7</f>
        <v>0.05</v>
      </c>
      <c r="E13" s="1">
        <f t="shared" si="2"/>
        <v>0.05</v>
      </c>
    </row>
    <row r="14" spans="2:9" x14ac:dyDescent="0.25">
      <c r="B14" t="s">
        <v>21</v>
      </c>
      <c r="C14">
        <f>C12/(1+C13)^(C8)</f>
        <v>-1000</v>
      </c>
      <c r="D14">
        <f t="shared" ref="D14:E14" si="3">D12/(1+D13)^(D8)</f>
        <v>585.71428571428567</v>
      </c>
      <c r="E14">
        <f t="shared" si="3"/>
        <v>1200</v>
      </c>
      <c r="F14" s="2">
        <f>SUM(C14:E14)</f>
        <v>785.71428571428567</v>
      </c>
      <c r="G14" s="13">
        <v>0.49811147072990303</v>
      </c>
      <c r="H14">
        <f>F14/C12</f>
        <v>-0.7857142857142857</v>
      </c>
    </row>
    <row r="15" spans="2:9" x14ac:dyDescent="0.25">
      <c r="B15" s="15" t="s">
        <v>26</v>
      </c>
      <c r="C15" s="15">
        <v>-1000</v>
      </c>
      <c r="D15" s="15">
        <v>1150</v>
      </c>
      <c r="E15" s="15">
        <v>615</v>
      </c>
    </row>
    <row r="16" spans="2:9" x14ac:dyDescent="0.25">
      <c r="B16" t="s">
        <v>2</v>
      </c>
      <c r="C16" s="1">
        <f>$B$7</f>
        <v>0.05</v>
      </c>
      <c r="D16" s="1">
        <f t="shared" ref="D16:E16" si="4">$B$7</f>
        <v>0.05</v>
      </c>
      <c r="E16" s="1">
        <f t="shared" si="4"/>
        <v>0.05</v>
      </c>
    </row>
    <row r="17" spans="2:8" x14ac:dyDescent="0.25">
      <c r="B17" t="s">
        <v>21</v>
      </c>
      <c r="C17">
        <f>C15/(1+C16)^(C8)</f>
        <v>-1000</v>
      </c>
      <c r="D17">
        <f>D15/(1+D16)^(D8)</f>
        <v>1095.2380952380952</v>
      </c>
      <c r="E17">
        <f t="shared" ref="E17" si="5">E15/(1+E16)^(E8)</f>
        <v>557.82312925170061</v>
      </c>
      <c r="F17" s="2">
        <f>SUM(C17:E17)</f>
        <v>653.06122448979579</v>
      </c>
      <c r="G17" s="13">
        <v>0.54743243954976495</v>
      </c>
      <c r="H17">
        <f>F17/C15</f>
        <v>-0.65306122448979576</v>
      </c>
    </row>
    <row r="20" spans="2:8" x14ac:dyDescent="0.25">
      <c r="B20" t="s">
        <v>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B48-F25F-47D5-80F7-85E2CA34257E}">
  <dimension ref="B16:R35"/>
  <sheetViews>
    <sheetView zoomScale="175" zoomScaleNormal="175" workbookViewId="0">
      <selection activeCell="M8" sqref="M8"/>
    </sheetView>
  </sheetViews>
  <sheetFormatPr defaultRowHeight="15" x14ac:dyDescent="0.25"/>
  <sheetData>
    <row r="16" spans="16:16" x14ac:dyDescent="0.25">
      <c r="P16" t="s">
        <v>93</v>
      </c>
    </row>
    <row r="17" spans="2:18" x14ac:dyDescent="0.25">
      <c r="H17" t="s">
        <v>32</v>
      </c>
      <c r="N17" t="s">
        <v>33</v>
      </c>
    </row>
    <row r="18" spans="2:18" x14ac:dyDescent="0.25">
      <c r="B18" t="s">
        <v>20</v>
      </c>
      <c r="C18">
        <v>0</v>
      </c>
      <c r="D18">
        <v>1</v>
      </c>
      <c r="E18">
        <v>2</v>
      </c>
      <c r="F18" t="s">
        <v>3</v>
      </c>
      <c r="H18" t="s">
        <v>20</v>
      </c>
      <c r="I18">
        <v>0</v>
      </c>
      <c r="J18">
        <v>1</v>
      </c>
      <c r="K18">
        <v>2</v>
      </c>
      <c r="L18" t="s">
        <v>3</v>
      </c>
      <c r="N18" t="s">
        <v>20</v>
      </c>
      <c r="O18">
        <v>0</v>
      </c>
      <c r="P18">
        <v>1</v>
      </c>
      <c r="Q18">
        <v>2</v>
      </c>
      <c r="R18" t="s">
        <v>3</v>
      </c>
    </row>
    <row r="19" spans="2:18" x14ac:dyDescent="0.25">
      <c r="B19" t="s">
        <v>26</v>
      </c>
      <c r="C19">
        <v>-18954</v>
      </c>
      <c r="D19">
        <v>10000</v>
      </c>
      <c r="E19">
        <v>10000</v>
      </c>
      <c r="H19" t="s">
        <v>26</v>
      </c>
      <c r="I19">
        <v>-18954</v>
      </c>
      <c r="J19">
        <v>10000</v>
      </c>
      <c r="K19">
        <v>10000</v>
      </c>
      <c r="N19" t="s">
        <v>26</v>
      </c>
      <c r="O19">
        <v>-18954</v>
      </c>
      <c r="P19">
        <v>10000</v>
      </c>
      <c r="Q19">
        <v>10000</v>
      </c>
    </row>
    <row r="20" spans="2:18" x14ac:dyDescent="0.25">
      <c r="B20" t="s">
        <v>2</v>
      </c>
      <c r="C20" s="1">
        <v>0.05</v>
      </c>
      <c r="D20" s="1">
        <v>0.05</v>
      </c>
      <c r="E20" s="1">
        <v>0.05</v>
      </c>
      <c r="H20" t="s">
        <v>2</v>
      </c>
      <c r="I20" s="1">
        <v>0</v>
      </c>
      <c r="J20" s="1">
        <v>0.05</v>
      </c>
      <c r="K20" s="1">
        <v>0.1</v>
      </c>
      <c r="N20" t="s">
        <v>2</v>
      </c>
      <c r="O20" s="1">
        <v>0</v>
      </c>
      <c r="P20" s="1">
        <v>0.05</v>
      </c>
      <c r="Q20" s="1">
        <v>0.02</v>
      </c>
    </row>
    <row r="21" spans="2:18" x14ac:dyDescent="0.25">
      <c r="B21" t="s">
        <v>21</v>
      </c>
      <c r="C21">
        <f>C19/(1+C20)^(C18)</f>
        <v>-18954</v>
      </c>
      <c r="D21">
        <f t="shared" ref="D21:E21" si="0">D19/(1+D20)^(D18)</f>
        <v>9523.8095238095229</v>
      </c>
      <c r="E21">
        <f t="shared" si="0"/>
        <v>9070.2947845804993</v>
      </c>
      <c r="F21" s="2">
        <f>SUM(C21:E21)</f>
        <v>-359.8956916099778</v>
      </c>
      <c r="H21" t="s">
        <v>21</v>
      </c>
      <c r="I21">
        <f>I19/(1+I20)^(I18)</f>
        <v>-18954</v>
      </c>
      <c r="J21">
        <f>J19/(1+J20)</f>
        <v>9523.8095238095229</v>
      </c>
      <c r="K21">
        <f>K19/((1+K20)*(1+J20))</f>
        <v>8658.0086580086554</v>
      </c>
      <c r="L21" s="2">
        <f>SUM(I21:K21)</f>
        <v>-772.18181818182165</v>
      </c>
      <c r="N21" t="s">
        <v>21</v>
      </c>
      <c r="O21">
        <f>O19/(1+O20)^(O18)</f>
        <v>-18954</v>
      </c>
      <c r="P21">
        <f t="shared" ref="P21" si="1">P19/(1+P20)^(P18)</f>
        <v>9523.8095238095229</v>
      </c>
      <c r="Q21">
        <f>Q19/((1+Q20)*(1+P20))</f>
        <v>9337.0681605975715</v>
      </c>
      <c r="R21" s="2">
        <f>SUM(O21:Q21)</f>
        <v>-93.122315592905579</v>
      </c>
    </row>
    <row r="23" spans="2:18" x14ac:dyDescent="0.25">
      <c r="B23" t="s">
        <v>20</v>
      </c>
      <c r="C23">
        <v>0</v>
      </c>
      <c r="D23">
        <v>1</v>
      </c>
      <c r="E23">
        <v>2</v>
      </c>
      <c r="F23" t="s">
        <v>3</v>
      </c>
      <c r="H23" t="s">
        <v>20</v>
      </c>
      <c r="I23">
        <v>0</v>
      </c>
      <c r="J23">
        <v>1</v>
      </c>
      <c r="K23">
        <v>2</v>
      </c>
      <c r="L23" t="s">
        <v>3</v>
      </c>
      <c r="N23" t="s">
        <v>20</v>
      </c>
      <c r="O23">
        <v>0</v>
      </c>
      <c r="P23">
        <v>1</v>
      </c>
      <c r="Q23">
        <v>2</v>
      </c>
      <c r="R23" t="s">
        <v>3</v>
      </c>
    </row>
    <row r="24" spans="2:18" x14ac:dyDescent="0.25">
      <c r="B24" t="s">
        <v>26</v>
      </c>
      <c r="C24">
        <v>-18140</v>
      </c>
      <c r="D24">
        <v>0</v>
      </c>
      <c r="E24">
        <v>20000</v>
      </c>
      <c r="H24" t="s">
        <v>26</v>
      </c>
      <c r="I24">
        <v>-18140</v>
      </c>
      <c r="J24">
        <v>0</v>
      </c>
      <c r="K24">
        <v>20000</v>
      </c>
      <c r="N24" t="s">
        <v>26</v>
      </c>
      <c r="O24">
        <v>-18140</v>
      </c>
      <c r="P24">
        <v>0</v>
      </c>
      <c r="Q24">
        <v>20000</v>
      </c>
    </row>
    <row r="25" spans="2:18" x14ac:dyDescent="0.25">
      <c r="B25" t="s">
        <v>2</v>
      </c>
      <c r="C25" s="1">
        <v>0.05</v>
      </c>
      <c r="D25" s="1">
        <v>0.05</v>
      </c>
      <c r="E25" s="1">
        <v>0.05</v>
      </c>
      <c r="H25" t="s">
        <v>2</v>
      </c>
      <c r="I25" s="1">
        <v>0</v>
      </c>
      <c r="J25" s="1">
        <v>0.05</v>
      </c>
      <c r="K25" s="1">
        <v>0.1</v>
      </c>
      <c r="N25" t="s">
        <v>2</v>
      </c>
      <c r="O25" s="1">
        <v>0</v>
      </c>
      <c r="P25" s="1">
        <v>0.05</v>
      </c>
      <c r="Q25" s="1">
        <v>0.02</v>
      </c>
    </row>
    <row r="26" spans="2:18" x14ac:dyDescent="0.25">
      <c r="B26" t="s">
        <v>21</v>
      </c>
      <c r="C26">
        <f>C24/(1+C25)^(C23)</f>
        <v>-18140</v>
      </c>
      <c r="D26">
        <f t="shared" ref="D26" si="2">D24/(1+D25)^(D23)</f>
        <v>0</v>
      </c>
      <c r="E26">
        <f t="shared" ref="E26" si="3">E24/(1+E25)^(E23)</f>
        <v>18140.589569160999</v>
      </c>
      <c r="F26" s="2">
        <f>SUM(C26:E26)</f>
        <v>0.58956916099850787</v>
      </c>
      <c r="H26" t="s">
        <v>21</v>
      </c>
      <c r="I26">
        <f>I24/(1+I25)^(I23)</f>
        <v>-18140</v>
      </c>
      <c r="J26">
        <f t="shared" ref="J26" si="4">J24/(1+J25)^(J23)</f>
        <v>0</v>
      </c>
      <c r="K26">
        <f>K24/((1+K25)*(1+J25))</f>
        <v>17316.017316017311</v>
      </c>
      <c r="L26" s="2">
        <f>SUM(I26:K26)</f>
        <v>-823.9826839826892</v>
      </c>
      <c r="N26" t="s">
        <v>21</v>
      </c>
      <c r="O26">
        <f>O24/(1+O25)^(O23)</f>
        <v>-18140</v>
      </c>
      <c r="P26">
        <f t="shared" ref="P26" si="5">P24/(1+P25)^(P23)</f>
        <v>0</v>
      </c>
      <c r="Q26">
        <f>Q24/((1+Q25)*(1+P25))</f>
        <v>18674.136321195143</v>
      </c>
      <c r="R26" s="2">
        <f>SUM(O26:Q26)</f>
        <v>534.13632119514295</v>
      </c>
    </row>
    <row r="28" spans="2:18" x14ac:dyDescent="0.25">
      <c r="B28" t="s">
        <v>20</v>
      </c>
      <c r="C28">
        <v>0</v>
      </c>
      <c r="D28">
        <v>1</v>
      </c>
      <c r="E28">
        <v>2</v>
      </c>
      <c r="F28" t="s">
        <v>3</v>
      </c>
      <c r="H28" t="s">
        <v>20</v>
      </c>
      <c r="I28">
        <v>0</v>
      </c>
      <c r="J28">
        <v>1</v>
      </c>
      <c r="K28">
        <v>2</v>
      </c>
      <c r="L28" t="s">
        <v>3</v>
      </c>
      <c r="N28" t="s">
        <v>20</v>
      </c>
      <c r="O28">
        <v>0</v>
      </c>
      <c r="P28">
        <v>1</v>
      </c>
      <c r="Q28">
        <v>2</v>
      </c>
      <c r="R28" t="s">
        <v>3</v>
      </c>
    </row>
    <row r="29" spans="2:18" x14ac:dyDescent="0.25">
      <c r="B29" t="s">
        <v>26</v>
      </c>
      <c r="C29">
        <v>-19080</v>
      </c>
      <c r="D29">
        <v>20000</v>
      </c>
      <c r="E29">
        <v>0</v>
      </c>
      <c r="H29" t="s">
        <v>26</v>
      </c>
      <c r="I29">
        <v>-19080</v>
      </c>
      <c r="J29">
        <v>20000</v>
      </c>
      <c r="K29">
        <v>0</v>
      </c>
      <c r="N29" t="s">
        <v>26</v>
      </c>
      <c r="O29">
        <v>-19080</v>
      </c>
      <c r="P29">
        <v>20000</v>
      </c>
      <c r="Q29">
        <v>0</v>
      </c>
    </row>
    <row r="30" spans="2:18" x14ac:dyDescent="0.25">
      <c r="B30" t="s">
        <v>2</v>
      </c>
      <c r="C30" s="1">
        <v>0.05</v>
      </c>
      <c r="D30" s="1">
        <v>0.05</v>
      </c>
      <c r="E30" s="1">
        <v>0.05</v>
      </c>
      <c r="H30" t="s">
        <v>2</v>
      </c>
      <c r="I30" s="1">
        <v>0</v>
      </c>
      <c r="J30" s="1">
        <v>0.05</v>
      </c>
      <c r="K30" s="1">
        <v>0.1</v>
      </c>
      <c r="N30" t="s">
        <v>2</v>
      </c>
      <c r="O30" s="1">
        <v>0</v>
      </c>
      <c r="P30" s="1">
        <v>0.05</v>
      </c>
      <c r="Q30" s="1">
        <v>0.02</v>
      </c>
    </row>
    <row r="31" spans="2:18" x14ac:dyDescent="0.25">
      <c r="B31" t="s">
        <v>21</v>
      </c>
      <c r="C31">
        <f>C29/(1+C30)^(C28)</f>
        <v>-19080</v>
      </c>
      <c r="D31">
        <f t="shared" ref="D31" si="6">D29/(1+D30)^(D28)</f>
        <v>19047.619047619046</v>
      </c>
      <c r="E31">
        <f t="shared" ref="E31" si="7">E29/(1+E30)^(E28)</f>
        <v>0</v>
      </c>
      <c r="F31" s="2">
        <f>SUM(C31:E31)</f>
        <v>-32.380952380954113</v>
      </c>
      <c r="H31" t="s">
        <v>21</v>
      </c>
      <c r="I31">
        <f>I29/(1+I30)^(I28)</f>
        <v>-19080</v>
      </c>
      <c r="J31">
        <f t="shared" ref="J31" si="8">J29/(1+J30)^(J28)</f>
        <v>19047.619047619046</v>
      </c>
      <c r="K31">
        <f>K29/((1+K30)*(1+J30))</f>
        <v>0</v>
      </c>
      <c r="L31" s="2">
        <f>SUM(I31:K31)</f>
        <v>-32.380952380954113</v>
      </c>
      <c r="N31" t="s">
        <v>21</v>
      </c>
      <c r="O31">
        <f>O29/(1+O30)^(O28)</f>
        <v>-19080</v>
      </c>
      <c r="P31">
        <f t="shared" ref="P31" si="9">P29/(1+P30)^(P28)</f>
        <v>19047.619047619046</v>
      </c>
      <c r="Q31">
        <f t="shared" ref="Q31" si="10">Q29/(1+Q30)^(Q28)</f>
        <v>0</v>
      </c>
      <c r="R31" s="2">
        <f>SUM(O31:Q31)</f>
        <v>-32.380952380954113</v>
      </c>
    </row>
    <row r="33" spans="8:8" x14ac:dyDescent="0.25">
      <c r="H33" t="s">
        <v>34</v>
      </c>
    </row>
    <row r="34" spans="8:8" x14ac:dyDescent="0.25">
      <c r="H34" t="s">
        <v>35</v>
      </c>
    </row>
    <row r="35" spans="8:8" x14ac:dyDescent="0.25">
      <c r="H35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EBA0-2810-41C2-B263-50AD7145673F}">
  <dimension ref="A10:H26"/>
  <sheetViews>
    <sheetView zoomScale="220" zoomScaleNormal="220" workbookViewId="0">
      <selection activeCell="H22" sqref="H22"/>
    </sheetView>
  </sheetViews>
  <sheetFormatPr defaultRowHeight="15" x14ac:dyDescent="0.25"/>
  <sheetData>
    <row r="10" spans="1:6" x14ac:dyDescent="0.25">
      <c r="A10" s="16">
        <v>0.1</v>
      </c>
      <c r="B10" s="6"/>
      <c r="C10" s="6"/>
      <c r="D10" s="6"/>
      <c r="E10" s="6" t="s">
        <v>3</v>
      </c>
      <c r="F10" s="17" t="s">
        <v>6</v>
      </c>
    </row>
    <row r="11" spans="1:6" x14ac:dyDescent="0.25">
      <c r="A11" s="18" t="s">
        <v>1</v>
      </c>
      <c r="B11">
        <v>0</v>
      </c>
      <c r="C11">
        <v>1</v>
      </c>
      <c r="D11">
        <v>2</v>
      </c>
      <c r="F11" s="19"/>
    </row>
    <row r="12" spans="1:6" x14ac:dyDescent="0.25">
      <c r="A12" s="18" t="s">
        <v>26</v>
      </c>
      <c r="B12">
        <v>-10000</v>
      </c>
      <c r="C12">
        <v>2000</v>
      </c>
      <c r="D12">
        <v>12000</v>
      </c>
      <c r="F12" s="19"/>
    </row>
    <row r="13" spans="1:6" x14ac:dyDescent="0.25">
      <c r="A13" s="18" t="s">
        <v>2</v>
      </c>
      <c r="B13" s="1">
        <f>$A$10</f>
        <v>0.1</v>
      </c>
      <c r="C13" s="1">
        <f t="shared" ref="C13:D13" si="0">$A$10</f>
        <v>0.1</v>
      </c>
      <c r="D13" s="1">
        <f t="shared" si="0"/>
        <v>0.1</v>
      </c>
      <c r="F13" s="19"/>
    </row>
    <row r="14" spans="1:6" x14ac:dyDescent="0.25">
      <c r="A14" s="9" t="s">
        <v>21</v>
      </c>
      <c r="B14" s="10">
        <f>B12/(1+B13)^(B11)</f>
        <v>-10000</v>
      </c>
      <c r="C14" s="10">
        <f t="shared" ref="C14:D14" si="1">C12/(1+C13)^(C11)</f>
        <v>1818.181818181818</v>
      </c>
      <c r="D14" s="10">
        <f t="shared" si="1"/>
        <v>9917.355371900825</v>
      </c>
      <c r="E14" s="20">
        <f>SUM(B14:D14)</f>
        <v>1735.5371900826431</v>
      </c>
      <c r="F14" s="22">
        <v>0.19999999997519199</v>
      </c>
    </row>
    <row r="16" spans="1:6" x14ac:dyDescent="0.25">
      <c r="A16" s="16">
        <v>0.1</v>
      </c>
      <c r="B16" s="6"/>
      <c r="C16" s="6"/>
      <c r="D16" s="6"/>
      <c r="E16" s="6" t="s">
        <v>3</v>
      </c>
      <c r="F16" s="17" t="s">
        <v>6</v>
      </c>
    </row>
    <row r="17" spans="1:8" x14ac:dyDescent="0.25">
      <c r="A17" s="18" t="s">
        <v>4</v>
      </c>
      <c r="B17">
        <v>0</v>
      </c>
      <c r="C17">
        <v>1</v>
      </c>
      <c r="D17">
        <v>2</v>
      </c>
      <c r="F17" s="19"/>
    </row>
    <row r="18" spans="1:8" x14ac:dyDescent="0.25">
      <c r="A18" s="18" t="s">
        <v>26</v>
      </c>
      <c r="B18">
        <v>-10000</v>
      </c>
      <c r="C18">
        <v>10500</v>
      </c>
      <c r="D18">
        <v>20000</v>
      </c>
      <c r="F18" s="19"/>
    </row>
    <row r="19" spans="1:8" x14ac:dyDescent="0.25">
      <c r="A19" s="18" t="s">
        <v>2</v>
      </c>
      <c r="B19" s="1">
        <f>$A$16</f>
        <v>0.1</v>
      </c>
      <c r="C19" s="1">
        <f t="shared" ref="C19:D19" si="2">$A$16</f>
        <v>0.1</v>
      </c>
      <c r="D19" s="1">
        <f t="shared" si="2"/>
        <v>0.1</v>
      </c>
      <c r="F19" s="21">
        <f>IRR(B18:D18)</f>
        <v>1.0335174841544865</v>
      </c>
    </row>
    <row r="20" spans="1:8" x14ac:dyDescent="0.25">
      <c r="A20" s="9" t="s">
        <v>21</v>
      </c>
      <c r="B20" s="10">
        <f>B18/(1+B19)^(B17)</f>
        <v>-10000</v>
      </c>
      <c r="C20" s="10">
        <f t="shared" ref="C20:D20" si="3">C18/(1+C19)^(C17)</f>
        <v>9545.4545454545441</v>
      </c>
      <c r="D20" s="10">
        <f t="shared" si="3"/>
        <v>16528.925619834707</v>
      </c>
      <c r="E20" s="20">
        <f>SUM(B20:D20)</f>
        <v>16074.380165289251</v>
      </c>
      <c r="F20" s="22">
        <v>1.0335174547386701</v>
      </c>
    </row>
    <row r="21" spans="1:8" x14ac:dyDescent="0.25">
      <c r="H21" t="s">
        <v>96</v>
      </c>
    </row>
    <row r="22" spans="1:8" x14ac:dyDescent="0.25">
      <c r="A22" s="16">
        <v>0.1</v>
      </c>
      <c r="B22" s="6"/>
      <c r="C22" s="6"/>
      <c r="D22" s="6"/>
      <c r="E22" s="6" t="s">
        <v>3</v>
      </c>
      <c r="F22" s="17" t="s">
        <v>6</v>
      </c>
      <c r="H22" t="s">
        <v>94</v>
      </c>
    </row>
    <row r="23" spans="1:8" x14ac:dyDescent="0.25">
      <c r="A23" s="18" t="s">
        <v>5</v>
      </c>
      <c r="B23">
        <v>0</v>
      </c>
      <c r="C23">
        <v>1</v>
      </c>
      <c r="D23">
        <v>2</v>
      </c>
      <c r="F23" s="19"/>
      <c r="H23" t="s">
        <v>95</v>
      </c>
    </row>
    <row r="24" spans="1:8" x14ac:dyDescent="0.25">
      <c r="A24" s="18" t="s">
        <v>26</v>
      </c>
      <c r="B24">
        <v>-10000</v>
      </c>
      <c r="C24">
        <v>12000</v>
      </c>
      <c r="F24" s="19"/>
    </row>
    <row r="25" spans="1:8" x14ac:dyDescent="0.25">
      <c r="A25" s="18" t="s">
        <v>2</v>
      </c>
      <c r="B25" s="1">
        <f>$A$22</f>
        <v>0.1</v>
      </c>
      <c r="C25" s="1">
        <f t="shared" ref="C25:D25" si="4">$A$22</f>
        <v>0.1</v>
      </c>
      <c r="D25" s="1">
        <f t="shared" si="4"/>
        <v>0.1</v>
      </c>
      <c r="F25" s="19"/>
    </row>
    <row r="26" spans="1:8" x14ac:dyDescent="0.25">
      <c r="A26" s="9" t="s">
        <v>21</v>
      </c>
      <c r="B26" s="10">
        <f>B24/(1+B25)^(B23)</f>
        <v>-10000</v>
      </c>
      <c r="C26" s="10">
        <f>C24/(1+C25)^(C23)</f>
        <v>10909.090909090908</v>
      </c>
      <c r="D26" s="10">
        <f t="shared" ref="D26" si="5">D24/(1+D25)^(D23)</f>
        <v>0</v>
      </c>
      <c r="E26" s="20">
        <f>SUM(B26:D26)</f>
        <v>909.0909090909081</v>
      </c>
      <c r="F26" s="22">
        <v>0.199999944002687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4367-2A6A-4CD7-9D9C-9C5B4CDF4F9C}">
  <dimension ref="A14:AE59"/>
  <sheetViews>
    <sheetView zoomScale="130" zoomScaleNormal="130" workbookViewId="0">
      <selection activeCell="B31" sqref="B31"/>
    </sheetView>
  </sheetViews>
  <sheetFormatPr defaultRowHeight="15" x14ac:dyDescent="0.25"/>
  <sheetData>
    <row r="14" spans="1:10" x14ac:dyDescent="0.25">
      <c r="B14" s="1">
        <v>0.1</v>
      </c>
    </row>
    <row r="15" spans="1:10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3</v>
      </c>
      <c r="I15" t="s">
        <v>6</v>
      </c>
      <c r="J15" t="s">
        <v>38</v>
      </c>
    </row>
    <row r="16" spans="1:10" x14ac:dyDescent="0.25">
      <c r="A16" s="15" t="s">
        <v>13</v>
      </c>
      <c r="B16" s="15">
        <v>-2000</v>
      </c>
      <c r="C16" s="15">
        <v>-1000</v>
      </c>
      <c r="D16" s="15">
        <v>-1000</v>
      </c>
      <c r="E16" s="15">
        <v>-1000</v>
      </c>
      <c r="F16" s="15">
        <v>-1000</v>
      </c>
      <c r="G16" s="15">
        <v>-1000</v>
      </c>
    </row>
    <row r="17" spans="1:31" x14ac:dyDescent="0.25">
      <c r="A17" t="s">
        <v>2</v>
      </c>
      <c r="B17" s="1">
        <f>$B$14</f>
        <v>0.1</v>
      </c>
      <c r="C17" s="1">
        <f t="shared" ref="C17:G17" si="0">$B$14</f>
        <v>0.1</v>
      </c>
      <c r="D17" s="1">
        <f t="shared" si="0"/>
        <v>0.1</v>
      </c>
      <c r="E17" s="1">
        <f t="shared" si="0"/>
        <v>0.1</v>
      </c>
      <c r="F17" s="1">
        <f t="shared" si="0"/>
        <v>0.1</v>
      </c>
      <c r="G17" s="1">
        <f t="shared" si="0"/>
        <v>0.1</v>
      </c>
      <c r="M17" t="s">
        <v>97</v>
      </c>
    </row>
    <row r="18" spans="1:31" x14ac:dyDescent="0.25">
      <c r="A18" t="s">
        <v>37</v>
      </c>
      <c r="B18">
        <f>B16/(1+B17)^(B15)</f>
        <v>-2000</v>
      </c>
      <c r="C18">
        <f t="shared" ref="C18:G18" si="1">C16/(1+C17)^(C15)</f>
        <v>-909.09090909090901</v>
      </c>
      <c r="D18">
        <f t="shared" si="1"/>
        <v>-826.44628099173542</v>
      </c>
      <c r="E18">
        <f t="shared" si="1"/>
        <v>-751.31480090157754</v>
      </c>
      <c r="F18">
        <f t="shared" si="1"/>
        <v>-683.01345536507051</v>
      </c>
      <c r="G18">
        <f t="shared" si="1"/>
        <v>-620.92132305915493</v>
      </c>
      <c r="H18">
        <f>SUM(B18:G18)</f>
        <v>-5790.7867694084471</v>
      </c>
      <c r="I18" s="1"/>
      <c r="J18">
        <f>H18/B16</f>
        <v>2.8953933847042235</v>
      </c>
    </row>
    <row r="19" spans="1:31" x14ac:dyDescent="0.25">
      <c r="A19" s="15" t="s">
        <v>13</v>
      </c>
      <c r="B19" s="15">
        <f>B16+1000</f>
        <v>-1000</v>
      </c>
      <c r="C19" s="15">
        <f>C16-333</f>
        <v>-1333</v>
      </c>
      <c r="D19" s="15">
        <f t="shared" ref="D19:G19" si="2">D16-333</f>
        <v>-1333</v>
      </c>
      <c r="E19" s="15">
        <f t="shared" si="2"/>
        <v>-1333</v>
      </c>
      <c r="F19" s="15">
        <f t="shared" si="2"/>
        <v>-1333</v>
      </c>
      <c r="G19" s="15">
        <f t="shared" si="2"/>
        <v>-1333</v>
      </c>
    </row>
    <row r="20" spans="1:31" x14ac:dyDescent="0.25">
      <c r="A20" t="s">
        <v>2</v>
      </c>
      <c r="B20" s="1">
        <f>$B$14</f>
        <v>0.1</v>
      </c>
      <c r="C20" s="1">
        <f t="shared" ref="C20:G20" si="3">$B$14</f>
        <v>0.1</v>
      </c>
      <c r="D20" s="1">
        <f t="shared" si="3"/>
        <v>0.1</v>
      </c>
      <c r="E20" s="1">
        <f t="shared" si="3"/>
        <v>0.1</v>
      </c>
      <c r="F20" s="1">
        <f t="shared" si="3"/>
        <v>0.1</v>
      </c>
      <c r="G20" s="1">
        <f t="shared" si="3"/>
        <v>0.1</v>
      </c>
    </row>
    <row r="21" spans="1:31" x14ac:dyDescent="0.25">
      <c r="A21" t="s">
        <v>37</v>
      </c>
      <c r="B21">
        <f>B19/(1+B20)^(B15)</f>
        <v>-1000</v>
      </c>
      <c r="C21">
        <f t="shared" ref="C21:G21" si="4">C19/(1+C20)^(C15)</f>
        <v>-1211.8181818181818</v>
      </c>
      <c r="D21">
        <f>D19/(1+D20)^(D15)</f>
        <v>-1101.6528925619832</v>
      </c>
      <c r="E21">
        <f t="shared" si="4"/>
        <v>-1001.5026296018028</v>
      </c>
      <c r="F21">
        <f t="shared" si="4"/>
        <v>-910.45693600163895</v>
      </c>
      <c r="G21">
        <f t="shared" si="4"/>
        <v>-827.68812363785355</v>
      </c>
      <c r="H21" s="2">
        <f>SUM(B21:G21)</f>
        <v>-6053.1187636214618</v>
      </c>
      <c r="I21" s="14"/>
      <c r="J21" s="2">
        <f>H21/B19</f>
        <v>6.0531187636214616</v>
      </c>
      <c r="L21" t="s">
        <v>39</v>
      </c>
    </row>
    <row r="23" spans="1:31" x14ac:dyDescent="0.25">
      <c r="A23" t="s">
        <v>65</v>
      </c>
      <c r="B23">
        <v>-2000</v>
      </c>
      <c r="C23" t="s">
        <v>77</v>
      </c>
      <c r="D23">
        <f>B23*0.5</f>
        <v>-1000</v>
      </c>
    </row>
    <row r="24" spans="1:31" x14ac:dyDescent="0.25">
      <c r="A24" s="1">
        <v>0.1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 t="s">
        <v>3</v>
      </c>
    </row>
    <row r="25" spans="1:31" x14ac:dyDescent="0.25">
      <c r="A25" s="15" t="s">
        <v>76</v>
      </c>
      <c r="B25" s="15">
        <f>$B$23</f>
        <v>-2000</v>
      </c>
      <c r="C25" s="15">
        <f>B23*0.5</f>
        <v>-1000</v>
      </c>
      <c r="D25" s="15">
        <f t="shared" ref="D25:G25" si="5">$D$23</f>
        <v>-1000</v>
      </c>
      <c r="E25" s="15">
        <f t="shared" si="5"/>
        <v>-1000</v>
      </c>
      <c r="F25" s="15">
        <f t="shared" si="5"/>
        <v>-1000</v>
      </c>
      <c r="G25" s="15">
        <f t="shared" si="5"/>
        <v>-1000</v>
      </c>
    </row>
    <row r="26" spans="1:31" x14ac:dyDescent="0.25">
      <c r="A26" t="s">
        <v>37</v>
      </c>
      <c r="B26">
        <f>B25/(1+$A$24)^(B24)</f>
        <v>-2000</v>
      </c>
      <c r="C26">
        <f t="shared" ref="C26:G26" si="6">C25/(1+$A$24)^(C24)</f>
        <v>-909.09090909090901</v>
      </c>
      <c r="D26">
        <f t="shared" si="6"/>
        <v>-826.44628099173542</v>
      </c>
      <c r="E26">
        <f t="shared" si="6"/>
        <v>-751.31480090157754</v>
      </c>
      <c r="F26">
        <f t="shared" si="6"/>
        <v>-683.01345536507051</v>
      </c>
      <c r="G26">
        <f t="shared" si="6"/>
        <v>-620.92132305915493</v>
      </c>
      <c r="H26">
        <f>SUM(B26:G26)</f>
        <v>-5790.7867694084471</v>
      </c>
    </row>
    <row r="27" spans="1:31" x14ac:dyDescent="0.25">
      <c r="A27" s="15" t="s">
        <v>75</v>
      </c>
      <c r="B27" s="15">
        <f>$B$23+1000</f>
        <v>-1000</v>
      </c>
      <c r="C27" s="15">
        <f>C25-333</f>
        <v>-1333</v>
      </c>
      <c r="D27" s="15">
        <f t="shared" ref="D27:G27" si="7">D25-333</f>
        <v>-1333</v>
      </c>
      <c r="E27" s="15">
        <f t="shared" si="7"/>
        <v>-1333</v>
      </c>
      <c r="F27" s="15">
        <f t="shared" si="7"/>
        <v>-1333</v>
      </c>
      <c r="G27" s="15">
        <f t="shared" si="7"/>
        <v>-1333</v>
      </c>
    </row>
    <row r="28" spans="1:31" x14ac:dyDescent="0.25">
      <c r="A28" t="s">
        <v>37</v>
      </c>
      <c r="B28">
        <f>B27/(1+$A$24)^(B24)</f>
        <v>-1000</v>
      </c>
      <c r="C28">
        <f t="shared" ref="C28:G28" si="8">C27/(1+$A$24)^(C24)</f>
        <v>-1211.8181818181818</v>
      </c>
      <c r="D28">
        <f t="shared" si="8"/>
        <v>-1101.6528925619832</v>
      </c>
      <c r="E28">
        <f t="shared" si="8"/>
        <v>-1001.5026296018028</v>
      </c>
      <c r="F28">
        <f t="shared" si="8"/>
        <v>-910.45693600163895</v>
      </c>
      <c r="G28">
        <f t="shared" si="8"/>
        <v>-827.68812363785355</v>
      </c>
      <c r="H28">
        <f>SUM(B28:G28)</f>
        <v>-6053.1187636214618</v>
      </c>
    </row>
    <row r="29" spans="1:31" x14ac:dyDescent="0.25">
      <c r="B29" t="s">
        <v>80</v>
      </c>
    </row>
    <row r="30" spans="1:31" x14ac:dyDescent="0.25">
      <c r="A30">
        <v>1</v>
      </c>
      <c r="B30">
        <v>-1100</v>
      </c>
      <c r="C30">
        <v>-1200</v>
      </c>
      <c r="D30">
        <v>-1300</v>
      </c>
      <c r="E30">
        <v>-1400</v>
      </c>
      <c r="F30">
        <v>-1500</v>
      </c>
      <c r="G30">
        <v>-1600</v>
      </c>
      <c r="H30">
        <v>-1700</v>
      </c>
      <c r="I30">
        <v>-1800</v>
      </c>
      <c r="J30">
        <v>-1900</v>
      </c>
      <c r="K30">
        <v>-2000</v>
      </c>
      <c r="L30">
        <v>-2100</v>
      </c>
      <c r="M30">
        <v>-2200</v>
      </c>
      <c r="N30">
        <v>-2300</v>
      </c>
      <c r="O30">
        <v>-2400</v>
      </c>
      <c r="P30">
        <v>-2500</v>
      </c>
      <c r="Q30">
        <v>-2600</v>
      </c>
      <c r="R30">
        <v>-2700</v>
      </c>
      <c r="S30">
        <v>-2800</v>
      </c>
      <c r="T30">
        <v>-2900</v>
      </c>
      <c r="U30">
        <v>-3000</v>
      </c>
      <c r="V30">
        <v>-3100</v>
      </c>
      <c r="W30">
        <v>-3200</v>
      </c>
      <c r="X30">
        <v>-3300</v>
      </c>
      <c r="Y30">
        <v>-3400</v>
      </c>
      <c r="Z30">
        <v>-3500</v>
      </c>
      <c r="AA30">
        <v>-3600</v>
      </c>
      <c r="AB30">
        <v>-3700</v>
      </c>
      <c r="AC30">
        <v>-3800</v>
      </c>
      <c r="AD30">
        <v>-3900</v>
      </c>
      <c r="AE30">
        <v>-4000</v>
      </c>
    </row>
    <row r="31" spans="1:31" x14ac:dyDescent="0.25">
      <c r="A31" t="s">
        <v>78</v>
      </c>
      <c r="B31">
        <f>B30+(B30*$A$30)/(1+$A$24)^(1)+(B30*$A$30)/(1+$A$24)^(2)+(B30*$A$30)/(1+$A$24)^(3)+(B30*$A$30)/(1+$A$24)^(4)+(B30*$A$30)/(1+$A$24)^(5)</f>
        <v>-5269.8654463492921</v>
      </c>
      <c r="C31">
        <f>C30+(C30*$A$30)/(1+$A$24)^(1)+(C30*$A$30)/(1+$A$24)^(2)+(C30*$A$30)/(1+$A$24)^(3)+(C30*$A$30)/(1+$A$24)^(4)+(C30*$A$30)/(1+$A$24)^(5)</f>
        <v>-5748.9441232901372</v>
      </c>
      <c r="D31">
        <f t="shared" ref="C31:AE31" si="9">D30+(D30*$A$30)/(1+$A$24)^(1)+(D30*$A$30)/(1+$A$24)^(2)+(D30*$A$30)/(1+$A$24)^(3)+(D30*$A$30)/(1+$A$24)^(4)+(D30*$A$30)/(1+$A$24)^(5)</f>
        <v>-6228.0228002309823</v>
      </c>
      <c r="E31">
        <f t="shared" si="9"/>
        <v>-6707.1014771718274</v>
      </c>
      <c r="F31">
        <f t="shared" si="9"/>
        <v>-7186.1801541126697</v>
      </c>
      <c r="G31">
        <f t="shared" si="9"/>
        <v>-7665.2588310535157</v>
      </c>
      <c r="H31">
        <f t="shared" si="9"/>
        <v>-8144.3375079943598</v>
      </c>
      <c r="I31">
        <f t="shared" si="9"/>
        <v>-8623.4161849352058</v>
      </c>
      <c r="J31">
        <f t="shared" si="9"/>
        <v>-9102.49486187605</v>
      </c>
      <c r="K31">
        <f t="shared" si="9"/>
        <v>-9581.573538816896</v>
      </c>
      <c r="L31">
        <f t="shared" si="9"/>
        <v>-10060.65221575774</v>
      </c>
      <c r="M31">
        <f t="shared" si="9"/>
        <v>-10539.730892698584</v>
      </c>
      <c r="N31">
        <f t="shared" si="9"/>
        <v>-11018.809569639428</v>
      </c>
      <c r="O31">
        <f t="shared" si="9"/>
        <v>-11497.888246580274</v>
      </c>
      <c r="P31">
        <f t="shared" si="9"/>
        <v>-11976.966923521119</v>
      </c>
      <c r="Q31">
        <f t="shared" si="9"/>
        <v>-12456.045600461965</v>
      </c>
      <c r="R31">
        <f t="shared" si="9"/>
        <v>-12935.124277402809</v>
      </c>
      <c r="S31">
        <f t="shared" si="9"/>
        <v>-13414.202954343655</v>
      </c>
      <c r="T31">
        <f t="shared" si="9"/>
        <v>-13893.281631284497</v>
      </c>
      <c r="U31">
        <f t="shared" si="9"/>
        <v>-14372.360308225339</v>
      </c>
      <c r="V31">
        <f t="shared" si="9"/>
        <v>-14851.438985166187</v>
      </c>
      <c r="W31">
        <f t="shared" si="9"/>
        <v>-15330.517662107031</v>
      </c>
      <c r="X31">
        <f t="shared" si="9"/>
        <v>-15809.596339047876</v>
      </c>
      <c r="Y31">
        <f t="shared" si="9"/>
        <v>-16288.67501598872</v>
      </c>
      <c r="Z31">
        <f t="shared" si="9"/>
        <v>-16767.753692929567</v>
      </c>
      <c r="AA31">
        <f t="shared" si="9"/>
        <v>-17246.832369870412</v>
      </c>
      <c r="AB31">
        <f t="shared" si="9"/>
        <v>-17725.911046811256</v>
      </c>
      <c r="AC31">
        <f t="shared" si="9"/>
        <v>-18204.9897237521</v>
      </c>
      <c r="AD31">
        <f t="shared" si="9"/>
        <v>-18684.068400692944</v>
      </c>
      <c r="AE31">
        <f t="shared" si="9"/>
        <v>-19163.147077633792</v>
      </c>
    </row>
    <row r="32" spans="1:31" x14ac:dyDescent="0.25">
      <c r="A32" t="s">
        <v>79</v>
      </c>
      <c r="B32">
        <f>(B30+1000)+((B30*$A$30)-333)/(1+$A$24)^(1)+((B30*$A$30)-333)/(1+$A$24)^(2)+((B30*$A$30)-333)/(1+$A$24)^(3)+((B30*$A$30)-333)/(1+$A$24)^(4)+((B30*$A$30)-333)/(1+$A$24)^(5)</f>
        <v>-5532.1974405623041</v>
      </c>
      <c r="C32">
        <f t="shared" ref="C32:AE32" si="10">(C30+1000)+((C30*$A$30)-333)/(1+$A$24)^(1)+((C30*$A$30)-333)/(1+$A$24)^(2)+((C30*$A$30)-333)/(1+$A$24)^(3)+((C30*$A$30)-333)/(1+$A$24)^(4)+((C30*$A$30)-333)/(1+$A$24)^(5)</f>
        <v>-6011.2761175031492</v>
      </c>
      <c r="D32">
        <f t="shared" si="10"/>
        <v>-6490.3547944439943</v>
      </c>
      <c r="E32">
        <f t="shared" si="10"/>
        <v>-6969.4334713848384</v>
      </c>
      <c r="F32">
        <f t="shared" si="10"/>
        <v>-7448.5121483256835</v>
      </c>
      <c r="G32">
        <f t="shared" si="10"/>
        <v>-7927.5908252665286</v>
      </c>
      <c r="H32">
        <f t="shared" si="10"/>
        <v>-8406.6695022073727</v>
      </c>
      <c r="I32">
        <f t="shared" si="10"/>
        <v>-8885.7481791482187</v>
      </c>
      <c r="J32">
        <f t="shared" si="10"/>
        <v>-9364.8268560890629</v>
      </c>
      <c r="K32">
        <f t="shared" si="10"/>
        <v>-9843.905533029907</v>
      </c>
      <c r="L32">
        <f t="shared" si="10"/>
        <v>-10322.984209970753</v>
      </c>
      <c r="M32">
        <f t="shared" si="10"/>
        <v>-10802.062886911597</v>
      </c>
      <c r="N32">
        <f t="shared" si="10"/>
        <v>-11281.141563852441</v>
      </c>
      <c r="O32">
        <f t="shared" si="10"/>
        <v>-11760.220240793287</v>
      </c>
      <c r="P32">
        <f t="shared" si="10"/>
        <v>-12239.298917734131</v>
      </c>
      <c r="Q32">
        <f t="shared" si="10"/>
        <v>-12718.377594674976</v>
      </c>
      <c r="R32">
        <f t="shared" si="10"/>
        <v>-13197.456271615822</v>
      </c>
      <c r="S32">
        <f t="shared" si="10"/>
        <v>-13676.534948556666</v>
      </c>
      <c r="T32">
        <f t="shared" si="10"/>
        <v>-14155.61362549751</v>
      </c>
      <c r="U32">
        <f t="shared" si="10"/>
        <v>-14634.692302438356</v>
      </c>
      <c r="V32">
        <f t="shared" si="10"/>
        <v>-15113.7709793792</v>
      </c>
      <c r="W32">
        <f t="shared" si="10"/>
        <v>-15592.849656320046</v>
      </c>
      <c r="X32">
        <f t="shared" si="10"/>
        <v>-16071.928333260888</v>
      </c>
      <c r="Y32">
        <f t="shared" si="10"/>
        <v>-16551.007010201734</v>
      </c>
      <c r="Z32">
        <f t="shared" si="10"/>
        <v>-17030.085687142579</v>
      </c>
      <c r="AA32">
        <f t="shared" si="10"/>
        <v>-17509.164364083423</v>
      </c>
      <c r="AB32">
        <f t="shared" si="10"/>
        <v>-17988.243041024267</v>
      </c>
      <c r="AC32">
        <f t="shared" si="10"/>
        <v>-18467.321717965111</v>
      </c>
      <c r="AD32">
        <f t="shared" si="10"/>
        <v>-18946.400394905959</v>
      </c>
      <c r="AE32">
        <f t="shared" si="10"/>
        <v>-19425.479071846803</v>
      </c>
    </row>
    <row r="33" spans="1:31" x14ac:dyDescent="0.25">
      <c r="A33" t="s">
        <v>25</v>
      </c>
      <c r="B33">
        <f>ABS(B31)-ABS(B32)</f>
        <v>-262.33199421301197</v>
      </c>
      <c r="C33">
        <f t="shared" ref="C33:AE33" si="11">ABS(C31)-ABS(C32)</f>
        <v>-262.33199421301197</v>
      </c>
      <c r="D33">
        <f t="shared" si="11"/>
        <v>-262.33199421301197</v>
      </c>
      <c r="E33">
        <f t="shared" si="11"/>
        <v>-262.33199421301106</v>
      </c>
      <c r="F33">
        <f t="shared" si="11"/>
        <v>-262.33199421301379</v>
      </c>
      <c r="G33">
        <f t="shared" si="11"/>
        <v>-262.33199421301288</v>
      </c>
      <c r="H33">
        <f t="shared" si="11"/>
        <v>-262.33199421301288</v>
      </c>
      <c r="I33">
        <f t="shared" si="11"/>
        <v>-262.33199421301288</v>
      </c>
      <c r="J33">
        <f t="shared" si="11"/>
        <v>-262.33199421301288</v>
      </c>
      <c r="K33">
        <f t="shared" si="11"/>
        <v>-262.33199421301106</v>
      </c>
      <c r="L33">
        <f t="shared" si="11"/>
        <v>-262.33199421301288</v>
      </c>
      <c r="M33">
        <f t="shared" si="11"/>
        <v>-262.33199421301288</v>
      </c>
      <c r="N33">
        <f t="shared" si="11"/>
        <v>-262.33199421301288</v>
      </c>
      <c r="O33">
        <f t="shared" si="11"/>
        <v>-262.33199421301288</v>
      </c>
      <c r="P33">
        <f t="shared" si="11"/>
        <v>-262.33199421301288</v>
      </c>
      <c r="Q33">
        <f t="shared" si="11"/>
        <v>-262.33199421301106</v>
      </c>
      <c r="R33">
        <f t="shared" si="11"/>
        <v>-262.33199421301288</v>
      </c>
      <c r="S33">
        <f t="shared" si="11"/>
        <v>-262.33199421301106</v>
      </c>
      <c r="T33">
        <f t="shared" si="11"/>
        <v>-262.33199421301288</v>
      </c>
      <c r="U33">
        <f t="shared" si="11"/>
        <v>-262.33199421301651</v>
      </c>
      <c r="V33">
        <f t="shared" si="11"/>
        <v>-262.33199421301288</v>
      </c>
      <c r="W33">
        <f t="shared" si="11"/>
        <v>-262.3319942130147</v>
      </c>
      <c r="X33">
        <f t="shared" si="11"/>
        <v>-262.33199421301288</v>
      </c>
      <c r="Y33">
        <f t="shared" si="11"/>
        <v>-262.3319942130147</v>
      </c>
      <c r="Z33">
        <f t="shared" si="11"/>
        <v>-262.33199421301106</v>
      </c>
      <c r="AA33">
        <f t="shared" si="11"/>
        <v>-262.33199421301106</v>
      </c>
      <c r="AB33">
        <f t="shared" si="11"/>
        <v>-262.33199421301106</v>
      </c>
      <c r="AC33">
        <f t="shared" si="11"/>
        <v>-262.33199421301106</v>
      </c>
      <c r="AD33">
        <f t="shared" si="11"/>
        <v>-262.3319942130147</v>
      </c>
      <c r="AE33">
        <f t="shared" si="11"/>
        <v>-262.33199421301106</v>
      </c>
    </row>
    <row r="34" spans="1:31" x14ac:dyDescent="0.25">
      <c r="A34" t="s">
        <v>117</v>
      </c>
      <c r="B34">
        <f>1000+(-333)/(1+$A$24)^(1)+(-333)/(1+$A$24)^(2)+(-333)/(1+$A$24)^(3)+(-333)/(1+$A$24)^(4)+(-333)/(1+$A$24)^(5)</f>
        <v>-262.33199421301299</v>
      </c>
    </row>
    <row r="35" spans="1:31" x14ac:dyDescent="0.25">
      <c r="A35" t="s">
        <v>82</v>
      </c>
      <c r="B35">
        <v>-1100</v>
      </c>
    </row>
    <row r="36" spans="1:31" x14ac:dyDescent="0.25">
      <c r="A36" t="s">
        <v>83</v>
      </c>
      <c r="B36">
        <f>B35*A30</f>
        <v>-1100</v>
      </c>
    </row>
    <row r="37" spans="1:31" x14ac:dyDescent="0.25">
      <c r="A37">
        <v>0.5</v>
      </c>
      <c r="B37" t="s">
        <v>81</v>
      </c>
    </row>
    <row r="39" spans="1:31" ht="45" x14ac:dyDescent="0.25">
      <c r="A39" s="23" t="s">
        <v>85</v>
      </c>
      <c r="B39" t="s">
        <v>84</v>
      </c>
    </row>
    <row r="40" spans="1:31" x14ac:dyDescent="0.25">
      <c r="A40">
        <v>0</v>
      </c>
      <c r="B40">
        <f>1000+(-333)/(1+$A$24)^(1)+(-333)/(1+$A$24)^(2)+(-333)/(1+$A$24)^(3)+(-333)/(1+$A$24)^(4)+(-333)/(1+$A$24)^(5)</f>
        <v>-262.33199421301299</v>
      </c>
    </row>
    <row r="41" spans="1:31" x14ac:dyDescent="0.25">
      <c r="A41">
        <v>0.1</v>
      </c>
      <c r="B41">
        <f t="shared" ref="B41:B59" si="12">1000+(-333)/(1+$A$24)^(1)+(-333)/(1+$A$24)^(2)+(-333)/(1+$A$24)^(3)+(-333)/(1+$A$24)^(4)+(-333)/(1+$A$24)^(5)</f>
        <v>-262.33199421301299</v>
      </c>
    </row>
    <row r="42" spans="1:31" x14ac:dyDescent="0.25">
      <c r="A42">
        <v>0.2</v>
      </c>
      <c r="B42">
        <f t="shared" si="12"/>
        <v>-262.33199421301299</v>
      </c>
    </row>
    <row r="43" spans="1:31" x14ac:dyDescent="0.25">
      <c r="A43">
        <v>0.3</v>
      </c>
      <c r="B43">
        <f t="shared" si="12"/>
        <v>-262.33199421301299</v>
      </c>
    </row>
    <row r="44" spans="1:31" x14ac:dyDescent="0.25">
      <c r="A44">
        <v>0.4</v>
      </c>
      <c r="B44">
        <f t="shared" si="12"/>
        <v>-262.33199421301299</v>
      </c>
    </row>
    <row r="45" spans="1:31" x14ac:dyDescent="0.25">
      <c r="A45">
        <v>0.5</v>
      </c>
      <c r="B45">
        <f t="shared" si="12"/>
        <v>-262.33199421301299</v>
      </c>
    </row>
    <row r="46" spans="1:31" x14ac:dyDescent="0.25">
      <c r="A46">
        <v>0.6</v>
      </c>
      <c r="B46">
        <f t="shared" si="12"/>
        <v>-262.33199421301299</v>
      </c>
    </row>
    <row r="47" spans="1:31" x14ac:dyDescent="0.25">
      <c r="A47">
        <v>0.7</v>
      </c>
      <c r="B47">
        <f t="shared" si="12"/>
        <v>-262.33199421301299</v>
      </c>
    </row>
    <row r="48" spans="1:31" x14ac:dyDescent="0.25">
      <c r="A48">
        <v>0.8</v>
      </c>
      <c r="B48">
        <f t="shared" si="12"/>
        <v>-262.33199421301299</v>
      </c>
    </row>
    <row r="49" spans="1:4" x14ac:dyDescent="0.25">
      <c r="A49">
        <v>0.9</v>
      </c>
      <c r="B49">
        <f t="shared" si="12"/>
        <v>-262.33199421301299</v>
      </c>
    </row>
    <row r="50" spans="1:4" x14ac:dyDescent="0.25">
      <c r="A50">
        <v>1</v>
      </c>
      <c r="B50">
        <f t="shared" si="12"/>
        <v>-262.33199421301299</v>
      </c>
    </row>
    <row r="51" spans="1:4" x14ac:dyDescent="0.25">
      <c r="A51">
        <v>1.1000000000000001</v>
      </c>
      <c r="B51">
        <f t="shared" si="12"/>
        <v>-262.33199421301299</v>
      </c>
    </row>
    <row r="52" spans="1:4" x14ac:dyDescent="0.25">
      <c r="A52">
        <v>1.2</v>
      </c>
      <c r="B52">
        <f t="shared" si="12"/>
        <v>-262.33199421301299</v>
      </c>
    </row>
    <row r="53" spans="1:4" x14ac:dyDescent="0.25">
      <c r="A53">
        <v>1.3</v>
      </c>
      <c r="B53">
        <f t="shared" si="12"/>
        <v>-262.33199421301299</v>
      </c>
    </row>
    <row r="54" spans="1:4" x14ac:dyDescent="0.25">
      <c r="A54">
        <v>1.4</v>
      </c>
      <c r="B54">
        <f t="shared" si="12"/>
        <v>-262.33199421301299</v>
      </c>
    </row>
    <row r="55" spans="1:4" x14ac:dyDescent="0.25">
      <c r="A55">
        <v>1.5</v>
      </c>
      <c r="B55">
        <f t="shared" si="12"/>
        <v>-262.33199421301299</v>
      </c>
      <c r="D55" t="s">
        <v>118</v>
      </c>
    </row>
    <row r="56" spans="1:4" x14ac:dyDescent="0.25">
      <c r="A56">
        <v>1.6</v>
      </c>
      <c r="B56">
        <f t="shared" si="12"/>
        <v>-262.33199421301299</v>
      </c>
    </row>
    <row r="57" spans="1:4" x14ac:dyDescent="0.25">
      <c r="A57">
        <v>1.7</v>
      </c>
      <c r="B57">
        <f t="shared" si="12"/>
        <v>-262.33199421301299</v>
      </c>
    </row>
    <row r="58" spans="1:4" x14ac:dyDescent="0.25">
      <c r="A58">
        <v>1.8</v>
      </c>
      <c r="B58">
        <f t="shared" si="12"/>
        <v>-262.33199421301299</v>
      </c>
    </row>
    <row r="59" spans="1:4" x14ac:dyDescent="0.25">
      <c r="A59">
        <v>1.9</v>
      </c>
      <c r="B59">
        <f t="shared" si="12"/>
        <v>-262.33199421301299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603-69C1-47E8-AB8A-6534609C3D46}">
  <dimension ref="B8:L17"/>
  <sheetViews>
    <sheetView zoomScale="205" zoomScaleNormal="205" workbookViewId="0">
      <selection activeCell="E16" sqref="E16"/>
    </sheetView>
  </sheetViews>
  <sheetFormatPr defaultRowHeight="15" x14ac:dyDescent="0.25"/>
  <sheetData>
    <row r="8" spans="2:12" x14ac:dyDescent="0.25">
      <c r="B8" s="1">
        <v>0.1</v>
      </c>
    </row>
    <row r="9" spans="2:12" x14ac:dyDescent="0.25">
      <c r="B9" t="s">
        <v>1</v>
      </c>
      <c r="C9">
        <v>0</v>
      </c>
      <c r="D9">
        <v>1</v>
      </c>
      <c r="E9">
        <v>2</v>
      </c>
      <c r="F9" t="s">
        <v>3</v>
      </c>
      <c r="G9" t="s">
        <v>6</v>
      </c>
      <c r="H9" t="s">
        <v>38</v>
      </c>
    </row>
    <row r="10" spans="2:12" x14ac:dyDescent="0.25">
      <c r="B10" s="15" t="s">
        <v>13</v>
      </c>
      <c r="C10" s="15">
        <v>-16500</v>
      </c>
      <c r="D10" s="15">
        <v>10000</v>
      </c>
      <c r="E10" s="15">
        <v>10000</v>
      </c>
    </row>
    <row r="11" spans="2:12" x14ac:dyDescent="0.25">
      <c r="B11" t="s">
        <v>2</v>
      </c>
      <c r="C11" s="1">
        <f>$B$8</f>
        <v>0.1</v>
      </c>
      <c r="D11" s="1">
        <f t="shared" ref="D11:E11" si="0">$B$8</f>
        <v>0.1</v>
      </c>
      <c r="E11" s="1">
        <f t="shared" si="0"/>
        <v>0.1</v>
      </c>
    </row>
    <row r="12" spans="2:12" x14ac:dyDescent="0.25">
      <c r="B12" t="s">
        <v>37</v>
      </c>
      <c r="C12">
        <f>C10/(1+C11)^(C9)</f>
        <v>-16500</v>
      </c>
      <c r="D12">
        <f t="shared" ref="D12:E12" si="1">D10/(1+D11)^(D9)</f>
        <v>9090.9090909090901</v>
      </c>
      <c r="E12">
        <f t="shared" si="1"/>
        <v>8264.4628099173533</v>
      </c>
      <c r="F12" s="2">
        <f>SUM(C12:E12)</f>
        <v>855.37190082644338</v>
      </c>
      <c r="G12" s="14">
        <f>IRR(C10:E10)</f>
        <v>0.13842719709637641</v>
      </c>
      <c r="H12">
        <f>F12/C10</f>
        <v>-5.1840721262208692E-2</v>
      </c>
      <c r="I12" s="2" t="s">
        <v>40</v>
      </c>
      <c r="J12" s="2"/>
      <c r="K12" s="2"/>
      <c r="L12" s="2"/>
    </row>
    <row r="14" spans="2:12" x14ac:dyDescent="0.25">
      <c r="B14" t="s">
        <v>4</v>
      </c>
      <c r="C14">
        <v>0</v>
      </c>
      <c r="D14">
        <v>1</v>
      </c>
      <c r="E14">
        <v>2</v>
      </c>
      <c r="F14" t="s">
        <v>3</v>
      </c>
      <c r="G14" t="s">
        <v>6</v>
      </c>
      <c r="H14" t="s">
        <v>38</v>
      </c>
    </row>
    <row r="15" spans="2:12" x14ac:dyDescent="0.25">
      <c r="B15" s="15" t="s">
        <v>13</v>
      </c>
      <c r="C15" s="15">
        <v>-100000</v>
      </c>
      <c r="D15" s="15">
        <v>60000</v>
      </c>
      <c r="E15" s="15">
        <v>60000</v>
      </c>
    </row>
    <row r="16" spans="2:12" x14ac:dyDescent="0.25">
      <c r="B16" t="s">
        <v>2</v>
      </c>
      <c r="C16" s="1">
        <f>$B$8</f>
        <v>0.1</v>
      </c>
      <c r="D16" s="1">
        <f t="shared" ref="D16:E16" si="2">$B$8</f>
        <v>0.1</v>
      </c>
      <c r="E16" s="1">
        <f t="shared" si="2"/>
        <v>0.1</v>
      </c>
    </row>
    <row r="17" spans="2:8" x14ac:dyDescent="0.25">
      <c r="B17" t="s">
        <v>37</v>
      </c>
      <c r="C17">
        <f>C15/(1+C16)^(C14)</f>
        <v>-100000</v>
      </c>
      <c r="D17">
        <f t="shared" ref="D17:E17" si="3">D15/(1+D16)^(D14)</f>
        <v>54545.454545454544</v>
      </c>
      <c r="E17">
        <f t="shared" si="3"/>
        <v>49586.776859504127</v>
      </c>
      <c r="F17" s="2">
        <f>SUM(C17:E17)</f>
        <v>4132.2314049586712</v>
      </c>
      <c r="G17" s="14">
        <f>IRR(C15:E15)</f>
        <v>0.13066238629180749</v>
      </c>
      <c r="H17">
        <f>F17/C15</f>
        <v>-4.1322314049586709E-2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DAC9-A9F9-4F9F-A48B-FF2696E6D7F7}">
  <dimension ref="B10:I33"/>
  <sheetViews>
    <sheetView zoomScale="160" zoomScaleNormal="160" workbookViewId="0">
      <selection activeCell="J34" sqref="J34"/>
    </sheetView>
  </sheetViews>
  <sheetFormatPr defaultRowHeight="15" x14ac:dyDescent="0.25"/>
  <sheetData>
    <row r="10" spans="2:9" x14ac:dyDescent="0.25">
      <c r="B10" s="1">
        <v>0.05</v>
      </c>
    </row>
    <row r="11" spans="2:9" x14ac:dyDescent="0.25">
      <c r="B11" t="s">
        <v>1</v>
      </c>
      <c r="C11">
        <v>0</v>
      </c>
      <c r="D11">
        <v>1</v>
      </c>
      <c r="E11">
        <v>2</v>
      </c>
      <c r="F11" t="s">
        <v>3</v>
      </c>
      <c r="G11" t="s">
        <v>6</v>
      </c>
      <c r="H11" t="s">
        <v>38</v>
      </c>
    </row>
    <row r="12" spans="2:9" x14ac:dyDescent="0.25">
      <c r="B12" s="15" t="s">
        <v>13</v>
      </c>
      <c r="C12" s="15">
        <v>-10000</v>
      </c>
      <c r="D12" s="15">
        <v>0</v>
      </c>
      <c r="E12" s="15">
        <v>12100</v>
      </c>
    </row>
    <row r="13" spans="2:9" x14ac:dyDescent="0.25">
      <c r="B13" t="s">
        <v>2</v>
      </c>
      <c r="C13" s="1">
        <f>$B$10</f>
        <v>0.05</v>
      </c>
      <c r="D13" s="1">
        <f t="shared" ref="D13:E13" si="0">$B$10</f>
        <v>0.05</v>
      </c>
      <c r="E13" s="1">
        <f t="shared" si="0"/>
        <v>0.05</v>
      </c>
    </row>
    <row r="14" spans="2:9" x14ac:dyDescent="0.25">
      <c r="B14" t="s">
        <v>37</v>
      </c>
      <c r="C14">
        <f>C12/(1+C13)^(C11)</f>
        <v>-10000</v>
      </c>
      <c r="D14">
        <f t="shared" ref="D14" si="1">D12/(1+D13)^(D11)</f>
        <v>0</v>
      </c>
      <c r="E14">
        <f>E12/(1+E13)^(E11)</f>
        <v>10975.056689342404</v>
      </c>
      <c r="F14" s="2">
        <f>SUM(C14:E14)</f>
        <v>975.05668934240384</v>
      </c>
      <c r="G14" s="14">
        <f>IRR(C12:E12)</f>
        <v>0.10000000000000009</v>
      </c>
      <c r="H14">
        <f>F14/C12</f>
        <v>-9.7505668934240383E-2</v>
      </c>
      <c r="I14" t="s">
        <v>41</v>
      </c>
    </row>
    <row r="15" spans="2:9" x14ac:dyDescent="0.25">
      <c r="B15" s="1">
        <v>0.05</v>
      </c>
    </row>
    <row r="16" spans="2:9" x14ac:dyDescent="0.25">
      <c r="B16" t="s">
        <v>4</v>
      </c>
      <c r="C16">
        <v>0</v>
      </c>
      <c r="D16">
        <v>1</v>
      </c>
      <c r="E16">
        <v>2</v>
      </c>
      <c r="F16" t="s">
        <v>3</v>
      </c>
      <c r="G16" t="s">
        <v>6</v>
      </c>
      <c r="H16" t="s">
        <v>38</v>
      </c>
    </row>
    <row r="17" spans="2:9" x14ac:dyDescent="0.25">
      <c r="B17" s="15" t="s">
        <v>13</v>
      </c>
      <c r="C17" s="15">
        <v>-10000</v>
      </c>
      <c r="D17" s="15">
        <v>5762</v>
      </c>
      <c r="E17" s="15">
        <v>5762</v>
      </c>
    </row>
    <row r="18" spans="2:9" x14ac:dyDescent="0.25">
      <c r="B18" t="s">
        <v>2</v>
      </c>
      <c r="C18" s="1">
        <f>$B$15</f>
        <v>0.05</v>
      </c>
      <c r="D18" s="1">
        <f t="shared" ref="D18:E18" si="2">$B$15</f>
        <v>0.05</v>
      </c>
      <c r="E18" s="1">
        <f t="shared" si="2"/>
        <v>0.05</v>
      </c>
    </row>
    <row r="19" spans="2:9" x14ac:dyDescent="0.25">
      <c r="B19" t="s">
        <v>37</v>
      </c>
      <c r="C19">
        <f>C17/(1+C18)^(C16)</f>
        <v>-10000</v>
      </c>
      <c r="D19">
        <f t="shared" ref="D19:E19" si="3">D17/(1+D18)^(D16)</f>
        <v>5487.6190476190477</v>
      </c>
      <c r="E19">
        <f t="shared" si="3"/>
        <v>5226.3038548752829</v>
      </c>
      <c r="F19" s="2">
        <f>SUM(C19:E19)</f>
        <v>713.92290249433063</v>
      </c>
      <c r="G19" s="14">
        <f>IRR(C17:E17)</f>
        <v>0.10001231669277688</v>
      </c>
      <c r="H19">
        <f>F19/C17</f>
        <v>-7.1392290249433069E-2</v>
      </c>
    </row>
    <row r="21" spans="2:9" x14ac:dyDescent="0.25">
      <c r="B21" s="1">
        <v>0.1</v>
      </c>
    </row>
    <row r="22" spans="2:9" x14ac:dyDescent="0.25">
      <c r="B22" t="s">
        <v>1</v>
      </c>
      <c r="C22">
        <v>0</v>
      </c>
      <c r="D22">
        <v>1</v>
      </c>
      <c r="E22">
        <v>2</v>
      </c>
      <c r="F22" t="s">
        <v>3</v>
      </c>
      <c r="G22" t="s">
        <v>6</v>
      </c>
      <c r="H22" t="s">
        <v>38</v>
      </c>
    </row>
    <row r="23" spans="2:9" x14ac:dyDescent="0.25">
      <c r="B23" s="15" t="s">
        <v>13</v>
      </c>
      <c r="C23" s="15">
        <v>-10000</v>
      </c>
      <c r="D23" s="15">
        <v>0</v>
      </c>
      <c r="E23" s="15">
        <v>12100</v>
      </c>
    </row>
    <row r="24" spans="2:9" x14ac:dyDescent="0.25">
      <c r="B24" t="s">
        <v>2</v>
      </c>
      <c r="C24" s="1">
        <f>$B$21</f>
        <v>0.1</v>
      </c>
      <c r="D24" s="1">
        <f t="shared" ref="D24:E24" si="4">$B$21</f>
        <v>0.1</v>
      </c>
      <c r="E24" s="1">
        <f t="shared" si="4"/>
        <v>0.1</v>
      </c>
    </row>
    <row r="25" spans="2:9" x14ac:dyDescent="0.25">
      <c r="B25" t="s">
        <v>37</v>
      </c>
      <c r="C25">
        <f>C23/(1+C24)^(C22)</f>
        <v>-10000</v>
      </c>
      <c r="D25">
        <f t="shared" ref="D25" si="5">D23/(1+D24)^(D22)</f>
        <v>0</v>
      </c>
      <c r="E25">
        <f>E23/(1+E24)^(E22)</f>
        <v>9999.9999999999982</v>
      </c>
      <c r="F25" s="2">
        <f>SUM(C25:E25)</f>
        <v>0</v>
      </c>
      <c r="G25" s="14">
        <f>IRR(C23:E23)</f>
        <v>0.10000000000000009</v>
      </c>
      <c r="H25">
        <f>F25/C23</f>
        <v>0</v>
      </c>
    </row>
    <row r="26" spans="2:9" x14ac:dyDescent="0.25">
      <c r="B26" s="1">
        <v>0.1</v>
      </c>
    </row>
    <row r="27" spans="2:9" x14ac:dyDescent="0.25">
      <c r="B27" t="s">
        <v>4</v>
      </c>
      <c r="C27">
        <v>0</v>
      </c>
      <c r="D27">
        <v>1</v>
      </c>
      <c r="E27">
        <v>2</v>
      </c>
      <c r="F27" t="s">
        <v>3</v>
      </c>
      <c r="G27" t="s">
        <v>6</v>
      </c>
      <c r="H27" t="s">
        <v>38</v>
      </c>
      <c r="I27" t="s">
        <v>42</v>
      </c>
    </row>
    <row r="28" spans="2:9" x14ac:dyDescent="0.25">
      <c r="B28" s="15" t="s">
        <v>13</v>
      </c>
      <c r="C28" s="15">
        <v>-10000</v>
      </c>
      <c r="D28" s="15">
        <v>5762</v>
      </c>
      <c r="E28" s="15">
        <v>5762</v>
      </c>
    </row>
    <row r="29" spans="2:9" x14ac:dyDescent="0.25">
      <c r="B29" t="s">
        <v>2</v>
      </c>
      <c r="C29" s="1">
        <f>$B$26</f>
        <v>0.1</v>
      </c>
      <c r="D29" s="1">
        <f t="shared" ref="D29:E29" si="6">$B$26</f>
        <v>0.1</v>
      </c>
      <c r="E29" s="1">
        <f t="shared" si="6"/>
        <v>0.1</v>
      </c>
    </row>
    <row r="30" spans="2:9" x14ac:dyDescent="0.25">
      <c r="B30" t="s">
        <v>37</v>
      </c>
      <c r="C30">
        <f>C28/(1+C29)^(C27)</f>
        <v>-10000</v>
      </c>
      <c r="D30">
        <f t="shared" ref="D30" si="7">D28/(1+D29)^(D27)</f>
        <v>5238.181818181818</v>
      </c>
      <c r="E30">
        <f t="shared" ref="E30" si="8">E28/(1+E29)^(E27)</f>
        <v>4761.9834710743798</v>
      </c>
      <c r="F30" s="2">
        <f>SUM(C30:E30)</f>
        <v>0.16528925619786605</v>
      </c>
      <c r="G30" s="14">
        <f>IRR(C28:E28)</f>
        <v>0.10001231669277688</v>
      </c>
      <c r="H30">
        <f>F30/C28</f>
        <v>-1.6528925619786607E-5</v>
      </c>
    </row>
    <row r="32" spans="2:9" x14ac:dyDescent="0.25">
      <c r="B32" s="2" t="s">
        <v>43</v>
      </c>
    </row>
    <row r="33" spans="2:2" x14ac:dyDescent="0.25">
      <c r="B33" t="s">
        <v>44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B25-B78C-4726-B2F8-04AD68AFD30F}">
  <dimension ref="A9:K25"/>
  <sheetViews>
    <sheetView zoomScale="175" zoomScaleNormal="175" workbookViewId="0">
      <selection activeCell="K10" sqref="K10"/>
    </sheetView>
  </sheetViews>
  <sheetFormatPr defaultRowHeight="15" x14ac:dyDescent="0.25"/>
  <sheetData>
    <row r="9" spans="1:11" x14ac:dyDescent="0.25">
      <c r="K9" t="s">
        <v>138</v>
      </c>
    </row>
    <row r="12" spans="1:11" x14ac:dyDescent="0.25">
      <c r="A12" s="1">
        <v>0.05</v>
      </c>
    </row>
    <row r="13" spans="1:11" x14ac:dyDescent="0.25">
      <c r="B13">
        <v>0</v>
      </c>
      <c r="C13">
        <v>1</v>
      </c>
      <c r="D13">
        <v>2</v>
      </c>
      <c r="E13" t="s">
        <v>3</v>
      </c>
      <c r="F13" t="s">
        <v>6</v>
      </c>
      <c r="G13" t="s">
        <v>38</v>
      </c>
      <c r="H13">
        <f>600/700</f>
        <v>0.8571428571428571</v>
      </c>
    </row>
    <row r="14" spans="1:11" x14ac:dyDescent="0.25">
      <c r="A14" s="15" t="s">
        <v>13</v>
      </c>
      <c r="B14" s="15">
        <v>-600</v>
      </c>
      <c r="C14" s="15">
        <v>500</v>
      </c>
      <c r="D14" s="15">
        <v>600</v>
      </c>
    </row>
    <row r="15" spans="1:11" x14ac:dyDescent="0.25">
      <c r="A15" t="s">
        <v>2</v>
      </c>
      <c r="B15" s="1">
        <f>$A$12</f>
        <v>0.05</v>
      </c>
      <c r="C15" s="1">
        <f t="shared" ref="C15:D15" si="0">$A$12</f>
        <v>0.05</v>
      </c>
      <c r="D15" s="1">
        <f t="shared" si="0"/>
        <v>0.05</v>
      </c>
    </row>
    <row r="16" spans="1:11" x14ac:dyDescent="0.25">
      <c r="A16" t="s">
        <v>37</v>
      </c>
      <c r="B16">
        <f>B14/(1+B15)^(B13)</f>
        <v>-600</v>
      </c>
      <c r="C16">
        <f t="shared" ref="C16:D16" si="1">C14/(1+C15)^(C13)</f>
        <v>476.19047619047615</v>
      </c>
      <c r="D16">
        <f t="shared" si="1"/>
        <v>544.21768707482988</v>
      </c>
      <c r="E16" s="2">
        <f>SUM(B16:D16)</f>
        <v>420.40816326530603</v>
      </c>
      <c r="F16" s="1">
        <f>IRR(B14:D14)</f>
        <v>0.49999999999945532</v>
      </c>
      <c r="G16">
        <f>E16/B14</f>
        <v>-0.70068027210884343</v>
      </c>
      <c r="H16" s="2" t="s">
        <v>45</v>
      </c>
    </row>
    <row r="17" spans="1:8" x14ac:dyDescent="0.25">
      <c r="A17" s="15" t="s">
        <v>13</v>
      </c>
      <c r="B17" s="15">
        <v>-700</v>
      </c>
      <c r="C17" s="15">
        <v>800</v>
      </c>
      <c r="D17" s="15">
        <v>400</v>
      </c>
    </row>
    <row r="18" spans="1:8" x14ac:dyDescent="0.25">
      <c r="A18" t="s">
        <v>2</v>
      </c>
      <c r="B18" s="1">
        <f>$A$12</f>
        <v>0.05</v>
      </c>
      <c r="C18" s="1">
        <f t="shared" ref="C18:D18" si="2">$A$12</f>
        <v>0.05</v>
      </c>
      <c r="D18" s="1">
        <f t="shared" si="2"/>
        <v>0.05</v>
      </c>
    </row>
    <row r="19" spans="1:8" x14ac:dyDescent="0.25">
      <c r="A19" t="s">
        <v>37</v>
      </c>
      <c r="B19">
        <f>B17/(1+B18)^(B13)</f>
        <v>-700</v>
      </c>
      <c r="C19">
        <f t="shared" ref="C19:D19" si="3">C17/(1+C18)^(C13)</f>
        <v>761.90476190476193</v>
      </c>
      <c r="D19">
        <f t="shared" si="3"/>
        <v>362.81179138321994</v>
      </c>
      <c r="E19" s="2">
        <f>SUM(B19:D19)</f>
        <v>424.71655328798187</v>
      </c>
      <c r="F19" s="1">
        <f>IRR(B17:D17)</f>
        <v>0.51903565438724919</v>
      </c>
      <c r="G19">
        <f>E19/B17</f>
        <v>-0.60673793326854553</v>
      </c>
    </row>
    <row r="20" spans="1:8" x14ac:dyDescent="0.25">
      <c r="A20" t="s">
        <v>46</v>
      </c>
      <c r="B20">
        <f>B17-B14</f>
        <v>-100</v>
      </c>
      <c r="C20">
        <f t="shared" ref="C20:D20" si="4">C17-C14</f>
        <v>300</v>
      </c>
      <c r="D20">
        <f t="shared" si="4"/>
        <v>-200</v>
      </c>
    </row>
    <row r="21" spans="1:8" x14ac:dyDescent="0.25">
      <c r="A21" t="s">
        <v>2</v>
      </c>
      <c r="B21" s="1">
        <f>$A$12</f>
        <v>0.05</v>
      </c>
      <c r="C21" s="1">
        <f t="shared" ref="C21:D21" si="5">$A$12</f>
        <v>0.05</v>
      </c>
      <c r="D21" s="1">
        <f t="shared" si="5"/>
        <v>0.05</v>
      </c>
    </row>
    <row r="22" spans="1:8" x14ac:dyDescent="0.25">
      <c r="A22" t="s">
        <v>37</v>
      </c>
      <c r="B22">
        <f>B20/(1+B21)^(B13)</f>
        <v>-100</v>
      </c>
      <c r="C22">
        <f t="shared" ref="C22:D22" si="6">C20/(1+C21)^(C13)</f>
        <v>285.71428571428572</v>
      </c>
      <c r="D22">
        <f t="shared" si="6"/>
        <v>-181.40589569160997</v>
      </c>
      <c r="E22" s="2">
        <f>SUM(B22:D22)</f>
        <v>4.3083900226757521</v>
      </c>
      <c r="F22" s="1">
        <f>IRR(B20:D20)</f>
        <v>7.9936057773011271E-15</v>
      </c>
      <c r="H22" s="2" t="s">
        <v>48</v>
      </c>
    </row>
    <row r="25" spans="1:8" x14ac:dyDescent="0.25">
      <c r="A25" t="s">
        <v>47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FEAB-0657-4F05-B712-417E4927A60C}">
  <dimension ref="A10:G14"/>
  <sheetViews>
    <sheetView zoomScale="205" zoomScaleNormal="205" workbookViewId="0">
      <selection activeCell="G14" sqref="G14"/>
    </sheetView>
  </sheetViews>
  <sheetFormatPr defaultRowHeight="15" x14ac:dyDescent="0.25"/>
  <sheetData>
    <row r="10" spans="1:7" x14ac:dyDescent="0.25">
      <c r="A10" s="1">
        <v>0.05</v>
      </c>
    </row>
    <row r="11" spans="1:7" x14ac:dyDescent="0.25">
      <c r="B11">
        <v>0</v>
      </c>
      <c r="C11">
        <v>1</v>
      </c>
      <c r="D11">
        <v>2</v>
      </c>
      <c r="E11" t="s">
        <v>3</v>
      </c>
      <c r="F11" t="s">
        <v>6</v>
      </c>
    </row>
    <row r="12" spans="1:7" x14ac:dyDescent="0.25">
      <c r="A12" t="s">
        <v>13</v>
      </c>
      <c r="B12">
        <v>-50</v>
      </c>
      <c r="C12">
        <v>150</v>
      </c>
      <c r="D12">
        <v>100</v>
      </c>
    </row>
    <row r="13" spans="1:7" x14ac:dyDescent="0.25">
      <c r="A13" t="s">
        <v>2</v>
      </c>
      <c r="B13" s="1">
        <f>$A$10</f>
        <v>0.05</v>
      </c>
      <c r="C13" s="1">
        <f t="shared" ref="C13:D13" si="0">$A$10</f>
        <v>0.05</v>
      </c>
      <c r="D13" s="1">
        <f t="shared" si="0"/>
        <v>0.05</v>
      </c>
    </row>
    <row r="14" spans="1:7" x14ac:dyDescent="0.25">
      <c r="A14" t="s">
        <v>37</v>
      </c>
      <c r="B14">
        <f>B12/(1+B13)^(B11)</f>
        <v>-50</v>
      </c>
      <c r="C14">
        <f t="shared" ref="C14:D14" si="1">C12/(1+C13)^(C11)</f>
        <v>142.85714285714286</v>
      </c>
      <c r="D14">
        <f t="shared" si="1"/>
        <v>90.702947845804985</v>
      </c>
      <c r="E14" s="2">
        <f>SUM(B14:D14)</f>
        <v>183.56009070294783</v>
      </c>
      <c r="F14" s="14">
        <f>IRR(B12:D12)</f>
        <v>2.5615528128073795</v>
      </c>
      <c r="G14" s="2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7DE8-B89D-4BF1-9672-84B2D32A0E78}">
  <dimension ref="A10:K20"/>
  <sheetViews>
    <sheetView topLeftCell="A7" zoomScale="220" zoomScaleNormal="220" workbookViewId="0">
      <selection activeCell="H17" sqref="H17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10" x14ac:dyDescent="0.25">
      <c r="B16" t="s">
        <v>2</v>
      </c>
      <c r="C16" s="1">
        <f>$A$10</f>
        <v>0.1</v>
      </c>
      <c r="D16" s="1">
        <f t="shared" ref="D16:H16" si="2">$A$10</f>
        <v>0.1</v>
      </c>
      <c r="E16" s="1">
        <f t="shared" si="2"/>
        <v>0.1</v>
      </c>
      <c r="F16" s="1">
        <f t="shared" si="2"/>
        <v>0.1</v>
      </c>
      <c r="G16" s="1">
        <f t="shared" si="2"/>
        <v>0.1</v>
      </c>
      <c r="H16" s="1">
        <f t="shared" si="2"/>
        <v>0.1</v>
      </c>
    </row>
    <row r="17" spans="2:11" x14ac:dyDescent="0.25">
      <c r="C17">
        <f>C15/(1+C16)^(C11)</f>
        <v>-1000000</v>
      </c>
      <c r="D17">
        <f t="shared" ref="D17:H17" si="3">D15/(1+D16)^(D11)</f>
        <v>239815.45454545453</v>
      </c>
      <c r="E17">
        <f t="shared" si="3"/>
        <v>218014.04958677682</v>
      </c>
      <c r="F17">
        <f t="shared" si="3"/>
        <v>198194.59053343345</v>
      </c>
      <c r="G17">
        <f t="shared" si="3"/>
        <v>180176.90048493951</v>
      </c>
      <c r="H17">
        <f t="shared" si="3"/>
        <v>163797.18225903591</v>
      </c>
      <c r="I17" s="2">
        <f>SUM(C17:H17)</f>
        <v>-1.8225903596321587</v>
      </c>
      <c r="J17" s="4">
        <v>9.9999286565185599E-2</v>
      </c>
      <c r="K17" s="1"/>
    </row>
    <row r="18" spans="2:11" x14ac:dyDescent="0.25">
      <c r="B18" t="s">
        <v>5</v>
      </c>
      <c r="C18">
        <v>-1000000</v>
      </c>
      <c r="H18">
        <v>1610510</v>
      </c>
    </row>
    <row r="19" spans="2:11" x14ac:dyDescent="0.25">
      <c r="B19" t="s">
        <v>2</v>
      </c>
      <c r="C19" s="1">
        <f>$A$10</f>
        <v>0.1</v>
      </c>
      <c r="D19" s="1">
        <f t="shared" ref="D19:H19" si="4">$A$10</f>
        <v>0.1</v>
      </c>
      <c r="E19" s="1">
        <f t="shared" si="4"/>
        <v>0.1</v>
      </c>
      <c r="F19" s="1">
        <f t="shared" si="4"/>
        <v>0.1</v>
      </c>
      <c r="G19" s="1">
        <f t="shared" si="4"/>
        <v>0.1</v>
      </c>
      <c r="H19" s="1">
        <f t="shared" si="4"/>
        <v>0.1</v>
      </c>
    </row>
    <row r="20" spans="2:11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999999.99999999965</v>
      </c>
      <c r="I20" s="2">
        <f>SUM(C20:H20)</f>
        <v>0</v>
      </c>
      <c r="J20" s="1">
        <v>0.1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7E1F-4727-4CE7-94F3-AC92CB58CD41}">
  <dimension ref="A9:H16"/>
  <sheetViews>
    <sheetView zoomScale="220" zoomScaleNormal="220" workbookViewId="0">
      <selection activeCell="H13" sqref="H13"/>
    </sheetView>
  </sheetViews>
  <sheetFormatPr defaultRowHeight="15" x14ac:dyDescent="0.25"/>
  <sheetData>
    <row r="9" spans="1:8" x14ac:dyDescent="0.25">
      <c r="A9" s="1">
        <v>0.1</v>
      </c>
    </row>
    <row r="10" spans="1:8" x14ac:dyDescent="0.25">
      <c r="B10">
        <v>0</v>
      </c>
      <c r="C10">
        <v>1</v>
      </c>
      <c r="D10" t="s">
        <v>3</v>
      </c>
      <c r="E10" t="s">
        <v>6</v>
      </c>
      <c r="F10" t="s">
        <v>38</v>
      </c>
    </row>
    <row r="11" spans="1:8" x14ac:dyDescent="0.25">
      <c r="A11" s="15" t="s">
        <v>13</v>
      </c>
      <c r="B11" s="15">
        <v>-20000</v>
      </c>
      <c r="C11" s="15">
        <v>30000</v>
      </c>
    </row>
    <row r="12" spans="1:8" x14ac:dyDescent="0.25">
      <c r="A12" t="s">
        <v>2</v>
      </c>
      <c r="B12" s="1">
        <f>$A$9</f>
        <v>0.1</v>
      </c>
      <c r="C12" s="1">
        <f>$A$9</f>
        <v>0.1</v>
      </c>
    </row>
    <row r="13" spans="1:8" x14ac:dyDescent="0.25">
      <c r="A13" t="s">
        <v>37</v>
      </c>
      <c r="B13">
        <f>B11/(1+B12)^(B10)</f>
        <v>-20000</v>
      </c>
      <c r="C13">
        <f>C11/(1+C12)^(C10)</f>
        <v>27272.727272727272</v>
      </c>
      <c r="D13" s="2">
        <f>SUM(B13:C13)</f>
        <v>7272.7272727272721</v>
      </c>
      <c r="E13" s="14">
        <f>IRR(B11:C11)</f>
        <v>0.5</v>
      </c>
      <c r="F13">
        <f>D13/B11</f>
        <v>-0.36363636363636359</v>
      </c>
      <c r="H13" s="2" t="s">
        <v>50</v>
      </c>
    </row>
    <row r="14" spans="1:8" x14ac:dyDescent="0.25">
      <c r="A14" s="15" t="s">
        <v>13</v>
      </c>
      <c r="B14" s="15">
        <v>-100000</v>
      </c>
      <c r="C14" s="15">
        <v>130000</v>
      </c>
    </row>
    <row r="15" spans="1:8" x14ac:dyDescent="0.25">
      <c r="A15" t="s">
        <v>2</v>
      </c>
      <c r="B15" s="1">
        <f>$A$9</f>
        <v>0.1</v>
      </c>
      <c r="C15" s="1">
        <f>$A$9</f>
        <v>0.1</v>
      </c>
    </row>
    <row r="16" spans="1:8" x14ac:dyDescent="0.25">
      <c r="A16" t="s">
        <v>37</v>
      </c>
      <c r="B16">
        <f>B14/(1+B15)^(B10)</f>
        <v>-100000</v>
      </c>
      <c r="C16">
        <f>C14/(1+C15)^(C10)</f>
        <v>118181.81818181818</v>
      </c>
      <c r="D16" s="2">
        <f>SUM(B16:C16)</f>
        <v>18181.818181818177</v>
      </c>
      <c r="E16" s="14">
        <f>IRR(B14:C14)</f>
        <v>0.30000000000000004</v>
      </c>
      <c r="F16">
        <f>D16/B14</f>
        <v>-0.18181818181818177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8D6C-CCF0-4E20-87FA-FD5D71473494}">
  <dimension ref="A11:BC33"/>
  <sheetViews>
    <sheetView zoomScale="115" zoomScaleNormal="115" workbookViewId="0">
      <selection activeCell="H23" sqref="H23"/>
    </sheetView>
  </sheetViews>
  <sheetFormatPr defaultRowHeight="15" x14ac:dyDescent="0.25"/>
  <cols>
    <col min="2" max="2" width="10.7109375" bestFit="1" customWidth="1"/>
    <col min="3" max="3" width="12.28515625" bestFit="1" customWidth="1"/>
    <col min="4" max="4" width="12.28515625" customWidth="1"/>
    <col min="5" max="5" width="11.7109375" customWidth="1"/>
    <col min="6" max="6" width="10.7109375" bestFit="1" customWidth="1"/>
    <col min="7" max="7" width="13" bestFit="1" customWidth="1"/>
    <col min="8" max="8" width="11.85546875" customWidth="1"/>
    <col min="9" max="11" width="10.7109375" bestFit="1" customWidth="1"/>
    <col min="13" max="13" width="11.85546875" customWidth="1"/>
    <col min="14" max="14" width="12" customWidth="1"/>
    <col min="15" max="15" width="10.7109375" bestFit="1" customWidth="1"/>
    <col min="53" max="53" width="13.42578125" bestFit="1" customWidth="1"/>
  </cols>
  <sheetData>
    <row r="11" spans="1:55" x14ac:dyDescent="0.25">
      <c r="A11" s="1">
        <v>0.05</v>
      </c>
      <c r="C11">
        <v>-1</v>
      </c>
    </row>
    <row r="12" spans="1:55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>
        <v>36</v>
      </c>
      <c r="AM12">
        <v>37</v>
      </c>
      <c r="AN12">
        <v>38</v>
      </c>
      <c r="AO12">
        <v>39</v>
      </c>
      <c r="AP12">
        <v>40</v>
      </c>
      <c r="AQ12">
        <v>41</v>
      </c>
      <c r="AR12">
        <v>42</v>
      </c>
      <c r="AS12">
        <v>43</v>
      </c>
      <c r="AT12">
        <v>44</v>
      </c>
      <c r="AU12">
        <v>45</v>
      </c>
      <c r="AV12">
        <v>46</v>
      </c>
      <c r="AW12">
        <v>47</v>
      </c>
      <c r="AX12">
        <v>48</v>
      </c>
      <c r="AY12">
        <v>49</v>
      </c>
      <c r="AZ12">
        <v>50</v>
      </c>
      <c r="BA12" t="s">
        <v>3</v>
      </c>
      <c r="BB12" t="s">
        <v>6</v>
      </c>
      <c r="BC12" t="s">
        <v>38</v>
      </c>
    </row>
    <row r="13" spans="1:55" x14ac:dyDescent="0.25">
      <c r="A13" s="15" t="s">
        <v>51</v>
      </c>
      <c r="B13" s="15">
        <v>-60000000</v>
      </c>
      <c r="C13" s="15">
        <v>-15000000</v>
      </c>
      <c r="D13" s="15">
        <v>-15000000</v>
      </c>
      <c r="E13" s="15">
        <v>-15000000</v>
      </c>
      <c r="F13" s="15">
        <v>-15000000</v>
      </c>
      <c r="G13" s="15">
        <v>-15000000</v>
      </c>
      <c r="H13" s="15">
        <v>-15000000</v>
      </c>
      <c r="I13" s="15">
        <v>-15000000</v>
      </c>
      <c r="J13" s="15">
        <v>-15000000</v>
      </c>
      <c r="K13" s="15">
        <v>-15000000</v>
      </c>
      <c r="L13" s="15">
        <v>-15000000</v>
      </c>
      <c r="M13" s="15">
        <v>-15000000</v>
      </c>
      <c r="N13" s="15">
        <v>-15000000</v>
      </c>
      <c r="O13" s="15">
        <v>-15000000</v>
      </c>
      <c r="P13" s="15">
        <v>-15000000</v>
      </c>
      <c r="Q13" s="15">
        <v>-15000000</v>
      </c>
      <c r="R13" s="15">
        <v>-15000000</v>
      </c>
      <c r="S13" s="15">
        <v>-15000000</v>
      </c>
      <c r="T13" s="15">
        <v>-15000000</v>
      </c>
      <c r="U13" s="15">
        <v>-15000000</v>
      </c>
      <c r="V13" s="15">
        <v>-15000000</v>
      </c>
      <c r="W13" s="15">
        <v>-15000000</v>
      </c>
      <c r="X13" s="15">
        <v>-15000000</v>
      </c>
      <c r="Y13" s="15">
        <v>-15000000</v>
      </c>
      <c r="Z13" s="15">
        <v>-15000000</v>
      </c>
      <c r="AA13" s="15">
        <v>-15000000</v>
      </c>
      <c r="AB13" s="15">
        <v>-15000000</v>
      </c>
      <c r="AC13" s="15">
        <v>-15000000</v>
      </c>
      <c r="AD13" s="15">
        <v>-15000000</v>
      </c>
      <c r="AE13" s="15">
        <v>-15000000</v>
      </c>
      <c r="AF13" s="15">
        <v>-15000000</v>
      </c>
      <c r="AG13" s="15">
        <v>-15000000</v>
      </c>
      <c r="AH13" s="15">
        <v>-15000000</v>
      </c>
      <c r="AI13" s="15">
        <v>-15000000</v>
      </c>
      <c r="AJ13" s="15">
        <v>-15000000</v>
      </c>
      <c r="AK13" s="15">
        <v>-15000000</v>
      </c>
      <c r="AL13" s="15">
        <v>-15000000</v>
      </c>
      <c r="AM13" s="15">
        <v>-15000000</v>
      </c>
      <c r="AN13" s="15">
        <v>-15000000</v>
      </c>
      <c r="AO13" s="15">
        <v>-15000000</v>
      </c>
      <c r="AP13" s="15">
        <v>-15000000</v>
      </c>
      <c r="AQ13" s="15">
        <v>-15000000</v>
      </c>
      <c r="AR13" s="15">
        <v>-15000000</v>
      </c>
      <c r="AS13" s="15">
        <v>-15000000</v>
      </c>
      <c r="AT13" s="15">
        <v>-15000000</v>
      </c>
      <c r="AU13" s="15">
        <v>-15000000</v>
      </c>
      <c r="AV13" s="15">
        <v>-15000000</v>
      </c>
      <c r="AW13" s="15">
        <v>-15000000</v>
      </c>
      <c r="AX13" s="15">
        <v>-15000000</v>
      </c>
      <c r="AY13" s="15">
        <v>-15000000</v>
      </c>
      <c r="AZ13" s="15">
        <v>-15000000</v>
      </c>
    </row>
    <row r="14" spans="1:55" x14ac:dyDescent="0.25">
      <c r="A14" t="s">
        <v>2</v>
      </c>
      <c r="B14" s="1">
        <f>$A$11</f>
        <v>0.05</v>
      </c>
      <c r="C14" s="1">
        <f t="shared" ref="C14:AZ14" si="0">$A$11</f>
        <v>0.05</v>
      </c>
      <c r="D14" s="1">
        <f t="shared" si="0"/>
        <v>0.05</v>
      </c>
      <c r="E14" s="1">
        <f t="shared" si="0"/>
        <v>0.05</v>
      </c>
      <c r="F14" s="1">
        <f t="shared" si="0"/>
        <v>0.05</v>
      </c>
      <c r="G14" s="1">
        <f t="shared" si="0"/>
        <v>0.05</v>
      </c>
      <c r="H14" s="1">
        <f t="shared" si="0"/>
        <v>0.05</v>
      </c>
      <c r="I14" s="1">
        <f t="shared" si="0"/>
        <v>0.05</v>
      </c>
      <c r="J14" s="1">
        <f t="shared" si="0"/>
        <v>0.05</v>
      </c>
      <c r="K14" s="1">
        <f t="shared" si="0"/>
        <v>0.05</v>
      </c>
      <c r="L14" s="1">
        <f t="shared" si="0"/>
        <v>0.05</v>
      </c>
      <c r="M14" s="1">
        <f t="shared" si="0"/>
        <v>0.05</v>
      </c>
      <c r="N14" s="1">
        <f t="shared" si="0"/>
        <v>0.05</v>
      </c>
      <c r="O14" s="1">
        <f t="shared" si="0"/>
        <v>0.05</v>
      </c>
      <c r="P14" s="1">
        <f t="shared" si="0"/>
        <v>0.05</v>
      </c>
      <c r="Q14" s="1">
        <f t="shared" si="0"/>
        <v>0.05</v>
      </c>
      <c r="R14" s="1">
        <f t="shared" si="0"/>
        <v>0.05</v>
      </c>
      <c r="S14" s="1">
        <f t="shared" si="0"/>
        <v>0.05</v>
      </c>
      <c r="T14" s="1">
        <f t="shared" si="0"/>
        <v>0.05</v>
      </c>
      <c r="U14" s="1">
        <f t="shared" si="0"/>
        <v>0.05</v>
      </c>
      <c r="V14" s="1">
        <f t="shared" si="0"/>
        <v>0.05</v>
      </c>
      <c r="W14" s="1">
        <f t="shared" si="0"/>
        <v>0.05</v>
      </c>
      <c r="X14" s="1">
        <f t="shared" si="0"/>
        <v>0.05</v>
      </c>
      <c r="Y14" s="1">
        <f t="shared" si="0"/>
        <v>0.05</v>
      </c>
      <c r="Z14" s="1">
        <f t="shared" si="0"/>
        <v>0.05</v>
      </c>
      <c r="AA14" s="1">
        <f t="shared" si="0"/>
        <v>0.05</v>
      </c>
      <c r="AB14" s="1">
        <f t="shared" si="0"/>
        <v>0.05</v>
      </c>
      <c r="AC14" s="1">
        <f t="shared" si="0"/>
        <v>0.05</v>
      </c>
      <c r="AD14" s="1">
        <f t="shared" si="0"/>
        <v>0.05</v>
      </c>
      <c r="AE14" s="1">
        <f t="shared" si="0"/>
        <v>0.05</v>
      </c>
      <c r="AF14" s="1">
        <f t="shared" si="0"/>
        <v>0.05</v>
      </c>
      <c r="AG14" s="1">
        <f t="shared" si="0"/>
        <v>0.05</v>
      </c>
      <c r="AH14" s="1">
        <f t="shared" si="0"/>
        <v>0.05</v>
      </c>
      <c r="AI14" s="1">
        <f t="shared" si="0"/>
        <v>0.05</v>
      </c>
      <c r="AJ14" s="1">
        <f t="shared" si="0"/>
        <v>0.05</v>
      </c>
      <c r="AK14" s="1">
        <f t="shared" si="0"/>
        <v>0.05</v>
      </c>
      <c r="AL14" s="1">
        <f t="shared" si="0"/>
        <v>0.05</v>
      </c>
      <c r="AM14" s="1">
        <f t="shared" si="0"/>
        <v>0.05</v>
      </c>
      <c r="AN14" s="1">
        <f t="shared" si="0"/>
        <v>0.05</v>
      </c>
      <c r="AO14" s="1">
        <f t="shared" si="0"/>
        <v>0.05</v>
      </c>
      <c r="AP14" s="1">
        <f t="shared" si="0"/>
        <v>0.05</v>
      </c>
      <c r="AQ14" s="1">
        <f t="shared" si="0"/>
        <v>0.05</v>
      </c>
      <c r="AR14" s="1">
        <f t="shared" si="0"/>
        <v>0.05</v>
      </c>
      <c r="AS14" s="1">
        <f t="shared" si="0"/>
        <v>0.05</v>
      </c>
      <c r="AT14" s="1">
        <f t="shared" si="0"/>
        <v>0.05</v>
      </c>
      <c r="AU14" s="1">
        <f t="shared" si="0"/>
        <v>0.05</v>
      </c>
      <c r="AV14" s="1">
        <f t="shared" si="0"/>
        <v>0.05</v>
      </c>
      <c r="AW14" s="1">
        <f t="shared" si="0"/>
        <v>0.05</v>
      </c>
      <c r="AX14" s="1">
        <f t="shared" si="0"/>
        <v>0.05</v>
      </c>
      <c r="AY14" s="1">
        <f t="shared" si="0"/>
        <v>0.05</v>
      </c>
      <c r="AZ14" s="1">
        <f t="shared" si="0"/>
        <v>0.05</v>
      </c>
    </row>
    <row r="15" spans="1:55" x14ac:dyDescent="0.25">
      <c r="A15" t="s">
        <v>37</v>
      </c>
      <c r="B15">
        <f>B13/(1+B14)^(B12)</f>
        <v>-60000000</v>
      </c>
      <c r="C15">
        <f>C13/(1+C14)^(C12)</f>
        <v>-14285714.285714285</v>
      </c>
      <c r="D15">
        <f t="shared" ref="D15:AZ15" si="1">D13/(1+D14)^(D12)</f>
        <v>-13605442.176870748</v>
      </c>
      <c r="E15">
        <f t="shared" si="1"/>
        <v>-12957563.977972141</v>
      </c>
      <c r="F15">
        <f t="shared" si="1"/>
        <v>-12340537.121878229</v>
      </c>
      <c r="G15">
        <f t="shared" si="1"/>
        <v>-11752892.497026885</v>
      </c>
      <c r="H15">
        <f t="shared" si="1"/>
        <v>-11193230.949549414</v>
      </c>
      <c r="I15">
        <f t="shared" si="1"/>
        <v>-10660219.951951822</v>
      </c>
      <c r="J15">
        <f t="shared" si="1"/>
        <v>-10152590.430430308</v>
      </c>
      <c r="K15">
        <f t="shared" si="1"/>
        <v>-9669133.7432669587</v>
      </c>
      <c r="L15">
        <f t="shared" si="1"/>
        <v>-9208698.8031113893</v>
      </c>
      <c r="M15">
        <f t="shared" si="1"/>
        <v>-8770189.3362965602</v>
      </c>
      <c r="N15">
        <f t="shared" si="1"/>
        <v>-8352561.2726633931</v>
      </c>
      <c r="O15">
        <f t="shared" si="1"/>
        <v>-7954820.2596794199</v>
      </c>
      <c r="P15">
        <f t="shared" si="1"/>
        <v>-7576019.2949327826</v>
      </c>
      <c r="Q15">
        <f t="shared" si="1"/>
        <v>-7215256.4713645531</v>
      </c>
      <c r="R15">
        <f t="shared" si="1"/>
        <v>-6871672.8298710035</v>
      </c>
      <c r="S15">
        <f t="shared" si="1"/>
        <v>-6544450.3141628597</v>
      </c>
      <c r="T15">
        <f t="shared" si="1"/>
        <v>-6232809.8230122468</v>
      </c>
      <c r="U15">
        <f t="shared" si="1"/>
        <v>-5936009.3552497588</v>
      </c>
      <c r="V15">
        <f t="shared" si="1"/>
        <v>-5653342.2430950087</v>
      </c>
      <c r="W15">
        <f t="shared" si="1"/>
        <v>-5384135.4696142944</v>
      </c>
      <c r="X15">
        <f t="shared" si="1"/>
        <v>-5127748.0662993286</v>
      </c>
      <c r="Y15">
        <f t="shared" si="1"/>
        <v>-4883569.5869517401</v>
      </c>
      <c r="Z15">
        <f t="shared" si="1"/>
        <v>-4651018.6542397533</v>
      </c>
      <c r="AA15">
        <f t="shared" si="1"/>
        <v>-4429541.5754664317</v>
      </c>
      <c r="AB15">
        <f t="shared" si="1"/>
        <v>-4218611.0242537446</v>
      </c>
      <c r="AC15">
        <f t="shared" si="1"/>
        <v>-4017724.7850035657</v>
      </c>
      <c r="AD15">
        <f t="shared" si="1"/>
        <v>-3826404.5571462535</v>
      </c>
      <c r="AE15">
        <f t="shared" si="1"/>
        <v>-3644194.8163297647</v>
      </c>
      <c r="AF15">
        <f t="shared" si="1"/>
        <v>-3470661.7298378721</v>
      </c>
      <c r="AG15">
        <f t="shared" si="1"/>
        <v>-3305392.1236551153</v>
      </c>
      <c r="AH15">
        <f t="shared" si="1"/>
        <v>-3147992.4987191572</v>
      </c>
      <c r="AI15">
        <f t="shared" si="1"/>
        <v>-2998088.0940182451</v>
      </c>
      <c r="AJ15">
        <f t="shared" si="1"/>
        <v>-2855321.9943030905</v>
      </c>
      <c r="AK15">
        <f t="shared" si="1"/>
        <v>-2719354.2802886572</v>
      </c>
      <c r="AL15">
        <f t="shared" si="1"/>
        <v>-2589861.219322531</v>
      </c>
      <c r="AM15">
        <f t="shared" si="1"/>
        <v>-2466534.4945928864</v>
      </c>
      <c r="AN15">
        <f t="shared" si="1"/>
        <v>-2349080.4710408449</v>
      </c>
      <c r="AO15">
        <f t="shared" si="1"/>
        <v>-2237219.4962293757</v>
      </c>
      <c r="AP15">
        <f t="shared" si="1"/>
        <v>-2130685.2345041675</v>
      </c>
      <c r="AQ15">
        <f t="shared" si="1"/>
        <v>-2029224.0328611117</v>
      </c>
      <c r="AR15">
        <f t="shared" si="1"/>
        <v>-1932594.3170105827</v>
      </c>
      <c r="AS15">
        <f t="shared" si="1"/>
        <v>-1840566.0162005546</v>
      </c>
      <c r="AT15">
        <f t="shared" si="1"/>
        <v>-1752920.0154290998</v>
      </c>
      <c r="AU15">
        <f t="shared" si="1"/>
        <v>-1669447.6337419995</v>
      </c>
      <c r="AV15">
        <f t="shared" si="1"/>
        <v>-1589950.1273733333</v>
      </c>
      <c r="AW15">
        <f t="shared" si="1"/>
        <v>-1514238.2165460312</v>
      </c>
      <c r="AX15">
        <f t="shared" si="1"/>
        <v>-1442131.634805744</v>
      </c>
      <c r="AY15">
        <f t="shared" si="1"/>
        <v>-1373458.6998149944</v>
      </c>
      <c r="AZ15">
        <f t="shared" si="1"/>
        <v>-1308055.9045857089</v>
      </c>
      <c r="BA15" s="2">
        <f>SUM(B15:AZ15)</f>
        <v>-333838881.90828562</v>
      </c>
      <c r="BB15" s="14" t="s">
        <v>98</v>
      </c>
      <c r="BC15">
        <f>BA15/B13</f>
        <v>5.563981365138094</v>
      </c>
    </row>
    <row r="16" spans="1:55" x14ac:dyDescent="0.25">
      <c r="A16" s="15" t="s">
        <v>52</v>
      </c>
      <c r="B16" s="15">
        <v>-100000000</v>
      </c>
      <c r="C16" s="15">
        <f>20000000*C11</f>
        <v>-20000000</v>
      </c>
      <c r="D16" s="15">
        <f>C16+2000000</f>
        <v>-18000000</v>
      </c>
      <c r="E16" s="15">
        <f t="shared" ref="E16:H16" si="2">D16+2000000</f>
        <v>-16000000</v>
      </c>
      <c r="F16" s="15">
        <f t="shared" si="2"/>
        <v>-14000000</v>
      </c>
      <c r="G16" s="15">
        <f t="shared" si="2"/>
        <v>-12000000</v>
      </c>
      <c r="H16" s="15">
        <f t="shared" si="2"/>
        <v>-10000000</v>
      </c>
      <c r="I16" s="15">
        <f>H16</f>
        <v>-10000000</v>
      </c>
      <c r="J16" s="15">
        <f t="shared" ref="J16:AZ16" si="3">I16</f>
        <v>-10000000</v>
      </c>
      <c r="K16" s="15">
        <f t="shared" si="3"/>
        <v>-10000000</v>
      </c>
      <c r="L16" s="15">
        <f t="shared" si="3"/>
        <v>-10000000</v>
      </c>
      <c r="M16" s="15">
        <f t="shared" si="3"/>
        <v>-10000000</v>
      </c>
      <c r="N16" s="15">
        <f t="shared" si="3"/>
        <v>-10000000</v>
      </c>
      <c r="O16" s="15">
        <f t="shared" si="3"/>
        <v>-10000000</v>
      </c>
      <c r="P16" s="15">
        <f t="shared" si="3"/>
        <v>-10000000</v>
      </c>
      <c r="Q16" s="15">
        <f t="shared" si="3"/>
        <v>-10000000</v>
      </c>
      <c r="R16" s="15">
        <f t="shared" si="3"/>
        <v>-10000000</v>
      </c>
      <c r="S16" s="15">
        <f t="shared" si="3"/>
        <v>-10000000</v>
      </c>
      <c r="T16" s="15">
        <f t="shared" si="3"/>
        <v>-10000000</v>
      </c>
      <c r="U16" s="15">
        <f t="shared" si="3"/>
        <v>-10000000</v>
      </c>
      <c r="V16" s="15">
        <f t="shared" si="3"/>
        <v>-10000000</v>
      </c>
      <c r="W16" s="15">
        <f t="shared" si="3"/>
        <v>-10000000</v>
      </c>
      <c r="X16" s="15">
        <f t="shared" si="3"/>
        <v>-10000000</v>
      </c>
      <c r="Y16" s="15">
        <f t="shared" si="3"/>
        <v>-10000000</v>
      </c>
      <c r="Z16" s="15">
        <f t="shared" si="3"/>
        <v>-10000000</v>
      </c>
      <c r="AA16" s="15">
        <f t="shared" si="3"/>
        <v>-10000000</v>
      </c>
      <c r="AB16" s="15">
        <f t="shared" si="3"/>
        <v>-10000000</v>
      </c>
      <c r="AC16" s="15">
        <f t="shared" si="3"/>
        <v>-10000000</v>
      </c>
      <c r="AD16" s="15">
        <f t="shared" si="3"/>
        <v>-10000000</v>
      </c>
      <c r="AE16" s="15">
        <f t="shared" si="3"/>
        <v>-10000000</v>
      </c>
      <c r="AF16" s="15">
        <f t="shared" si="3"/>
        <v>-10000000</v>
      </c>
      <c r="AG16" s="15">
        <f t="shared" si="3"/>
        <v>-10000000</v>
      </c>
      <c r="AH16" s="15">
        <f t="shared" si="3"/>
        <v>-10000000</v>
      </c>
      <c r="AI16" s="15">
        <f t="shared" si="3"/>
        <v>-10000000</v>
      </c>
      <c r="AJ16" s="15">
        <f t="shared" si="3"/>
        <v>-10000000</v>
      </c>
      <c r="AK16" s="15">
        <f t="shared" si="3"/>
        <v>-10000000</v>
      </c>
      <c r="AL16" s="15">
        <f t="shared" si="3"/>
        <v>-10000000</v>
      </c>
      <c r="AM16" s="15">
        <f t="shared" si="3"/>
        <v>-10000000</v>
      </c>
      <c r="AN16" s="15">
        <f t="shared" si="3"/>
        <v>-10000000</v>
      </c>
      <c r="AO16" s="15">
        <f t="shared" si="3"/>
        <v>-10000000</v>
      </c>
      <c r="AP16" s="15">
        <f t="shared" si="3"/>
        <v>-10000000</v>
      </c>
      <c r="AQ16" s="15">
        <f t="shared" si="3"/>
        <v>-10000000</v>
      </c>
      <c r="AR16" s="15">
        <f t="shared" si="3"/>
        <v>-10000000</v>
      </c>
      <c r="AS16" s="15">
        <f t="shared" si="3"/>
        <v>-10000000</v>
      </c>
      <c r="AT16" s="15">
        <f t="shared" si="3"/>
        <v>-10000000</v>
      </c>
      <c r="AU16" s="15">
        <f t="shared" si="3"/>
        <v>-10000000</v>
      </c>
      <c r="AV16" s="15">
        <f t="shared" si="3"/>
        <v>-10000000</v>
      </c>
      <c r="AW16" s="15">
        <f t="shared" si="3"/>
        <v>-10000000</v>
      </c>
      <c r="AX16" s="15">
        <f t="shared" si="3"/>
        <v>-10000000</v>
      </c>
      <c r="AY16" s="15">
        <f t="shared" si="3"/>
        <v>-10000000</v>
      </c>
      <c r="AZ16" s="15">
        <f t="shared" si="3"/>
        <v>-10000000</v>
      </c>
    </row>
    <row r="17" spans="1:55" x14ac:dyDescent="0.25">
      <c r="A17" t="s">
        <v>2</v>
      </c>
      <c r="B17" s="1">
        <f>$A$11</f>
        <v>0.05</v>
      </c>
      <c r="C17" s="1">
        <f t="shared" ref="C17:AZ17" si="4">$A$11</f>
        <v>0.05</v>
      </c>
      <c r="D17" s="1">
        <f t="shared" si="4"/>
        <v>0.05</v>
      </c>
      <c r="E17" s="1">
        <f t="shared" si="4"/>
        <v>0.05</v>
      </c>
      <c r="F17" s="1">
        <f t="shared" si="4"/>
        <v>0.05</v>
      </c>
      <c r="G17" s="1">
        <f t="shared" si="4"/>
        <v>0.05</v>
      </c>
      <c r="H17" s="1">
        <f t="shared" si="4"/>
        <v>0.05</v>
      </c>
      <c r="I17" s="1">
        <f t="shared" si="4"/>
        <v>0.05</v>
      </c>
      <c r="J17" s="1">
        <f t="shared" si="4"/>
        <v>0.05</v>
      </c>
      <c r="K17" s="1">
        <f t="shared" si="4"/>
        <v>0.05</v>
      </c>
      <c r="L17" s="1">
        <f t="shared" si="4"/>
        <v>0.05</v>
      </c>
      <c r="M17" s="1">
        <f t="shared" si="4"/>
        <v>0.05</v>
      </c>
      <c r="N17" s="1">
        <f t="shared" si="4"/>
        <v>0.05</v>
      </c>
      <c r="O17" s="1">
        <f t="shared" si="4"/>
        <v>0.05</v>
      </c>
      <c r="P17" s="1">
        <f t="shared" si="4"/>
        <v>0.05</v>
      </c>
      <c r="Q17" s="1">
        <f t="shared" si="4"/>
        <v>0.05</v>
      </c>
      <c r="R17" s="1">
        <f t="shared" si="4"/>
        <v>0.05</v>
      </c>
      <c r="S17" s="1">
        <f t="shared" si="4"/>
        <v>0.05</v>
      </c>
      <c r="T17" s="1">
        <f t="shared" si="4"/>
        <v>0.05</v>
      </c>
      <c r="U17" s="1">
        <f t="shared" si="4"/>
        <v>0.05</v>
      </c>
      <c r="V17" s="1">
        <f t="shared" si="4"/>
        <v>0.05</v>
      </c>
      <c r="W17" s="1">
        <f t="shared" si="4"/>
        <v>0.05</v>
      </c>
      <c r="X17" s="1">
        <f t="shared" si="4"/>
        <v>0.05</v>
      </c>
      <c r="Y17" s="1">
        <f t="shared" si="4"/>
        <v>0.05</v>
      </c>
      <c r="Z17" s="1">
        <f t="shared" si="4"/>
        <v>0.05</v>
      </c>
      <c r="AA17" s="1">
        <f t="shared" si="4"/>
        <v>0.05</v>
      </c>
      <c r="AB17" s="1">
        <f t="shared" si="4"/>
        <v>0.05</v>
      </c>
      <c r="AC17" s="1">
        <f t="shared" si="4"/>
        <v>0.05</v>
      </c>
      <c r="AD17" s="1">
        <f t="shared" si="4"/>
        <v>0.05</v>
      </c>
      <c r="AE17" s="1">
        <f t="shared" si="4"/>
        <v>0.05</v>
      </c>
      <c r="AF17" s="1">
        <f t="shared" si="4"/>
        <v>0.05</v>
      </c>
      <c r="AG17" s="1">
        <f t="shared" si="4"/>
        <v>0.05</v>
      </c>
      <c r="AH17" s="1">
        <f t="shared" si="4"/>
        <v>0.05</v>
      </c>
      <c r="AI17" s="1">
        <f t="shared" si="4"/>
        <v>0.05</v>
      </c>
      <c r="AJ17" s="1">
        <f t="shared" si="4"/>
        <v>0.05</v>
      </c>
      <c r="AK17" s="1">
        <f t="shared" si="4"/>
        <v>0.05</v>
      </c>
      <c r="AL17" s="1">
        <f t="shared" si="4"/>
        <v>0.05</v>
      </c>
      <c r="AM17" s="1">
        <f t="shared" si="4"/>
        <v>0.05</v>
      </c>
      <c r="AN17" s="1">
        <f t="shared" si="4"/>
        <v>0.05</v>
      </c>
      <c r="AO17" s="1">
        <f t="shared" si="4"/>
        <v>0.05</v>
      </c>
      <c r="AP17" s="1">
        <f t="shared" si="4"/>
        <v>0.05</v>
      </c>
      <c r="AQ17" s="1">
        <f t="shared" si="4"/>
        <v>0.05</v>
      </c>
      <c r="AR17" s="1">
        <f t="shared" si="4"/>
        <v>0.05</v>
      </c>
      <c r="AS17" s="1">
        <f t="shared" si="4"/>
        <v>0.05</v>
      </c>
      <c r="AT17" s="1">
        <f t="shared" si="4"/>
        <v>0.05</v>
      </c>
      <c r="AU17" s="1">
        <f t="shared" si="4"/>
        <v>0.05</v>
      </c>
      <c r="AV17" s="1">
        <f t="shared" si="4"/>
        <v>0.05</v>
      </c>
      <c r="AW17" s="1">
        <f t="shared" si="4"/>
        <v>0.05</v>
      </c>
      <c r="AX17" s="1">
        <f t="shared" si="4"/>
        <v>0.05</v>
      </c>
      <c r="AY17" s="1">
        <f t="shared" si="4"/>
        <v>0.05</v>
      </c>
      <c r="AZ17" s="1">
        <f t="shared" si="4"/>
        <v>0.05</v>
      </c>
    </row>
    <row r="18" spans="1:55" x14ac:dyDescent="0.25">
      <c r="A18" t="s">
        <v>37</v>
      </c>
      <c r="B18">
        <f>B16/(1+B17)^(B12)</f>
        <v>-100000000</v>
      </c>
      <c r="C18">
        <f t="shared" ref="C18:AZ18" si="5">C16/(1+C17)^(C12)</f>
        <v>-19047619.047619049</v>
      </c>
      <c r="D18">
        <f t="shared" si="5"/>
        <v>-16326530.612244897</v>
      </c>
      <c r="E18">
        <f t="shared" si="5"/>
        <v>-13821401.576503616</v>
      </c>
      <c r="F18">
        <f t="shared" si="5"/>
        <v>-11517834.647086348</v>
      </c>
      <c r="G18">
        <f t="shared" si="5"/>
        <v>-9402313.9976215083</v>
      </c>
      <c r="H18">
        <f t="shared" si="5"/>
        <v>-7462153.9663662771</v>
      </c>
      <c r="I18">
        <f t="shared" si="5"/>
        <v>-7106813.3013012148</v>
      </c>
      <c r="J18">
        <f t="shared" si="5"/>
        <v>-6768393.6202868717</v>
      </c>
      <c r="K18">
        <f t="shared" si="5"/>
        <v>-6446089.1621779725</v>
      </c>
      <c r="L18">
        <f t="shared" si="5"/>
        <v>-6139132.5354075935</v>
      </c>
      <c r="M18">
        <f t="shared" si="5"/>
        <v>-5846792.8908643741</v>
      </c>
      <c r="N18">
        <f t="shared" si="5"/>
        <v>-5568374.1817755951</v>
      </c>
      <c r="O18">
        <f t="shared" si="5"/>
        <v>-5303213.5064529469</v>
      </c>
      <c r="P18">
        <f t="shared" si="5"/>
        <v>-5050679.5299551887</v>
      </c>
      <c r="Q18">
        <f t="shared" si="5"/>
        <v>-4810170.9809097014</v>
      </c>
      <c r="R18">
        <f t="shared" si="5"/>
        <v>-4581115.2199140023</v>
      </c>
      <c r="S18">
        <f t="shared" si="5"/>
        <v>-4362966.8761085728</v>
      </c>
      <c r="T18">
        <f t="shared" si="5"/>
        <v>-4155206.5486748316</v>
      </c>
      <c r="U18">
        <f t="shared" si="5"/>
        <v>-3957339.5701665063</v>
      </c>
      <c r="V18">
        <f t="shared" si="5"/>
        <v>-3768894.8287300058</v>
      </c>
      <c r="W18">
        <f t="shared" si="5"/>
        <v>-3589423.6464095297</v>
      </c>
      <c r="X18">
        <f t="shared" si="5"/>
        <v>-3418498.7108662189</v>
      </c>
      <c r="Y18">
        <f t="shared" si="5"/>
        <v>-3255713.0579678267</v>
      </c>
      <c r="Z18">
        <f t="shared" si="5"/>
        <v>-3100679.1028265022</v>
      </c>
      <c r="AA18">
        <f t="shared" si="5"/>
        <v>-2953027.716977621</v>
      </c>
      <c r="AB18">
        <f t="shared" si="5"/>
        <v>-2812407.349502496</v>
      </c>
      <c r="AC18">
        <f t="shared" si="5"/>
        <v>-2678483.1900023771</v>
      </c>
      <c r="AD18">
        <f t="shared" si="5"/>
        <v>-2550936.3714308357</v>
      </c>
      <c r="AE18">
        <f t="shared" si="5"/>
        <v>-2429463.2108865096</v>
      </c>
      <c r="AF18">
        <f t="shared" si="5"/>
        <v>-2313774.4865585812</v>
      </c>
      <c r="AG18">
        <f t="shared" si="5"/>
        <v>-2203594.7491034102</v>
      </c>
      <c r="AH18">
        <f t="shared" si="5"/>
        <v>-2098661.6658127718</v>
      </c>
      <c r="AI18">
        <f t="shared" si="5"/>
        <v>-1998725.3960121635</v>
      </c>
      <c r="AJ18">
        <f t="shared" si="5"/>
        <v>-1903547.9962020605</v>
      </c>
      <c r="AK18">
        <f t="shared" si="5"/>
        <v>-1812902.8535257715</v>
      </c>
      <c r="AL18">
        <f t="shared" si="5"/>
        <v>-1726574.1462150207</v>
      </c>
      <c r="AM18">
        <f t="shared" si="5"/>
        <v>-1644356.329728591</v>
      </c>
      <c r="AN18">
        <f t="shared" si="5"/>
        <v>-1566053.6473605633</v>
      </c>
      <c r="AO18">
        <f t="shared" si="5"/>
        <v>-1491479.664152917</v>
      </c>
      <c r="AP18">
        <f t="shared" si="5"/>
        <v>-1420456.8230027782</v>
      </c>
      <c r="AQ18">
        <f t="shared" si="5"/>
        <v>-1352816.0219074078</v>
      </c>
      <c r="AR18">
        <f t="shared" si="5"/>
        <v>-1288396.2113403883</v>
      </c>
      <c r="AS18">
        <f t="shared" si="5"/>
        <v>-1227044.0108003698</v>
      </c>
      <c r="AT18">
        <f t="shared" si="5"/>
        <v>-1168613.3436193999</v>
      </c>
      <c r="AU18">
        <f t="shared" si="5"/>
        <v>-1112965.0891613329</v>
      </c>
      <c r="AV18">
        <f t="shared" si="5"/>
        <v>-1059966.7515822221</v>
      </c>
      <c r="AW18">
        <f t="shared" si="5"/>
        <v>-1009492.1443640208</v>
      </c>
      <c r="AX18">
        <f t="shared" si="5"/>
        <v>-961421.08987049607</v>
      </c>
      <c r="AY18">
        <f t="shared" si="5"/>
        <v>-915639.13320999616</v>
      </c>
      <c r="AZ18">
        <f t="shared" si="5"/>
        <v>-872037.26972380595</v>
      </c>
      <c r="BA18" s="2">
        <f>SUM(B18:AZ18)</f>
        <v>-309380187.78029108</v>
      </c>
      <c r="BB18" s="14"/>
      <c r="BC18">
        <f>BA18/B16</f>
        <v>3.0938018778029108</v>
      </c>
    </row>
    <row r="20" spans="1:55" x14ac:dyDescent="0.25">
      <c r="A20" t="s">
        <v>32</v>
      </c>
      <c r="B20" s="2" t="s">
        <v>4</v>
      </c>
    </row>
    <row r="21" spans="1:55" x14ac:dyDescent="0.25">
      <c r="A21" t="s">
        <v>33</v>
      </c>
      <c r="B21" s="2" t="s">
        <v>119</v>
      </c>
      <c r="C21" t="s">
        <v>99</v>
      </c>
    </row>
    <row r="22" spans="1:55" x14ac:dyDescent="0.25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  <c r="T22">
        <v>18</v>
      </c>
      <c r="U22">
        <v>19</v>
      </c>
      <c r="V22">
        <v>20</v>
      </c>
      <c r="W22">
        <v>21</v>
      </c>
      <c r="X22">
        <v>22</v>
      </c>
      <c r="Y22">
        <v>23</v>
      </c>
      <c r="Z22">
        <v>24</v>
      </c>
      <c r="AA22">
        <v>25</v>
      </c>
      <c r="AB22">
        <v>26</v>
      </c>
      <c r="AC22">
        <v>27</v>
      </c>
      <c r="AD22">
        <v>28</v>
      </c>
      <c r="AE22">
        <v>29</v>
      </c>
      <c r="AF22">
        <v>30</v>
      </c>
      <c r="AG22">
        <v>31</v>
      </c>
      <c r="AH22">
        <v>32</v>
      </c>
      <c r="AI22">
        <v>33</v>
      </c>
      <c r="AJ22">
        <v>34</v>
      </c>
      <c r="AK22">
        <v>35</v>
      </c>
      <c r="AL22">
        <v>36</v>
      </c>
      <c r="AM22">
        <v>37</v>
      </c>
      <c r="AN22">
        <v>38</v>
      </c>
      <c r="AO22">
        <v>39</v>
      </c>
      <c r="AP22">
        <v>40</v>
      </c>
      <c r="AQ22">
        <v>41</v>
      </c>
      <c r="AR22">
        <v>42</v>
      </c>
      <c r="AS22">
        <v>43</v>
      </c>
      <c r="AT22">
        <v>44</v>
      </c>
      <c r="AU22">
        <v>45</v>
      </c>
      <c r="AV22">
        <v>46</v>
      </c>
      <c r="AW22">
        <v>47</v>
      </c>
      <c r="AX22">
        <v>48</v>
      </c>
      <c r="AY22">
        <v>49</v>
      </c>
      <c r="AZ22">
        <v>50</v>
      </c>
    </row>
    <row r="23" spans="1:55" x14ac:dyDescent="0.25">
      <c r="A23" s="15" t="s">
        <v>52</v>
      </c>
      <c r="B23" s="15">
        <v>0</v>
      </c>
      <c r="C23" s="15">
        <v>-1600000</v>
      </c>
      <c r="D23" s="15">
        <v>-1600000</v>
      </c>
      <c r="E23" s="15">
        <v>-1600000</v>
      </c>
      <c r="F23" s="15">
        <v>-1600000</v>
      </c>
      <c r="G23" s="15">
        <f>F23+B16</f>
        <v>-101600000</v>
      </c>
      <c r="H23" s="15">
        <f>C16</f>
        <v>-20000000</v>
      </c>
      <c r="I23" s="15">
        <f>C16+2000000</f>
        <v>-18000000</v>
      </c>
      <c r="J23" s="15">
        <f>I23+2000000</f>
        <v>-16000000</v>
      </c>
      <c r="K23" s="15">
        <f t="shared" ref="K23:N23" si="6">J23+2000000</f>
        <v>-14000000</v>
      </c>
      <c r="L23" s="15">
        <f t="shared" si="6"/>
        <v>-12000000</v>
      </c>
      <c r="M23" s="15">
        <f t="shared" si="6"/>
        <v>-10000000</v>
      </c>
      <c r="N23" s="15">
        <f>M23</f>
        <v>-10000000</v>
      </c>
      <c r="O23" s="15">
        <f t="shared" ref="O23:AZ23" si="7">N23</f>
        <v>-10000000</v>
      </c>
      <c r="P23" s="15">
        <f t="shared" si="7"/>
        <v>-10000000</v>
      </c>
      <c r="Q23" s="15">
        <f t="shared" si="7"/>
        <v>-10000000</v>
      </c>
      <c r="R23" s="15">
        <f t="shared" si="7"/>
        <v>-10000000</v>
      </c>
      <c r="S23" s="15">
        <f t="shared" si="7"/>
        <v>-10000000</v>
      </c>
      <c r="T23" s="15">
        <f t="shared" si="7"/>
        <v>-10000000</v>
      </c>
      <c r="U23" s="15">
        <f t="shared" si="7"/>
        <v>-10000000</v>
      </c>
      <c r="V23" s="15">
        <f t="shared" si="7"/>
        <v>-10000000</v>
      </c>
      <c r="W23" s="15">
        <f t="shared" si="7"/>
        <v>-10000000</v>
      </c>
      <c r="X23" s="15">
        <f t="shared" si="7"/>
        <v>-10000000</v>
      </c>
      <c r="Y23" s="15">
        <f t="shared" si="7"/>
        <v>-10000000</v>
      </c>
      <c r="Z23" s="15">
        <f t="shared" si="7"/>
        <v>-10000000</v>
      </c>
      <c r="AA23" s="15">
        <f t="shared" si="7"/>
        <v>-10000000</v>
      </c>
      <c r="AB23" s="15">
        <f t="shared" si="7"/>
        <v>-10000000</v>
      </c>
      <c r="AC23" s="15">
        <f t="shared" si="7"/>
        <v>-10000000</v>
      </c>
      <c r="AD23" s="15">
        <f t="shared" si="7"/>
        <v>-10000000</v>
      </c>
      <c r="AE23" s="15">
        <f t="shared" si="7"/>
        <v>-10000000</v>
      </c>
      <c r="AF23" s="15">
        <f t="shared" si="7"/>
        <v>-10000000</v>
      </c>
      <c r="AG23" s="15">
        <f t="shared" si="7"/>
        <v>-10000000</v>
      </c>
      <c r="AH23" s="15">
        <f t="shared" si="7"/>
        <v>-10000000</v>
      </c>
      <c r="AI23" s="15">
        <f t="shared" si="7"/>
        <v>-10000000</v>
      </c>
      <c r="AJ23" s="15">
        <f t="shared" si="7"/>
        <v>-10000000</v>
      </c>
      <c r="AK23" s="15">
        <f t="shared" si="7"/>
        <v>-10000000</v>
      </c>
      <c r="AL23" s="15">
        <f t="shared" si="7"/>
        <v>-10000000</v>
      </c>
      <c r="AM23" s="15">
        <f t="shared" si="7"/>
        <v>-10000000</v>
      </c>
      <c r="AN23" s="15">
        <f t="shared" si="7"/>
        <v>-10000000</v>
      </c>
      <c r="AO23" s="15">
        <f t="shared" si="7"/>
        <v>-10000000</v>
      </c>
      <c r="AP23" s="15">
        <f t="shared" si="7"/>
        <v>-10000000</v>
      </c>
      <c r="AQ23" s="15">
        <f t="shared" si="7"/>
        <v>-10000000</v>
      </c>
      <c r="AR23" s="15">
        <f t="shared" si="7"/>
        <v>-10000000</v>
      </c>
      <c r="AS23" s="15">
        <f t="shared" si="7"/>
        <v>-10000000</v>
      </c>
      <c r="AT23" s="15">
        <f t="shared" si="7"/>
        <v>-10000000</v>
      </c>
      <c r="AU23" s="15">
        <f t="shared" si="7"/>
        <v>-10000000</v>
      </c>
      <c r="AV23" s="15">
        <f t="shared" si="7"/>
        <v>-10000000</v>
      </c>
      <c r="AW23" s="15">
        <f t="shared" si="7"/>
        <v>-10000000</v>
      </c>
      <c r="AX23" s="15">
        <f t="shared" si="7"/>
        <v>-10000000</v>
      </c>
      <c r="AY23" s="15">
        <f t="shared" si="7"/>
        <v>-10000000</v>
      </c>
      <c r="AZ23" s="15">
        <f t="shared" si="7"/>
        <v>-10000000</v>
      </c>
    </row>
    <row r="24" spans="1:55" x14ac:dyDescent="0.25">
      <c r="A24" t="s">
        <v>2</v>
      </c>
      <c r="B24" s="1">
        <f>$A$11</f>
        <v>0.05</v>
      </c>
      <c r="C24" s="1">
        <f t="shared" ref="C24:AZ24" si="8">$A$11</f>
        <v>0.05</v>
      </c>
      <c r="D24" s="1">
        <f t="shared" si="8"/>
        <v>0.05</v>
      </c>
      <c r="E24" s="1">
        <f t="shared" si="8"/>
        <v>0.05</v>
      </c>
      <c r="F24" s="1">
        <f t="shared" si="8"/>
        <v>0.05</v>
      </c>
      <c r="G24" s="1">
        <f t="shared" si="8"/>
        <v>0.05</v>
      </c>
      <c r="H24" s="1">
        <f t="shared" si="8"/>
        <v>0.05</v>
      </c>
      <c r="I24" s="1">
        <f t="shared" si="8"/>
        <v>0.05</v>
      </c>
      <c r="J24" s="1">
        <f t="shared" si="8"/>
        <v>0.05</v>
      </c>
      <c r="K24" s="1">
        <f t="shared" si="8"/>
        <v>0.05</v>
      </c>
      <c r="L24" s="1">
        <f t="shared" si="8"/>
        <v>0.05</v>
      </c>
      <c r="M24" s="1">
        <f t="shared" si="8"/>
        <v>0.05</v>
      </c>
      <c r="N24" s="1">
        <f t="shared" si="8"/>
        <v>0.05</v>
      </c>
      <c r="O24" s="1">
        <f t="shared" si="8"/>
        <v>0.05</v>
      </c>
      <c r="P24" s="1">
        <f t="shared" si="8"/>
        <v>0.05</v>
      </c>
      <c r="Q24" s="1">
        <f t="shared" si="8"/>
        <v>0.05</v>
      </c>
      <c r="R24" s="1">
        <f t="shared" si="8"/>
        <v>0.05</v>
      </c>
      <c r="S24" s="1">
        <f t="shared" si="8"/>
        <v>0.05</v>
      </c>
      <c r="T24" s="1">
        <f t="shared" si="8"/>
        <v>0.05</v>
      </c>
      <c r="U24" s="1">
        <f t="shared" si="8"/>
        <v>0.05</v>
      </c>
      <c r="V24" s="1">
        <f t="shared" si="8"/>
        <v>0.05</v>
      </c>
      <c r="W24" s="1">
        <f t="shared" si="8"/>
        <v>0.05</v>
      </c>
      <c r="X24" s="1">
        <f t="shared" si="8"/>
        <v>0.05</v>
      </c>
      <c r="Y24" s="1">
        <f t="shared" si="8"/>
        <v>0.05</v>
      </c>
      <c r="Z24" s="1">
        <f t="shared" si="8"/>
        <v>0.05</v>
      </c>
      <c r="AA24" s="1">
        <f t="shared" si="8"/>
        <v>0.05</v>
      </c>
      <c r="AB24" s="1">
        <f t="shared" si="8"/>
        <v>0.05</v>
      </c>
      <c r="AC24" s="1">
        <f t="shared" si="8"/>
        <v>0.05</v>
      </c>
      <c r="AD24" s="1">
        <f t="shared" si="8"/>
        <v>0.05</v>
      </c>
      <c r="AE24" s="1">
        <f t="shared" si="8"/>
        <v>0.05</v>
      </c>
      <c r="AF24" s="1">
        <f t="shared" si="8"/>
        <v>0.05</v>
      </c>
      <c r="AG24" s="1">
        <f t="shared" si="8"/>
        <v>0.05</v>
      </c>
      <c r="AH24" s="1">
        <f t="shared" si="8"/>
        <v>0.05</v>
      </c>
      <c r="AI24" s="1">
        <f t="shared" si="8"/>
        <v>0.05</v>
      </c>
      <c r="AJ24" s="1">
        <f t="shared" si="8"/>
        <v>0.05</v>
      </c>
      <c r="AK24" s="1">
        <f t="shared" si="8"/>
        <v>0.05</v>
      </c>
      <c r="AL24" s="1">
        <f t="shared" si="8"/>
        <v>0.05</v>
      </c>
      <c r="AM24" s="1">
        <f t="shared" si="8"/>
        <v>0.05</v>
      </c>
      <c r="AN24" s="1">
        <f t="shared" si="8"/>
        <v>0.05</v>
      </c>
      <c r="AO24" s="1">
        <f t="shared" si="8"/>
        <v>0.05</v>
      </c>
      <c r="AP24" s="1">
        <f t="shared" si="8"/>
        <v>0.05</v>
      </c>
      <c r="AQ24" s="1">
        <f t="shared" si="8"/>
        <v>0.05</v>
      </c>
      <c r="AR24" s="1">
        <f t="shared" si="8"/>
        <v>0.05</v>
      </c>
      <c r="AS24" s="1">
        <f t="shared" si="8"/>
        <v>0.05</v>
      </c>
      <c r="AT24" s="1">
        <f t="shared" si="8"/>
        <v>0.05</v>
      </c>
      <c r="AU24" s="1">
        <f t="shared" si="8"/>
        <v>0.05</v>
      </c>
      <c r="AV24" s="1">
        <f t="shared" si="8"/>
        <v>0.05</v>
      </c>
      <c r="AW24" s="1">
        <f t="shared" si="8"/>
        <v>0.05</v>
      </c>
      <c r="AX24" s="1">
        <f t="shared" si="8"/>
        <v>0.05</v>
      </c>
      <c r="AY24" s="1">
        <f t="shared" si="8"/>
        <v>0.05</v>
      </c>
      <c r="AZ24" s="1">
        <f t="shared" si="8"/>
        <v>0.05</v>
      </c>
    </row>
    <row r="25" spans="1:55" x14ac:dyDescent="0.25">
      <c r="A25" t="s">
        <v>37</v>
      </c>
      <c r="B25">
        <f>B23/(1+B24)^(B19)</f>
        <v>0</v>
      </c>
      <c r="C25">
        <f>C23/(1+C24)^(C22)</f>
        <v>-1523809.5238095238</v>
      </c>
      <c r="D25">
        <f t="shared" ref="D25:AZ25" si="9">D23/(1+D24)^(D22)</f>
        <v>-1451247.1655328798</v>
      </c>
      <c r="E25">
        <f t="shared" si="9"/>
        <v>-1382140.1576503615</v>
      </c>
      <c r="F25">
        <f t="shared" si="9"/>
        <v>-1316323.9596670112</v>
      </c>
      <c r="G25">
        <f>G23/(1+G24)^(G22)</f>
        <v>-79606258.513195425</v>
      </c>
      <c r="H25">
        <f>H23/(1+H24)^(H22)</f>
        <v>-14924307.932732554</v>
      </c>
      <c r="I25">
        <f t="shared" si="9"/>
        <v>-12792263.942342186</v>
      </c>
      <c r="J25">
        <f t="shared" si="9"/>
        <v>-10829429.792458994</v>
      </c>
      <c r="K25">
        <f t="shared" si="9"/>
        <v>-9024524.8270491622</v>
      </c>
      <c r="L25">
        <f t="shared" si="9"/>
        <v>-7366959.0424891114</v>
      </c>
      <c r="M25">
        <f t="shared" si="9"/>
        <v>-5846792.8908643741</v>
      </c>
      <c r="N25">
        <f t="shared" si="9"/>
        <v>-5568374.1817755951</v>
      </c>
      <c r="O25">
        <f t="shared" si="9"/>
        <v>-5303213.5064529469</v>
      </c>
      <c r="P25">
        <f t="shared" si="9"/>
        <v>-5050679.5299551887</v>
      </c>
      <c r="Q25">
        <f t="shared" si="9"/>
        <v>-4810170.9809097014</v>
      </c>
      <c r="R25">
        <f t="shared" si="9"/>
        <v>-4581115.2199140023</v>
      </c>
      <c r="S25">
        <f t="shared" si="9"/>
        <v>-4362966.8761085728</v>
      </c>
      <c r="T25">
        <f t="shared" si="9"/>
        <v>-4155206.5486748316</v>
      </c>
      <c r="U25">
        <f t="shared" si="9"/>
        <v>-3957339.5701665063</v>
      </c>
      <c r="V25">
        <f t="shared" si="9"/>
        <v>-3768894.8287300058</v>
      </c>
      <c r="W25">
        <f t="shared" si="9"/>
        <v>-3589423.6464095297</v>
      </c>
      <c r="X25">
        <f t="shared" si="9"/>
        <v>-3418498.7108662189</v>
      </c>
      <c r="Y25">
        <f t="shared" si="9"/>
        <v>-3255713.0579678267</v>
      </c>
      <c r="Z25">
        <f t="shared" si="9"/>
        <v>-3100679.1028265022</v>
      </c>
      <c r="AA25">
        <f t="shared" si="9"/>
        <v>-2953027.716977621</v>
      </c>
      <c r="AB25">
        <f t="shared" si="9"/>
        <v>-2812407.349502496</v>
      </c>
      <c r="AC25">
        <f t="shared" si="9"/>
        <v>-2678483.1900023771</v>
      </c>
      <c r="AD25">
        <f t="shared" si="9"/>
        <v>-2550936.3714308357</v>
      </c>
      <c r="AE25">
        <f t="shared" si="9"/>
        <v>-2429463.2108865096</v>
      </c>
      <c r="AF25">
        <f t="shared" si="9"/>
        <v>-2313774.4865585812</v>
      </c>
      <c r="AG25">
        <f t="shared" si="9"/>
        <v>-2203594.7491034102</v>
      </c>
      <c r="AH25">
        <f t="shared" si="9"/>
        <v>-2098661.6658127718</v>
      </c>
      <c r="AI25">
        <f t="shared" si="9"/>
        <v>-1998725.3960121635</v>
      </c>
      <c r="AJ25">
        <f t="shared" si="9"/>
        <v>-1903547.9962020605</v>
      </c>
      <c r="AK25">
        <f t="shared" si="9"/>
        <v>-1812902.8535257715</v>
      </c>
      <c r="AL25">
        <f t="shared" si="9"/>
        <v>-1726574.1462150207</v>
      </c>
      <c r="AM25">
        <f t="shared" si="9"/>
        <v>-1644356.329728591</v>
      </c>
      <c r="AN25">
        <f t="shared" si="9"/>
        <v>-1566053.6473605633</v>
      </c>
      <c r="AO25">
        <f t="shared" si="9"/>
        <v>-1491479.664152917</v>
      </c>
      <c r="AP25">
        <f t="shared" si="9"/>
        <v>-1420456.8230027782</v>
      </c>
      <c r="AQ25">
        <f t="shared" si="9"/>
        <v>-1352816.0219074078</v>
      </c>
      <c r="AR25">
        <f t="shared" si="9"/>
        <v>-1288396.2113403883</v>
      </c>
      <c r="AS25">
        <f t="shared" si="9"/>
        <v>-1227044.0108003698</v>
      </c>
      <c r="AT25">
        <f t="shared" si="9"/>
        <v>-1168613.3436193999</v>
      </c>
      <c r="AU25">
        <f t="shared" si="9"/>
        <v>-1112965.0891613329</v>
      </c>
      <c r="AV25">
        <f t="shared" si="9"/>
        <v>-1059966.7515822221</v>
      </c>
      <c r="AW25">
        <f t="shared" si="9"/>
        <v>-1009492.1443640208</v>
      </c>
      <c r="AX25">
        <f t="shared" si="9"/>
        <v>-961421.08987049607</v>
      </c>
      <c r="AY25">
        <f t="shared" si="9"/>
        <v>-915639.13320999616</v>
      </c>
      <c r="AZ25">
        <f t="shared" si="9"/>
        <v>-872037.26972380595</v>
      </c>
      <c r="BA25" s="2">
        <f>SUM(B25:AZ25)</f>
        <v>-245559170.17060295</v>
      </c>
      <c r="BB25" s="14"/>
    </row>
    <row r="27" spans="1:55" x14ac:dyDescent="0.25">
      <c r="A27" t="s">
        <v>34</v>
      </c>
      <c r="B27" s="2" t="s">
        <v>53</v>
      </c>
      <c r="H27" t="s">
        <v>54</v>
      </c>
    </row>
    <row r="28" spans="1:55" x14ac:dyDescent="0.25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 t="s">
        <v>3</v>
      </c>
      <c r="BB28" t="s">
        <v>6</v>
      </c>
      <c r="BC28" t="s">
        <v>38</v>
      </c>
    </row>
    <row r="29" spans="1:55" x14ac:dyDescent="0.25">
      <c r="A29" s="15" t="s">
        <v>51</v>
      </c>
      <c r="B29" s="15">
        <v>-60000000</v>
      </c>
      <c r="C29" s="15">
        <v>-15000000</v>
      </c>
      <c r="D29" s="15">
        <v>-15000000</v>
      </c>
      <c r="E29" s="15">
        <v>-15000000</v>
      </c>
      <c r="F29" s="15">
        <v>-15000000</v>
      </c>
      <c r="G29" s="15">
        <v>-15000000</v>
      </c>
      <c r="H29" s="15">
        <f>G29+B16</f>
        <v>-115000000</v>
      </c>
      <c r="I29" s="15">
        <v>-20000000</v>
      </c>
      <c r="J29" s="15">
        <f>I29+2000000</f>
        <v>-18000000</v>
      </c>
      <c r="K29" s="15">
        <f>J29+2000000</f>
        <v>-16000000</v>
      </c>
      <c r="L29" s="15">
        <f t="shared" ref="L29:N29" si="10">K29+2000000</f>
        <v>-14000000</v>
      </c>
      <c r="M29" s="15">
        <f t="shared" si="10"/>
        <v>-12000000</v>
      </c>
      <c r="N29" s="15">
        <f t="shared" si="10"/>
        <v>-10000000</v>
      </c>
      <c r="O29" s="15">
        <f>N29</f>
        <v>-10000000</v>
      </c>
      <c r="P29" s="15">
        <f t="shared" ref="P29:AZ29" si="11">O29</f>
        <v>-10000000</v>
      </c>
      <c r="Q29" s="15">
        <f t="shared" si="11"/>
        <v>-10000000</v>
      </c>
      <c r="R29" s="15">
        <f t="shared" si="11"/>
        <v>-10000000</v>
      </c>
      <c r="S29" s="15">
        <f t="shared" si="11"/>
        <v>-10000000</v>
      </c>
      <c r="T29" s="15">
        <f t="shared" si="11"/>
        <v>-10000000</v>
      </c>
      <c r="U29" s="15">
        <f t="shared" si="11"/>
        <v>-10000000</v>
      </c>
      <c r="V29" s="15">
        <f t="shared" si="11"/>
        <v>-10000000</v>
      </c>
      <c r="W29" s="15">
        <f t="shared" si="11"/>
        <v>-10000000</v>
      </c>
      <c r="X29" s="15">
        <f t="shared" si="11"/>
        <v>-10000000</v>
      </c>
      <c r="Y29" s="15">
        <f t="shared" si="11"/>
        <v>-10000000</v>
      </c>
      <c r="Z29" s="15">
        <f t="shared" si="11"/>
        <v>-10000000</v>
      </c>
      <c r="AA29" s="15">
        <f t="shared" si="11"/>
        <v>-10000000</v>
      </c>
      <c r="AB29" s="15">
        <f t="shared" si="11"/>
        <v>-10000000</v>
      </c>
      <c r="AC29" s="15">
        <f t="shared" si="11"/>
        <v>-10000000</v>
      </c>
      <c r="AD29" s="15">
        <f t="shared" si="11"/>
        <v>-10000000</v>
      </c>
      <c r="AE29" s="15">
        <f t="shared" si="11"/>
        <v>-10000000</v>
      </c>
      <c r="AF29" s="15">
        <f t="shared" si="11"/>
        <v>-10000000</v>
      </c>
      <c r="AG29" s="15">
        <f t="shared" si="11"/>
        <v>-10000000</v>
      </c>
      <c r="AH29" s="15">
        <f t="shared" si="11"/>
        <v>-10000000</v>
      </c>
      <c r="AI29" s="15">
        <f t="shared" si="11"/>
        <v>-10000000</v>
      </c>
      <c r="AJ29" s="15">
        <f t="shared" si="11"/>
        <v>-10000000</v>
      </c>
      <c r="AK29" s="15">
        <f t="shared" si="11"/>
        <v>-10000000</v>
      </c>
      <c r="AL29" s="15">
        <f t="shared" si="11"/>
        <v>-10000000</v>
      </c>
      <c r="AM29" s="15">
        <f t="shared" si="11"/>
        <v>-10000000</v>
      </c>
      <c r="AN29" s="15">
        <f t="shared" si="11"/>
        <v>-10000000</v>
      </c>
      <c r="AO29" s="15">
        <f t="shared" si="11"/>
        <v>-10000000</v>
      </c>
      <c r="AP29" s="15">
        <f t="shared" si="11"/>
        <v>-10000000</v>
      </c>
      <c r="AQ29" s="15">
        <f t="shared" si="11"/>
        <v>-10000000</v>
      </c>
      <c r="AR29" s="15">
        <f t="shared" si="11"/>
        <v>-10000000</v>
      </c>
      <c r="AS29" s="15">
        <f t="shared" si="11"/>
        <v>-10000000</v>
      </c>
      <c r="AT29" s="15">
        <f t="shared" si="11"/>
        <v>-10000000</v>
      </c>
      <c r="AU29" s="15">
        <f t="shared" si="11"/>
        <v>-10000000</v>
      </c>
      <c r="AV29" s="15">
        <f t="shared" si="11"/>
        <v>-10000000</v>
      </c>
      <c r="AW29" s="15">
        <f t="shared" si="11"/>
        <v>-10000000</v>
      </c>
      <c r="AX29" s="15">
        <f t="shared" si="11"/>
        <v>-10000000</v>
      </c>
      <c r="AY29" s="15">
        <f t="shared" si="11"/>
        <v>-10000000</v>
      </c>
      <c r="AZ29" s="15">
        <f t="shared" si="11"/>
        <v>-10000000</v>
      </c>
    </row>
    <row r="30" spans="1:55" x14ac:dyDescent="0.25">
      <c r="A30" t="s">
        <v>2</v>
      </c>
      <c r="B30" s="1">
        <f>$A$11</f>
        <v>0.05</v>
      </c>
      <c r="C30" s="1">
        <f t="shared" ref="C30:AZ30" si="12">$A$11</f>
        <v>0.05</v>
      </c>
      <c r="D30" s="1">
        <f t="shared" si="12"/>
        <v>0.05</v>
      </c>
      <c r="E30" s="1">
        <f t="shared" si="12"/>
        <v>0.05</v>
      </c>
      <c r="F30" s="1">
        <f t="shared" si="12"/>
        <v>0.05</v>
      </c>
      <c r="G30" s="1">
        <f t="shared" si="12"/>
        <v>0.05</v>
      </c>
      <c r="H30" s="1">
        <f t="shared" si="12"/>
        <v>0.05</v>
      </c>
      <c r="I30" s="1">
        <f t="shared" si="12"/>
        <v>0.05</v>
      </c>
      <c r="J30" s="1">
        <f t="shared" si="12"/>
        <v>0.05</v>
      </c>
      <c r="K30" s="1">
        <f t="shared" si="12"/>
        <v>0.05</v>
      </c>
      <c r="L30" s="1">
        <f t="shared" si="12"/>
        <v>0.05</v>
      </c>
      <c r="M30" s="1">
        <f t="shared" si="12"/>
        <v>0.05</v>
      </c>
      <c r="N30" s="1">
        <f t="shared" si="12"/>
        <v>0.05</v>
      </c>
      <c r="O30" s="1">
        <f t="shared" si="12"/>
        <v>0.05</v>
      </c>
      <c r="P30" s="1">
        <f t="shared" si="12"/>
        <v>0.05</v>
      </c>
      <c r="Q30" s="1">
        <f t="shared" si="12"/>
        <v>0.05</v>
      </c>
      <c r="R30" s="1">
        <f t="shared" si="12"/>
        <v>0.05</v>
      </c>
      <c r="S30" s="1">
        <f t="shared" si="12"/>
        <v>0.05</v>
      </c>
      <c r="T30" s="1">
        <f t="shared" si="12"/>
        <v>0.05</v>
      </c>
      <c r="U30" s="1">
        <f t="shared" si="12"/>
        <v>0.05</v>
      </c>
      <c r="V30" s="1">
        <f t="shared" si="12"/>
        <v>0.05</v>
      </c>
      <c r="W30" s="1">
        <f t="shared" si="12"/>
        <v>0.05</v>
      </c>
      <c r="X30" s="1">
        <f t="shared" si="12"/>
        <v>0.05</v>
      </c>
      <c r="Y30" s="1">
        <f t="shared" si="12"/>
        <v>0.05</v>
      </c>
      <c r="Z30" s="1">
        <f t="shared" si="12"/>
        <v>0.05</v>
      </c>
      <c r="AA30" s="1">
        <f t="shared" si="12"/>
        <v>0.05</v>
      </c>
      <c r="AB30" s="1">
        <f t="shared" si="12"/>
        <v>0.05</v>
      </c>
      <c r="AC30" s="1">
        <f t="shared" si="12"/>
        <v>0.05</v>
      </c>
      <c r="AD30" s="1">
        <f t="shared" si="12"/>
        <v>0.05</v>
      </c>
      <c r="AE30" s="1">
        <f t="shared" si="12"/>
        <v>0.05</v>
      </c>
      <c r="AF30" s="1">
        <f t="shared" si="12"/>
        <v>0.05</v>
      </c>
      <c r="AG30" s="1">
        <f t="shared" si="12"/>
        <v>0.05</v>
      </c>
      <c r="AH30" s="1">
        <f t="shared" si="12"/>
        <v>0.05</v>
      </c>
      <c r="AI30" s="1">
        <f t="shared" si="12"/>
        <v>0.05</v>
      </c>
      <c r="AJ30" s="1">
        <f t="shared" si="12"/>
        <v>0.05</v>
      </c>
      <c r="AK30" s="1">
        <f t="shared" si="12"/>
        <v>0.05</v>
      </c>
      <c r="AL30" s="1">
        <f t="shared" si="12"/>
        <v>0.05</v>
      </c>
      <c r="AM30" s="1">
        <f t="shared" si="12"/>
        <v>0.05</v>
      </c>
      <c r="AN30" s="1">
        <f t="shared" si="12"/>
        <v>0.05</v>
      </c>
      <c r="AO30" s="1">
        <f t="shared" si="12"/>
        <v>0.05</v>
      </c>
      <c r="AP30" s="1">
        <f t="shared" si="12"/>
        <v>0.05</v>
      </c>
      <c r="AQ30" s="1">
        <f t="shared" si="12"/>
        <v>0.05</v>
      </c>
      <c r="AR30" s="1">
        <f t="shared" si="12"/>
        <v>0.05</v>
      </c>
      <c r="AS30" s="1">
        <f t="shared" si="12"/>
        <v>0.05</v>
      </c>
      <c r="AT30" s="1">
        <f t="shared" si="12"/>
        <v>0.05</v>
      </c>
      <c r="AU30" s="1">
        <f t="shared" si="12"/>
        <v>0.05</v>
      </c>
      <c r="AV30" s="1">
        <f t="shared" si="12"/>
        <v>0.05</v>
      </c>
      <c r="AW30" s="1">
        <f t="shared" si="12"/>
        <v>0.05</v>
      </c>
      <c r="AX30" s="1">
        <f t="shared" si="12"/>
        <v>0.05</v>
      </c>
      <c r="AY30" s="1">
        <f t="shared" si="12"/>
        <v>0.05</v>
      </c>
      <c r="AZ30" s="1">
        <f t="shared" si="12"/>
        <v>0.05</v>
      </c>
    </row>
    <row r="31" spans="1:55" x14ac:dyDescent="0.25">
      <c r="A31" t="s">
        <v>37</v>
      </c>
      <c r="B31">
        <f>B29/(1+B30)^(B28)</f>
        <v>-60000000</v>
      </c>
      <c r="C31">
        <f t="shared" ref="C31" si="13">C29/(1+C30)^(C28)</f>
        <v>-14285714.285714285</v>
      </c>
      <c r="D31">
        <f t="shared" ref="D31" si="14">D29/(1+D30)^(D28)</f>
        <v>-13605442.176870748</v>
      </c>
      <c r="E31">
        <f t="shared" ref="E31" si="15">E29/(1+E30)^(E28)</f>
        <v>-12957563.977972141</v>
      </c>
      <c r="F31">
        <f t="shared" ref="F31" si="16">F29/(1+F30)^(F28)</f>
        <v>-12340537.121878229</v>
      </c>
      <c r="G31">
        <f>G29/(1+G30)^(G28)</f>
        <v>-11752892.497026885</v>
      </c>
      <c r="H31">
        <f>H29/(1+H30)^(H28)</f>
        <v>-85814770.613212183</v>
      </c>
      <c r="I31">
        <f t="shared" ref="I31" si="17">I29/(1+I30)^(I28)</f>
        <v>-14213626.60260243</v>
      </c>
      <c r="J31">
        <f t="shared" ref="J31" si="18">J29/(1+J30)^(J28)</f>
        <v>-12183108.516516369</v>
      </c>
      <c r="K31">
        <f t="shared" ref="K31" si="19">K29/(1+K30)^(K28)</f>
        <v>-10313742.659484757</v>
      </c>
      <c r="L31">
        <f t="shared" ref="L31" si="20">L29/(1+L30)^(L28)</f>
        <v>-8594785.5495706312</v>
      </c>
      <c r="M31">
        <f t="shared" ref="M31" si="21">M29/(1+M30)^(M28)</f>
        <v>-7016151.4690372488</v>
      </c>
      <c r="N31">
        <f t="shared" ref="N31" si="22">N29/(1+N30)^(N28)</f>
        <v>-5568374.1817755951</v>
      </c>
      <c r="O31">
        <f t="shared" ref="O31" si="23">O29/(1+O30)^(O28)</f>
        <v>-5303213.5064529469</v>
      </c>
      <c r="P31">
        <f t="shared" ref="P31" si="24">P29/(1+P30)^(P28)</f>
        <v>-5050679.5299551887</v>
      </c>
      <c r="Q31">
        <f t="shared" ref="Q31" si="25">Q29/(1+Q30)^(Q28)</f>
        <v>-4810170.9809097014</v>
      </c>
      <c r="R31">
        <f t="shared" ref="R31" si="26">R29/(1+R30)^(R28)</f>
        <v>-4581115.2199140023</v>
      </c>
      <c r="S31">
        <f t="shared" ref="S31" si="27">S29/(1+S30)^(S28)</f>
        <v>-4362966.8761085728</v>
      </c>
      <c r="T31">
        <f t="shared" ref="T31" si="28">T29/(1+T30)^(T28)</f>
        <v>-4155206.5486748316</v>
      </c>
      <c r="U31">
        <f t="shared" ref="U31" si="29">U29/(1+U30)^(U28)</f>
        <v>-3957339.5701665063</v>
      </c>
      <c r="V31">
        <f t="shared" ref="V31" si="30">V29/(1+V30)^(V28)</f>
        <v>-3768894.8287300058</v>
      </c>
      <c r="W31">
        <f t="shared" ref="W31" si="31">W29/(1+W30)^(W28)</f>
        <v>-3589423.6464095297</v>
      </c>
      <c r="X31">
        <f t="shared" ref="X31" si="32">X29/(1+X30)^(X28)</f>
        <v>-3418498.7108662189</v>
      </c>
      <c r="Y31">
        <f t="shared" ref="Y31" si="33">Y29/(1+Y30)^(Y28)</f>
        <v>-3255713.0579678267</v>
      </c>
      <c r="Z31">
        <f t="shared" ref="Z31" si="34">Z29/(1+Z30)^(Z28)</f>
        <v>-3100679.1028265022</v>
      </c>
      <c r="AA31">
        <f t="shared" ref="AA31" si="35">AA29/(1+AA30)^(AA28)</f>
        <v>-2953027.716977621</v>
      </c>
      <c r="AB31">
        <f t="shared" ref="AB31" si="36">AB29/(1+AB30)^(AB28)</f>
        <v>-2812407.349502496</v>
      </c>
      <c r="AC31">
        <f t="shared" ref="AC31" si="37">AC29/(1+AC30)^(AC28)</f>
        <v>-2678483.1900023771</v>
      </c>
      <c r="AD31">
        <f t="shared" ref="AD31" si="38">AD29/(1+AD30)^(AD28)</f>
        <v>-2550936.3714308357</v>
      </c>
      <c r="AE31">
        <f t="shared" ref="AE31" si="39">AE29/(1+AE30)^(AE28)</f>
        <v>-2429463.2108865096</v>
      </c>
      <c r="AF31">
        <f t="shared" ref="AF31" si="40">AF29/(1+AF30)^(AF28)</f>
        <v>-2313774.4865585812</v>
      </c>
      <c r="AG31">
        <f t="shared" ref="AG31" si="41">AG29/(1+AG30)^(AG28)</f>
        <v>-2203594.7491034102</v>
      </c>
      <c r="AH31">
        <f t="shared" ref="AH31" si="42">AH29/(1+AH30)^(AH28)</f>
        <v>-2098661.6658127718</v>
      </c>
      <c r="AI31">
        <f t="shared" ref="AI31" si="43">AI29/(1+AI30)^(AI28)</f>
        <v>-1998725.3960121635</v>
      </c>
      <c r="AJ31">
        <f t="shared" ref="AJ31" si="44">AJ29/(1+AJ30)^(AJ28)</f>
        <v>-1903547.9962020605</v>
      </c>
      <c r="AK31">
        <f t="shared" ref="AK31" si="45">AK29/(1+AK30)^(AK28)</f>
        <v>-1812902.8535257715</v>
      </c>
      <c r="AL31">
        <f t="shared" ref="AL31" si="46">AL29/(1+AL30)^(AL28)</f>
        <v>-1726574.1462150207</v>
      </c>
      <c r="AM31">
        <f t="shared" ref="AM31" si="47">AM29/(1+AM30)^(AM28)</f>
        <v>-1644356.329728591</v>
      </c>
      <c r="AN31">
        <f t="shared" ref="AN31" si="48">AN29/(1+AN30)^(AN28)</f>
        <v>-1566053.6473605633</v>
      </c>
      <c r="AO31">
        <f t="shared" ref="AO31" si="49">AO29/(1+AO30)^(AO28)</f>
        <v>-1491479.664152917</v>
      </c>
      <c r="AP31">
        <f t="shared" ref="AP31" si="50">AP29/(1+AP30)^(AP28)</f>
        <v>-1420456.8230027782</v>
      </c>
      <c r="AQ31">
        <f t="shared" ref="AQ31" si="51">AQ29/(1+AQ30)^(AQ28)</f>
        <v>-1352816.0219074078</v>
      </c>
      <c r="AR31">
        <f t="shared" ref="AR31" si="52">AR29/(1+AR30)^(AR28)</f>
        <v>-1288396.2113403883</v>
      </c>
      <c r="AS31">
        <f t="shared" ref="AS31" si="53">AS29/(1+AS30)^(AS28)</f>
        <v>-1227044.0108003698</v>
      </c>
      <c r="AT31">
        <f t="shared" ref="AT31" si="54">AT29/(1+AT30)^(AT28)</f>
        <v>-1168613.3436193999</v>
      </c>
      <c r="AU31">
        <f t="shared" ref="AU31" si="55">AU29/(1+AU30)^(AU28)</f>
        <v>-1112965.0891613329</v>
      </c>
      <c r="AV31">
        <f t="shared" ref="AV31" si="56">AV29/(1+AV30)^(AV28)</f>
        <v>-1059966.7515822221</v>
      </c>
      <c r="AW31">
        <f t="shared" ref="AW31" si="57">AW29/(1+AW30)^(AW28)</f>
        <v>-1009492.1443640208</v>
      </c>
      <c r="AX31">
        <f t="shared" ref="AX31" si="58">AX29/(1+AX30)^(AX28)</f>
        <v>-961421.08987049607</v>
      </c>
      <c r="AY31">
        <f t="shared" ref="AY31" si="59">AY29/(1+AY30)^(AY28)</f>
        <v>-915639.13320999616</v>
      </c>
      <c r="AZ31">
        <f t="shared" ref="AZ31" si="60">AZ29/(1+AZ30)^(AZ28)</f>
        <v>-872037.26972380595</v>
      </c>
      <c r="BA31" s="2">
        <f>SUM(B31:AZ31)</f>
        <v>-362573447.89269716</v>
      </c>
      <c r="BB31" s="14"/>
      <c r="BC31">
        <f>BA31/B29</f>
        <v>6.0428907982116193</v>
      </c>
    </row>
    <row r="33" spans="2:2" x14ac:dyDescent="0.25">
      <c r="B33" s="2" t="s">
        <v>120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DA77-5A2D-4C2A-8980-092F1D983A51}">
  <dimension ref="A16:J39"/>
  <sheetViews>
    <sheetView zoomScale="145" zoomScaleNormal="145" workbookViewId="0">
      <selection activeCell="A40" sqref="A40"/>
    </sheetView>
  </sheetViews>
  <sheetFormatPr defaultRowHeight="15" x14ac:dyDescent="0.25"/>
  <cols>
    <col min="1" max="1" width="14.42578125" bestFit="1" customWidth="1"/>
    <col min="7" max="7" width="10.85546875" customWidth="1"/>
    <col min="9" max="9" width="11.42578125" customWidth="1"/>
  </cols>
  <sheetData>
    <row r="16" spans="2:2" x14ac:dyDescent="0.25">
      <c r="B16" t="s">
        <v>55</v>
      </c>
    </row>
    <row r="17" spans="1:10" x14ac:dyDescent="0.25">
      <c r="B17" t="s">
        <v>56</v>
      </c>
    </row>
    <row r="18" spans="1:10" x14ac:dyDescent="0.25">
      <c r="B18" t="s">
        <v>57</v>
      </c>
    </row>
    <row r="20" spans="1:10" x14ac:dyDescent="0.25">
      <c r="B20" t="s">
        <v>58</v>
      </c>
      <c r="C20">
        <v>-343000</v>
      </c>
      <c r="D20">
        <v>100000</v>
      </c>
      <c r="E20" t="s">
        <v>59</v>
      </c>
      <c r="G20" t="s">
        <v>60</v>
      </c>
      <c r="H20">
        <v>10000</v>
      </c>
    </row>
    <row r="21" spans="1:10" x14ac:dyDescent="0.25">
      <c r="B21">
        <v>5</v>
      </c>
      <c r="C21">
        <f>C20*B21</f>
        <v>-1715000</v>
      </c>
      <c r="D21">
        <f>D20*5</f>
        <v>500000</v>
      </c>
      <c r="G21">
        <v>10</v>
      </c>
      <c r="H21">
        <f>H20*G21</f>
        <v>100000</v>
      </c>
    </row>
    <row r="22" spans="1:10" x14ac:dyDescent="0.25">
      <c r="A22" s="1">
        <v>0.1</v>
      </c>
    </row>
    <row r="23" spans="1:10" x14ac:dyDescent="0.25">
      <c r="A23" t="s">
        <v>61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 t="s">
        <v>3</v>
      </c>
      <c r="I23" t="s">
        <v>6</v>
      </c>
    </row>
    <row r="24" spans="1:10" x14ac:dyDescent="0.25">
      <c r="A24" t="s">
        <v>13</v>
      </c>
      <c r="B24">
        <f>C21</f>
        <v>-1715000</v>
      </c>
      <c r="C24">
        <f>D21</f>
        <v>500000</v>
      </c>
      <c r="D24">
        <f>C24</f>
        <v>500000</v>
      </c>
      <c r="E24">
        <f t="shared" ref="E24:G24" si="0">D24</f>
        <v>500000</v>
      </c>
      <c r="F24">
        <f t="shared" si="0"/>
        <v>500000</v>
      </c>
      <c r="G24">
        <f t="shared" si="0"/>
        <v>500000</v>
      </c>
    </row>
    <row r="25" spans="1:10" x14ac:dyDescent="0.25">
      <c r="A25" t="s">
        <v>2</v>
      </c>
      <c r="B25" s="1">
        <f>$A$22</f>
        <v>0.1</v>
      </c>
      <c r="C25" s="1">
        <f t="shared" ref="C25:G25" si="1">$A$22</f>
        <v>0.1</v>
      </c>
      <c r="D25" s="1">
        <f t="shared" si="1"/>
        <v>0.1</v>
      </c>
      <c r="E25" s="1">
        <f t="shared" si="1"/>
        <v>0.1</v>
      </c>
      <c r="F25" s="1">
        <f t="shared" si="1"/>
        <v>0.1</v>
      </c>
      <c r="G25" s="1">
        <f t="shared" si="1"/>
        <v>0.1</v>
      </c>
    </row>
    <row r="26" spans="1:10" x14ac:dyDescent="0.25">
      <c r="A26" t="s">
        <v>37</v>
      </c>
      <c r="B26">
        <f>B24/(1+B25)^(B23)</f>
        <v>-1715000</v>
      </c>
      <c r="C26">
        <f t="shared" ref="C26:G26" si="2">C24/(1+C25)^(C23)</f>
        <v>454545.45454545453</v>
      </c>
      <c r="D26">
        <f t="shared" si="2"/>
        <v>413223.1404958677</v>
      </c>
      <c r="E26">
        <f t="shared" si="2"/>
        <v>375657.40045078879</v>
      </c>
      <c r="F26">
        <f t="shared" si="2"/>
        <v>341506.72768253525</v>
      </c>
      <c r="G26">
        <f t="shared" si="2"/>
        <v>310460.66152957745</v>
      </c>
      <c r="H26" s="2">
        <f>SUM(B26:G26)</f>
        <v>180393.38470422378</v>
      </c>
      <c r="I26" s="1">
        <f>IRR(B24:G24)</f>
        <v>0.14037367543887735</v>
      </c>
      <c r="J26" t="s">
        <v>100</v>
      </c>
    </row>
    <row r="27" spans="1:10" x14ac:dyDescent="0.25">
      <c r="A27" t="s">
        <v>62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 t="s">
        <v>3</v>
      </c>
      <c r="I27" t="s">
        <v>6</v>
      </c>
    </row>
    <row r="28" spans="1:10" x14ac:dyDescent="0.25">
      <c r="A28" t="s">
        <v>13</v>
      </c>
      <c r="B28" s="24">
        <v>0</v>
      </c>
      <c r="C28">
        <v>100000</v>
      </c>
      <c r="D28">
        <v>100000</v>
      </c>
      <c r="E28">
        <v>100000</v>
      </c>
      <c r="F28">
        <v>100000</v>
      </c>
      <c r="G28">
        <v>100000</v>
      </c>
      <c r="J28" t="s">
        <v>101</v>
      </c>
    </row>
    <row r="29" spans="1:10" x14ac:dyDescent="0.25">
      <c r="A29" t="s">
        <v>2</v>
      </c>
      <c r="B29" s="1">
        <f>$A$22</f>
        <v>0.1</v>
      </c>
      <c r="C29" s="1">
        <f t="shared" ref="C29:G29" si="3">$A$22</f>
        <v>0.1</v>
      </c>
      <c r="D29" s="1">
        <f t="shared" si="3"/>
        <v>0.1</v>
      </c>
      <c r="E29" s="1">
        <f t="shared" si="3"/>
        <v>0.1</v>
      </c>
      <c r="F29" s="1">
        <f t="shared" si="3"/>
        <v>0.1</v>
      </c>
      <c r="G29" s="1">
        <f t="shared" si="3"/>
        <v>0.1</v>
      </c>
      <c r="I29" t="s">
        <v>63</v>
      </c>
    </row>
    <row r="30" spans="1:10" x14ac:dyDescent="0.25">
      <c r="A30" t="s">
        <v>37</v>
      </c>
      <c r="B30">
        <f>B28/(1+B29)^(B27)</f>
        <v>0</v>
      </c>
      <c r="C30">
        <f>C28/(1+C29)^(C27)</f>
        <v>90909.090909090897</v>
      </c>
      <c r="D30">
        <f t="shared" ref="D30:G30" si="4">D28/(1+D29)^(D27)</f>
        <v>82644.62809917354</v>
      </c>
      <c r="E30">
        <f t="shared" si="4"/>
        <v>75131.480090157755</v>
      </c>
      <c r="F30">
        <f t="shared" si="4"/>
        <v>68301.345536507055</v>
      </c>
      <c r="G30">
        <f>G28/(1+G29)^(G27)</f>
        <v>62092.132305915497</v>
      </c>
      <c r="H30" s="2">
        <f>SUM(B30:G30)</f>
        <v>379078.67694084474</v>
      </c>
      <c r="I30" s="1">
        <v>115826064.281312</v>
      </c>
      <c r="J30" t="s">
        <v>100</v>
      </c>
    </row>
    <row r="32" spans="1:10" x14ac:dyDescent="0.25">
      <c r="A32" s="2" t="s">
        <v>64</v>
      </c>
    </row>
    <row r="33" spans="1:10" x14ac:dyDescent="0.25">
      <c r="B33" t="s">
        <v>102</v>
      </c>
    </row>
    <row r="34" spans="1:10" x14ac:dyDescent="0.25">
      <c r="A34" t="s">
        <v>122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 t="s">
        <v>3</v>
      </c>
      <c r="I34" t="s">
        <v>6</v>
      </c>
    </row>
    <row r="35" spans="1:10" x14ac:dyDescent="0.25">
      <c r="A35" t="s">
        <v>13</v>
      </c>
      <c r="B35" s="24">
        <f>400000+B24</f>
        <v>-1315000</v>
      </c>
      <c r="C35">
        <f>C24</f>
        <v>500000</v>
      </c>
      <c r="D35">
        <f>C35</f>
        <v>500000</v>
      </c>
      <c r="E35">
        <f t="shared" ref="E35:F35" si="5">D35</f>
        <v>500000</v>
      </c>
      <c r="F35">
        <f t="shared" si="5"/>
        <v>500000</v>
      </c>
      <c r="G35">
        <f>F35</f>
        <v>500000</v>
      </c>
    </row>
    <row r="36" spans="1:10" x14ac:dyDescent="0.25">
      <c r="A36" t="s">
        <v>2</v>
      </c>
      <c r="B36" s="1">
        <f>$A$22</f>
        <v>0.1</v>
      </c>
      <c r="C36" s="1">
        <f t="shared" ref="C36:G36" si="6">$A$22</f>
        <v>0.1</v>
      </c>
      <c r="D36" s="1">
        <f t="shared" si="6"/>
        <v>0.1</v>
      </c>
      <c r="E36" s="1">
        <f t="shared" si="6"/>
        <v>0.1</v>
      </c>
      <c r="F36" s="1">
        <f t="shared" si="6"/>
        <v>0.1</v>
      </c>
      <c r="G36" s="1">
        <f t="shared" si="6"/>
        <v>0.1</v>
      </c>
      <c r="I36" t="s">
        <v>63</v>
      </c>
    </row>
    <row r="37" spans="1:10" x14ac:dyDescent="0.25">
      <c r="A37" t="s">
        <v>37</v>
      </c>
      <c r="B37">
        <f>B35/(1+B36)^(B34)</f>
        <v>-1315000</v>
      </c>
      <c r="C37">
        <f>C35/(1+C36)^(C34)</f>
        <v>454545.45454545453</v>
      </c>
      <c r="D37">
        <f t="shared" ref="D37:G37" si="7">D35/(1+D36)^(D34)</f>
        <v>413223.1404958677</v>
      </c>
      <c r="E37">
        <f t="shared" si="7"/>
        <v>375657.40045078879</v>
      </c>
      <c r="F37">
        <f t="shared" si="7"/>
        <v>341506.72768253525</v>
      </c>
      <c r="G37">
        <f t="shared" si="7"/>
        <v>310460.66152957745</v>
      </c>
      <c r="H37" s="2">
        <f>SUM(B37:G37)</f>
        <v>580393.38470422383</v>
      </c>
      <c r="I37" s="1">
        <v>115826064.281312</v>
      </c>
      <c r="J37" t="s">
        <v>121</v>
      </c>
    </row>
    <row r="39" spans="1:10" x14ac:dyDescent="0.25">
      <c r="A39" s="2" t="s">
        <v>123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0ACB-123C-4F90-B976-99680DE6121A}">
  <dimension ref="A8:AG28"/>
  <sheetViews>
    <sheetView zoomScale="115" zoomScaleNormal="115" workbookViewId="0">
      <selection activeCell="R21" sqref="R21"/>
    </sheetView>
  </sheetViews>
  <sheetFormatPr defaultRowHeight="15" x14ac:dyDescent="0.25"/>
  <sheetData>
    <row r="8" spans="1:33" x14ac:dyDescent="0.25">
      <c r="I8" t="s">
        <v>124</v>
      </c>
    </row>
    <row r="9" spans="1:33" x14ac:dyDescent="0.25">
      <c r="I9" t="s">
        <v>125</v>
      </c>
      <c r="W9" t="s">
        <v>106</v>
      </c>
    </row>
    <row r="10" spans="1:33" x14ac:dyDescent="0.25">
      <c r="W10" s="2">
        <f>SUM(B15:W15)</f>
        <v>1001813.6955633393</v>
      </c>
    </row>
    <row r="11" spans="1:33" x14ac:dyDescent="0.25">
      <c r="A11" s="3" t="s">
        <v>103</v>
      </c>
      <c r="B11">
        <v>29</v>
      </c>
      <c r="C11">
        <v>30</v>
      </c>
      <c r="D11">
        <v>31</v>
      </c>
      <c r="E11">
        <v>32</v>
      </c>
      <c r="F11">
        <v>33</v>
      </c>
      <c r="G11">
        <v>34</v>
      </c>
      <c r="H11">
        <v>35</v>
      </c>
      <c r="I11">
        <v>36</v>
      </c>
      <c r="J11">
        <v>37</v>
      </c>
      <c r="K11">
        <v>38</v>
      </c>
      <c r="L11">
        <v>39</v>
      </c>
      <c r="M11">
        <v>40</v>
      </c>
      <c r="N11">
        <v>41</v>
      </c>
      <c r="O11">
        <v>42</v>
      </c>
      <c r="P11">
        <v>43</v>
      </c>
      <c r="Q11">
        <v>44</v>
      </c>
      <c r="R11">
        <v>45</v>
      </c>
      <c r="S11">
        <v>46</v>
      </c>
      <c r="T11">
        <v>47</v>
      </c>
      <c r="U11">
        <v>48</v>
      </c>
      <c r="V11">
        <v>49</v>
      </c>
      <c r="W11">
        <v>50</v>
      </c>
      <c r="X11">
        <v>51</v>
      </c>
      <c r="Y11">
        <v>52</v>
      </c>
      <c r="Z11">
        <v>53</v>
      </c>
      <c r="AA11">
        <v>54</v>
      </c>
      <c r="AB11">
        <v>55</v>
      </c>
      <c r="AC11">
        <v>56</v>
      </c>
      <c r="AD11">
        <v>57</v>
      </c>
      <c r="AE11">
        <v>58</v>
      </c>
      <c r="AF11">
        <v>59</v>
      </c>
      <c r="AG11">
        <v>60</v>
      </c>
    </row>
    <row r="12" spans="1:33" x14ac:dyDescent="0.25">
      <c r="A12" t="s">
        <v>105</v>
      </c>
      <c r="B12" s="3">
        <v>0.125</v>
      </c>
    </row>
    <row r="13" spans="1:33" x14ac:dyDescent="0.25">
      <c r="A13" t="s">
        <v>104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>
        <v>21</v>
      </c>
      <c r="X13">
        <v>22</v>
      </c>
      <c r="Y13">
        <v>23</v>
      </c>
      <c r="Z13">
        <v>24</v>
      </c>
      <c r="AA13">
        <v>25</v>
      </c>
      <c r="AB13">
        <v>26</v>
      </c>
      <c r="AC13">
        <v>27</v>
      </c>
      <c r="AD13">
        <v>28</v>
      </c>
      <c r="AE13">
        <v>29</v>
      </c>
      <c r="AF13">
        <v>30</v>
      </c>
      <c r="AG13">
        <v>31</v>
      </c>
    </row>
    <row r="14" spans="1:33" x14ac:dyDescent="0.25">
      <c r="B14">
        <v>-25000</v>
      </c>
      <c r="C14">
        <v>0</v>
      </c>
      <c r="D14">
        <f>130000</f>
        <v>130000</v>
      </c>
      <c r="E14">
        <f t="shared" ref="E14:AG14" si="0">D14+5000</f>
        <v>135000</v>
      </c>
      <c r="F14">
        <f t="shared" si="0"/>
        <v>140000</v>
      </c>
      <c r="G14">
        <f t="shared" si="0"/>
        <v>145000</v>
      </c>
      <c r="H14">
        <f t="shared" si="0"/>
        <v>150000</v>
      </c>
      <c r="I14">
        <f t="shared" si="0"/>
        <v>155000</v>
      </c>
      <c r="J14">
        <f t="shared" si="0"/>
        <v>160000</v>
      </c>
      <c r="K14">
        <f t="shared" si="0"/>
        <v>165000</v>
      </c>
      <c r="L14">
        <f t="shared" si="0"/>
        <v>170000</v>
      </c>
      <c r="M14">
        <f t="shared" si="0"/>
        <v>175000</v>
      </c>
      <c r="N14">
        <f t="shared" si="0"/>
        <v>180000</v>
      </c>
      <c r="O14">
        <f t="shared" si="0"/>
        <v>185000</v>
      </c>
      <c r="P14">
        <f t="shared" si="0"/>
        <v>190000</v>
      </c>
      <c r="Q14">
        <f t="shared" si="0"/>
        <v>195000</v>
      </c>
      <c r="R14">
        <f t="shared" si="0"/>
        <v>200000</v>
      </c>
      <c r="S14">
        <f t="shared" si="0"/>
        <v>205000</v>
      </c>
      <c r="T14">
        <f t="shared" si="0"/>
        <v>210000</v>
      </c>
      <c r="U14">
        <f t="shared" si="0"/>
        <v>215000</v>
      </c>
      <c r="V14">
        <f t="shared" si="0"/>
        <v>220000</v>
      </c>
      <c r="W14">
        <f t="shared" si="0"/>
        <v>225000</v>
      </c>
      <c r="X14">
        <f t="shared" si="0"/>
        <v>230000</v>
      </c>
      <c r="Y14">
        <f t="shared" si="0"/>
        <v>235000</v>
      </c>
      <c r="Z14">
        <f t="shared" si="0"/>
        <v>240000</v>
      </c>
      <c r="AA14">
        <f t="shared" si="0"/>
        <v>245000</v>
      </c>
      <c r="AB14">
        <f t="shared" si="0"/>
        <v>250000</v>
      </c>
      <c r="AC14">
        <f t="shared" si="0"/>
        <v>255000</v>
      </c>
      <c r="AD14">
        <f t="shared" si="0"/>
        <v>260000</v>
      </c>
      <c r="AE14">
        <f t="shared" si="0"/>
        <v>265000</v>
      </c>
      <c r="AF14">
        <f t="shared" si="0"/>
        <v>270000</v>
      </c>
      <c r="AG14">
        <f t="shared" si="0"/>
        <v>275000</v>
      </c>
    </row>
    <row r="15" spans="1:33" x14ac:dyDescent="0.25">
      <c r="A15" t="s">
        <v>37</v>
      </c>
      <c r="B15">
        <f>B14/(1+$B$12)^(B13)</f>
        <v>-25000</v>
      </c>
      <c r="C15">
        <f>C14/(1+$B$12)^(C13)</f>
        <v>0</v>
      </c>
      <c r="D15">
        <f t="shared" ref="D15:AG15" si="1">D14/(1+$B$12)^(D13)</f>
        <v>102716.04938271605</v>
      </c>
      <c r="E15">
        <f t="shared" si="1"/>
        <v>94814.814814814818</v>
      </c>
      <c r="F15">
        <f t="shared" si="1"/>
        <v>87401.310775796373</v>
      </c>
      <c r="G15">
        <f t="shared" si="1"/>
        <v>80464.698809463327</v>
      </c>
      <c r="H15">
        <f t="shared" si="1"/>
        <v>73990.527640885819</v>
      </c>
      <c r="I15">
        <f t="shared" si="1"/>
        <v>67961.669833109932</v>
      </c>
      <c r="J15">
        <f t="shared" si="1"/>
        <v>62359.094900631339</v>
      </c>
      <c r="K15">
        <f t="shared" si="1"/>
        <v>57162.503658912065</v>
      </c>
      <c r="L15">
        <f t="shared" si="1"/>
        <v>52350.845101764578</v>
      </c>
      <c r="M15">
        <f t="shared" si="1"/>
        <v>47902.734080046022</v>
      </c>
      <c r="N15">
        <f t="shared" si="1"/>
        <v>43796.785444613502</v>
      </c>
      <c r="O15">
        <f t="shared" si="1"/>
        <v>40011.878060511102</v>
      </c>
      <c r="P15">
        <f t="shared" si="1"/>
        <v>36527.360151337467</v>
      </c>
      <c r="Q15">
        <f t="shared" si="1"/>
        <v>33323.205752097339</v>
      </c>
      <c r="R15">
        <f t="shared" si="1"/>
        <v>30380.130600202701</v>
      </c>
      <c r="S15">
        <f t="shared" si="1"/>
        <v>27679.674546851351</v>
      </c>
      <c r="T15">
        <f t="shared" si="1"/>
        <v>25204.256497945942</v>
      </c>
      <c r="U15">
        <f t="shared" si="1"/>
        <v>22937.206971675674</v>
      </c>
      <c r="V15">
        <f t="shared" si="1"/>
        <v>20862.782568552549</v>
      </c>
      <c r="W15">
        <f t="shared" si="1"/>
        <v>18966.165971411407</v>
      </c>
      <c r="X15">
        <f t="shared" si="1"/>
        <v>17233.454512294811</v>
      </c>
      <c r="Y15">
        <f t="shared" si="1"/>
        <v>15651.639846915094</v>
      </c>
      <c r="Z15">
        <f t="shared" si="1"/>
        <v>14208.580853937106</v>
      </c>
      <c r="AA15">
        <f t="shared" si="1"/>
        <v>12892.971515609597</v>
      </c>
      <c r="AB15">
        <f t="shared" si="1"/>
        <v>11694.305229577867</v>
      </c>
      <c r="AC15">
        <f t="shared" si="1"/>
        <v>10602.83674148393</v>
      </c>
      <c r="AD15">
        <f t="shared" si="1"/>
        <v>9609.5426676629959</v>
      </c>
      <c r="AE15">
        <f t="shared" si="1"/>
        <v>8706.0813912160484</v>
      </c>
      <c r="AF15">
        <f t="shared" si="1"/>
        <v>7884.7529580824594</v>
      </c>
      <c r="AG15">
        <f t="shared" si="1"/>
        <v>7138.4594682228017</v>
      </c>
    </row>
    <row r="16" spans="1:33" x14ac:dyDescent="0.25">
      <c r="AG16" s="2">
        <f>SUM(B15:AG15)</f>
        <v>1117436.320748342</v>
      </c>
    </row>
    <row r="17" spans="1:33" x14ac:dyDescent="0.25">
      <c r="A17" t="s">
        <v>107</v>
      </c>
      <c r="B17">
        <v>0</v>
      </c>
      <c r="C17">
        <v>100000</v>
      </c>
      <c r="D17">
        <f>C17+5000</f>
        <v>105000</v>
      </c>
      <c r="E17">
        <f>D17+5000</f>
        <v>110000</v>
      </c>
      <c r="F17">
        <f t="shared" ref="F17:AG17" si="2">E17+5000</f>
        <v>115000</v>
      </c>
      <c r="G17">
        <f t="shared" si="2"/>
        <v>120000</v>
      </c>
      <c r="H17">
        <f t="shared" si="2"/>
        <v>125000</v>
      </c>
      <c r="I17">
        <f t="shared" si="2"/>
        <v>130000</v>
      </c>
      <c r="J17">
        <f t="shared" si="2"/>
        <v>135000</v>
      </c>
      <c r="K17">
        <f t="shared" si="2"/>
        <v>140000</v>
      </c>
      <c r="L17">
        <f t="shared" si="2"/>
        <v>145000</v>
      </c>
      <c r="M17">
        <f t="shared" si="2"/>
        <v>150000</v>
      </c>
      <c r="N17">
        <f t="shared" si="2"/>
        <v>155000</v>
      </c>
      <c r="O17">
        <f t="shared" si="2"/>
        <v>160000</v>
      </c>
      <c r="P17">
        <f t="shared" si="2"/>
        <v>165000</v>
      </c>
      <c r="Q17">
        <f t="shared" si="2"/>
        <v>170000</v>
      </c>
      <c r="R17">
        <f t="shared" si="2"/>
        <v>175000</v>
      </c>
      <c r="S17">
        <f t="shared" si="2"/>
        <v>180000</v>
      </c>
      <c r="T17">
        <f t="shared" si="2"/>
        <v>185000</v>
      </c>
      <c r="U17">
        <f t="shared" si="2"/>
        <v>190000</v>
      </c>
      <c r="V17">
        <f t="shared" si="2"/>
        <v>195000</v>
      </c>
      <c r="W17">
        <f t="shared" si="2"/>
        <v>200000</v>
      </c>
      <c r="X17">
        <f t="shared" si="2"/>
        <v>205000</v>
      </c>
      <c r="Y17">
        <f t="shared" si="2"/>
        <v>210000</v>
      </c>
      <c r="Z17">
        <f t="shared" si="2"/>
        <v>215000</v>
      </c>
      <c r="AA17">
        <f t="shared" si="2"/>
        <v>220000</v>
      </c>
      <c r="AB17">
        <f t="shared" si="2"/>
        <v>225000</v>
      </c>
      <c r="AC17">
        <f t="shared" si="2"/>
        <v>230000</v>
      </c>
      <c r="AD17">
        <f t="shared" si="2"/>
        <v>235000</v>
      </c>
      <c r="AE17">
        <f t="shared" si="2"/>
        <v>240000</v>
      </c>
      <c r="AF17">
        <f t="shared" si="2"/>
        <v>245000</v>
      </c>
      <c r="AG17">
        <f t="shared" si="2"/>
        <v>250000</v>
      </c>
    </row>
    <row r="18" spans="1:33" x14ac:dyDescent="0.25">
      <c r="B18">
        <f>B17/(1+$B$12)^(B13)</f>
        <v>0</v>
      </c>
      <c r="C18">
        <f t="shared" ref="C18:AG18" si="3">C17/(1+$B$12)^(C13)</f>
        <v>88888.888888888891</v>
      </c>
      <c r="D18">
        <f t="shared" si="3"/>
        <v>82962.962962962964</v>
      </c>
      <c r="E18">
        <f t="shared" si="3"/>
        <v>77256.515775034291</v>
      </c>
      <c r="F18">
        <f t="shared" si="3"/>
        <v>71793.933851547015</v>
      </c>
      <c r="G18">
        <f t="shared" si="3"/>
        <v>66591.474876797234</v>
      </c>
      <c r="H18">
        <f t="shared" si="3"/>
        <v>61658.773034071513</v>
      </c>
      <c r="I18">
        <f t="shared" si="3"/>
        <v>57000.110182608332</v>
      </c>
      <c r="J18">
        <f t="shared" si="3"/>
        <v>52615.486322407691</v>
      </c>
      <c r="K18">
        <f t="shared" si="3"/>
        <v>48501.518256046598</v>
      </c>
      <c r="L18">
        <f t="shared" si="3"/>
        <v>44652.191410328611</v>
      </c>
      <c r="M18">
        <f t="shared" si="3"/>
        <v>41059.486354325163</v>
      </c>
      <c r="N18">
        <f t="shared" si="3"/>
        <v>37713.898577306078</v>
      </c>
      <c r="O18">
        <f t="shared" si="3"/>
        <v>34604.867511793389</v>
      </c>
      <c r="P18">
        <f t="shared" si="3"/>
        <v>31721.128552477272</v>
      </c>
      <c r="Q18">
        <f t="shared" si="3"/>
        <v>29050.999886443831</v>
      </c>
      <c r="R18">
        <f t="shared" si="3"/>
        <v>26582.614275177362</v>
      </c>
      <c r="S18">
        <f t="shared" si="3"/>
        <v>24304.104480162161</v>
      </c>
      <c r="T18">
        <f t="shared" si="3"/>
        <v>22203.749771999996</v>
      </c>
      <c r="U18">
        <f t="shared" si="3"/>
        <v>20270.089881945943</v>
      </c>
      <c r="V18">
        <f t="shared" si="3"/>
        <v>18492.011822126125</v>
      </c>
      <c r="W18">
        <f t="shared" si="3"/>
        <v>16858.814196810141</v>
      </c>
      <c r="X18">
        <f t="shared" si="3"/>
        <v>15360.252934871463</v>
      </c>
      <c r="Y18">
        <f t="shared" si="3"/>
        <v>13986.57177809434</v>
      </c>
      <c r="Z18">
        <f t="shared" si="3"/>
        <v>12728.520348318658</v>
      </c>
      <c r="AA18">
        <f t="shared" si="3"/>
        <v>11577.362177282088</v>
      </c>
      <c r="AB18">
        <f t="shared" si="3"/>
        <v>10524.874706620079</v>
      </c>
      <c r="AC18">
        <f t="shared" si="3"/>
        <v>9563.3429432992325</v>
      </c>
      <c r="AD18">
        <f t="shared" si="3"/>
        <v>8685.5481803877083</v>
      </c>
      <c r="AE18">
        <f t="shared" si="3"/>
        <v>7884.7529580824594</v>
      </c>
      <c r="AF18">
        <f t="shared" si="3"/>
        <v>7154.683239741491</v>
      </c>
      <c r="AG18">
        <f t="shared" si="3"/>
        <v>6489.5086074752744</v>
      </c>
    </row>
    <row r="19" spans="1:33" x14ac:dyDescent="0.25">
      <c r="B19" t="s">
        <v>108</v>
      </c>
      <c r="AG19" s="2">
        <f>SUM(C18:AG18)</f>
        <v>1058739.0387454336</v>
      </c>
    </row>
    <row r="22" spans="1:33" x14ac:dyDescent="0.25">
      <c r="A22" t="s">
        <v>109</v>
      </c>
    </row>
    <row r="25" spans="1:33" x14ac:dyDescent="0.25"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O25">
        <v>13</v>
      </c>
      <c r="P25">
        <v>14</v>
      </c>
      <c r="Q25">
        <v>15</v>
      </c>
      <c r="R25">
        <v>16</v>
      </c>
      <c r="S25">
        <v>17</v>
      </c>
      <c r="T25">
        <v>18</v>
      </c>
      <c r="U25">
        <v>19</v>
      </c>
      <c r="V25">
        <v>20</v>
      </c>
      <c r="W25">
        <v>21</v>
      </c>
      <c r="X25">
        <v>22</v>
      </c>
      <c r="Y25">
        <v>23</v>
      </c>
      <c r="Z25">
        <v>24</v>
      </c>
      <c r="AA25">
        <v>25</v>
      </c>
      <c r="AB25">
        <v>26</v>
      </c>
      <c r="AC25">
        <v>27</v>
      </c>
      <c r="AD25">
        <v>28</v>
      </c>
      <c r="AE25">
        <v>29</v>
      </c>
      <c r="AF25">
        <v>30</v>
      </c>
      <c r="AG25">
        <v>31</v>
      </c>
    </row>
    <row r="26" spans="1:33" x14ac:dyDescent="0.25">
      <c r="A26" t="s">
        <v>126</v>
      </c>
      <c r="B26">
        <f>B14+B17</f>
        <v>-25000</v>
      </c>
      <c r="C26">
        <f>C14-C17</f>
        <v>-100000</v>
      </c>
      <c r="D26">
        <f>D14-D17</f>
        <v>25000</v>
      </c>
      <c r="E26">
        <f t="shared" ref="D26:AG26" si="4">E14-E17</f>
        <v>25000</v>
      </c>
      <c r="F26">
        <f t="shared" si="4"/>
        <v>25000</v>
      </c>
      <c r="G26">
        <f t="shared" si="4"/>
        <v>25000</v>
      </c>
      <c r="H26">
        <f t="shared" si="4"/>
        <v>25000</v>
      </c>
      <c r="I26">
        <f t="shared" si="4"/>
        <v>25000</v>
      </c>
      <c r="J26">
        <f t="shared" si="4"/>
        <v>25000</v>
      </c>
      <c r="K26">
        <f t="shared" si="4"/>
        <v>25000</v>
      </c>
      <c r="L26">
        <f t="shared" si="4"/>
        <v>25000</v>
      </c>
      <c r="M26">
        <f t="shared" si="4"/>
        <v>25000</v>
      </c>
      <c r="N26">
        <f t="shared" si="4"/>
        <v>25000</v>
      </c>
      <c r="O26">
        <f t="shared" si="4"/>
        <v>25000</v>
      </c>
      <c r="P26">
        <f t="shared" si="4"/>
        <v>25000</v>
      </c>
      <c r="Q26">
        <f t="shared" si="4"/>
        <v>25000</v>
      </c>
      <c r="R26">
        <f t="shared" si="4"/>
        <v>25000</v>
      </c>
      <c r="S26">
        <f t="shared" si="4"/>
        <v>25000</v>
      </c>
      <c r="T26">
        <f t="shared" si="4"/>
        <v>25000</v>
      </c>
      <c r="U26">
        <f t="shared" si="4"/>
        <v>25000</v>
      </c>
      <c r="V26">
        <f t="shared" si="4"/>
        <v>25000</v>
      </c>
      <c r="W26">
        <f t="shared" si="4"/>
        <v>25000</v>
      </c>
      <c r="X26">
        <f t="shared" si="4"/>
        <v>25000</v>
      </c>
      <c r="Y26">
        <f t="shared" si="4"/>
        <v>25000</v>
      </c>
      <c r="Z26">
        <f t="shared" si="4"/>
        <v>25000</v>
      </c>
      <c r="AA26">
        <f t="shared" si="4"/>
        <v>25000</v>
      </c>
      <c r="AB26">
        <f t="shared" si="4"/>
        <v>25000</v>
      </c>
      <c r="AC26">
        <f t="shared" si="4"/>
        <v>25000</v>
      </c>
      <c r="AD26">
        <f t="shared" si="4"/>
        <v>25000</v>
      </c>
      <c r="AE26">
        <f t="shared" si="4"/>
        <v>25000</v>
      </c>
      <c r="AF26">
        <f t="shared" si="4"/>
        <v>25000</v>
      </c>
      <c r="AG26">
        <f t="shared" si="4"/>
        <v>25000</v>
      </c>
    </row>
    <row r="27" spans="1:33" x14ac:dyDescent="0.25">
      <c r="A27" t="s">
        <v>37</v>
      </c>
      <c r="B27">
        <f>B26/(1+$B$12)^(B25)</f>
        <v>-25000</v>
      </c>
      <c r="C27">
        <f t="shared" ref="C27:AH27" si="5">C26/(1+$B$12)^(C25)</f>
        <v>-88888.888888888891</v>
      </c>
      <c r="D27">
        <f t="shared" si="5"/>
        <v>19753.086419753086</v>
      </c>
      <c r="E27">
        <f t="shared" si="5"/>
        <v>17558.299039780522</v>
      </c>
      <c r="F27">
        <f t="shared" si="5"/>
        <v>15607.376924249353</v>
      </c>
      <c r="G27">
        <f t="shared" si="5"/>
        <v>13873.223932666091</v>
      </c>
      <c r="H27">
        <f t="shared" si="5"/>
        <v>12331.754606814304</v>
      </c>
      <c r="I27">
        <f t="shared" si="5"/>
        <v>10961.559650501602</v>
      </c>
      <c r="J27">
        <f t="shared" si="5"/>
        <v>9743.608578223646</v>
      </c>
      <c r="K27">
        <f t="shared" si="5"/>
        <v>8660.9854028654645</v>
      </c>
      <c r="L27">
        <f t="shared" si="5"/>
        <v>7698.6536914359676</v>
      </c>
      <c r="M27">
        <f t="shared" si="5"/>
        <v>6843.2477257208602</v>
      </c>
      <c r="N27">
        <f t="shared" si="5"/>
        <v>6082.8868673074312</v>
      </c>
      <c r="O27">
        <f t="shared" si="5"/>
        <v>5407.010548717717</v>
      </c>
      <c r="P27">
        <f t="shared" si="5"/>
        <v>4806.2315988601931</v>
      </c>
      <c r="Q27">
        <f t="shared" si="5"/>
        <v>4272.2058656535046</v>
      </c>
      <c r="R27">
        <f t="shared" si="5"/>
        <v>3797.5163250253377</v>
      </c>
      <c r="S27">
        <f t="shared" si="5"/>
        <v>3375.5700666891889</v>
      </c>
      <c r="T27">
        <f t="shared" si="5"/>
        <v>3000.5067259459452</v>
      </c>
      <c r="U27">
        <f t="shared" si="5"/>
        <v>2667.1170897297297</v>
      </c>
      <c r="V27">
        <f t="shared" si="5"/>
        <v>2370.7707464264263</v>
      </c>
      <c r="W27">
        <f t="shared" si="5"/>
        <v>2107.3517746012676</v>
      </c>
      <c r="X27">
        <f t="shared" si="5"/>
        <v>1873.2015774233491</v>
      </c>
      <c r="Y27">
        <f t="shared" si="5"/>
        <v>1665.0680688207547</v>
      </c>
      <c r="Z27">
        <f t="shared" si="5"/>
        <v>1480.0605056184486</v>
      </c>
      <c r="AA27">
        <f t="shared" si="5"/>
        <v>1315.6093383275099</v>
      </c>
      <c r="AB27">
        <f t="shared" si="5"/>
        <v>1169.4305229577867</v>
      </c>
      <c r="AC27">
        <f t="shared" si="5"/>
        <v>1039.493798184699</v>
      </c>
      <c r="AD27">
        <f t="shared" si="5"/>
        <v>923.99448727528807</v>
      </c>
      <c r="AE27">
        <f t="shared" si="5"/>
        <v>821.32843313358944</v>
      </c>
      <c r="AF27">
        <f t="shared" si="5"/>
        <v>730.06971834096839</v>
      </c>
      <c r="AG27">
        <f t="shared" si="5"/>
        <v>648.95086074752749</v>
      </c>
    </row>
    <row r="28" spans="1:33" x14ac:dyDescent="0.25">
      <c r="AG28" s="2">
        <f>SUM(B27:AG27)</f>
        <v>58697.282002908672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C0D-FB00-40AB-A561-95E189CD5BDE}">
  <dimension ref="A9:K23"/>
  <sheetViews>
    <sheetView zoomScale="160" zoomScaleNormal="160" workbookViewId="0">
      <selection activeCell="G13" sqref="G13"/>
    </sheetView>
  </sheetViews>
  <sheetFormatPr defaultRowHeight="15" x14ac:dyDescent="0.25"/>
  <sheetData>
    <row r="9" spans="1:11" x14ac:dyDescent="0.25">
      <c r="A9" s="1">
        <v>0.1</v>
      </c>
    </row>
    <row r="10" spans="1:11" x14ac:dyDescent="0.25">
      <c r="A10" t="s">
        <v>1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 t="s">
        <v>3</v>
      </c>
      <c r="I10" t="s">
        <v>6</v>
      </c>
      <c r="J10" t="s">
        <v>69</v>
      </c>
    </row>
    <row r="11" spans="1:11" x14ac:dyDescent="0.25">
      <c r="A11" t="s">
        <v>65</v>
      </c>
      <c r="B11">
        <v>-2500</v>
      </c>
      <c r="C11">
        <v>-1100</v>
      </c>
      <c r="D11">
        <v>-1100</v>
      </c>
      <c r="E11">
        <v>-1100</v>
      </c>
    </row>
    <row r="12" spans="1:11" x14ac:dyDescent="0.25">
      <c r="A12" t="s">
        <v>66</v>
      </c>
      <c r="C12">
        <v>1100</v>
      </c>
      <c r="D12">
        <f>C12</f>
        <v>1100</v>
      </c>
      <c r="E12">
        <f t="shared" ref="E12:G12" si="0">D12</f>
        <v>1100</v>
      </c>
      <c r="F12">
        <f t="shared" si="0"/>
        <v>1100</v>
      </c>
      <c r="G12">
        <f t="shared" si="0"/>
        <v>1100</v>
      </c>
    </row>
    <row r="13" spans="1:11" x14ac:dyDescent="0.25">
      <c r="A13" t="s">
        <v>26</v>
      </c>
      <c r="B13">
        <f>B11+B12</f>
        <v>-2500</v>
      </c>
      <c r="C13">
        <f t="shared" ref="C13:G13" si="1">C11+C12</f>
        <v>0</v>
      </c>
      <c r="D13">
        <f t="shared" si="1"/>
        <v>0</v>
      </c>
      <c r="E13">
        <f t="shared" si="1"/>
        <v>0</v>
      </c>
      <c r="F13">
        <f t="shared" si="1"/>
        <v>1100</v>
      </c>
      <c r="G13">
        <f t="shared" si="1"/>
        <v>1100</v>
      </c>
      <c r="K13" s="2" t="s">
        <v>68</v>
      </c>
    </row>
    <row r="14" spans="1:11" x14ac:dyDescent="0.25">
      <c r="A14" t="s">
        <v>37</v>
      </c>
      <c r="B14">
        <f>B13/(1+$A$9)^(B10)</f>
        <v>-2500</v>
      </c>
      <c r="C14">
        <f t="shared" ref="C14:G14" si="2">C13/(1+$A$9)^(C10)</f>
        <v>0</v>
      </c>
      <c r="D14">
        <f t="shared" si="2"/>
        <v>0</v>
      </c>
      <c r="E14">
        <f t="shared" si="2"/>
        <v>0</v>
      </c>
      <c r="F14">
        <f t="shared" si="2"/>
        <v>751.31480090157754</v>
      </c>
      <c r="G14">
        <f t="shared" si="2"/>
        <v>683.01345536507051</v>
      </c>
      <c r="H14" s="2">
        <f>SUM(B14:G14)</f>
        <v>-1065.6717437333518</v>
      </c>
      <c r="I14" s="1">
        <f>IRR(B13:G13)</f>
        <v>-2.7985965463025231E-2</v>
      </c>
      <c r="J14">
        <f>H14/B11</f>
        <v>0.42626869749334073</v>
      </c>
    </row>
    <row r="15" spans="1:11" x14ac:dyDescent="0.25">
      <c r="H15" t="s">
        <v>100</v>
      </c>
    </row>
    <row r="17" spans="1:10" x14ac:dyDescent="0.25">
      <c r="A17" t="s">
        <v>67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 t="s">
        <v>3</v>
      </c>
    </row>
    <row r="18" spans="1:10" x14ac:dyDescent="0.25">
      <c r="A18" t="s">
        <v>65</v>
      </c>
      <c r="B18">
        <v>0</v>
      </c>
      <c r="C18">
        <v>-1100</v>
      </c>
      <c r="D18">
        <v>-1100</v>
      </c>
      <c r="E18">
        <v>-1100</v>
      </c>
    </row>
    <row r="19" spans="1:10" x14ac:dyDescent="0.25">
      <c r="A19" t="s">
        <v>66</v>
      </c>
      <c r="C19">
        <v>0</v>
      </c>
      <c r="D19">
        <f>C19</f>
        <v>0</v>
      </c>
      <c r="E19">
        <f t="shared" ref="E19:G19" si="3">D19</f>
        <v>0</v>
      </c>
      <c r="F19">
        <f t="shared" si="3"/>
        <v>0</v>
      </c>
      <c r="G19">
        <f t="shared" si="3"/>
        <v>0</v>
      </c>
    </row>
    <row r="20" spans="1:10" x14ac:dyDescent="0.25">
      <c r="A20" t="s">
        <v>26</v>
      </c>
      <c r="B20">
        <f>B18+B19</f>
        <v>0</v>
      </c>
      <c r="C20">
        <f t="shared" ref="C20" si="4">C18+C19</f>
        <v>-1100</v>
      </c>
      <c r="D20">
        <f t="shared" ref="D20" si="5">D18+D19</f>
        <v>-1100</v>
      </c>
      <c r="E20">
        <f t="shared" ref="E20" si="6">E18+E19</f>
        <v>-1100</v>
      </c>
      <c r="F20">
        <f t="shared" ref="F20" si="7">F18+F19</f>
        <v>0</v>
      </c>
      <c r="G20">
        <f t="shared" ref="G20" si="8">G18+G19</f>
        <v>0</v>
      </c>
    </row>
    <row r="21" spans="1:10" x14ac:dyDescent="0.25">
      <c r="A21" t="s">
        <v>37</v>
      </c>
      <c r="B21">
        <f>B20/(1+$A$9)^(B17)</f>
        <v>0</v>
      </c>
      <c r="C21">
        <f t="shared" ref="C21" si="9">C20/(1+$A$9)^(C17)</f>
        <v>-999.99999999999989</v>
      </c>
      <c r="D21">
        <f t="shared" ref="D21" si="10">D20/(1+$A$9)^(D17)</f>
        <v>-909.09090909090889</v>
      </c>
      <c r="E21">
        <f t="shared" ref="E21" si="11">E20/(1+$A$9)^(E17)</f>
        <v>-826.44628099173531</v>
      </c>
      <c r="F21">
        <f t="shared" ref="F21" si="12">F20/(1+$A$9)^(F17)</f>
        <v>0</v>
      </c>
      <c r="G21">
        <f t="shared" ref="G21" si="13">G20/(1+$A$9)^(G17)</f>
        <v>0</v>
      </c>
      <c r="H21" s="2">
        <f>SUM(B21:G21)</f>
        <v>-2735.537190082644</v>
      </c>
      <c r="I21" s="1"/>
      <c r="J21" t="s">
        <v>70</v>
      </c>
    </row>
    <row r="22" spans="1:10" x14ac:dyDescent="0.25">
      <c r="H22" t="s">
        <v>100</v>
      </c>
    </row>
    <row r="23" spans="1:10" x14ac:dyDescent="0.25">
      <c r="B23" s="2" t="s">
        <v>71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1B6A-D1ED-406E-88C7-E3A2E2791494}">
  <dimension ref="A4:K35"/>
  <sheetViews>
    <sheetView tabSelected="1" zoomScale="205" zoomScaleNormal="205" workbookViewId="0">
      <selection activeCell="G13" sqref="G13"/>
    </sheetView>
  </sheetViews>
  <sheetFormatPr defaultRowHeight="15" x14ac:dyDescent="0.25"/>
  <cols>
    <col min="2" max="2" width="13" customWidth="1"/>
  </cols>
  <sheetData>
    <row r="4" spans="1:11" x14ac:dyDescent="0.25">
      <c r="J4" t="s">
        <v>132</v>
      </c>
      <c r="K4" s="1">
        <v>0.1</v>
      </c>
    </row>
    <row r="5" spans="1:11" x14ac:dyDescent="0.25">
      <c r="J5" t="s">
        <v>133</v>
      </c>
      <c r="K5" s="1">
        <v>0.08</v>
      </c>
    </row>
    <row r="6" spans="1:11" x14ac:dyDescent="0.25">
      <c r="J6" t="s">
        <v>74</v>
      </c>
      <c r="K6">
        <f>18.8%</f>
        <v>0.188</v>
      </c>
    </row>
    <row r="9" spans="1:11" x14ac:dyDescent="0.25">
      <c r="J9" t="s">
        <v>116</v>
      </c>
    </row>
    <row r="12" spans="1:11" x14ac:dyDescent="0.25">
      <c r="B12">
        <v>0</v>
      </c>
      <c r="C12">
        <v>1</v>
      </c>
      <c r="D12">
        <v>2</v>
      </c>
      <c r="E12">
        <v>3</v>
      </c>
    </row>
    <row r="13" spans="1:11" x14ac:dyDescent="0.25">
      <c r="A13" t="s">
        <v>127</v>
      </c>
      <c r="B13">
        <f>-25000</f>
        <v>-25000</v>
      </c>
    </row>
    <row r="14" spans="1:11" x14ac:dyDescent="0.25">
      <c r="A14" t="s">
        <v>128</v>
      </c>
      <c r="C14">
        <v>20</v>
      </c>
      <c r="D14">
        <v>40</v>
      </c>
      <c r="E14">
        <v>50</v>
      </c>
    </row>
    <row r="15" spans="1:11" x14ac:dyDescent="0.25">
      <c r="A15" t="s">
        <v>129</v>
      </c>
      <c r="B15">
        <v>350</v>
      </c>
      <c r="C15">
        <f>$B$15*(1+$K$4)^(C12)</f>
        <v>385.00000000000006</v>
      </c>
      <c r="D15">
        <f t="shared" ref="D15:E15" si="0">$B$15*(1+$K$4)^(D12)</f>
        <v>423.50000000000006</v>
      </c>
      <c r="E15">
        <f t="shared" si="0"/>
        <v>465.85000000000014</v>
      </c>
    </row>
    <row r="16" spans="1:11" x14ac:dyDescent="0.25">
      <c r="A16" t="s">
        <v>130</v>
      </c>
      <c r="B16">
        <v>50</v>
      </c>
      <c r="C16">
        <f>$B$16*(1+$K$4)^(C12)</f>
        <v>55.000000000000007</v>
      </c>
      <c r="D16">
        <f t="shared" ref="D16:E16" si="1">$B$16*(1+$K$4)^(D12)</f>
        <v>60.500000000000007</v>
      </c>
      <c r="E16">
        <f t="shared" si="1"/>
        <v>66.550000000000026</v>
      </c>
    </row>
    <row r="17" spans="1:7" x14ac:dyDescent="0.25">
      <c r="A17" t="s">
        <v>131</v>
      </c>
      <c r="B17">
        <v>250</v>
      </c>
      <c r="C17">
        <f>$B$17*(1+$K$4)^(C12)</f>
        <v>275</v>
      </c>
      <c r="D17">
        <f t="shared" ref="D17:E17" si="2">$B$17*(1+$K$4)^(D12)</f>
        <v>302.50000000000006</v>
      </c>
      <c r="E17">
        <f t="shared" si="2"/>
        <v>332.75000000000011</v>
      </c>
    </row>
    <row r="18" spans="1:7" x14ac:dyDescent="0.25">
      <c r="A18" s="2" t="s">
        <v>134</v>
      </c>
      <c r="B18" s="2"/>
      <c r="C18" s="2">
        <f>C14*C15</f>
        <v>7700.0000000000009</v>
      </c>
      <c r="D18" s="2">
        <f t="shared" ref="D18:E18" si="3">D14*D15</f>
        <v>16940.000000000004</v>
      </c>
      <c r="E18" s="2">
        <f t="shared" si="3"/>
        <v>23292.500000000007</v>
      </c>
    </row>
    <row r="19" spans="1:7" x14ac:dyDescent="0.25">
      <c r="A19" s="24" t="s">
        <v>72</v>
      </c>
      <c r="B19" s="24"/>
      <c r="C19" s="24">
        <f>C16*C14</f>
        <v>1100.0000000000002</v>
      </c>
      <c r="D19" s="24">
        <f t="shared" ref="D19:E19" si="4">D16*D14</f>
        <v>2420.0000000000005</v>
      </c>
      <c r="E19" s="24">
        <f t="shared" si="4"/>
        <v>3327.5000000000014</v>
      </c>
    </row>
    <row r="20" spans="1:7" x14ac:dyDescent="0.25">
      <c r="A20" s="24" t="s">
        <v>73</v>
      </c>
      <c r="B20" s="24"/>
      <c r="C20" s="24">
        <f>C17</f>
        <v>275</v>
      </c>
      <c r="D20" s="24">
        <f t="shared" ref="D20:E20" si="5">D17</f>
        <v>302.50000000000006</v>
      </c>
      <c r="E20" s="24">
        <f t="shared" si="5"/>
        <v>332.75000000000011</v>
      </c>
    </row>
    <row r="21" spans="1:7" x14ac:dyDescent="0.25">
      <c r="A21" s="24" t="s">
        <v>135</v>
      </c>
      <c r="B21" s="24"/>
      <c r="C21" s="24">
        <f>C19+C20</f>
        <v>1375.0000000000002</v>
      </c>
      <c r="D21" s="24">
        <f t="shared" ref="D21:E21" si="6">D19+D20</f>
        <v>2722.5000000000005</v>
      </c>
      <c r="E21" s="24">
        <f t="shared" si="6"/>
        <v>3660.2500000000014</v>
      </c>
    </row>
    <row r="22" spans="1:7" x14ac:dyDescent="0.25">
      <c r="A22" s="25" t="s">
        <v>26</v>
      </c>
      <c r="B22" s="25">
        <f>B13</f>
        <v>-25000</v>
      </c>
      <c r="C22" s="25">
        <f>C18-C21</f>
        <v>6325.0000000000009</v>
      </c>
      <c r="D22" s="25">
        <f t="shared" ref="D22:E22" si="7">D18-D21</f>
        <v>14217.500000000004</v>
      </c>
      <c r="E22" s="25">
        <f t="shared" si="7"/>
        <v>19632.250000000007</v>
      </c>
    </row>
    <row r="23" spans="1:7" ht="15.75" thickBot="1" x14ac:dyDescent="0.3">
      <c r="A23" s="25" t="s">
        <v>18</v>
      </c>
      <c r="B23" s="25">
        <f>B22/(1+$K$6)^(B12)</f>
        <v>-25000</v>
      </c>
      <c r="C23" s="25">
        <f t="shared" ref="C23:E23" si="8">C22/(1+$K$6)^(C12)</f>
        <v>5324.0740740740748</v>
      </c>
      <c r="D23" s="25">
        <f t="shared" si="8"/>
        <v>10073.731138545956</v>
      </c>
      <c r="E23" s="25">
        <f t="shared" si="8"/>
        <v>11709.025555047509</v>
      </c>
    </row>
    <row r="24" spans="1:7" ht="16.5" thickTop="1" thickBot="1" x14ac:dyDescent="0.3">
      <c r="A24" s="2" t="s">
        <v>3</v>
      </c>
      <c r="B24" s="26">
        <f>SUM(B23:E23)</f>
        <v>2106.8307676675377</v>
      </c>
    </row>
    <row r="25" spans="1:7" ht="15.75" thickTop="1" x14ac:dyDescent="0.25">
      <c r="A25" t="s">
        <v>136</v>
      </c>
      <c r="B25" s="14">
        <f>IRR(B22:E22)</f>
        <v>0.23199366446570835</v>
      </c>
    </row>
    <row r="26" spans="1:7" x14ac:dyDescent="0.25">
      <c r="A26" t="s">
        <v>137</v>
      </c>
      <c r="B26" s="27">
        <f>((1+B25)/(1+K4))-1</f>
        <v>0.11999424042337115</v>
      </c>
    </row>
    <row r="29" spans="1:7" x14ac:dyDescent="0.25">
      <c r="B29" s="2"/>
      <c r="G29" s="2"/>
    </row>
    <row r="35" spans="6:6" x14ac:dyDescent="0.25">
      <c r="F35" s="2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30DD-712F-467F-9998-87C096D42CE7}">
  <dimension ref="A2:I13"/>
  <sheetViews>
    <sheetView zoomScale="175" zoomScaleNormal="175" workbookViewId="0">
      <selection activeCell="F12" sqref="F12"/>
    </sheetView>
  </sheetViews>
  <sheetFormatPr defaultRowHeight="15" x14ac:dyDescent="0.25"/>
  <sheetData>
    <row r="2" spans="1:9" x14ac:dyDescent="0.25">
      <c r="A2" t="s">
        <v>113</v>
      </c>
      <c r="B2">
        <v>7000000</v>
      </c>
      <c r="C2" t="s">
        <v>114</v>
      </c>
      <c r="D2" s="1">
        <v>0.11</v>
      </c>
    </row>
    <row r="4" spans="1:9" x14ac:dyDescent="0.25">
      <c r="A4" t="s">
        <v>112</v>
      </c>
      <c r="B4">
        <v>2500</v>
      </c>
    </row>
    <row r="5" spans="1:9" x14ac:dyDescent="0.25">
      <c r="A5" t="s">
        <v>110</v>
      </c>
      <c r="B5">
        <v>23</v>
      </c>
    </row>
    <row r="6" spans="1:9" x14ac:dyDescent="0.25">
      <c r="A6" t="s">
        <v>111</v>
      </c>
      <c r="B6">
        <v>12</v>
      </c>
    </row>
    <row r="7" spans="1:9" x14ac:dyDescent="0.25">
      <c r="B7">
        <f>B4*B5*B6</f>
        <v>690000</v>
      </c>
    </row>
    <row r="8" spans="1:9" x14ac:dyDescent="0.25">
      <c r="A8" t="s">
        <v>115</v>
      </c>
      <c r="B8">
        <v>517000</v>
      </c>
    </row>
    <row r="10" spans="1:9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9" x14ac:dyDescent="0.25">
      <c r="A11">
        <v>-7000000</v>
      </c>
      <c r="B11">
        <f>B8</f>
        <v>517000</v>
      </c>
      <c r="C11">
        <f>B11</f>
        <v>517000</v>
      </c>
      <c r="D11">
        <f t="shared" ref="D11:H11" si="0">C11</f>
        <v>517000</v>
      </c>
      <c r="E11">
        <f t="shared" si="0"/>
        <v>517000</v>
      </c>
      <c r="F11">
        <f t="shared" si="0"/>
        <v>517000</v>
      </c>
      <c r="G11">
        <f t="shared" si="0"/>
        <v>517000</v>
      </c>
      <c r="H11">
        <f t="shared" si="0"/>
        <v>517000</v>
      </c>
      <c r="I11">
        <f>H11+9000000</f>
        <v>9517000</v>
      </c>
    </row>
    <row r="12" spans="1:9" x14ac:dyDescent="0.25">
      <c r="A12">
        <f>A11/(1+$D$2)^(A10)</f>
        <v>-7000000</v>
      </c>
      <c r="B12">
        <f t="shared" ref="B12:I12" si="1">B11/(1+$D$2)^(B10)</f>
        <v>465765.76576576574</v>
      </c>
      <c r="C12">
        <f t="shared" si="1"/>
        <v>419608.79798717628</v>
      </c>
      <c r="D12">
        <f t="shared" si="1"/>
        <v>378025.94413259125</v>
      </c>
      <c r="E12">
        <f t="shared" si="1"/>
        <v>340563.91363296506</v>
      </c>
      <c r="F12">
        <f t="shared" si="1"/>
        <v>306814.33660627482</v>
      </c>
      <c r="G12">
        <f t="shared" si="1"/>
        <v>276409.3122579052</v>
      </c>
      <c r="H12">
        <f t="shared" si="1"/>
        <v>249017.39843054523</v>
      </c>
      <c r="I12">
        <f t="shared" si="1"/>
        <v>4129678.4652682636</v>
      </c>
    </row>
    <row r="13" spans="1:9" x14ac:dyDescent="0.25">
      <c r="I13" s="2">
        <f>SUM(A12:I12)</f>
        <v>-434116.06591851357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462-3399-4CCC-82FB-9E92D7B3D040}">
  <dimension ref="A10:J26"/>
  <sheetViews>
    <sheetView topLeftCell="A16" zoomScale="220" zoomScaleNormal="220" workbookViewId="0">
      <selection activeCell="E16" sqref="E16"/>
    </sheetView>
  </sheetViews>
  <sheetFormatPr defaultRowHeight="15" x14ac:dyDescent="0.25"/>
  <sheetData>
    <row r="10" spans="1:10" x14ac:dyDescent="0.25">
      <c r="A10" s="1">
        <v>0.1</v>
      </c>
    </row>
    <row r="11" spans="1:10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  <c r="J11" t="s">
        <v>6</v>
      </c>
    </row>
    <row r="12" spans="1:10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10" x14ac:dyDescent="0.25">
      <c r="B13" t="s">
        <v>2</v>
      </c>
      <c r="C13" s="1">
        <f>$A$10</f>
        <v>0.1</v>
      </c>
      <c r="D13" s="1">
        <f t="shared" ref="D13:H13" si="0">$A$10</f>
        <v>0.1</v>
      </c>
      <c r="E13" s="1">
        <f t="shared" si="0"/>
        <v>0.1</v>
      </c>
      <c r="F13" s="1">
        <f t="shared" si="0"/>
        <v>0.1</v>
      </c>
      <c r="G13" s="1">
        <f t="shared" si="0"/>
        <v>0.1</v>
      </c>
      <c r="H13" s="1">
        <f t="shared" si="0"/>
        <v>0.1</v>
      </c>
    </row>
    <row r="14" spans="1:10" x14ac:dyDescent="0.25">
      <c r="C14">
        <f>C12/(1+C13)^(C11)</f>
        <v>-1000000</v>
      </c>
      <c r="D14">
        <f t="shared" ref="D14:H14" si="1">D12/(1+D13)^(D11)</f>
        <v>90909.090909090897</v>
      </c>
      <c r="E14">
        <f t="shared" si="1"/>
        <v>82644.62809917354</v>
      </c>
      <c r="F14">
        <f t="shared" si="1"/>
        <v>75131.480090157755</v>
      </c>
      <c r="G14">
        <f t="shared" si="1"/>
        <v>68301.345536507055</v>
      </c>
      <c r="H14">
        <f t="shared" si="1"/>
        <v>683013.45536507049</v>
      </c>
      <c r="I14" s="2">
        <f>SUM(C14:H14)</f>
        <v>0</v>
      </c>
      <c r="J14" s="1">
        <v>0.1</v>
      </c>
    </row>
    <row r="15" spans="1:10" x14ac:dyDescent="0.25">
      <c r="B15" s="5" t="s">
        <v>7</v>
      </c>
      <c r="C15" s="6">
        <f>C12</f>
        <v>-1000000</v>
      </c>
      <c r="D15" s="6">
        <f>C15+D12</f>
        <v>-900000</v>
      </c>
      <c r="E15" s="6">
        <f>D15+E12</f>
        <v>-800000</v>
      </c>
      <c r="F15" s="6">
        <f t="shared" ref="E15:H15" si="2">E15+F12</f>
        <v>-700000</v>
      </c>
      <c r="G15" s="7">
        <f t="shared" si="2"/>
        <v>-600000</v>
      </c>
      <c r="H15" s="7">
        <f t="shared" si="2"/>
        <v>500000</v>
      </c>
      <c r="I15" s="8" t="s">
        <v>9</v>
      </c>
      <c r="J15" s="1" t="s">
        <v>87</v>
      </c>
    </row>
    <row r="16" spans="1:10" x14ac:dyDescent="0.25">
      <c r="B16" s="9" t="s">
        <v>8</v>
      </c>
      <c r="C16" s="10">
        <f>C12</f>
        <v>-1000000</v>
      </c>
      <c r="D16" s="10">
        <f>C16+D14</f>
        <v>-909090.90909090906</v>
      </c>
      <c r="E16" s="10">
        <f t="shared" ref="E16:H16" si="3">D16+E14</f>
        <v>-826446.28099173552</v>
      </c>
      <c r="F16" s="10">
        <f t="shared" si="3"/>
        <v>-751314.80090157781</v>
      </c>
      <c r="G16" s="10">
        <f t="shared" si="3"/>
        <v>-683013.45536507072</v>
      </c>
      <c r="H16" s="11">
        <f t="shared" si="3"/>
        <v>0</v>
      </c>
      <c r="I16" s="12">
        <v>5</v>
      </c>
      <c r="J16" s="1"/>
    </row>
    <row r="17" spans="2:10" x14ac:dyDescent="0.25">
      <c r="B17" t="s">
        <v>4</v>
      </c>
      <c r="C17">
        <v>-1000000</v>
      </c>
      <c r="D17">
        <v>263797</v>
      </c>
      <c r="E17">
        <v>263797</v>
      </c>
      <c r="F17">
        <v>263797</v>
      </c>
      <c r="G17">
        <v>263797</v>
      </c>
      <c r="H17">
        <v>263797</v>
      </c>
    </row>
    <row r="18" spans="2:10" x14ac:dyDescent="0.25">
      <c r="B18" t="s">
        <v>2</v>
      </c>
      <c r="C18" s="1">
        <f>$A$10</f>
        <v>0.1</v>
      </c>
      <c r="D18" s="1">
        <f t="shared" ref="D18:H18" si="4">$A$10</f>
        <v>0.1</v>
      </c>
      <c r="E18" s="1">
        <f t="shared" si="4"/>
        <v>0.1</v>
      </c>
      <c r="F18" s="1">
        <f t="shared" si="4"/>
        <v>0.1</v>
      </c>
      <c r="G18" s="1">
        <f t="shared" si="4"/>
        <v>0.1</v>
      </c>
      <c r="H18" s="1">
        <f t="shared" si="4"/>
        <v>0.1</v>
      </c>
    </row>
    <row r="19" spans="2:10" x14ac:dyDescent="0.25">
      <c r="C19">
        <f>C17/(1+C18)^(C11)</f>
        <v>-1000000</v>
      </c>
      <c r="D19">
        <f t="shared" ref="D19:H19" si="5">D17/(1+D18)^(D11)</f>
        <v>239815.45454545453</v>
      </c>
      <c r="E19">
        <f t="shared" si="5"/>
        <v>218014.04958677682</v>
      </c>
      <c r="F19">
        <f t="shared" si="5"/>
        <v>198194.59053343345</v>
      </c>
      <c r="G19">
        <f t="shared" si="5"/>
        <v>180176.90048493951</v>
      </c>
      <c r="H19">
        <f t="shared" si="5"/>
        <v>163797.18225903591</v>
      </c>
      <c r="I19" s="2">
        <f>SUM(C19:H19)</f>
        <v>-1.8225903596321587</v>
      </c>
      <c r="J19" s="4">
        <v>9.9999286565185599E-2</v>
      </c>
    </row>
    <row r="20" spans="2:10" x14ac:dyDescent="0.25">
      <c r="B20" s="5" t="s">
        <v>7</v>
      </c>
      <c r="C20" s="6">
        <f>C17</f>
        <v>-1000000</v>
      </c>
      <c r="D20" s="6">
        <f>C20+D17</f>
        <v>-736203</v>
      </c>
      <c r="E20" s="6">
        <f t="shared" ref="E20:H20" si="6">D20+E17</f>
        <v>-472406</v>
      </c>
      <c r="F20" s="7">
        <f t="shared" si="6"/>
        <v>-208609</v>
      </c>
      <c r="G20" s="7">
        <f t="shared" si="6"/>
        <v>55188</v>
      </c>
      <c r="H20" s="6">
        <f t="shared" si="6"/>
        <v>318985</v>
      </c>
      <c r="I20" s="8" t="s">
        <v>10</v>
      </c>
      <c r="J20" s="4" t="s">
        <v>87</v>
      </c>
    </row>
    <row r="21" spans="2:10" x14ac:dyDescent="0.25">
      <c r="B21" s="9" t="s">
        <v>8</v>
      </c>
      <c r="C21" s="10">
        <f>C17</f>
        <v>-1000000</v>
      </c>
      <c r="D21" s="10">
        <f>C21+D19</f>
        <v>-760184.54545454541</v>
      </c>
      <c r="E21" s="10">
        <f t="shared" ref="E21:H21" si="7">D21+E19</f>
        <v>-542170.49586776854</v>
      </c>
      <c r="F21" s="10">
        <f t="shared" si="7"/>
        <v>-343975.90533433505</v>
      </c>
      <c r="G21" s="10">
        <f t="shared" si="7"/>
        <v>-163799.00484939554</v>
      </c>
      <c r="H21" s="10">
        <f t="shared" si="7"/>
        <v>-1.8225903596321587</v>
      </c>
      <c r="I21" s="12" t="s">
        <v>11</v>
      </c>
      <c r="J21" s="4"/>
    </row>
    <row r="22" spans="2:10" x14ac:dyDescent="0.25">
      <c r="B22" t="s">
        <v>5</v>
      </c>
      <c r="C22">
        <v>-1000000</v>
      </c>
      <c r="H22">
        <v>1610510</v>
      </c>
    </row>
    <row r="23" spans="2:10" x14ac:dyDescent="0.25">
      <c r="B23" t="s">
        <v>2</v>
      </c>
      <c r="C23" s="1">
        <f>$A$10</f>
        <v>0.1</v>
      </c>
      <c r="D23" s="1">
        <f t="shared" ref="D23:H23" si="8">$A$10</f>
        <v>0.1</v>
      </c>
      <c r="E23" s="1">
        <f t="shared" si="8"/>
        <v>0.1</v>
      </c>
      <c r="F23" s="1">
        <f t="shared" si="8"/>
        <v>0.1</v>
      </c>
      <c r="G23" s="1">
        <f t="shared" si="8"/>
        <v>0.1</v>
      </c>
      <c r="H23" s="1">
        <f t="shared" si="8"/>
        <v>0.1</v>
      </c>
    </row>
    <row r="24" spans="2:10" x14ac:dyDescent="0.25">
      <c r="C24">
        <f>C22/(1+C23)^(C11)</f>
        <v>-1000000</v>
      </c>
      <c r="D24">
        <f t="shared" ref="D24:G24" si="9">D22/(1+D23)^(D11)</f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>H22/(1+H23)^(H11)</f>
        <v>999999.99999999965</v>
      </c>
      <c r="I24" s="2">
        <f>SUM(C24:H24)</f>
        <v>0</v>
      </c>
      <c r="J24" s="1">
        <v>0.1</v>
      </c>
    </row>
    <row r="25" spans="2:10" x14ac:dyDescent="0.25">
      <c r="B25" s="5" t="s">
        <v>7</v>
      </c>
      <c r="C25" s="6">
        <f>C22</f>
        <v>-1000000</v>
      </c>
      <c r="D25" s="6">
        <f>C25+D22</f>
        <v>-1000000</v>
      </c>
      <c r="E25" s="6">
        <f t="shared" ref="E25:H25" si="10">D25+E22</f>
        <v>-1000000</v>
      </c>
      <c r="F25" s="6">
        <f t="shared" si="10"/>
        <v>-1000000</v>
      </c>
      <c r="G25" s="7">
        <f t="shared" si="10"/>
        <v>-1000000</v>
      </c>
      <c r="H25" s="7">
        <f t="shared" si="10"/>
        <v>610510</v>
      </c>
      <c r="I25" s="8" t="s">
        <v>12</v>
      </c>
      <c r="J25" t="s">
        <v>87</v>
      </c>
    </row>
    <row r="26" spans="2:10" x14ac:dyDescent="0.25">
      <c r="B26" s="9" t="s">
        <v>8</v>
      </c>
      <c r="C26" s="10">
        <f>C22</f>
        <v>-1000000</v>
      </c>
      <c r="D26" s="10">
        <f>C26+D24</f>
        <v>-1000000</v>
      </c>
      <c r="E26" s="10">
        <f t="shared" ref="E26:H26" si="11">D26+E24</f>
        <v>-1000000</v>
      </c>
      <c r="F26" s="10">
        <f t="shared" si="11"/>
        <v>-1000000</v>
      </c>
      <c r="G26" s="10">
        <f t="shared" si="11"/>
        <v>-1000000</v>
      </c>
      <c r="H26" s="11">
        <f t="shared" si="11"/>
        <v>0</v>
      </c>
      <c r="I26" s="1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B5C5-DC63-41B8-9423-19D1B163AAB4}">
  <dimension ref="A10:I20"/>
  <sheetViews>
    <sheetView topLeftCell="A7" zoomScale="250" zoomScaleNormal="250" workbookViewId="0">
      <selection activeCell="J19" sqref="J19"/>
    </sheetView>
  </sheetViews>
  <sheetFormatPr defaultRowHeight="15" x14ac:dyDescent="0.25"/>
  <sheetData>
    <row r="10" spans="1:9" x14ac:dyDescent="0.25">
      <c r="A10" s="1">
        <v>0.05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0.05</v>
      </c>
      <c r="D13" s="1">
        <f t="shared" ref="D13:H13" si="0">$A$10</f>
        <v>0.05</v>
      </c>
      <c r="E13" s="1">
        <f t="shared" si="0"/>
        <v>0.05</v>
      </c>
      <c r="F13" s="1">
        <f t="shared" si="0"/>
        <v>0.05</v>
      </c>
      <c r="G13" s="1">
        <f t="shared" si="0"/>
        <v>0.05</v>
      </c>
      <c r="H13" s="1">
        <f t="shared" si="0"/>
        <v>0.05</v>
      </c>
    </row>
    <row r="14" spans="1:9" x14ac:dyDescent="0.25">
      <c r="C14">
        <f>C12/(1+C13)^(C11)</f>
        <v>-1000000</v>
      </c>
      <c r="D14">
        <f t="shared" ref="D14:H14" si="1">D12/(1+D13)^(D11)</f>
        <v>95238.095238095237</v>
      </c>
      <c r="E14">
        <f t="shared" si="1"/>
        <v>90702.947845804985</v>
      </c>
      <c r="F14">
        <f t="shared" si="1"/>
        <v>86383.759853147596</v>
      </c>
      <c r="G14">
        <f t="shared" si="1"/>
        <v>82270.247479188198</v>
      </c>
      <c r="H14">
        <f t="shared" si="1"/>
        <v>861878.78311530489</v>
      </c>
      <c r="I14" s="2">
        <f>SUM(C14:H14)</f>
        <v>216473.83353154093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0.05</v>
      </c>
      <c r="D16" s="1">
        <f t="shared" ref="D16:H16" si="2">$A$10</f>
        <v>0.05</v>
      </c>
      <c r="E16" s="1">
        <f t="shared" si="2"/>
        <v>0.05</v>
      </c>
      <c r="F16" s="1">
        <f t="shared" si="2"/>
        <v>0.05</v>
      </c>
      <c r="G16" s="1">
        <f t="shared" si="2"/>
        <v>0.05</v>
      </c>
      <c r="H16" s="1">
        <f t="shared" si="2"/>
        <v>0.05</v>
      </c>
    </row>
    <row r="17" spans="2:9" x14ac:dyDescent="0.25">
      <c r="C17">
        <f>C15/(1+C16)^(C11)</f>
        <v>-1000000</v>
      </c>
      <c r="D17">
        <f t="shared" ref="D17:H17" si="3">D15/(1+D16)^(D11)</f>
        <v>251235.23809523808</v>
      </c>
      <c r="E17">
        <f t="shared" si="3"/>
        <v>239271.65532879817</v>
      </c>
      <c r="F17">
        <f t="shared" si="3"/>
        <v>227877.76697980778</v>
      </c>
      <c r="G17">
        <f t="shared" si="3"/>
        <v>217026.4447426741</v>
      </c>
      <c r="H17">
        <f t="shared" si="3"/>
        <v>206691.85213588006</v>
      </c>
      <c r="I17" s="2">
        <f>SUM(C17:H17)</f>
        <v>142102.95728239825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0.05</v>
      </c>
      <c r="D19" s="1">
        <f t="shared" ref="D19:H19" si="4">$A$10</f>
        <v>0.05</v>
      </c>
      <c r="E19" s="1">
        <f t="shared" si="4"/>
        <v>0.05</v>
      </c>
      <c r="F19" s="1">
        <f t="shared" si="4"/>
        <v>0.05</v>
      </c>
      <c r="G19" s="1">
        <f t="shared" si="4"/>
        <v>0.05</v>
      </c>
      <c r="H19" s="1">
        <f t="shared" si="4"/>
        <v>0.05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1261876.7263591178</v>
      </c>
      <c r="I20" s="2">
        <f>SUM(C20:H20)</f>
        <v>261876.72635911778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AFAB-475C-4BF5-894E-B0180A6A5BD7}">
  <dimension ref="A10:I30"/>
  <sheetViews>
    <sheetView topLeftCell="A10" zoomScale="160" zoomScaleNormal="160" workbookViewId="0">
      <selection activeCell="G28" sqref="G28"/>
    </sheetView>
  </sheetViews>
  <sheetFormatPr defaultRowHeight="15" x14ac:dyDescent="0.25"/>
  <sheetData>
    <row r="10" spans="1:9" x14ac:dyDescent="0.25">
      <c r="A10" s="1">
        <v>0.15</v>
      </c>
    </row>
    <row r="11" spans="1:9" x14ac:dyDescent="0.25">
      <c r="B11" t="s">
        <v>0</v>
      </c>
      <c r="C11">
        <v>0</v>
      </c>
      <c r="D11">
        <v>1</v>
      </c>
      <c r="E11">
        <v>2</v>
      </c>
      <c r="F11">
        <v>3</v>
      </c>
      <c r="G11">
        <v>4</v>
      </c>
      <c r="H11">
        <v>5</v>
      </c>
      <c r="I11" t="s">
        <v>3</v>
      </c>
    </row>
    <row r="12" spans="1:9" x14ac:dyDescent="0.25">
      <c r="B12" t="s">
        <v>1</v>
      </c>
      <c r="C12">
        <v>-1000000</v>
      </c>
      <c r="D12">
        <v>100000</v>
      </c>
      <c r="E12">
        <v>100000</v>
      </c>
      <c r="F12">
        <v>100000</v>
      </c>
      <c r="G12">
        <v>100000</v>
      </c>
      <c r="H12">
        <v>1100000</v>
      </c>
    </row>
    <row r="13" spans="1:9" x14ac:dyDescent="0.25">
      <c r="B13" t="s">
        <v>2</v>
      </c>
      <c r="C13" s="1">
        <f>$A$10</f>
        <v>0.15</v>
      </c>
      <c r="D13" s="1">
        <f t="shared" ref="D13:H13" si="0">$A$10</f>
        <v>0.15</v>
      </c>
      <c r="E13" s="1">
        <f t="shared" si="0"/>
        <v>0.15</v>
      </c>
      <c r="F13" s="1">
        <f t="shared" si="0"/>
        <v>0.15</v>
      </c>
      <c r="G13" s="1">
        <f t="shared" si="0"/>
        <v>0.15</v>
      </c>
      <c r="H13" s="1">
        <f t="shared" si="0"/>
        <v>0.15</v>
      </c>
    </row>
    <row r="14" spans="1:9" x14ac:dyDescent="0.25">
      <c r="C14">
        <f>C12/(1+C13)^(C11)</f>
        <v>-1000000</v>
      </c>
      <c r="D14">
        <f t="shared" ref="D14:H14" si="1">D12/(1+D13)^(D11)</f>
        <v>86956.521739130447</v>
      </c>
      <c r="E14">
        <f t="shared" si="1"/>
        <v>75614.366729678644</v>
      </c>
      <c r="F14">
        <f t="shared" si="1"/>
        <v>65751.623243198832</v>
      </c>
      <c r="G14">
        <f t="shared" si="1"/>
        <v>57175.324559303335</v>
      </c>
      <c r="H14">
        <f t="shared" si="1"/>
        <v>546894.40882811882</v>
      </c>
      <c r="I14" s="2">
        <f>SUM(C14:H14)</f>
        <v>-167607.75490056979</v>
      </c>
    </row>
    <row r="15" spans="1:9" x14ac:dyDescent="0.25">
      <c r="B15" t="s">
        <v>4</v>
      </c>
      <c r="C15">
        <v>-1000000</v>
      </c>
      <c r="D15">
        <v>263797</v>
      </c>
      <c r="E15">
        <v>263797</v>
      </c>
      <c r="F15">
        <v>263797</v>
      </c>
      <c r="G15">
        <v>263797</v>
      </c>
      <c r="H15">
        <v>263797</v>
      </c>
    </row>
    <row r="16" spans="1:9" x14ac:dyDescent="0.25">
      <c r="B16" t="s">
        <v>2</v>
      </c>
      <c r="C16" s="1">
        <f>$A$10</f>
        <v>0.15</v>
      </c>
      <c r="D16" s="1">
        <f t="shared" ref="D16:H16" si="2">$A$10</f>
        <v>0.15</v>
      </c>
      <c r="E16" s="1">
        <f t="shared" si="2"/>
        <v>0.15</v>
      </c>
      <c r="F16" s="1">
        <f t="shared" si="2"/>
        <v>0.15</v>
      </c>
      <c r="G16" s="1">
        <f t="shared" si="2"/>
        <v>0.15</v>
      </c>
      <c r="H16" s="1">
        <f t="shared" si="2"/>
        <v>0.15</v>
      </c>
    </row>
    <row r="17" spans="2:9" x14ac:dyDescent="0.25">
      <c r="C17">
        <f>C15/(1+C16)^(C11)</f>
        <v>-1000000</v>
      </c>
      <c r="D17">
        <f t="shared" ref="D17:H17" si="3">D15/(1+D16)^(D11)</f>
        <v>229388.69565217392</v>
      </c>
      <c r="E17">
        <f t="shared" si="3"/>
        <v>199468.43100189039</v>
      </c>
      <c r="F17">
        <f t="shared" si="3"/>
        <v>173450.80956686122</v>
      </c>
      <c r="G17">
        <f t="shared" si="3"/>
        <v>150826.79092770541</v>
      </c>
      <c r="H17">
        <f t="shared" si="3"/>
        <v>131153.73124148298</v>
      </c>
      <c r="I17" s="2">
        <f>SUM(C17:H17)</f>
        <v>-115711.54160988607</v>
      </c>
    </row>
    <row r="18" spans="2:9" x14ac:dyDescent="0.25">
      <c r="B18" t="s">
        <v>5</v>
      </c>
      <c r="C18">
        <v>-1000000</v>
      </c>
      <c r="H18">
        <v>1610510</v>
      </c>
    </row>
    <row r="19" spans="2:9" x14ac:dyDescent="0.25">
      <c r="B19" t="s">
        <v>2</v>
      </c>
      <c r="C19" s="1">
        <f>$A$10</f>
        <v>0.15</v>
      </c>
      <c r="D19" s="1">
        <f t="shared" ref="D19:H19" si="4">$A$10</f>
        <v>0.15</v>
      </c>
      <c r="E19" s="1">
        <f t="shared" si="4"/>
        <v>0.15</v>
      </c>
      <c r="F19" s="1">
        <f t="shared" si="4"/>
        <v>0.15</v>
      </c>
      <c r="G19" s="1">
        <f t="shared" si="4"/>
        <v>0.15</v>
      </c>
      <c r="H19" s="1">
        <f t="shared" si="4"/>
        <v>0.15</v>
      </c>
    </row>
    <row r="20" spans="2:9" x14ac:dyDescent="0.25">
      <c r="C20">
        <f>C18/(1+C19)^(C11)</f>
        <v>-1000000</v>
      </c>
      <c r="D20">
        <f t="shared" ref="D20:G20" si="5">D18/(1+D19)^(D11)</f>
        <v>0</v>
      </c>
      <c r="E20">
        <f t="shared" si="5"/>
        <v>0</v>
      </c>
      <c r="F20">
        <f t="shared" si="5"/>
        <v>0</v>
      </c>
      <c r="G20">
        <f t="shared" si="5"/>
        <v>0</v>
      </c>
      <c r="H20">
        <f>H18/(1+H19)^(H11)</f>
        <v>800708.1039652488</v>
      </c>
      <c r="I20" s="2">
        <f>SUM(C20:H20)</f>
        <v>-199291.8960347512</v>
      </c>
    </row>
    <row r="22" spans="2:9" x14ac:dyDescent="0.25">
      <c r="B22" s="1">
        <v>0.05</v>
      </c>
    </row>
    <row r="23" spans="2:9" x14ac:dyDescent="0.25">
      <c r="B23" t="s">
        <v>13</v>
      </c>
      <c r="C23" t="s">
        <v>1</v>
      </c>
      <c r="D23" t="s">
        <v>4</v>
      </c>
      <c r="E23" t="s">
        <v>5</v>
      </c>
    </row>
    <row r="24" spans="2:9" x14ac:dyDescent="0.25">
      <c r="B24" t="s">
        <v>3</v>
      </c>
      <c r="C24">
        <f>'ex4'!I14</f>
        <v>216473.83353154093</v>
      </c>
      <c r="D24">
        <f>'ex4'!I17</f>
        <v>142102.95728239825</v>
      </c>
      <c r="E24">
        <f>'ex4'!I20</f>
        <v>261876.72635911778</v>
      </c>
      <c r="G24" t="s">
        <v>14</v>
      </c>
    </row>
    <row r="25" spans="2:9" x14ac:dyDescent="0.25">
      <c r="B25" s="1">
        <v>0.1</v>
      </c>
      <c r="G25" t="s">
        <v>15</v>
      </c>
    </row>
    <row r="26" spans="2:9" x14ac:dyDescent="0.25">
      <c r="B26" t="s">
        <v>13</v>
      </c>
      <c r="C26" t="s">
        <v>1</v>
      </c>
      <c r="D26" t="s">
        <v>4</v>
      </c>
      <c r="E26" t="s">
        <v>5</v>
      </c>
    </row>
    <row r="27" spans="2:9" x14ac:dyDescent="0.25">
      <c r="B27" t="s">
        <v>3</v>
      </c>
      <c r="C27">
        <f>'ex1'!I14</f>
        <v>0</v>
      </c>
      <c r="D27">
        <f>'ex1'!I17</f>
        <v>-1.8225903596321587</v>
      </c>
      <c r="E27">
        <f>'ex1'!I20</f>
        <v>0</v>
      </c>
      <c r="G27" t="s">
        <v>88</v>
      </c>
    </row>
    <row r="28" spans="2:9" x14ac:dyDescent="0.25">
      <c r="B28" s="1">
        <v>0.15</v>
      </c>
    </row>
    <row r="29" spans="2:9" x14ac:dyDescent="0.25">
      <c r="B29" t="s">
        <v>13</v>
      </c>
      <c r="C29" t="s">
        <v>1</v>
      </c>
      <c r="D29" t="s">
        <v>4</v>
      </c>
      <c r="E29" t="s">
        <v>5</v>
      </c>
    </row>
    <row r="30" spans="2:9" x14ac:dyDescent="0.25">
      <c r="B30" t="s">
        <v>3</v>
      </c>
      <c r="C30">
        <f>I14</f>
        <v>-167607.75490056979</v>
      </c>
      <c r="D30">
        <f>I17</f>
        <v>-115711.54160988607</v>
      </c>
      <c r="E30">
        <f>I20</f>
        <v>-199291.8960347512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0F836-A1C6-4F5C-884F-6927D208CE95}">
  <dimension ref="A8:H12"/>
  <sheetViews>
    <sheetView zoomScale="190" zoomScaleNormal="190" workbookViewId="0">
      <selection activeCell="E14" sqref="E14"/>
    </sheetView>
  </sheetViews>
  <sheetFormatPr defaultRowHeight="15" x14ac:dyDescent="0.25"/>
  <sheetData>
    <row r="8" spans="1:8" x14ac:dyDescent="0.25">
      <c r="A8" t="s">
        <v>17</v>
      </c>
      <c r="B8" s="1">
        <v>0.249999999997427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13">
        <v>0.249999999997427</v>
      </c>
    </row>
    <row r="11" spans="1:8" x14ac:dyDescent="0.25">
      <c r="B11" t="s">
        <v>2</v>
      </c>
      <c r="C11" s="1">
        <f>$B$8</f>
        <v>0.249999999997427</v>
      </c>
      <c r="D11" s="1">
        <f t="shared" ref="D11:F11" si="0">$B$8</f>
        <v>0.249999999997427</v>
      </c>
      <c r="E11" s="1">
        <f t="shared" si="0"/>
        <v>0.249999999997427</v>
      </c>
      <c r="F11" s="1">
        <f t="shared" si="0"/>
        <v>0.249999999997427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800.00000000164675</v>
      </c>
      <c r="E12">
        <f t="shared" si="1"/>
        <v>3200.000000013174</v>
      </c>
      <c r="F12">
        <f t="shared" si="1"/>
        <v>5120.0000000316177</v>
      </c>
      <c r="G12" s="2">
        <f>SUM(C12:F12)</f>
        <v>4.6437889977823943E-8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615C-B8A6-474D-8B65-6F5E0D240ECD}">
  <dimension ref="A5:H12"/>
  <sheetViews>
    <sheetView zoomScale="205" zoomScaleNormal="205" workbookViewId="0">
      <selection activeCell="C15" sqref="C15"/>
    </sheetView>
  </sheetViews>
  <sheetFormatPr defaultRowHeight="15" x14ac:dyDescent="0.25"/>
  <sheetData>
    <row r="5" spans="1:8" x14ac:dyDescent="0.25">
      <c r="B5" t="s">
        <v>19</v>
      </c>
    </row>
    <row r="8" spans="1:8" x14ac:dyDescent="0.25">
      <c r="A8" t="s">
        <v>17</v>
      </c>
      <c r="B8" s="1">
        <v>0.1</v>
      </c>
    </row>
    <row r="9" spans="1:8" x14ac:dyDescent="0.25">
      <c r="B9" t="s">
        <v>16</v>
      </c>
      <c r="C9">
        <v>0</v>
      </c>
      <c r="D9">
        <v>1</v>
      </c>
      <c r="E9">
        <v>2</v>
      </c>
      <c r="F9">
        <v>3</v>
      </c>
      <c r="G9" t="s">
        <v>3</v>
      </c>
      <c r="H9" t="s">
        <v>6</v>
      </c>
    </row>
    <row r="10" spans="1:8" x14ac:dyDescent="0.25">
      <c r="B10" t="s">
        <v>13</v>
      </c>
      <c r="C10">
        <v>-9120</v>
      </c>
      <c r="D10">
        <v>1000</v>
      </c>
      <c r="E10">
        <v>5000</v>
      </c>
      <c r="F10">
        <v>10000</v>
      </c>
      <c r="H10" s="3">
        <v>0.249999999997427</v>
      </c>
    </row>
    <row r="11" spans="1:8" x14ac:dyDescent="0.25">
      <c r="B11" t="s">
        <v>2</v>
      </c>
      <c r="C11" s="1">
        <f>$B$8</f>
        <v>0.1</v>
      </c>
      <c r="D11" s="1">
        <f t="shared" ref="D11:F11" si="0">$B$8</f>
        <v>0.1</v>
      </c>
      <c r="E11" s="1">
        <f t="shared" si="0"/>
        <v>0.1</v>
      </c>
      <c r="F11" s="1">
        <f t="shared" si="0"/>
        <v>0.1</v>
      </c>
    </row>
    <row r="12" spans="1:8" x14ac:dyDescent="0.25">
      <c r="B12" t="s">
        <v>18</v>
      </c>
      <c r="C12">
        <f>C10/(1+C11)^(C9)</f>
        <v>-9120</v>
      </c>
      <c r="D12">
        <f t="shared" ref="D12:F12" si="1">D10/(1+D11)^(D9)</f>
        <v>909.09090909090901</v>
      </c>
      <c r="E12">
        <f t="shared" si="1"/>
        <v>4132.2314049586766</v>
      </c>
      <c r="F12">
        <f t="shared" si="1"/>
        <v>7513.1480090157756</v>
      </c>
      <c r="G12" s="2">
        <f>SUM(C12:F12)</f>
        <v>3434.4703230653604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8DC9-30B1-460D-B672-8085098FA0B2}">
  <dimension ref="B12:K26"/>
  <sheetViews>
    <sheetView topLeftCell="E1" zoomScale="175" zoomScaleNormal="175" workbookViewId="0">
      <selection activeCell="K16" sqref="K16"/>
    </sheetView>
  </sheetViews>
  <sheetFormatPr defaultRowHeight="15" x14ac:dyDescent="0.25"/>
  <sheetData>
    <row r="12" spans="2:11" x14ac:dyDescent="0.25">
      <c r="B12" s="1">
        <v>0.1</v>
      </c>
    </row>
    <row r="13" spans="2:11" x14ac:dyDescent="0.25">
      <c r="B13" t="s">
        <v>13</v>
      </c>
      <c r="C13">
        <v>0</v>
      </c>
      <c r="D13">
        <v>1</v>
      </c>
      <c r="E13">
        <v>2</v>
      </c>
      <c r="F13">
        <v>3</v>
      </c>
      <c r="G13" t="s">
        <v>3</v>
      </c>
      <c r="H13" t="s">
        <v>6</v>
      </c>
      <c r="I13" t="s">
        <v>22</v>
      </c>
    </row>
    <row r="14" spans="2:11" x14ac:dyDescent="0.25">
      <c r="B14" t="s">
        <v>1</v>
      </c>
      <c r="C14">
        <v>-1000</v>
      </c>
      <c r="D14">
        <v>505</v>
      </c>
      <c r="E14">
        <v>505</v>
      </c>
      <c r="F14">
        <v>505</v>
      </c>
    </row>
    <row r="15" spans="2:11" x14ac:dyDescent="0.25">
      <c r="B15" t="s">
        <v>2</v>
      </c>
      <c r="C15" s="1">
        <f>$B$12</f>
        <v>0.1</v>
      </c>
      <c r="D15" s="1">
        <f t="shared" ref="D15:F15" si="0">$B$12</f>
        <v>0.1</v>
      </c>
      <c r="E15" s="1">
        <f t="shared" si="0"/>
        <v>0.1</v>
      </c>
      <c r="F15" s="1">
        <f t="shared" si="0"/>
        <v>0.1</v>
      </c>
      <c r="K15" s="2" t="s">
        <v>23</v>
      </c>
    </row>
    <row r="16" spans="2:11" x14ac:dyDescent="0.25">
      <c r="B16" t="s">
        <v>21</v>
      </c>
      <c r="C16">
        <f>C14/(1+C15)^(C13)</f>
        <v>-1000</v>
      </c>
      <c r="D16">
        <f>D14/(1+D15)^(D13)</f>
        <v>459.09090909090907</v>
      </c>
      <c r="E16">
        <f t="shared" ref="E16:F16" si="1">E14/(1+E15)^(E13)</f>
        <v>417.35537190082636</v>
      </c>
      <c r="F16">
        <f t="shared" si="1"/>
        <v>379.41397445529668</v>
      </c>
      <c r="G16" s="2">
        <f>SUM(C16:F16)</f>
        <v>255.86025544703205</v>
      </c>
      <c r="H16" s="13">
        <v>0.24037245936315901</v>
      </c>
      <c r="I16">
        <f>G16/C14</f>
        <v>-0.25586025544703206</v>
      </c>
    </row>
    <row r="17" spans="2:9" x14ac:dyDescent="0.25">
      <c r="B17" t="s">
        <v>4</v>
      </c>
      <c r="C17">
        <f>-10000</f>
        <v>-10000</v>
      </c>
      <c r="D17">
        <v>2000</v>
      </c>
      <c r="E17">
        <v>2000</v>
      </c>
      <c r="F17">
        <v>12000</v>
      </c>
    </row>
    <row r="18" spans="2:9" x14ac:dyDescent="0.25">
      <c r="B18" t="s">
        <v>2</v>
      </c>
      <c r="C18" s="1">
        <f>$B$12</f>
        <v>0.1</v>
      </c>
      <c r="D18" s="1">
        <f t="shared" ref="D18:F18" si="2">$B$12</f>
        <v>0.1</v>
      </c>
      <c r="E18" s="1">
        <f t="shared" si="2"/>
        <v>0.1</v>
      </c>
      <c r="F18" s="1">
        <f t="shared" si="2"/>
        <v>0.1</v>
      </c>
    </row>
    <row r="19" spans="2:9" x14ac:dyDescent="0.25">
      <c r="B19" t="s">
        <v>21</v>
      </c>
      <c r="C19">
        <f>C17/(1+C18)^(C13)</f>
        <v>-10000</v>
      </c>
      <c r="D19">
        <f t="shared" ref="D19:F19" si="3">D17/(1+D18)^(D13)</f>
        <v>1818.181818181818</v>
      </c>
      <c r="E19">
        <f t="shared" si="3"/>
        <v>1652.8925619834708</v>
      </c>
      <c r="F19">
        <f t="shared" si="3"/>
        <v>9015.77761081893</v>
      </c>
      <c r="G19" s="2">
        <f>SUM(C19:F19)</f>
        <v>2486.8519909842189</v>
      </c>
      <c r="H19" s="14">
        <v>0.19999999985656308</v>
      </c>
      <c r="I19">
        <f>G19/C17</f>
        <v>-0.24868519909842188</v>
      </c>
    </row>
    <row r="20" spans="2:9" x14ac:dyDescent="0.25">
      <c r="B20" t="s">
        <v>5</v>
      </c>
      <c r="C20">
        <v>-11000</v>
      </c>
      <c r="D20">
        <v>5304</v>
      </c>
      <c r="E20">
        <v>5304</v>
      </c>
      <c r="F20">
        <v>5304</v>
      </c>
    </row>
    <row r="21" spans="2:9" x14ac:dyDescent="0.25">
      <c r="B21" t="s">
        <v>2</v>
      </c>
      <c r="C21" s="1">
        <f>$B$12</f>
        <v>0.1</v>
      </c>
      <c r="D21" s="1">
        <f t="shared" ref="D21:F21" si="4">$B$12</f>
        <v>0.1</v>
      </c>
      <c r="E21" s="1">
        <f t="shared" si="4"/>
        <v>0.1</v>
      </c>
      <c r="F21" s="1">
        <f t="shared" si="4"/>
        <v>0.1</v>
      </c>
    </row>
    <row r="22" spans="2:9" x14ac:dyDescent="0.25">
      <c r="B22" t="s">
        <v>21</v>
      </c>
      <c r="C22">
        <f>C20/(1+C21)^(C13)</f>
        <v>-11000</v>
      </c>
      <c r="D22">
        <f t="shared" ref="D22:F22" si="5">D20/(1+D21)^(D13)</f>
        <v>4821.8181818181811</v>
      </c>
      <c r="E22">
        <f t="shared" si="5"/>
        <v>4383.4710743801643</v>
      </c>
      <c r="F22">
        <f t="shared" si="5"/>
        <v>3984.9737039819674</v>
      </c>
      <c r="G22" s="2">
        <f>SUM(C22:F22)</f>
        <v>2190.2629601803128</v>
      </c>
      <c r="H22" s="13">
        <v>0.210008463543086</v>
      </c>
      <c r="I22">
        <f>G22/C20</f>
        <v>-0.19911481456184663</v>
      </c>
    </row>
    <row r="25" spans="2:9" x14ac:dyDescent="0.25">
      <c r="F25" t="s">
        <v>89</v>
      </c>
    </row>
    <row r="26" spans="2:9" x14ac:dyDescent="0.25">
      <c r="F26" t="s">
        <v>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F40C-1E57-4A91-BCAB-6FC6B0110466}">
  <dimension ref="A6:G14"/>
  <sheetViews>
    <sheetView zoomScale="220" zoomScaleNormal="220" workbookViewId="0">
      <selection activeCell="E15" sqref="E15"/>
    </sheetView>
  </sheetViews>
  <sheetFormatPr defaultRowHeight="15" x14ac:dyDescent="0.25"/>
  <sheetData>
    <row r="6" spans="1:7" x14ac:dyDescent="0.25">
      <c r="B6" s="2" t="s">
        <v>24</v>
      </c>
    </row>
    <row r="7" spans="1:7" x14ac:dyDescent="0.25">
      <c r="A7" s="1">
        <v>0.1</v>
      </c>
    </row>
    <row r="8" spans="1:7" x14ac:dyDescent="0.25">
      <c r="B8" t="s">
        <v>13</v>
      </c>
      <c r="C8">
        <v>0</v>
      </c>
      <c r="D8">
        <v>1</v>
      </c>
      <c r="E8">
        <v>2</v>
      </c>
      <c r="F8">
        <v>3</v>
      </c>
      <c r="G8" t="s">
        <v>3</v>
      </c>
    </row>
    <row r="9" spans="1:7" x14ac:dyDescent="0.25">
      <c r="B9" t="s">
        <v>1</v>
      </c>
      <c r="C9">
        <v>-1000</v>
      </c>
      <c r="D9">
        <v>505</v>
      </c>
      <c r="E9">
        <v>505</v>
      </c>
      <c r="F9">
        <v>505</v>
      </c>
    </row>
    <row r="10" spans="1:7" x14ac:dyDescent="0.25">
      <c r="B10" t="s">
        <v>4</v>
      </c>
      <c r="C10">
        <f>-10000</f>
        <v>-10000</v>
      </c>
      <c r="D10">
        <v>2000</v>
      </c>
      <c r="E10">
        <v>2000</v>
      </c>
      <c r="F10">
        <v>12000</v>
      </c>
    </row>
    <row r="11" spans="1:7" x14ac:dyDescent="0.25">
      <c r="B11" t="s">
        <v>25</v>
      </c>
      <c r="C11">
        <f>C10-C9</f>
        <v>-9000</v>
      </c>
      <c r="D11">
        <f t="shared" ref="D11:F11" si="0">D10-D9</f>
        <v>1495</v>
      </c>
      <c r="E11">
        <f t="shared" si="0"/>
        <v>1495</v>
      </c>
      <c r="F11">
        <f t="shared" si="0"/>
        <v>11495</v>
      </c>
      <c r="G11" s="1">
        <f>IRR(C11:F11)</f>
        <v>0.19672958448229627</v>
      </c>
    </row>
    <row r="12" spans="1:7" x14ac:dyDescent="0.25">
      <c r="B12" t="s">
        <v>2</v>
      </c>
      <c r="C12" s="1">
        <f>$A$7</f>
        <v>0.1</v>
      </c>
      <c r="D12" s="1">
        <f t="shared" ref="D12:F12" si="1">$A$7</f>
        <v>0.1</v>
      </c>
      <c r="E12" s="1">
        <f t="shared" si="1"/>
        <v>0.1</v>
      </c>
      <c r="F12" s="1">
        <f t="shared" si="1"/>
        <v>0.1</v>
      </c>
    </row>
    <row r="13" spans="1:7" x14ac:dyDescent="0.25">
      <c r="B13" t="s">
        <v>21</v>
      </c>
      <c r="C13">
        <f>C11/(1+A7)^(C8)</f>
        <v>-9000</v>
      </c>
      <c r="D13">
        <f>D11/(1+$A$7)^(D8)</f>
        <v>1359.090909090909</v>
      </c>
      <c r="E13">
        <f t="shared" ref="E13:F13" si="2">E11/(1+$A$7)^(E8)</f>
        <v>1235.5371900826444</v>
      </c>
      <c r="F13">
        <f t="shared" si="2"/>
        <v>8636.3636363636342</v>
      </c>
      <c r="G13" s="2">
        <f>SUM(C13:F13)</f>
        <v>2230.9917355371872</v>
      </c>
    </row>
    <row r="14" spans="1:7" x14ac:dyDescent="0.25">
      <c r="A14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ex1</vt:lpstr>
      <vt:lpstr>ex2</vt:lpstr>
      <vt:lpstr>ex3</vt:lpstr>
      <vt:lpstr>ex4</vt:lpstr>
      <vt:lpstr>ex5</vt:lpstr>
      <vt:lpstr>ex6g</vt:lpstr>
      <vt:lpstr>ex7g</vt:lpstr>
      <vt:lpstr>ex8</vt:lpstr>
      <vt:lpstr>ex9dg</vt:lpstr>
      <vt:lpstr>ex10</vt:lpstr>
      <vt:lpstr>ex11</vt:lpstr>
      <vt:lpstr>ex12dg</vt:lpstr>
      <vt:lpstr>ex13g</vt:lpstr>
      <vt:lpstr>ex14</vt:lpstr>
      <vt:lpstr>ex15dg</vt:lpstr>
      <vt:lpstr>ex16</vt:lpstr>
      <vt:lpstr>ex17</vt:lpstr>
      <vt:lpstr>ex18dg</vt:lpstr>
      <vt:lpstr>ex19</vt:lpstr>
      <vt:lpstr>ex20</vt:lpstr>
      <vt:lpstr>ex21dg</vt:lpstr>
      <vt:lpstr>ex22</vt:lpstr>
      <vt:lpstr>ex23g</vt:lpstr>
      <vt:lpstr>ex24g</vt:lpstr>
      <vt:lpstr>ex25g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2023-03-12T21:37:28Z</dcterms:created>
  <dcterms:modified xsi:type="dcterms:W3CDTF">2023-03-27T04:09:12Z</dcterms:modified>
</cp:coreProperties>
</file>