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4\"/>
    </mc:Choice>
  </mc:AlternateContent>
  <xr:revisionPtr revIDLastSave="0" documentId="13_ncr:1_{0B67B79F-01CF-4865-80D1-4521573737B8}" xr6:coauthVersionLast="47" xr6:coauthVersionMax="47" xr10:uidLastSave="{00000000-0000-0000-0000-000000000000}"/>
  <bookViews>
    <workbookView xWindow="-120" yWindow="-120" windowWidth="29040" windowHeight="15840" activeTab="9" xr2:uid="{EF6A0CBE-8298-4B7B-ACCA-869545E000E7}"/>
  </bookViews>
  <sheets>
    <sheet name="ex1" sheetId="1" r:id="rId1"/>
    <sheet name="ex2g" sheetId="2" r:id="rId2"/>
    <sheet name="ex3" sheetId="3" r:id="rId3"/>
    <sheet name="ex4" sheetId="4" r:id="rId4"/>
    <sheet name="ex5g" sheetId="5" r:id="rId5"/>
    <sheet name="ex6g" sheetId="6" r:id="rId6"/>
    <sheet name="ex7g" sheetId="7" r:id="rId7"/>
    <sheet name="ex8" sheetId="8" r:id="rId8"/>
    <sheet name="ex9g" sheetId="9" r:id="rId9"/>
    <sheet name="trash" sheetId="10" r:id="rId10"/>
    <sheet name="pt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" i="10" l="1"/>
  <c r="C173" i="10"/>
  <c r="E173" i="10"/>
  <c r="F173" i="10"/>
  <c r="G173" i="10"/>
  <c r="H173" i="10"/>
  <c r="E172" i="10"/>
  <c r="F172" i="10"/>
  <c r="G172" i="10"/>
  <c r="H172" i="10"/>
  <c r="B172" i="10"/>
  <c r="E171" i="10"/>
  <c r="F171" i="10"/>
  <c r="G171" i="10"/>
  <c r="H171" i="10"/>
  <c r="D170" i="10"/>
  <c r="E169" i="10"/>
  <c r="F169" i="10"/>
  <c r="G169" i="10"/>
  <c r="H169" i="10"/>
  <c r="D169" i="10"/>
  <c r="D171" i="10" s="1"/>
  <c r="E164" i="10"/>
  <c r="F164" i="10"/>
  <c r="G164" i="10"/>
  <c r="H164" i="10"/>
  <c r="D164" i="10"/>
  <c r="D172" i="10" s="1"/>
  <c r="L163" i="10"/>
  <c r="F161" i="10"/>
  <c r="G161" i="10" s="1"/>
  <c r="H161" i="10" s="1"/>
  <c r="I161" i="10" s="1"/>
  <c r="J161" i="10" s="1"/>
  <c r="K161" i="10" s="1"/>
  <c r="L161" i="10" s="1"/>
  <c r="L164" i="10" s="1"/>
  <c r="L169" i="10" s="1"/>
  <c r="L171" i="10" s="1"/>
  <c r="L172" i="10" s="1"/>
  <c r="L173" i="10" s="1"/>
  <c r="E161" i="10"/>
  <c r="D161" i="10"/>
  <c r="L149" i="10"/>
  <c r="B158" i="10" s="1"/>
  <c r="B134" i="10"/>
  <c r="B136" i="10" s="1"/>
  <c r="B137" i="10" s="1"/>
  <c r="E126" i="10"/>
  <c r="C127" i="10"/>
  <c r="C128" i="10" s="1"/>
  <c r="B127" i="10"/>
  <c r="B128" i="10" s="1"/>
  <c r="H117" i="10"/>
  <c r="H118" i="10" s="1"/>
  <c r="I117" i="10"/>
  <c r="I118" i="10" s="1"/>
  <c r="P117" i="10"/>
  <c r="P118" i="10" s="1"/>
  <c r="Q117" i="10"/>
  <c r="Q118" i="10" s="1"/>
  <c r="X117" i="10"/>
  <c r="X118" i="10" s="1"/>
  <c r="AF117" i="10"/>
  <c r="AF118" i="10" s="1"/>
  <c r="C117" i="10"/>
  <c r="C118" i="10" s="1"/>
  <c r="B117" i="10"/>
  <c r="B118" i="10" s="1"/>
  <c r="D116" i="10"/>
  <c r="E116" i="10" s="1"/>
  <c r="F116" i="10" s="1"/>
  <c r="G116" i="10" s="1"/>
  <c r="H116" i="10" s="1"/>
  <c r="I116" i="10" s="1"/>
  <c r="J116" i="10" s="1"/>
  <c r="K116" i="10" s="1"/>
  <c r="L116" i="10" s="1"/>
  <c r="M116" i="10" s="1"/>
  <c r="N116" i="10" s="1"/>
  <c r="O116" i="10" s="1"/>
  <c r="P116" i="10" s="1"/>
  <c r="Q116" i="10" s="1"/>
  <c r="R116" i="10" s="1"/>
  <c r="S116" i="10" s="1"/>
  <c r="T116" i="10" s="1"/>
  <c r="U116" i="10" s="1"/>
  <c r="V116" i="10" s="1"/>
  <c r="W116" i="10" s="1"/>
  <c r="X116" i="10" s="1"/>
  <c r="Y116" i="10" s="1"/>
  <c r="Z116" i="10" s="1"/>
  <c r="AA116" i="10" s="1"/>
  <c r="AB116" i="10" s="1"/>
  <c r="AC116" i="10" s="1"/>
  <c r="AD116" i="10" s="1"/>
  <c r="AE116" i="10" s="1"/>
  <c r="AF116" i="10" s="1"/>
  <c r="AG116" i="10" s="1"/>
  <c r="AG117" i="10" s="1"/>
  <c r="AG118" i="10" s="1"/>
  <c r="C98" i="10"/>
  <c r="F96" i="10" s="1"/>
  <c r="D86" i="10"/>
  <c r="D87" i="10" s="1"/>
  <c r="E86" i="10"/>
  <c r="E87" i="10" s="1"/>
  <c r="F86" i="10"/>
  <c r="F87" i="10" s="1"/>
  <c r="G86" i="10"/>
  <c r="G87" i="10" s="1"/>
  <c r="H86" i="10"/>
  <c r="H87" i="10" s="1"/>
  <c r="I86" i="10"/>
  <c r="I87" i="10" s="1"/>
  <c r="J86" i="10"/>
  <c r="J87" i="10" s="1"/>
  <c r="K86" i="10"/>
  <c r="K87" i="10" s="1"/>
  <c r="L86" i="10"/>
  <c r="L87" i="10" s="1"/>
  <c r="C86" i="10"/>
  <c r="C87" i="10" s="1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CJ87" i="10"/>
  <c r="CK87" i="10"/>
  <c r="CL87" i="10"/>
  <c r="CM87" i="10"/>
  <c r="CN87" i="10"/>
  <c r="CO87" i="10"/>
  <c r="CP87" i="10"/>
  <c r="CQ87" i="10"/>
  <c r="CR87" i="10"/>
  <c r="CS87" i="10"/>
  <c r="CT87" i="10"/>
  <c r="CU87" i="10"/>
  <c r="CV87" i="10"/>
  <c r="CW87" i="10"/>
  <c r="CX87" i="10"/>
  <c r="M87" i="10"/>
  <c r="H69" i="10"/>
  <c r="G77" i="10" s="1"/>
  <c r="C72" i="10"/>
  <c r="I72" i="10" s="1"/>
  <c r="C73" i="10" s="1"/>
  <c r="J164" i="10" l="1"/>
  <c r="I164" i="10"/>
  <c r="K164" i="10"/>
  <c r="D173" i="10"/>
  <c r="M88" i="10"/>
  <c r="B92" i="10" s="1"/>
  <c r="Y117" i="10"/>
  <c r="Y118" i="10" s="1"/>
  <c r="AE117" i="10"/>
  <c r="AE118" i="10" s="1"/>
  <c r="W117" i="10"/>
  <c r="W118" i="10" s="1"/>
  <c r="O117" i="10"/>
  <c r="O118" i="10" s="1"/>
  <c r="G117" i="10"/>
  <c r="G118" i="10" s="1"/>
  <c r="AD117" i="10"/>
  <c r="AD118" i="10" s="1"/>
  <c r="V117" i="10"/>
  <c r="V118" i="10" s="1"/>
  <c r="N117" i="10"/>
  <c r="N118" i="10" s="1"/>
  <c r="F117" i="10"/>
  <c r="F118" i="10" s="1"/>
  <c r="C135" i="10"/>
  <c r="C136" i="10" s="1"/>
  <c r="E135" i="10"/>
  <c r="AC117" i="10"/>
  <c r="AC118" i="10" s="1"/>
  <c r="U117" i="10"/>
  <c r="U118" i="10" s="1"/>
  <c r="M117" i="10"/>
  <c r="M118" i="10" s="1"/>
  <c r="E117" i="10"/>
  <c r="E118" i="10" s="1"/>
  <c r="AB117" i="10"/>
  <c r="AB118" i="10" s="1"/>
  <c r="T117" i="10"/>
  <c r="T118" i="10" s="1"/>
  <c r="L117" i="10"/>
  <c r="L118" i="10" s="1"/>
  <c r="D117" i="10"/>
  <c r="D118" i="10" s="1"/>
  <c r="B119" i="10" s="1"/>
  <c r="AA117" i="10"/>
  <c r="AA118" i="10" s="1"/>
  <c r="S117" i="10"/>
  <c r="S118" i="10" s="1"/>
  <c r="K117" i="10"/>
  <c r="K118" i="10" s="1"/>
  <c r="Z117" i="10"/>
  <c r="Z118" i="10" s="1"/>
  <c r="R117" i="10"/>
  <c r="R118" i="10" s="1"/>
  <c r="J117" i="10"/>
  <c r="J118" i="10" s="1"/>
  <c r="C137" i="10"/>
  <c r="D135" i="10"/>
  <c r="F126" i="10"/>
  <c r="F135" i="10" s="1"/>
  <c r="E127" i="10"/>
  <c r="E128" i="10" s="1"/>
  <c r="D127" i="10"/>
  <c r="D128" i="10" s="1"/>
  <c r="G76" i="10"/>
  <c r="E73" i="10"/>
  <c r="F73" i="10" s="1"/>
  <c r="H73" i="10" s="1"/>
  <c r="G74" i="10"/>
  <c r="G75" i="10"/>
  <c r="B91" i="10"/>
  <c r="J169" i="10" l="1"/>
  <c r="J171" i="10" s="1"/>
  <c r="J172" i="10" s="1"/>
  <c r="J173" i="10" s="1"/>
  <c r="K169" i="10"/>
  <c r="K171" i="10" s="1"/>
  <c r="K172" i="10" s="1"/>
  <c r="K173" i="10" s="1"/>
  <c r="I169" i="10"/>
  <c r="I171" i="10" s="1"/>
  <c r="I172" i="10"/>
  <c r="D136" i="10"/>
  <c r="G126" i="10"/>
  <c r="G135" i="10" s="1"/>
  <c r="F127" i="10"/>
  <c r="F128" i="10" s="1"/>
  <c r="I73" i="10"/>
  <c r="C74" i="10" s="1"/>
  <c r="I173" i="10" l="1"/>
  <c r="B174" i="10" s="1"/>
  <c r="B175" i="10"/>
  <c r="D137" i="10"/>
  <c r="E136" i="10"/>
  <c r="E137" i="10" s="1"/>
  <c r="H126" i="10"/>
  <c r="H135" i="10" s="1"/>
  <c r="G127" i="10"/>
  <c r="G128" i="10" s="1"/>
  <c r="E74" i="10"/>
  <c r="F74" i="10" s="1"/>
  <c r="H74" i="10" s="1"/>
  <c r="F136" i="10" l="1"/>
  <c r="I126" i="10"/>
  <c r="I135" i="10" s="1"/>
  <c r="H127" i="10"/>
  <c r="H128" i="10" s="1"/>
  <c r="I74" i="10"/>
  <c r="C75" i="10" s="1"/>
  <c r="E75" i="10" s="1"/>
  <c r="F75" i="10" s="1"/>
  <c r="H75" i="10" s="1"/>
  <c r="F137" i="10" l="1"/>
  <c r="G136" i="10"/>
  <c r="G137" i="10" s="1"/>
  <c r="J126" i="10"/>
  <c r="J135" i="10" s="1"/>
  <c r="I127" i="10"/>
  <c r="I128" i="10" s="1"/>
  <c r="I75" i="10"/>
  <c r="C76" i="10" s="1"/>
  <c r="E76" i="10" s="1"/>
  <c r="F76" i="10" s="1"/>
  <c r="H76" i="10" s="1"/>
  <c r="I76" i="10" l="1"/>
  <c r="C77" i="10" s="1"/>
  <c r="E77" i="10" s="1"/>
  <c r="F77" i="10" s="1"/>
  <c r="H77" i="10" s="1"/>
  <c r="H136" i="10"/>
  <c r="J127" i="10"/>
  <c r="J128" i="10" s="1"/>
  <c r="K126" i="10"/>
  <c r="K135" i="10" s="1"/>
  <c r="I77" i="10" l="1"/>
  <c r="H137" i="10"/>
  <c r="I136" i="10"/>
  <c r="I137" i="10" s="1"/>
  <c r="K127" i="10"/>
  <c r="K128" i="10" s="1"/>
  <c r="L126" i="10"/>
  <c r="L135" i="10" s="1"/>
  <c r="J136" i="10" l="1"/>
  <c r="M126" i="10"/>
  <c r="M135" i="10" s="1"/>
  <c r="L127" i="10"/>
  <c r="L128" i="10" s="1"/>
  <c r="J137" i="10" l="1"/>
  <c r="K136" i="10"/>
  <c r="K137" i="10" s="1"/>
  <c r="N126" i="10"/>
  <c r="N135" i="10" s="1"/>
  <c r="M127" i="10"/>
  <c r="M128" i="10" s="1"/>
  <c r="L136" i="10" l="1"/>
  <c r="L137" i="10" s="1"/>
  <c r="O126" i="10"/>
  <c r="O135" i="10" s="1"/>
  <c r="N127" i="10"/>
  <c r="N128" i="10" s="1"/>
  <c r="M136" i="10" l="1"/>
  <c r="M137" i="10" s="1"/>
  <c r="P126" i="10"/>
  <c r="P135" i="10" s="1"/>
  <c r="O127" i="10"/>
  <c r="O128" i="10" s="1"/>
  <c r="N136" i="10" l="1"/>
  <c r="N137" i="10" s="1"/>
  <c r="Q126" i="10"/>
  <c r="Q135" i="10" s="1"/>
  <c r="P127" i="10"/>
  <c r="P128" i="10" s="1"/>
  <c r="O136" i="10" l="1"/>
  <c r="O137" i="10" s="1"/>
  <c r="R126" i="10"/>
  <c r="R135" i="10" s="1"/>
  <c r="Q127" i="10"/>
  <c r="Q128" i="10" s="1"/>
  <c r="P136" i="10" l="1"/>
  <c r="P137" i="10" s="1"/>
  <c r="R127" i="10"/>
  <c r="R128" i="10" s="1"/>
  <c r="S126" i="10"/>
  <c r="S135" i="10" s="1"/>
  <c r="Q136" i="10" l="1"/>
  <c r="Q137" i="10" s="1"/>
  <c r="S127" i="10"/>
  <c r="S128" i="10" s="1"/>
  <c r="T126" i="10"/>
  <c r="T135" i="10" s="1"/>
  <c r="R136" i="10" l="1"/>
  <c r="R137" i="10" s="1"/>
  <c r="U126" i="10"/>
  <c r="U135" i="10" s="1"/>
  <c r="T127" i="10"/>
  <c r="T128" i="10" s="1"/>
  <c r="S136" i="10" l="1"/>
  <c r="S137" i="10" s="1"/>
  <c r="V126" i="10"/>
  <c r="V135" i="10" s="1"/>
  <c r="U127" i="10"/>
  <c r="U128" i="10" s="1"/>
  <c r="T136" i="10" l="1"/>
  <c r="T137" i="10" s="1"/>
  <c r="W126" i="10"/>
  <c r="W135" i="10" s="1"/>
  <c r="V127" i="10"/>
  <c r="V128" i="10" s="1"/>
  <c r="U136" i="10" l="1"/>
  <c r="U137" i="10" s="1"/>
  <c r="X126" i="10"/>
  <c r="X135" i="10" s="1"/>
  <c r="W127" i="10"/>
  <c r="W128" i="10" s="1"/>
  <c r="V136" i="10" l="1"/>
  <c r="V137" i="10" s="1"/>
  <c r="Y126" i="10"/>
  <c r="Y135" i="10" s="1"/>
  <c r="X127" i="10"/>
  <c r="X128" i="10" s="1"/>
  <c r="W136" i="10" l="1"/>
  <c r="W137" i="10" s="1"/>
  <c r="Z126" i="10"/>
  <c r="Z135" i="10" s="1"/>
  <c r="Y127" i="10"/>
  <c r="Y128" i="10" s="1"/>
  <c r="X136" i="10" l="1"/>
  <c r="X137" i="10" s="1"/>
  <c r="Z127" i="10"/>
  <c r="Z128" i="10" s="1"/>
  <c r="AA126" i="10"/>
  <c r="AA135" i="10" s="1"/>
  <c r="Y136" i="10" l="1"/>
  <c r="Y137" i="10" s="1"/>
  <c r="AA127" i="10"/>
  <c r="AA128" i="10" s="1"/>
  <c r="AB126" i="10"/>
  <c r="AB135" i="10" s="1"/>
  <c r="Z136" i="10" l="1"/>
  <c r="Z137" i="10" s="1"/>
  <c r="AC126" i="10"/>
  <c r="AC135" i="10" s="1"/>
  <c r="AB127" i="10"/>
  <c r="AB128" i="10" s="1"/>
  <c r="AA136" i="10" l="1"/>
  <c r="AA137" i="10" s="1"/>
  <c r="AD126" i="10"/>
  <c r="AD135" i="10" s="1"/>
  <c r="AC127" i="10"/>
  <c r="AC128" i="10" s="1"/>
  <c r="AB136" i="10" l="1"/>
  <c r="AB137" i="10" s="1"/>
  <c r="AE126" i="10"/>
  <c r="AE135" i="10" s="1"/>
  <c r="AD127" i="10"/>
  <c r="AD128" i="10" s="1"/>
  <c r="AC136" i="10" l="1"/>
  <c r="AC137" i="10" s="1"/>
  <c r="AF126" i="10"/>
  <c r="AF135" i="10" s="1"/>
  <c r="AE127" i="10"/>
  <c r="AE128" i="10" s="1"/>
  <c r="AD136" i="10" l="1"/>
  <c r="AD137" i="10" s="1"/>
  <c r="AG126" i="10"/>
  <c r="AF127" i="10"/>
  <c r="AF128" i="10" s="1"/>
  <c r="AG127" i="10" l="1"/>
  <c r="AG128" i="10" s="1"/>
  <c r="B129" i="10" s="1"/>
  <c r="AG135" i="10"/>
  <c r="AE136" i="10"/>
  <c r="AE137" i="10" s="1"/>
  <c r="AG136" i="10" l="1"/>
  <c r="AF136" i="10"/>
  <c r="AF137" i="10" s="1"/>
  <c r="AG137" i="10" l="1"/>
  <c r="B138" i="10" s="1"/>
  <c r="B139" i="10"/>
  <c r="H113" i="11" l="1"/>
  <c r="D31" i="11"/>
  <c r="B202" i="11"/>
  <c r="H188" i="11"/>
  <c r="G188" i="11"/>
  <c r="F188" i="11"/>
  <c r="E188" i="11"/>
  <c r="E187" i="11"/>
  <c r="D188" i="11"/>
  <c r="C188" i="11"/>
  <c r="B200" i="11"/>
  <c r="B199" i="11"/>
  <c r="D197" i="11"/>
  <c r="E197" i="11"/>
  <c r="F197" i="11"/>
  <c r="G197" i="11"/>
  <c r="H197" i="11"/>
  <c r="C197" i="11"/>
  <c r="D194" i="11"/>
  <c r="E194" i="11"/>
  <c r="F194" i="11"/>
  <c r="G194" i="11"/>
  <c r="H194" i="11"/>
  <c r="C194" i="11"/>
  <c r="D193" i="11"/>
  <c r="E193" i="11"/>
  <c r="F193" i="11"/>
  <c r="G193" i="11"/>
  <c r="H193" i="11"/>
  <c r="C193" i="11"/>
  <c r="L184" i="11"/>
  <c r="L185" i="11"/>
  <c r="E192" i="11"/>
  <c r="F192" i="11" s="1"/>
  <c r="G192" i="11" s="1"/>
  <c r="H192" i="11" s="1"/>
  <c r="D192" i="11"/>
  <c r="C192" i="11"/>
  <c r="D191" i="11"/>
  <c r="C191" i="11"/>
  <c r="E190" i="11"/>
  <c r="F190" i="11" s="1"/>
  <c r="G190" i="11" s="1"/>
  <c r="H190" i="11" s="1"/>
  <c r="D190" i="11"/>
  <c r="C190" i="11"/>
  <c r="D187" i="11"/>
  <c r="C195" i="11" s="1"/>
  <c r="D186" i="11"/>
  <c r="E186" i="11"/>
  <c r="F186" i="11"/>
  <c r="G186" i="11"/>
  <c r="H186" i="11"/>
  <c r="C186" i="11"/>
  <c r="B183" i="11"/>
  <c r="D97" i="11"/>
  <c r="E97" i="11"/>
  <c r="F97" i="11"/>
  <c r="G97" i="11"/>
  <c r="C97" i="11"/>
  <c r="D96" i="11"/>
  <c r="E96" i="11"/>
  <c r="F96" i="11"/>
  <c r="G96" i="11"/>
  <c r="C96" i="11"/>
  <c r="D94" i="11"/>
  <c r="E94" i="11" s="1"/>
  <c r="F94" i="11" s="1"/>
  <c r="G94" i="11" s="1"/>
  <c r="C94" i="11"/>
  <c r="D95" i="11"/>
  <c r="E95" i="11"/>
  <c r="F95" i="11"/>
  <c r="G95" i="11"/>
  <c r="C95" i="11"/>
  <c r="C93" i="11"/>
  <c r="D93" i="11" s="1"/>
  <c r="E93" i="11" s="1"/>
  <c r="F93" i="11" s="1"/>
  <c r="G93" i="11" s="1"/>
  <c r="C88" i="11"/>
  <c r="D88" i="11" s="1"/>
  <c r="E88" i="11" s="1"/>
  <c r="C90" i="11"/>
  <c r="D90" i="11" s="1"/>
  <c r="E90" i="11" s="1"/>
  <c r="F90" i="11" s="1"/>
  <c r="G90" i="11" s="1"/>
  <c r="C91" i="11"/>
  <c r="D91" i="11"/>
  <c r="E91" i="11" s="1"/>
  <c r="F91" i="11" s="1"/>
  <c r="G91" i="11" s="1"/>
  <c r="C92" i="11"/>
  <c r="D92" i="11" s="1"/>
  <c r="E92" i="11" s="1"/>
  <c r="F92" i="11" s="1"/>
  <c r="G92" i="11" s="1"/>
  <c r="J6" i="11"/>
  <c r="G24" i="11" s="1"/>
  <c r="G25" i="11" s="1"/>
  <c r="B141" i="11"/>
  <c r="B142" i="11" s="1"/>
  <c r="C139" i="11"/>
  <c r="D139" i="11" s="1"/>
  <c r="E139" i="11" s="1"/>
  <c r="F139" i="11" s="1"/>
  <c r="G139" i="11" s="1"/>
  <c r="H139" i="11" s="1"/>
  <c r="I139" i="11" s="1"/>
  <c r="C138" i="11"/>
  <c r="D138" i="11" s="1"/>
  <c r="B123" i="11"/>
  <c r="B124" i="11" s="1"/>
  <c r="D113" i="11"/>
  <c r="E113" i="11"/>
  <c r="F113" i="11"/>
  <c r="G113" i="11"/>
  <c r="C113" i="11"/>
  <c r="K112" i="11"/>
  <c r="F117" i="11" s="1"/>
  <c r="F122" i="11" s="1"/>
  <c r="B83" i="11"/>
  <c r="C86" i="11"/>
  <c r="D86" i="11" s="1"/>
  <c r="E86" i="11" s="1"/>
  <c r="F86" i="11" s="1"/>
  <c r="G86" i="11" s="1"/>
  <c r="G85" i="11"/>
  <c r="F85" i="11"/>
  <c r="D85" i="11"/>
  <c r="E85" i="11"/>
  <c r="C85" i="11"/>
  <c r="L79" i="11"/>
  <c r="B49" i="11"/>
  <c r="C196" i="11" l="1"/>
  <c r="C198" i="11" s="1"/>
  <c r="C199" i="11" s="1"/>
  <c r="C200" i="11" s="1"/>
  <c r="E89" i="11"/>
  <c r="F88" i="11"/>
  <c r="G88" i="11" s="1"/>
  <c r="G30" i="11"/>
  <c r="F24" i="11"/>
  <c r="E24" i="11"/>
  <c r="D24" i="11"/>
  <c r="I24" i="11"/>
  <c r="H24" i="11"/>
  <c r="E138" i="11"/>
  <c r="D141" i="11"/>
  <c r="D142" i="11" s="1"/>
  <c r="E117" i="11"/>
  <c r="E122" i="11" s="1"/>
  <c r="F118" i="11"/>
  <c r="F119" i="11" s="1"/>
  <c r="D117" i="11"/>
  <c r="D122" i="11" s="1"/>
  <c r="C141" i="11"/>
  <c r="C142" i="11" s="1"/>
  <c r="H117" i="11"/>
  <c r="C117" i="11"/>
  <c r="G117" i="11"/>
  <c r="B50" i="11"/>
  <c r="F187" i="11" l="1"/>
  <c r="D195" i="11"/>
  <c r="I25" i="11"/>
  <c r="I30" i="11"/>
  <c r="H25" i="11"/>
  <c r="H30" i="11"/>
  <c r="D25" i="11"/>
  <c r="D30" i="11"/>
  <c r="F25" i="11"/>
  <c r="F30" i="11"/>
  <c r="E25" i="11"/>
  <c r="E30" i="11"/>
  <c r="F120" i="11"/>
  <c r="F121" i="11" s="1"/>
  <c r="F123" i="11" s="1"/>
  <c r="F124" i="11" s="1"/>
  <c r="D118" i="11"/>
  <c r="D119" i="11" s="1"/>
  <c r="E118" i="11"/>
  <c r="E119" i="11" s="1"/>
  <c r="F138" i="11"/>
  <c r="E141" i="11"/>
  <c r="E142" i="11" s="1"/>
  <c r="C118" i="11"/>
  <c r="C119" i="11" s="1"/>
  <c r="C122" i="11"/>
  <c r="G122" i="11"/>
  <c r="G118" i="11"/>
  <c r="G119" i="11" s="1"/>
  <c r="H118" i="11"/>
  <c r="H119" i="11" s="1"/>
  <c r="H122" i="11"/>
  <c r="D196" i="11" l="1"/>
  <c r="D198" i="11" s="1"/>
  <c r="D199" i="11" s="1"/>
  <c r="D200" i="11" s="1"/>
  <c r="G187" i="11"/>
  <c r="E195" i="11"/>
  <c r="C120" i="11"/>
  <c r="C121" i="11" s="1"/>
  <c r="C123" i="11" s="1"/>
  <c r="G138" i="11"/>
  <c r="F141" i="11"/>
  <c r="F142" i="11" s="1"/>
  <c r="D120" i="11"/>
  <c r="D121" i="11"/>
  <c r="D123" i="11" s="1"/>
  <c r="D124" i="11" s="1"/>
  <c r="G120" i="11"/>
  <c r="G121" i="11" s="1"/>
  <c r="G123" i="11" s="1"/>
  <c r="G124" i="11" s="1"/>
  <c r="H120" i="11"/>
  <c r="H121" i="11" s="1"/>
  <c r="H123" i="11" s="1"/>
  <c r="E120" i="11"/>
  <c r="E121" i="11" s="1"/>
  <c r="E123" i="11" s="1"/>
  <c r="E124" i="11" s="1"/>
  <c r="H124" i="11" l="1"/>
  <c r="B126" i="11"/>
  <c r="E196" i="11"/>
  <c r="E198" i="11" s="1"/>
  <c r="E199" i="11" s="1"/>
  <c r="E200" i="11" s="1"/>
  <c r="H187" i="11"/>
  <c r="F195" i="11"/>
  <c r="C124" i="11"/>
  <c r="H138" i="11"/>
  <c r="G141" i="11"/>
  <c r="G142" i="11" s="1"/>
  <c r="B125" i="11" l="1"/>
  <c r="H195" i="11"/>
  <c r="G195" i="11"/>
  <c r="F196" i="11"/>
  <c r="F198" i="11" s="1"/>
  <c r="F199" i="11" s="1"/>
  <c r="F200" i="11" s="1"/>
  <c r="I138" i="11"/>
  <c r="I141" i="11" s="1"/>
  <c r="I142" i="11" s="1"/>
  <c r="H141" i="11"/>
  <c r="H142" i="11" s="1"/>
  <c r="H196" i="11" l="1"/>
  <c r="H198" i="11" s="1"/>
  <c r="H199" i="11" s="1"/>
  <c r="H200" i="11" s="1"/>
  <c r="G196" i="11"/>
  <c r="G198" i="11"/>
  <c r="G199" i="11" s="1"/>
  <c r="G200" i="11" s="1"/>
  <c r="B143" i="11"/>
  <c r="B201" i="11" l="1"/>
  <c r="C48" i="11" l="1"/>
  <c r="D48" i="11" s="1"/>
  <c r="E48" i="11" s="1"/>
  <c r="F48" i="11" s="1"/>
  <c r="C46" i="11"/>
  <c r="C31" i="11"/>
  <c r="C32" i="11" s="1"/>
  <c r="I20" i="11"/>
  <c r="E20" i="11"/>
  <c r="F20" i="11"/>
  <c r="G20" i="11"/>
  <c r="H20" i="11"/>
  <c r="D20" i="11"/>
  <c r="C62" i="10"/>
  <c r="D62" i="10"/>
  <c r="B62" i="10"/>
  <c r="E61" i="10"/>
  <c r="E62" i="10" s="1"/>
  <c r="D56" i="10"/>
  <c r="E56" i="10"/>
  <c r="F56" i="10"/>
  <c r="G56" i="10"/>
  <c r="C56" i="10"/>
  <c r="B56" i="10"/>
  <c r="H55" i="10"/>
  <c r="H56" i="10" s="1"/>
  <c r="B57" i="10" l="1"/>
  <c r="B63" i="10"/>
  <c r="C49" i="11"/>
  <c r="H26" i="11"/>
  <c r="H28" i="11" s="1"/>
  <c r="F26" i="11"/>
  <c r="F28" i="11" s="1"/>
  <c r="E26" i="11"/>
  <c r="E28" i="11" s="1"/>
  <c r="E29" i="11" s="1"/>
  <c r="G26" i="11"/>
  <c r="G28" i="11" s="1"/>
  <c r="G29" i="11" s="1"/>
  <c r="D26" i="11"/>
  <c r="D28" i="11" s="1"/>
  <c r="D29" i="11" s="1"/>
  <c r="I26" i="11"/>
  <c r="I28" i="11" s="1"/>
  <c r="I29" i="11" s="1"/>
  <c r="G48" i="11"/>
  <c r="H48" i="11" s="1"/>
  <c r="I48" i="11" s="1"/>
  <c r="C50" i="11"/>
  <c r="D46" i="11"/>
  <c r="E31" i="11" l="1"/>
  <c r="E32" i="11" s="1"/>
  <c r="I31" i="11"/>
  <c r="I32" i="11" s="1"/>
  <c r="G31" i="11"/>
  <c r="G32" i="11" s="1"/>
  <c r="F29" i="11"/>
  <c r="H29" i="11"/>
  <c r="D32" i="11"/>
  <c r="D49" i="11"/>
  <c r="E46" i="11"/>
  <c r="H31" i="11" l="1"/>
  <c r="H32" i="11" s="1"/>
  <c r="F31" i="11"/>
  <c r="F32" i="11" s="1"/>
  <c r="C34" i="11"/>
  <c r="D50" i="11"/>
  <c r="F46" i="11"/>
  <c r="E49" i="11"/>
  <c r="E50" i="11" s="1"/>
  <c r="C33" i="11" l="1"/>
  <c r="G46" i="11"/>
  <c r="F49" i="11"/>
  <c r="F50" i="11" l="1"/>
  <c r="H46" i="11"/>
  <c r="G49" i="11"/>
  <c r="G50" i="11" s="1"/>
  <c r="H49" i="11" l="1"/>
  <c r="H50" i="11" s="1"/>
  <c r="I46" i="11"/>
  <c r="I49" i="11" s="1"/>
  <c r="I50" i="11" l="1"/>
  <c r="B51" i="11" s="1"/>
  <c r="B52" i="11"/>
  <c r="C39" i="10" l="1"/>
  <c r="B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B28" i="10"/>
  <c r="B31" i="10" s="1"/>
  <c r="B20" i="10"/>
  <c r="B24" i="10" s="1"/>
  <c r="B18" i="10"/>
  <c r="B17" i="10"/>
  <c r="G31" i="10" l="1"/>
  <c r="F31" i="10"/>
  <c r="B40" i="10"/>
  <c r="B46" i="10"/>
  <c r="B47" i="10" s="1"/>
  <c r="C31" i="10"/>
  <c r="E31" i="10"/>
  <c r="D31" i="10"/>
  <c r="H31" i="10"/>
  <c r="H24" i="10"/>
  <c r="G24" i="10"/>
  <c r="M24" i="10"/>
  <c r="E24" i="10"/>
  <c r="L24" i="10"/>
  <c r="D24" i="10"/>
  <c r="K24" i="10"/>
  <c r="C24" i="10"/>
  <c r="J24" i="10"/>
  <c r="F24" i="10"/>
  <c r="I24" i="10"/>
  <c r="B32" i="10" l="1"/>
  <c r="B33" i="10" s="1"/>
  <c r="B25" i="10"/>
  <c r="B48" i="10"/>
  <c r="B49" i="10" s="1"/>
  <c r="F10" i="3" l="1"/>
  <c r="D13" i="3"/>
  <c r="E8" i="10"/>
  <c r="E9" i="10" s="1"/>
  <c r="B10" i="10"/>
  <c r="B8" i="10"/>
  <c r="D5" i="10"/>
  <c r="B3" i="10"/>
  <c r="C3" i="10" s="1"/>
  <c r="C4" i="10" s="1"/>
  <c r="F17" i="2"/>
  <c r="F20" i="2"/>
  <c r="B12" i="10" l="1"/>
  <c r="F9" i="10"/>
  <c r="F10" i="10" s="1"/>
  <c r="D4" i="10"/>
  <c r="B6" i="10"/>
  <c r="D23" i="9"/>
  <c r="J32" i="7"/>
  <c r="J28" i="7"/>
  <c r="H30" i="7"/>
  <c r="F32" i="7"/>
  <c r="E32" i="7"/>
  <c r="G32" i="7"/>
  <c r="H32" i="7" s="1"/>
  <c r="D32" i="7"/>
  <c r="J20" i="9"/>
  <c r="H23" i="9"/>
  <c r="C21" i="9"/>
  <c r="E23" i="9"/>
  <c r="F23" i="9"/>
  <c r="G23" i="9"/>
  <c r="G22" i="9"/>
  <c r="F22" i="9"/>
  <c r="E22" i="9"/>
  <c r="D22" i="9"/>
  <c r="C15" i="9"/>
  <c r="E15" i="9" s="1"/>
  <c r="D15" i="9"/>
  <c r="G15" i="9"/>
  <c r="D16" i="9"/>
  <c r="G16" i="9"/>
  <c r="D17" i="9"/>
  <c r="G17" i="9"/>
  <c r="I14" i="9"/>
  <c r="H14" i="9"/>
  <c r="G14" i="9"/>
  <c r="L11" i="9"/>
  <c r="F14" i="9"/>
  <c r="E14" i="9"/>
  <c r="C14" i="9"/>
  <c r="I13" i="9"/>
  <c r="D14" i="9"/>
  <c r="D13" i="9"/>
  <c r="F22" i="8"/>
  <c r="J18" i="8"/>
  <c r="N17" i="8"/>
  <c r="L17" i="8"/>
  <c r="M17" i="8"/>
  <c r="D18" i="8"/>
  <c r="D22" i="8" s="1"/>
  <c r="G18" i="8"/>
  <c r="G22" i="8" s="1"/>
  <c r="F18" i="8"/>
  <c r="C17" i="8"/>
  <c r="C20" i="8" s="1"/>
  <c r="J14" i="7"/>
  <c r="H17" i="7"/>
  <c r="H15" i="7"/>
  <c r="F17" i="7"/>
  <c r="G17" i="7"/>
  <c r="E17" i="7"/>
  <c r="D15" i="7"/>
  <c r="C15" i="7"/>
  <c r="I13" i="6"/>
  <c r="E16" i="6"/>
  <c r="F16" i="6"/>
  <c r="G16" i="6"/>
  <c r="D16" i="6"/>
  <c r="C14" i="6"/>
  <c r="G14" i="5"/>
  <c r="F15" i="5"/>
  <c r="F14" i="5"/>
  <c r="E14" i="5"/>
  <c r="C14" i="5"/>
  <c r="D11" i="5"/>
  <c r="C11" i="5"/>
  <c r="D11" i="3"/>
  <c r="C11" i="3"/>
  <c r="H13" i="2"/>
  <c r="F18" i="2"/>
  <c r="D10" i="2"/>
  <c r="E10" i="2"/>
  <c r="F10" i="2"/>
  <c r="C10" i="2"/>
  <c r="H9" i="2" s="1"/>
  <c r="C13" i="1"/>
  <c r="E10" i="1"/>
  <c r="F10" i="1"/>
  <c r="G10" i="1"/>
  <c r="D10" i="1"/>
  <c r="C10" i="1"/>
  <c r="B13" i="10" l="1"/>
  <c r="B14" i="10" s="1"/>
  <c r="F15" i="9"/>
  <c r="H15" i="9" s="1"/>
  <c r="I15" i="9" s="1"/>
  <c r="C16" i="9" s="1"/>
  <c r="E16" i="9" l="1"/>
  <c r="F16" i="9" s="1"/>
  <c r="H16" i="9" s="1"/>
  <c r="I16" i="9" l="1"/>
  <c r="C17" i="9" s="1"/>
  <c r="E17" i="9" l="1"/>
  <c r="F17" i="9" s="1"/>
  <c r="H17" i="9" s="1"/>
  <c r="I17" i="9" l="1"/>
</calcChain>
</file>

<file path=xl/sharedStrings.xml><?xml version="1.0" encoding="utf-8"?>
<sst xmlns="http://schemas.openxmlformats.org/spreadsheetml/2006/main" count="352" uniqueCount="180">
  <si>
    <t>i</t>
  </si>
  <si>
    <t>VP</t>
  </si>
  <si>
    <t>tasa</t>
  </si>
  <si>
    <t>VPN</t>
  </si>
  <si>
    <t>al ser positivo, se realiza la inversión</t>
  </si>
  <si>
    <t>a)</t>
  </si>
  <si>
    <t>b)</t>
  </si>
  <si>
    <t>SUMA</t>
  </si>
  <si>
    <t>inv</t>
  </si>
  <si>
    <t>4 (vencim)</t>
  </si>
  <si>
    <t>flujo</t>
  </si>
  <si>
    <t>3000 al 5%</t>
  </si>
  <si>
    <t>1000 al 12%</t>
  </si>
  <si>
    <t>VP SUMA</t>
  </si>
  <si>
    <t>http://www.enciclopediafinanciera.com/ejercicios/ejercicio-de-VPN-y-TIR-1.htm</t>
  </si>
  <si>
    <t>leelo</t>
  </si>
  <si>
    <t>14% de interés que te lo acaban de pagar en 4 años</t>
  </si>
  <si>
    <t>1 pz</t>
  </si>
  <si>
    <t>saldo i</t>
  </si>
  <si>
    <t>interes</t>
  </si>
  <si>
    <t>pago cap</t>
  </si>
  <si>
    <t>saldo f</t>
  </si>
  <si>
    <t>https://es.scribd.com/document/410065870/Ejercicios-Valor-Presente-Neto-docx#</t>
  </si>
  <si>
    <t>pago int</t>
  </si>
  <si>
    <t>periodo</t>
  </si>
  <si>
    <t>Saldo inicial</t>
  </si>
  <si>
    <t>Intereses</t>
  </si>
  <si>
    <t>Tasa Interés</t>
  </si>
  <si>
    <t>Pago intereses</t>
  </si>
  <si>
    <t>Pago capital</t>
  </si>
  <si>
    <t>Pago total</t>
  </si>
  <si>
    <t>Saldo final</t>
  </si>
  <si>
    <t>A</t>
  </si>
  <si>
    <t>sí conviene la inv</t>
  </si>
  <si>
    <t>VPN 1</t>
  </si>
  <si>
    <t>VPN 2</t>
  </si>
  <si>
    <t>no conviene el bono</t>
  </si>
  <si>
    <t>asumo</t>
  </si>
  <si>
    <t>TIR</t>
  </si>
  <si>
    <t>VF</t>
  </si>
  <si>
    <t>valor al mes 6</t>
  </si>
  <si>
    <t>valor hoy</t>
  </si>
  <si>
    <t>deposito</t>
  </si>
  <si>
    <t>retiro</t>
  </si>
  <si>
    <t>fecha</t>
  </si>
  <si>
    <t>t</t>
  </si>
  <si>
    <t>depositos</t>
  </si>
  <si>
    <t>valor al mes 72 (1 feb 2019)</t>
  </si>
  <si>
    <t>retiros</t>
  </si>
  <si>
    <t>valor al 1 feb del 2019</t>
  </si>
  <si>
    <t>restante</t>
  </si>
  <si>
    <t>valor al 1 de feb del 2019</t>
  </si>
  <si>
    <t>valor al 1 de feb del 2023</t>
  </si>
  <si>
    <t>flujo desc</t>
  </si>
  <si>
    <t>B</t>
  </si>
  <si>
    <t>desc</t>
  </si>
  <si>
    <t>precio</t>
  </si>
  <si>
    <t>unidades</t>
  </si>
  <si>
    <t>ingreso</t>
  </si>
  <si>
    <t>egreso</t>
  </si>
  <si>
    <t>costo f</t>
  </si>
  <si>
    <t>costos op</t>
  </si>
  <si>
    <t>impuesto</t>
  </si>
  <si>
    <t>rescate</t>
  </si>
  <si>
    <t>total ingr</t>
  </si>
  <si>
    <t>total egr</t>
  </si>
  <si>
    <t>inversión</t>
  </si>
  <si>
    <t>utilidad adi</t>
  </si>
  <si>
    <t>isr</t>
  </si>
  <si>
    <t>utilidad ddi</t>
  </si>
  <si>
    <t>flujo neto</t>
  </si>
  <si>
    <t>inflación</t>
  </si>
  <si>
    <t>TN</t>
  </si>
  <si>
    <t>ingresos</t>
  </si>
  <si>
    <t>egresos:</t>
  </si>
  <si>
    <t>gasto de op</t>
  </si>
  <si>
    <t>no conviene</t>
  </si>
  <si>
    <t>años 1-3</t>
  </si>
  <si>
    <t>años 4,5</t>
  </si>
  <si>
    <t>1 unidad</t>
  </si>
  <si>
    <t>hrs</t>
  </si>
  <si>
    <t>$/hr</t>
  </si>
  <si>
    <t>empleados</t>
  </si>
  <si>
    <t>actuales</t>
  </si>
  <si>
    <t>fin de año 3</t>
  </si>
  <si>
    <t>liquidación</t>
  </si>
  <si>
    <t>1000 hrs</t>
  </si>
  <si>
    <t>por empl</t>
  </si>
  <si>
    <t>5 años</t>
  </si>
  <si>
    <t>no rescue</t>
  </si>
  <si>
    <t>mantenim</t>
  </si>
  <si>
    <t>año 1</t>
  </si>
  <si>
    <t>depr lineal</t>
  </si>
  <si>
    <t>inversión equipo</t>
  </si>
  <si>
    <t>cvu</t>
  </si>
  <si>
    <t>c admin/u</t>
  </si>
  <si>
    <t>infl costo lab</t>
  </si>
  <si>
    <t>depreciación lineal</t>
  </si>
  <si>
    <t>depreciación</t>
  </si>
  <si>
    <t>valor</t>
  </si>
  <si>
    <t>vida</t>
  </si>
  <si>
    <t>gasto</t>
  </si>
  <si>
    <t>cantidades</t>
  </si>
  <si>
    <t>ingreso:</t>
  </si>
  <si>
    <t>pvu</t>
  </si>
  <si>
    <t>c admin / u</t>
  </si>
  <si>
    <t>tot egr</t>
  </si>
  <si>
    <t>costo fijo</t>
  </si>
  <si>
    <t>costo op</t>
  </si>
  <si>
    <t>depre</t>
  </si>
  <si>
    <t>utilidad</t>
  </si>
  <si>
    <t>depr</t>
  </si>
  <si>
    <t>utilidad imp</t>
  </si>
  <si>
    <t>gastos</t>
  </si>
  <si>
    <t>rescate a 7 años, le pongo inflación a eso?</t>
  </si>
  <si>
    <t>dep</t>
  </si>
  <si>
    <t>si conviene</t>
  </si>
  <si>
    <t>materia pr</t>
  </si>
  <si>
    <t>mano de o</t>
  </si>
  <si>
    <t>capacidad</t>
  </si>
  <si>
    <t>prod</t>
  </si>
  <si>
    <t>1,2</t>
  </si>
  <si>
    <t>3,4</t>
  </si>
  <si>
    <t>5,6</t>
  </si>
  <si>
    <t>infl</t>
  </si>
  <si>
    <t>equipo</t>
  </si>
  <si>
    <t>infl mano</t>
  </si>
  <si>
    <t>3,4,5,6</t>
  </si>
  <si>
    <t>c admin</t>
  </si>
  <si>
    <t>infl c admin</t>
  </si>
  <si>
    <t>tot ingr</t>
  </si>
  <si>
    <t>manten</t>
  </si>
  <si>
    <t>corr</t>
  </si>
  <si>
    <t>THIS</t>
  </si>
  <si>
    <t>la compañía ha gastado 125 en investigación</t>
  </si>
  <si>
    <t>precios corrientes del día de hoy</t>
  </si>
  <si>
    <t>equipo e inst para el nvo producto req de inv de x</t>
  </si>
  <si>
    <t>el primero año cuesta x y crece con infl</t>
  </si>
  <si>
    <t>la co. Tiene acceso a fondos a 10% anual</t>
  </si>
  <si>
    <t>todos los flujos se producen al final del año curr</t>
  </si>
  <si>
    <t>quiern comprar un robot para su línea. El robot cuesta tanto</t>
  </si>
  <si>
    <t>crédito</t>
  </si>
  <si>
    <t>1 año de gracia de capital</t>
  </si>
  <si>
    <t>saldo inicial</t>
  </si>
  <si>
    <t>intereses</t>
  </si>
  <si>
    <t>i gen</t>
  </si>
  <si>
    <t>pago i</t>
  </si>
  <si>
    <t>pago pal</t>
  </si>
  <si>
    <t>total pago</t>
  </si>
  <si>
    <t>saldo final</t>
  </si>
  <si>
    <t>pagos cap</t>
  </si>
  <si>
    <t>retira</t>
  </si>
  <si>
    <t>1er retiro</t>
  </si>
  <si>
    <t>ahorro anual</t>
  </si>
  <si>
    <t>debe sumar</t>
  </si>
  <si>
    <t>suma</t>
  </si>
  <si>
    <t>asumo deposito vencido</t>
  </si>
  <si>
    <t>me dice retiro vencido</t>
  </si>
  <si>
    <t>r</t>
  </si>
  <si>
    <t>a</t>
  </si>
  <si>
    <t>x</t>
  </si>
  <si>
    <t>con fórmula de anualidad (sacar lo que debe de sumar)</t>
  </si>
  <si>
    <t>VP = A / r</t>
  </si>
  <si>
    <t xml:space="preserve">curso </t>
  </si>
  <si>
    <t>SIN</t>
  </si>
  <si>
    <t>asumiendo pago vencido</t>
  </si>
  <si>
    <t>CON</t>
  </si>
  <si>
    <t>CON-SIN</t>
  </si>
  <si>
    <t>conviene</t>
  </si>
  <si>
    <t>construcc</t>
  </si>
  <si>
    <t>asumiendo q a partir del 2ndo año significa años desp de la construccion</t>
  </si>
  <si>
    <t>incremento</t>
  </si>
  <si>
    <t>egresos</t>
  </si>
  <si>
    <t>mano</t>
  </si>
  <si>
    <t>material</t>
  </si>
  <si>
    <t>c ind</t>
  </si>
  <si>
    <t>gasto de v</t>
  </si>
  <si>
    <t>g admin</t>
  </si>
  <si>
    <t>2200 el primer año se asume como 1er año de op de la planta</t>
  </si>
  <si>
    <t>puede q "cuando increment la op de la planta" se refiera al 5% o 0 a 100% (cuando se construye)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</si>
</sst>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2" fillId="2" borderId="0" xfId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3" borderId="0" xfId="2"/>
    <xf numFmtId="0" fontId="3" fillId="0" borderId="0" xfId="3"/>
    <xf numFmtId="0" fontId="7" fillId="0" borderId="0" xfId="0" applyFont="1"/>
    <xf numFmtId="164" fontId="0" fillId="0" borderId="0" xfId="0" applyNumberFormat="1"/>
    <xf numFmtId="0" fontId="1" fillId="8" borderId="0" xfId="8"/>
    <xf numFmtId="0" fontId="5" fillId="5" borderId="0" xfId="5"/>
    <xf numFmtId="0" fontId="6" fillId="6" borderId="1" xfId="6"/>
    <xf numFmtId="9" fontId="2" fillId="2" borderId="0" xfId="1" applyNumberFormat="1"/>
    <xf numFmtId="0" fontId="4" fillId="4" borderId="0" xfId="4"/>
    <xf numFmtId="0" fontId="1" fillId="7" borderId="0" xfId="7"/>
    <xf numFmtId="0" fontId="2" fillId="2" borderId="1" xfId="1" applyBorder="1"/>
    <xf numFmtId="9" fontId="4" fillId="4" borderId="0" xfId="4" applyNumberFormat="1"/>
  </cellXfs>
  <cellStyles count="9">
    <cellStyle name="20% - Accent1" xfId="7" builtinId="30"/>
    <cellStyle name="20% - Accent3" xfId="8" builtinId="38"/>
    <cellStyle name="40% - Accent1" xfId="2" builtinId="31"/>
    <cellStyle name="Bad" xfId="4" builtinId="27"/>
    <cellStyle name="Calculation" xfId="6" builtinId="22"/>
    <cellStyle name="Good" xfId="1" builtinId="26"/>
    <cellStyle name="Hyperlink" xfId="3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283937</xdr:colOff>
      <xdr:row>0</xdr:row>
      <xdr:rowOff>137810</xdr:rowOff>
    </xdr:from>
    <xdr:to>
      <xdr:col>11</xdr:col>
      <xdr:colOff>40532</xdr:colOff>
      <xdr:row>6</xdr:row>
      <xdr:rowOff>21345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FAB5A-3A4F-0A0E-C0F9-81786D00A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937" y="137810"/>
          <a:ext cx="6444361" cy="10265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401052</xdr:colOff>
      <xdr:row>63</xdr:row>
      <xdr:rowOff>95250</xdr:rowOff>
    </xdr:from>
    <xdr:to>
      <xdr:col>10</xdr:col>
      <xdr:colOff>189464</xdr:colOff>
      <xdr:row>66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012E9E-32CC-4578-868A-0B0D4C850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52" y="12096750"/>
          <a:ext cx="590446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451185</xdr:colOff>
      <xdr:row>77</xdr:row>
      <xdr:rowOff>105277</xdr:rowOff>
    </xdr:from>
    <xdr:to>
      <xdr:col>9</xdr:col>
      <xdr:colOff>514476</xdr:colOff>
      <xdr:row>82</xdr:row>
      <xdr:rowOff>65157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57F80-FEF2-45EC-B493-618D0FA16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185" y="14773777"/>
          <a:ext cx="5567738" cy="912380"/>
        </a:xfrm>
        <a:prstGeom prst="rect">
          <a:avLst/>
        </a:prstGeom>
      </xdr:spPr>
    </xdr:pic>
    <xdr:clientData/>
  </xdr:twoCellAnchor>
  <xdr:twoCellAnchor editAs="oneCell">
    <xdr:from>
      <xdr:col>10</xdr:col>
      <xdr:colOff>335884</xdr:colOff>
      <xdr:row>77</xdr:row>
      <xdr:rowOff>155409</xdr:rowOff>
    </xdr:from>
    <xdr:to>
      <xdr:col>12</xdr:col>
      <xdr:colOff>551412</xdr:colOff>
      <xdr:row>81</xdr:row>
      <xdr:rowOff>75199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D54C6A-2C6D-E12B-8BF2-91AA60E37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1937" y="14823909"/>
          <a:ext cx="1438738" cy="681790"/>
        </a:xfrm>
        <a:prstGeom prst="rect">
          <a:avLst/>
        </a:prstGeom>
      </xdr:spPr>
    </xdr:pic>
    <xdr:clientData/>
  </xdr:twoCellAnchor>
  <xdr:twoCellAnchor editAs="oneCell">
    <xdr:from>
      <xdr:col>0</xdr:col>
      <xdr:colOff>288471</xdr:colOff>
      <xdr:row>99</xdr:row>
      <xdr:rowOff>10886</xdr:rowOff>
    </xdr:from>
    <xdr:to>
      <xdr:col>6</xdr:col>
      <xdr:colOff>433632</xdr:colOff>
      <xdr:row>106</xdr:row>
      <xdr:rowOff>125186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7C06CF-6980-4105-AC76-9602D7B69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8471" y="18870386"/>
          <a:ext cx="3802761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462641</xdr:colOff>
      <xdr:row>99</xdr:row>
      <xdr:rowOff>5444</xdr:rowOff>
    </xdr:from>
    <xdr:to>
      <xdr:col>12</xdr:col>
      <xdr:colOff>439468</xdr:colOff>
      <xdr:row>103</xdr:row>
      <xdr:rowOff>150006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F14A02-B0C2-4F19-B36E-366051390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20241" y="18864944"/>
          <a:ext cx="3634427" cy="906562"/>
        </a:xfrm>
        <a:prstGeom prst="rect">
          <a:avLst/>
        </a:prstGeom>
      </xdr:spPr>
    </xdr:pic>
    <xdr:clientData/>
  </xdr:twoCellAnchor>
  <xdr:twoCellAnchor editAs="oneCell">
    <xdr:from>
      <xdr:col>0</xdr:col>
      <xdr:colOff>300404</xdr:colOff>
      <xdr:row>139</xdr:row>
      <xdr:rowOff>168520</xdr:rowOff>
    </xdr:from>
    <xdr:to>
      <xdr:col>9</xdr:col>
      <xdr:colOff>205153</xdr:colOff>
      <xdr:row>153</xdr:row>
      <xdr:rowOff>116546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245837-E501-CF00-B41E-1BF3B7FD5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0404" y="26648020"/>
          <a:ext cx="5377961" cy="26150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424295</xdr:colOff>
      <xdr:row>0</xdr:row>
      <xdr:rowOff>103909</xdr:rowOff>
    </xdr:from>
    <xdr:to>
      <xdr:col>6</xdr:col>
      <xdr:colOff>177512</xdr:colOff>
      <xdr:row>2</xdr:row>
      <xdr:rowOff>115020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B34E3-AE75-1123-5B38-B96AFA09E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295" y="103909"/>
          <a:ext cx="3416012" cy="392111"/>
        </a:xfrm>
        <a:prstGeom prst="rect">
          <a:avLst/>
        </a:prstGeom>
      </xdr:spPr>
    </xdr:pic>
    <xdr:clientData/>
  </xdr:twoCellAnchor>
  <xdr:twoCellAnchor editAs="oneCell">
    <xdr:from>
      <xdr:col>0</xdr:col>
      <xdr:colOff>425615</xdr:colOff>
      <xdr:row>2</xdr:row>
      <xdr:rowOff>51954</xdr:rowOff>
    </xdr:from>
    <xdr:to>
      <xdr:col>6</xdr:col>
      <xdr:colOff>168853</xdr:colOff>
      <xdr:row>12</xdr:row>
      <xdr:rowOff>13915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47D052-D4C2-D553-CBFD-9163ACA1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615" y="432954"/>
          <a:ext cx="3406033" cy="186696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6</xdr:col>
      <xdr:colOff>152401</xdr:colOff>
      <xdr:row>41</xdr:row>
      <xdr:rowOff>54049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A1E8FB-B40D-5B5B-E561-F93DADE8F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6286501"/>
          <a:ext cx="3200400" cy="1197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284559</xdr:colOff>
      <xdr:row>52</xdr:row>
      <xdr:rowOff>11227</xdr:rowOff>
    </xdr:from>
    <xdr:to>
      <xdr:col>7</xdr:col>
      <xdr:colOff>279116</xdr:colOff>
      <xdr:row>72</xdr:row>
      <xdr:rowOff>47685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AA9ADF-BECE-1717-14B1-8A700C9E0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559" y="9536227"/>
          <a:ext cx="4245088" cy="3846458"/>
        </a:xfrm>
        <a:prstGeom prst="rect">
          <a:avLst/>
        </a:prstGeom>
      </xdr:spPr>
    </xdr:pic>
    <xdr:clientData/>
  </xdr:twoCellAnchor>
  <xdr:twoCellAnchor editAs="oneCell">
    <xdr:from>
      <xdr:col>7</xdr:col>
      <xdr:colOff>278095</xdr:colOff>
      <xdr:row>52</xdr:row>
      <xdr:rowOff>66208</xdr:rowOff>
    </xdr:from>
    <xdr:to>
      <xdr:col>14</xdr:col>
      <xdr:colOff>338517</xdr:colOff>
      <xdr:row>62</xdr:row>
      <xdr:rowOff>165883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63881-D82E-CFA3-9165-5AEFCF0A4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28626" y="9591208"/>
          <a:ext cx="4508023" cy="2004675"/>
        </a:xfrm>
        <a:prstGeom prst="rect">
          <a:avLst/>
        </a:prstGeom>
      </xdr:spPr>
    </xdr:pic>
    <xdr:clientData/>
  </xdr:twoCellAnchor>
  <xdr:twoCellAnchor editAs="oneCell">
    <xdr:from>
      <xdr:col>0</xdr:col>
      <xdr:colOff>279797</xdr:colOff>
      <xdr:row>74</xdr:row>
      <xdr:rowOff>23814</xdr:rowOff>
    </xdr:from>
    <xdr:to>
      <xdr:col>8</xdr:col>
      <xdr:colOff>568750</xdr:colOff>
      <xdr:row>79</xdr:row>
      <xdr:rowOff>83344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838460-06CF-F74D-6B9A-EA196F38B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9797" y="13739814"/>
          <a:ext cx="5146703" cy="1012030"/>
        </a:xfrm>
        <a:prstGeom prst="rect">
          <a:avLst/>
        </a:prstGeom>
      </xdr:spPr>
    </xdr:pic>
    <xdr:clientData/>
  </xdr:twoCellAnchor>
  <xdr:twoCellAnchor editAs="oneCell">
    <xdr:from>
      <xdr:col>0</xdr:col>
      <xdr:colOff>542502</xdr:colOff>
      <xdr:row>97</xdr:row>
      <xdr:rowOff>65484</xdr:rowOff>
    </xdr:from>
    <xdr:to>
      <xdr:col>9</xdr:col>
      <xdr:colOff>89775</xdr:colOff>
      <xdr:row>106</xdr:row>
      <xdr:rowOff>17859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B500FC-A66F-5C88-BF65-AF3D4B7AC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502" y="18734484"/>
          <a:ext cx="5012242" cy="1666875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261938</xdr:colOff>
      <xdr:row>127</xdr:row>
      <xdr:rowOff>35720</xdr:rowOff>
    </xdr:from>
    <xdr:to>
      <xdr:col>8</xdr:col>
      <xdr:colOff>416719</xdr:colOff>
      <xdr:row>132</xdr:row>
      <xdr:rowOff>166134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B80946-2BDC-6E7D-0C8E-3F5C5E58F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1938" y="24229220"/>
          <a:ext cx="5012531" cy="10829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8</xdr:col>
      <xdr:colOff>511969</xdr:colOff>
      <xdr:row>148</xdr:row>
      <xdr:rowOff>9686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3B74FB-A4AF-4385-4330-FC07867D9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219" y="28003500"/>
          <a:ext cx="4762500" cy="581186"/>
        </a:xfrm>
        <a:prstGeom prst="rect">
          <a:avLst/>
        </a:prstGeom>
      </xdr:spPr>
    </xdr:pic>
    <xdr:clientData/>
  </xdr:twoCellAnchor>
  <xdr:twoCellAnchor editAs="oneCell">
    <xdr:from>
      <xdr:col>0</xdr:col>
      <xdr:colOff>577454</xdr:colOff>
      <xdr:row>151</xdr:row>
      <xdr:rowOff>47624</xdr:rowOff>
    </xdr:from>
    <xdr:to>
      <xdr:col>6</xdr:col>
      <xdr:colOff>559594</xdr:colOff>
      <xdr:row>156</xdr:row>
      <xdr:rowOff>18517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C12D39E-C616-4021-A7A5-64067564B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7454" y="29194124"/>
          <a:ext cx="3625453" cy="923393"/>
        </a:xfrm>
        <a:prstGeom prst="rect">
          <a:avLst/>
        </a:prstGeom>
      </xdr:spPr>
    </xdr:pic>
    <xdr:clientData/>
  </xdr:twoCellAnchor>
  <xdr:twoCellAnchor editAs="oneCell">
    <xdr:from>
      <xdr:col>0</xdr:col>
      <xdr:colOff>595313</xdr:colOff>
      <xdr:row>148</xdr:row>
      <xdr:rowOff>71438</xdr:rowOff>
    </xdr:from>
    <xdr:to>
      <xdr:col>7</xdr:col>
      <xdr:colOff>59532</xdr:colOff>
      <xdr:row>150</xdr:row>
      <xdr:rowOff>160467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732233-38E3-E57C-F496-25572C3DA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5313" y="28646438"/>
          <a:ext cx="3714750" cy="470029"/>
        </a:xfrm>
        <a:prstGeom prst="rect">
          <a:avLst/>
        </a:prstGeom>
      </xdr:spPr>
    </xdr:pic>
    <xdr:clientData/>
  </xdr:twoCellAnchor>
  <xdr:twoCellAnchor editAs="oneCell">
    <xdr:from>
      <xdr:col>0</xdr:col>
      <xdr:colOff>367862</xdr:colOff>
      <xdr:row>156</xdr:row>
      <xdr:rowOff>98535</xdr:rowOff>
    </xdr:from>
    <xdr:to>
      <xdr:col>9</xdr:col>
      <xdr:colOff>357288</xdr:colOff>
      <xdr:row>179</xdr:row>
      <xdr:rowOff>92582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4DE90C6-FD49-FEFD-D837-F6B2B236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7862" y="29816535"/>
          <a:ext cx="5487650" cy="43755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417479</xdr:colOff>
      <xdr:row>0</xdr:row>
      <xdr:rowOff>121597</xdr:rowOff>
    </xdr:from>
    <xdr:to>
      <xdr:col>11</xdr:col>
      <xdr:colOff>160300</xdr:colOff>
      <xdr:row>6</xdr:row>
      <xdr:rowOff>88062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D9462-802B-1904-856F-0247B1479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79" y="121597"/>
          <a:ext cx="6430587" cy="1109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220807</xdr:colOff>
      <xdr:row>0</xdr:row>
      <xdr:rowOff>90921</xdr:rowOff>
    </xdr:from>
    <xdr:to>
      <xdr:col>12</xdr:col>
      <xdr:colOff>321374</xdr:colOff>
      <xdr:row>6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1E63F-2817-663B-73E1-F0816892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807" y="90921"/>
          <a:ext cx="7426158" cy="10997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508421</xdr:colOff>
      <xdr:row>11</xdr:row>
      <xdr:rowOff>40531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16257B-F62F-C8DC-13FE-320567274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979" y="190500"/>
          <a:ext cx="5980229" cy="19455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166134</xdr:colOff>
      <xdr:row>0</xdr:row>
      <xdr:rowOff>134218</xdr:rowOff>
    </xdr:from>
    <xdr:to>
      <xdr:col>13</xdr:col>
      <xdr:colOff>47937</xdr:colOff>
      <xdr:row>7</xdr:row>
      <xdr:rowOff>125557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786A0-8AA6-C369-B823-971C73E6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134" y="134218"/>
          <a:ext cx="7817860" cy="13248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132341</xdr:colOff>
      <xdr:row>9</xdr:row>
      <xdr:rowOff>133143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BEF08-5720-5856-D4CB-D46C73CCB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1" y="190500"/>
          <a:ext cx="6219048" cy="16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13</xdr:col>
      <xdr:colOff>33706</xdr:colOff>
      <xdr:row>10</xdr:row>
      <xdr:rowOff>175461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A79521-7FC5-32C0-D29F-D2ED96175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7372968" cy="1889961"/>
        </a:xfrm>
        <a:prstGeom prst="rect">
          <a:avLst/>
        </a:prstGeom>
      </xdr:spPr>
    </xdr:pic>
    <xdr:clientData/>
  </xdr:twoCellAnchor>
  <xdr:twoCellAnchor editAs="oneCell">
    <xdr:from>
      <xdr:col>1</xdr:col>
      <xdr:colOff>97573</xdr:colOff>
      <xdr:row>19</xdr:row>
      <xdr:rowOff>90383</xdr:rowOff>
    </xdr:from>
    <xdr:to>
      <xdr:col>10</xdr:col>
      <xdr:colOff>261044</xdr:colOff>
      <xdr:row>24</xdr:row>
      <xdr:rowOff>122486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D09553-1173-76AF-8884-03B7D735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244" y="3709883"/>
          <a:ext cx="5641507" cy="9846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520450</xdr:colOff>
      <xdr:row>0</xdr:row>
      <xdr:rowOff>153329</xdr:rowOff>
    </xdr:from>
    <xdr:to>
      <xdr:col>12</xdr:col>
      <xdr:colOff>220286</xdr:colOff>
      <xdr:row>12</xdr:row>
      <xdr:rowOff>74341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2A7C4A-3088-944A-68AD-B1ED4D6C7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450" y="153329"/>
          <a:ext cx="7003885" cy="220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153076</xdr:rowOff>
    </xdr:from>
    <xdr:to>
      <xdr:col>15</xdr:col>
      <xdr:colOff>307800</xdr:colOff>
      <xdr:row>8</xdr:row>
      <xdr:rowOff>28304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9B1724-0FC7-9081-E26C-4DC223AC8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53076"/>
          <a:ext cx="9082706" cy="1399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nciclopediafinanciera.com/ejercicios/ejercicio-de-VPN-y-TIR-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AD9-5D41-4E56-AE62-D58425FCC946}">
  <dimension ref="A8:G13"/>
  <sheetViews>
    <sheetView zoomScale="235" zoomScaleNormal="235" workbookViewId="0">
      <selection activeCell="A16" sqref="A16"/>
    </sheetView>
  </sheetViews>
  <sheetFormatPr defaultRowHeight="15" x14ac:dyDescent="0.25"/>
  <sheetData>
    <row r="8" spans="1:7" x14ac:dyDescent="0.25">
      <c r="C8">
        <v>0</v>
      </c>
      <c r="D8">
        <v>1</v>
      </c>
      <c r="E8">
        <v>2</v>
      </c>
      <c r="F8">
        <v>3</v>
      </c>
      <c r="G8">
        <v>4</v>
      </c>
    </row>
    <row r="9" spans="1:7" x14ac:dyDescent="0.25">
      <c r="B9" t="s">
        <v>0</v>
      </c>
      <c r="C9">
        <v>1000000</v>
      </c>
      <c r="D9">
        <v>320000</v>
      </c>
      <c r="E9">
        <v>320000</v>
      </c>
      <c r="F9">
        <v>320000</v>
      </c>
      <c r="G9">
        <v>320000</v>
      </c>
    </row>
    <row r="10" spans="1:7" x14ac:dyDescent="0.25">
      <c r="B10" t="s">
        <v>1</v>
      </c>
      <c r="C10">
        <f>C9</f>
        <v>1000000</v>
      </c>
      <c r="D10">
        <f>D9/((1+$B$11)^(D8))</f>
        <v>290204.68499188335</v>
      </c>
      <c r="E10">
        <f t="shared" ref="E10:G10" si="0">E9/((1+$B$11)^(E8))</f>
        <v>263183.62247261952</v>
      </c>
      <c r="F10">
        <f t="shared" si="0"/>
        <v>238678.50079590402</v>
      </c>
      <c r="G10">
        <f t="shared" si="0"/>
        <v>216455.05980565722</v>
      </c>
    </row>
    <row r="11" spans="1:7" x14ac:dyDescent="0.25">
      <c r="A11" t="s">
        <v>2</v>
      </c>
      <c r="B11" s="1">
        <v>0.10267</v>
      </c>
    </row>
    <row r="13" spans="1:7" x14ac:dyDescent="0.25">
      <c r="B13" t="s">
        <v>3</v>
      </c>
      <c r="C13" s="2">
        <f>-C10+SUM(D10:G10)</f>
        <v>8521.8680660640821</v>
      </c>
      <c r="D13" t="s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205E-FA49-4DC2-A56F-7E85E1316B2D}">
  <dimension ref="A2:CX175"/>
  <sheetViews>
    <sheetView tabSelected="1" topLeftCell="A154" zoomScale="175" zoomScaleNormal="175" workbookViewId="0">
      <selection activeCell="H162" sqref="H162"/>
    </sheetView>
  </sheetViews>
  <sheetFormatPr defaultRowHeight="15" x14ac:dyDescent="0.25"/>
  <cols>
    <col min="71" max="71" width="11" customWidth="1"/>
  </cols>
  <sheetData>
    <row r="2" spans="1:6" x14ac:dyDescent="0.25">
      <c r="B2" s="3">
        <v>0.02</v>
      </c>
    </row>
    <row r="3" spans="1:6" x14ac:dyDescent="0.25">
      <c r="B3">
        <f>1*(1+B2)^(12)</f>
        <v>1.2682417945625453</v>
      </c>
      <c r="C3">
        <f>(B3*100)/1</f>
        <v>126.82417945625453</v>
      </c>
    </row>
    <row r="4" spans="1:6" x14ac:dyDescent="0.25">
      <c r="C4">
        <f>(C3-100)/100</f>
        <v>0.26824179456254527</v>
      </c>
      <c r="D4">
        <f>C4*12</f>
        <v>3.2189015347505432</v>
      </c>
    </row>
    <row r="5" spans="1:6" x14ac:dyDescent="0.25">
      <c r="D5">
        <f>1/12</f>
        <v>8.3333333333333329E-2</v>
      </c>
    </row>
    <row r="6" spans="1:6" x14ac:dyDescent="0.25">
      <c r="B6">
        <f>1*(1+C4)^(0.08333)</f>
        <v>1.0199991920531264</v>
      </c>
    </row>
    <row r="8" spans="1:6" x14ac:dyDescent="0.25">
      <c r="B8">
        <f>1*(1+0.168)^(1/360)</f>
        <v>1.0004314621763899</v>
      </c>
      <c r="D8">
        <v>32050</v>
      </c>
      <c r="E8">
        <f>(D8*100)/40</f>
        <v>80125</v>
      </c>
    </row>
    <row r="9" spans="1:6" x14ac:dyDescent="0.25">
      <c r="A9" t="s">
        <v>37</v>
      </c>
      <c r="B9" s="3">
        <v>4.3162597291044902E-4</v>
      </c>
      <c r="E9">
        <f>E8/(1+0.000431)^(108)</f>
        <v>76481.581218192863</v>
      </c>
      <c r="F9">
        <f>(25*E8)/100</f>
        <v>20031.25</v>
      </c>
    </row>
    <row r="10" spans="1:6" x14ac:dyDescent="0.25">
      <c r="B10">
        <f>1*(1+B9)^(360)</f>
        <v>1.1680688454808499</v>
      </c>
      <c r="F10">
        <f>F9*(1+0.000431)^(49)</f>
        <v>20458.695588917089</v>
      </c>
    </row>
    <row r="12" spans="1:6" x14ac:dyDescent="0.25">
      <c r="B12">
        <f>(35*E9)/100</f>
        <v>26768.5534263675</v>
      </c>
    </row>
    <row r="13" spans="1:6" x14ac:dyDescent="0.25">
      <c r="B13">
        <f>B12+F10+D8</f>
        <v>79277.249015284586</v>
      </c>
    </row>
    <row r="14" spans="1:6" x14ac:dyDescent="0.25">
      <c r="B14">
        <f>E9-B13</f>
        <v>-2795.6677970917226</v>
      </c>
    </row>
    <row r="17" spans="1:13" x14ac:dyDescent="0.25">
      <c r="B17">
        <f>0.08/6</f>
        <v>1.3333333333333334E-2</v>
      </c>
    </row>
    <row r="18" spans="1:13" x14ac:dyDescent="0.25">
      <c r="B18">
        <f>0.089/12</f>
        <v>7.416666666666666E-3</v>
      </c>
    </row>
    <row r="20" spans="1:13" x14ac:dyDescent="0.25">
      <c r="B20">
        <f>0.048/12</f>
        <v>4.0000000000000001E-3</v>
      </c>
    </row>
    <row r="22" spans="1:13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1</v>
      </c>
      <c r="B23">
        <v>150</v>
      </c>
      <c r="C23">
        <v>150</v>
      </c>
      <c r="D23">
        <v>150</v>
      </c>
      <c r="E23">
        <v>150</v>
      </c>
      <c r="F23">
        <v>150</v>
      </c>
      <c r="G23">
        <v>150</v>
      </c>
      <c r="H23">
        <v>150</v>
      </c>
      <c r="I23">
        <v>150</v>
      </c>
      <c r="J23">
        <v>150</v>
      </c>
      <c r="K23">
        <v>150</v>
      </c>
      <c r="L23">
        <v>150</v>
      </c>
      <c r="M23">
        <v>150</v>
      </c>
    </row>
    <row r="24" spans="1:13" x14ac:dyDescent="0.25">
      <c r="A24" t="s">
        <v>39</v>
      </c>
      <c r="B24">
        <f>B23*(1+$B$20)^($M$22-B22)</f>
        <v>156.73359674324789</v>
      </c>
      <c r="C24">
        <f t="shared" ref="C24:M24" si="0">C23*(1+$B$20)^($M$22-C22)</f>
        <v>156.10916010283654</v>
      </c>
      <c r="D24">
        <f t="shared" si="0"/>
        <v>155.48721125780531</v>
      </c>
      <c r="E24">
        <f t="shared" si="0"/>
        <v>154.86774029661885</v>
      </c>
      <c r="F24">
        <f t="shared" si="0"/>
        <v>154.25073734722992</v>
      </c>
      <c r="G24">
        <f t="shared" si="0"/>
        <v>153.63619257692221</v>
      </c>
      <c r="H24">
        <f t="shared" si="0"/>
        <v>153.02409619215359</v>
      </c>
      <c r="I24">
        <f t="shared" si="0"/>
        <v>152.41443843840003</v>
      </c>
      <c r="J24">
        <f t="shared" si="0"/>
        <v>151.80720959999999</v>
      </c>
      <c r="K24">
        <f t="shared" si="0"/>
        <v>151.20240000000001</v>
      </c>
      <c r="L24">
        <f t="shared" si="0"/>
        <v>150.6</v>
      </c>
      <c r="M24">
        <f t="shared" si="0"/>
        <v>150</v>
      </c>
    </row>
    <row r="25" spans="1:13" x14ac:dyDescent="0.25">
      <c r="A25" s="8" t="s">
        <v>7</v>
      </c>
      <c r="B25" s="2">
        <f>SUM(B24:N24)</f>
        <v>1840.1327825552144</v>
      </c>
    </row>
    <row r="28" spans="1:13" x14ac:dyDescent="0.25">
      <c r="B28">
        <f>0.12/12</f>
        <v>0.01</v>
      </c>
    </row>
    <row r="29" spans="1:13" x14ac:dyDescent="0.25"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</row>
    <row r="30" spans="1:13" x14ac:dyDescent="0.25">
      <c r="A30" t="s">
        <v>1</v>
      </c>
      <c r="B30">
        <v>0</v>
      </c>
      <c r="C30">
        <v>2000</v>
      </c>
      <c r="D30">
        <v>2000</v>
      </c>
      <c r="E30">
        <v>2000</v>
      </c>
      <c r="F30">
        <v>2000</v>
      </c>
      <c r="G30">
        <v>2000</v>
      </c>
      <c r="H30">
        <v>2000</v>
      </c>
    </row>
    <row r="31" spans="1:13" x14ac:dyDescent="0.25">
      <c r="A31" t="s">
        <v>39</v>
      </c>
      <c r="B31">
        <f>B30*(1+$B$28)^($G$29-B29)</f>
        <v>0</v>
      </c>
      <c r="C31">
        <f>C30*(1+$B$28)^($H$29-C29)</f>
        <v>2102.0201001999999</v>
      </c>
      <c r="D31">
        <f t="shared" ref="D31:H31" si="1">D30*(1+$B$28)^($H$29-D29)</f>
        <v>2081.20802</v>
      </c>
      <c r="E31">
        <f t="shared" si="1"/>
        <v>2060.6019999999999</v>
      </c>
      <c r="F31">
        <f t="shared" si="1"/>
        <v>2040.2</v>
      </c>
      <c r="G31">
        <f t="shared" si="1"/>
        <v>2020</v>
      </c>
      <c r="H31">
        <f t="shared" si="1"/>
        <v>2000</v>
      </c>
    </row>
    <row r="32" spans="1:13" x14ac:dyDescent="0.25">
      <c r="A32" t="s">
        <v>7</v>
      </c>
      <c r="B32" s="2">
        <f>SUM(B31:H31)</f>
        <v>12304.030120199999</v>
      </c>
      <c r="C32" t="s">
        <v>40</v>
      </c>
    </row>
    <row r="33" spans="1:74" x14ac:dyDescent="0.25">
      <c r="B33">
        <f>B32/(1+B28)^(6)</f>
        <v>11590.952949158653</v>
      </c>
      <c r="C33" t="s">
        <v>41</v>
      </c>
    </row>
    <row r="34" spans="1:74" x14ac:dyDescent="0.25">
      <c r="A34" t="s">
        <v>42</v>
      </c>
      <c r="B34">
        <v>400</v>
      </c>
      <c r="C34" t="s">
        <v>43</v>
      </c>
      <c r="D34">
        <v>300</v>
      </c>
      <c r="E34" t="s">
        <v>45</v>
      </c>
      <c r="F34">
        <v>3.7499999999999999E-3</v>
      </c>
    </row>
    <row r="35" spans="1:74" x14ac:dyDescent="0.25">
      <c r="A35" t="s">
        <v>46</v>
      </c>
    </row>
    <row r="36" spans="1:74" x14ac:dyDescent="0.25">
      <c r="A36" t="s">
        <v>44</v>
      </c>
      <c r="B36" s="9">
        <v>41306</v>
      </c>
      <c r="C36" s="9">
        <v>41334</v>
      </c>
      <c r="D36" s="9">
        <v>41365</v>
      </c>
      <c r="E36" s="9">
        <v>41395</v>
      </c>
      <c r="F36" s="9">
        <v>41426</v>
      </c>
      <c r="G36" s="9">
        <v>41456</v>
      </c>
      <c r="H36" s="9">
        <v>41487</v>
      </c>
      <c r="I36" s="9">
        <v>41518</v>
      </c>
      <c r="J36" s="9">
        <v>41548</v>
      </c>
      <c r="K36" s="9">
        <v>41579</v>
      </c>
      <c r="L36" s="9">
        <v>41609</v>
      </c>
      <c r="M36" s="9">
        <v>41640</v>
      </c>
      <c r="N36" s="9">
        <v>41671</v>
      </c>
      <c r="O36" s="9">
        <v>41699</v>
      </c>
      <c r="P36" s="9">
        <v>41730</v>
      </c>
      <c r="Q36" s="9">
        <v>41760</v>
      </c>
      <c r="R36" s="9">
        <v>41791</v>
      </c>
      <c r="S36" s="9">
        <v>41821</v>
      </c>
      <c r="T36" s="9">
        <v>41852</v>
      </c>
      <c r="U36" s="9">
        <v>41883</v>
      </c>
      <c r="V36" s="9">
        <v>41913</v>
      </c>
      <c r="W36" s="9">
        <v>41944</v>
      </c>
      <c r="X36" s="9">
        <v>41974</v>
      </c>
      <c r="Y36" s="9">
        <v>42005</v>
      </c>
      <c r="Z36" s="9">
        <v>42036</v>
      </c>
      <c r="AA36" s="9">
        <v>42064</v>
      </c>
      <c r="AB36" s="9">
        <v>42095</v>
      </c>
      <c r="AC36" s="9">
        <v>42125</v>
      </c>
      <c r="AD36" s="9">
        <v>42156</v>
      </c>
      <c r="AE36" s="9">
        <v>42186</v>
      </c>
      <c r="AF36" s="9">
        <v>42217</v>
      </c>
      <c r="AG36" s="9">
        <v>42248</v>
      </c>
      <c r="AH36" s="9">
        <v>42278</v>
      </c>
      <c r="AI36" s="9">
        <v>42309</v>
      </c>
      <c r="AJ36" s="9">
        <v>42339</v>
      </c>
      <c r="AK36" s="9">
        <v>42370</v>
      </c>
      <c r="AL36" s="9">
        <v>42401</v>
      </c>
      <c r="AM36" s="9">
        <v>42430</v>
      </c>
      <c r="AN36" s="9">
        <v>42461</v>
      </c>
      <c r="AO36" s="9">
        <v>42491</v>
      </c>
      <c r="AP36" s="9">
        <v>42522</v>
      </c>
      <c r="AQ36" s="9">
        <v>42552</v>
      </c>
      <c r="AR36" s="9">
        <v>42583</v>
      </c>
      <c r="AS36" s="9">
        <v>42614</v>
      </c>
      <c r="AT36" s="9">
        <v>42644</v>
      </c>
      <c r="AU36" s="9">
        <v>42675</v>
      </c>
      <c r="AV36" s="9">
        <v>42705</v>
      </c>
      <c r="AW36" s="9">
        <v>42736</v>
      </c>
      <c r="AX36" s="9">
        <v>42767</v>
      </c>
      <c r="AY36" s="9">
        <v>42795</v>
      </c>
      <c r="AZ36" s="9">
        <v>42826</v>
      </c>
      <c r="BA36" s="9">
        <v>42856</v>
      </c>
      <c r="BB36" s="9">
        <v>42887</v>
      </c>
      <c r="BC36" s="9">
        <v>42917</v>
      </c>
      <c r="BD36" s="9">
        <v>42948</v>
      </c>
      <c r="BE36" s="9">
        <v>42979</v>
      </c>
      <c r="BF36" s="9">
        <v>43009</v>
      </c>
      <c r="BG36" s="9">
        <v>43040</v>
      </c>
      <c r="BH36" s="9">
        <v>43070</v>
      </c>
      <c r="BI36" s="9">
        <v>43101</v>
      </c>
      <c r="BJ36" s="9">
        <v>43132</v>
      </c>
      <c r="BK36" s="9">
        <v>43160</v>
      </c>
      <c r="BL36" s="9">
        <v>43191</v>
      </c>
      <c r="BM36" s="9">
        <v>43221</v>
      </c>
      <c r="BN36" s="9">
        <v>43252</v>
      </c>
      <c r="BO36" s="9">
        <v>43282</v>
      </c>
      <c r="BP36" s="9">
        <v>43313</v>
      </c>
      <c r="BQ36" s="9">
        <v>43344</v>
      </c>
      <c r="BR36" s="9">
        <v>43374</v>
      </c>
      <c r="BS36" s="9">
        <v>43405</v>
      </c>
      <c r="BT36" s="9">
        <v>43435</v>
      </c>
      <c r="BU36" s="9">
        <v>43466</v>
      </c>
      <c r="BV36" s="9">
        <v>43497</v>
      </c>
    </row>
    <row r="37" spans="1:74" x14ac:dyDescent="0.25">
      <c r="A37" t="s">
        <v>24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  <c r="AU37">
        <v>45</v>
      </c>
      <c r="AV37">
        <v>46</v>
      </c>
      <c r="AW37">
        <v>47</v>
      </c>
      <c r="AX37">
        <v>48</v>
      </c>
      <c r="AY37">
        <v>49</v>
      </c>
      <c r="AZ37">
        <v>50</v>
      </c>
      <c r="BA37">
        <v>51</v>
      </c>
      <c r="BB37">
        <v>52</v>
      </c>
      <c r="BC37">
        <v>53</v>
      </c>
      <c r="BD37">
        <v>54</v>
      </c>
      <c r="BE37">
        <v>55</v>
      </c>
      <c r="BF37">
        <v>56</v>
      </c>
      <c r="BG37">
        <v>57</v>
      </c>
      <c r="BH37">
        <v>58</v>
      </c>
      <c r="BI37">
        <v>59</v>
      </c>
      <c r="BJ37">
        <v>60</v>
      </c>
      <c r="BK37">
        <v>61</v>
      </c>
      <c r="BL37">
        <v>62</v>
      </c>
      <c r="BM37">
        <v>63</v>
      </c>
      <c r="BN37">
        <v>64</v>
      </c>
      <c r="BO37">
        <v>65</v>
      </c>
      <c r="BP37">
        <v>66</v>
      </c>
      <c r="BQ37">
        <v>67</v>
      </c>
      <c r="BR37">
        <v>68</v>
      </c>
      <c r="BS37">
        <v>69</v>
      </c>
      <c r="BT37">
        <v>70</v>
      </c>
      <c r="BU37">
        <v>71</v>
      </c>
      <c r="BV37">
        <v>72</v>
      </c>
    </row>
    <row r="38" spans="1:74" x14ac:dyDescent="0.25">
      <c r="A38" t="s">
        <v>1</v>
      </c>
      <c r="B38">
        <v>3000</v>
      </c>
      <c r="C38">
        <v>400</v>
      </c>
      <c r="D38">
        <v>400</v>
      </c>
      <c r="E38">
        <v>400</v>
      </c>
      <c r="F38">
        <v>400</v>
      </c>
      <c r="G38">
        <v>400</v>
      </c>
      <c r="H38">
        <v>400</v>
      </c>
      <c r="I38">
        <v>400</v>
      </c>
      <c r="J38">
        <v>400</v>
      </c>
      <c r="K38">
        <v>400</v>
      </c>
      <c r="L38">
        <v>400</v>
      </c>
      <c r="M38">
        <v>400</v>
      </c>
      <c r="N38">
        <v>400</v>
      </c>
      <c r="O38">
        <v>400</v>
      </c>
      <c r="P38">
        <v>400</v>
      </c>
      <c r="Q38">
        <v>400</v>
      </c>
      <c r="R38">
        <v>400</v>
      </c>
      <c r="S38">
        <v>400</v>
      </c>
      <c r="T38">
        <v>400</v>
      </c>
      <c r="U38">
        <v>400</v>
      </c>
      <c r="V38">
        <v>400</v>
      </c>
      <c r="W38">
        <v>400</v>
      </c>
      <c r="X38">
        <v>400</v>
      </c>
      <c r="Y38">
        <v>400</v>
      </c>
      <c r="Z38">
        <v>400</v>
      </c>
      <c r="AA38">
        <v>400</v>
      </c>
      <c r="AB38">
        <v>400</v>
      </c>
      <c r="AC38">
        <v>400</v>
      </c>
      <c r="AD38">
        <v>400</v>
      </c>
      <c r="AE38">
        <v>400</v>
      </c>
      <c r="AF38">
        <v>400</v>
      </c>
      <c r="AG38">
        <v>400</v>
      </c>
      <c r="AH38">
        <v>400</v>
      </c>
      <c r="AI38">
        <v>400</v>
      </c>
      <c r="AJ38">
        <v>400</v>
      </c>
      <c r="AK38">
        <v>400</v>
      </c>
      <c r="AL38">
        <v>400</v>
      </c>
      <c r="AM38">
        <v>400</v>
      </c>
      <c r="AN38">
        <v>400</v>
      </c>
      <c r="AO38">
        <v>400</v>
      </c>
      <c r="AP38">
        <v>400</v>
      </c>
      <c r="AQ38">
        <v>400</v>
      </c>
      <c r="AR38">
        <v>400</v>
      </c>
      <c r="AS38">
        <v>400</v>
      </c>
      <c r="AT38">
        <v>400</v>
      </c>
      <c r="AU38">
        <v>400</v>
      </c>
      <c r="AV38">
        <v>400</v>
      </c>
      <c r="AW38">
        <v>400</v>
      </c>
      <c r="AX38">
        <v>400</v>
      </c>
      <c r="AY38">
        <v>400</v>
      </c>
      <c r="AZ38">
        <v>400</v>
      </c>
      <c r="BA38">
        <v>400</v>
      </c>
      <c r="BB38">
        <v>400</v>
      </c>
      <c r="BC38">
        <v>400</v>
      </c>
      <c r="BD38">
        <v>400</v>
      </c>
      <c r="BE38">
        <v>400</v>
      </c>
      <c r="BF38">
        <v>400</v>
      </c>
      <c r="BG38">
        <v>400</v>
      </c>
      <c r="BH38">
        <v>400</v>
      </c>
      <c r="BI38">
        <v>400</v>
      </c>
      <c r="BJ38">
        <v>400</v>
      </c>
      <c r="BK38">
        <v>400</v>
      </c>
      <c r="BL38">
        <v>400</v>
      </c>
      <c r="BM38">
        <v>400</v>
      </c>
      <c r="BN38">
        <v>400</v>
      </c>
      <c r="BO38">
        <v>400</v>
      </c>
      <c r="BP38">
        <v>400</v>
      </c>
      <c r="BQ38">
        <v>400</v>
      </c>
      <c r="BR38">
        <v>400</v>
      </c>
      <c r="BS38">
        <v>400</v>
      </c>
      <c r="BT38">
        <v>400</v>
      </c>
      <c r="BU38">
        <v>400</v>
      </c>
      <c r="BV38">
        <v>400</v>
      </c>
    </row>
    <row r="39" spans="1:74" x14ac:dyDescent="0.25">
      <c r="A39" t="s">
        <v>39</v>
      </c>
      <c r="B39">
        <f>B38*(1+F34)^(72)</f>
        <v>3927.9093045167701</v>
      </c>
      <c r="C39">
        <f>C38*(1+$F$34)^($BV$37-C37)</f>
        <v>521.76462326499222</v>
      </c>
      <c r="D39">
        <f t="shared" ref="D39:BO39" si="2">D38*(1+$F$34)^($BV$37-D37)</f>
        <v>519.81531583062747</v>
      </c>
      <c r="E39">
        <f t="shared" si="2"/>
        <v>517.87329098941723</v>
      </c>
      <c r="F39">
        <f t="shared" si="2"/>
        <v>515.93852153366595</v>
      </c>
      <c r="G39">
        <f t="shared" si="2"/>
        <v>514.01098035732616</v>
      </c>
      <c r="H39">
        <f t="shared" si="2"/>
        <v>512.09064045561763</v>
      </c>
      <c r="I39">
        <f t="shared" si="2"/>
        <v>510.1774749246502</v>
      </c>
      <c r="J39">
        <f t="shared" si="2"/>
        <v>508.27145696104628</v>
      </c>
      <c r="K39">
        <f t="shared" si="2"/>
        <v>506.37255986156538</v>
      </c>
      <c r="L39">
        <f t="shared" si="2"/>
        <v>504.48075702273024</v>
      </c>
      <c r="M39">
        <f t="shared" si="2"/>
        <v>502.59602194045368</v>
      </c>
      <c r="N39">
        <f t="shared" si="2"/>
        <v>500.71832820966745</v>
      </c>
      <c r="O39">
        <f t="shared" si="2"/>
        <v>498.84764952395261</v>
      </c>
      <c r="P39">
        <f t="shared" si="2"/>
        <v>496.98395967517081</v>
      </c>
      <c r="Q39">
        <f t="shared" si="2"/>
        <v>495.12723255309669</v>
      </c>
      <c r="R39">
        <f t="shared" si="2"/>
        <v>493.2774421450527</v>
      </c>
      <c r="S39">
        <f t="shared" si="2"/>
        <v>491.4345625355445</v>
      </c>
      <c r="T39">
        <f t="shared" si="2"/>
        <v>489.59856790589743</v>
      </c>
      <c r="U39">
        <f t="shared" si="2"/>
        <v>487.76943253389538</v>
      </c>
      <c r="V39">
        <f t="shared" si="2"/>
        <v>485.94713079342</v>
      </c>
      <c r="W39">
        <f t="shared" si="2"/>
        <v>484.13163715409223</v>
      </c>
      <c r="X39">
        <f t="shared" si="2"/>
        <v>482.32292618091384</v>
      </c>
      <c r="Y39">
        <f t="shared" si="2"/>
        <v>480.52097253391173</v>
      </c>
      <c r="Z39">
        <f t="shared" si="2"/>
        <v>478.72575096778257</v>
      </c>
      <c r="AA39">
        <f t="shared" si="2"/>
        <v>476.93723633153928</v>
      </c>
      <c r="AB39">
        <f t="shared" si="2"/>
        <v>475.15540356815882</v>
      </c>
      <c r="AC39">
        <f t="shared" si="2"/>
        <v>473.38022771423056</v>
      </c>
      <c r="AD39">
        <f t="shared" si="2"/>
        <v>471.61168389960704</v>
      </c>
      <c r="AE39">
        <f t="shared" si="2"/>
        <v>469.8497473470556</v>
      </c>
      <c r="AF39">
        <f t="shared" si="2"/>
        <v>468.09439337191094</v>
      </c>
      <c r="AG39">
        <f t="shared" si="2"/>
        <v>466.34559738172953</v>
      </c>
      <c r="AH39">
        <f t="shared" si="2"/>
        <v>464.60333487594471</v>
      </c>
      <c r="AI39">
        <f t="shared" si="2"/>
        <v>462.86758144552402</v>
      </c>
      <c r="AJ39">
        <f t="shared" si="2"/>
        <v>461.13831277262676</v>
      </c>
      <c r="AK39">
        <f t="shared" si="2"/>
        <v>459.41550463026334</v>
      </c>
      <c r="AL39">
        <f t="shared" si="2"/>
        <v>457.69913288195596</v>
      </c>
      <c r="AM39">
        <f t="shared" si="2"/>
        <v>455.98917348140071</v>
      </c>
      <c r="AN39">
        <f t="shared" si="2"/>
        <v>454.28560247213039</v>
      </c>
      <c r="AO39">
        <f t="shared" si="2"/>
        <v>452.58839598717839</v>
      </c>
      <c r="AP39">
        <f t="shared" si="2"/>
        <v>450.89753024874568</v>
      </c>
      <c r="AQ39">
        <f t="shared" si="2"/>
        <v>449.21298156786611</v>
      </c>
      <c r="AR39">
        <f t="shared" si="2"/>
        <v>447.53472634407592</v>
      </c>
      <c r="AS39">
        <f t="shared" si="2"/>
        <v>445.86274106508199</v>
      </c>
      <c r="AT39">
        <f t="shared" si="2"/>
        <v>444.19700230643286</v>
      </c>
      <c r="AU39">
        <f t="shared" si="2"/>
        <v>442.53748673119094</v>
      </c>
      <c r="AV39">
        <f t="shared" si="2"/>
        <v>440.88417108960493</v>
      </c>
      <c r="AW39">
        <f t="shared" si="2"/>
        <v>439.23703221878452</v>
      </c>
      <c r="AX39">
        <f t="shared" si="2"/>
        <v>437.59604704237563</v>
      </c>
      <c r="AY39">
        <f t="shared" si="2"/>
        <v>435.96119257023724</v>
      </c>
      <c r="AZ39">
        <f t="shared" si="2"/>
        <v>434.33244589811932</v>
      </c>
      <c r="BA39">
        <f t="shared" si="2"/>
        <v>432.7097842073419</v>
      </c>
      <c r="BB39">
        <f t="shared" si="2"/>
        <v>431.0931847644751</v>
      </c>
      <c r="BC39">
        <f t="shared" si="2"/>
        <v>429.48262492102128</v>
      </c>
      <c r="BD39">
        <f t="shared" si="2"/>
        <v>427.87808211309721</v>
      </c>
      <c r="BE39">
        <f t="shared" si="2"/>
        <v>426.27953386111807</v>
      </c>
      <c r="BF39">
        <f t="shared" si="2"/>
        <v>424.68695776948255</v>
      </c>
      <c r="BG39">
        <f t="shared" si="2"/>
        <v>423.10033152625908</v>
      </c>
      <c r="BH39">
        <f t="shared" si="2"/>
        <v>421.51963290287335</v>
      </c>
      <c r="BI39">
        <f t="shared" si="2"/>
        <v>419.94483975379671</v>
      </c>
      <c r="BJ39">
        <f t="shared" si="2"/>
        <v>418.37593001623583</v>
      </c>
      <c r="BK39">
        <f t="shared" si="2"/>
        <v>416.81288170982401</v>
      </c>
      <c r="BL39">
        <f t="shared" si="2"/>
        <v>415.25567293631286</v>
      </c>
      <c r="BM39">
        <f t="shared" si="2"/>
        <v>413.70428187926569</v>
      </c>
      <c r="BN39">
        <f t="shared" si="2"/>
        <v>412.15868680375161</v>
      </c>
      <c r="BO39">
        <f t="shared" si="2"/>
        <v>410.6188660560415</v>
      </c>
      <c r="BP39">
        <f t="shared" ref="BP39:BV39" si="3">BP38*(1+$F$34)^($BV$37-BP37)</f>
        <v>409.08479806330416</v>
      </c>
      <c r="BQ39">
        <f t="shared" si="3"/>
        <v>407.5564613333043</v>
      </c>
      <c r="BR39">
        <f t="shared" si="3"/>
        <v>406.0338344541014</v>
      </c>
      <c r="BS39">
        <f t="shared" si="3"/>
        <v>404.51689609374989</v>
      </c>
      <c r="BT39">
        <f t="shared" si="3"/>
        <v>403.00562499999995</v>
      </c>
      <c r="BU39">
        <f t="shared" si="3"/>
        <v>401.49999999999994</v>
      </c>
      <c r="BV39">
        <f t="shared" si="3"/>
        <v>400</v>
      </c>
    </row>
    <row r="40" spans="1:74" x14ac:dyDescent="0.25">
      <c r="A40" t="s">
        <v>7</v>
      </c>
      <c r="B40" s="2">
        <f>SUM(B39:BV39)</f>
        <v>36920.240131780374</v>
      </c>
      <c r="C40" t="s">
        <v>47</v>
      </c>
    </row>
    <row r="41" spans="1:74" x14ac:dyDescent="0.25">
      <c r="A41" t="s">
        <v>48</v>
      </c>
    </row>
    <row r="42" spans="1:74" x14ac:dyDescent="0.25">
      <c r="A42" t="s">
        <v>44</v>
      </c>
      <c r="B42" s="9">
        <v>43497</v>
      </c>
      <c r="C42" s="9">
        <v>43525</v>
      </c>
      <c r="D42" s="9">
        <v>43556</v>
      </c>
      <c r="E42" s="9">
        <v>43586</v>
      </c>
      <c r="F42" s="9">
        <v>43617</v>
      </c>
      <c r="G42" s="9">
        <v>43647</v>
      </c>
      <c r="H42" s="9">
        <v>43678</v>
      </c>
      <c r="I42" s="9">
        <v>43709</v>
      </c>
      <c r="J42" s="9">
        <v>43739</v>
      </c>
      <c r="K42" s="9">
        <v>43770</v>
      </c>
      <c r="L42" s="9">
        <v>43800</v>
      </c>
      <c r="M42" s="9">
        <v>43831</v>
      </c>
      <c r="N42" s="9">
        <v>43862</v>
      </c>
      <c r="O42" s="9">
        <v>43891</v>
      </c>
      <c r="P42" s="9">
        <v>43922</v>
      </c>
      <c r="Q42" s="9">
        <v>43952</v>
      </c>
      <c r="R42" s="9">
        <v>43983</v>
      </c>
      <c r="S42" s="9">
        <v>44013</v>
      </c>
      <c r="T42" s="9">
        <v>44044</v>
      </c>
      <c r="U42" s="9">
        <v>44075</v>
      </c>
      <c r="V42" s="9">
        <v>44105</v>
      </c>
      <c r="W42" s="9">
        <v>44136</v>
      </c>
      <c r="X42" s="9">
        <v>44166</v>
      </c>
      <c r="Y42" s="9">
        <v>44197</v>
      </c>
      <c r="Z42" s="9">
        <v>44228</v>
      </c>
      <c r="AA42" s="9">
        <v>44256</v>
      </c>
      <c r="AB42" s="9">
        <v>44287</v>
      </c>
      <c r="AC42" s="9">
        <v>44317</v>
      </c>
      <c r="AD42" s="9">
        <v>44348</v>
      </c>
      <c r="AE42" s="9">
        <v>44378</v>
      </c>
      <c r="AF42" s="9">
        <v>44409</v>
      </c>
      <c r="AG42" s="9">
        <v>44440</v>
      </c>
      <c r="AH42" s="9">
        <v>44470</v>
      </c>
      <c r="AI42" s="9">
        <v>44501</v>
      </c>
      <c r="AJ42" s="9">
        <v>44531</v>
      </c>
      <c r="AK42" s="9">
        <v>44562</v>
      </c>
      <c r="AL42" s="9">
        <v>44593</v>
      </c>
      <c r="AM42" s="9">
        <v>44621</v>
      </c>
      <c r="AN42" s="9">
        <v>44652</v>
      </c>
      <c r="AO42" s="9">
        <v>44682</v>
      </c>
      <c r="AP42" s="9">
        <v>44713</v>
      </c>
      <c r="AQ42" s="9">
        <v>44743</v>
      </c>
      <c r="AR42" s="9">
        <v>44774</v>
      </c>
      <c r="AS42" s="9">
        <v>44805</v>
      </c>
      <c r="AT42" s="9">
        <v>44835</v>
      </c>
      <c r="AU42" s="9">
        <v>44866</v>
      </c>
      <c r="AV42" s="9">
        <v>44896</v>
      </c>
      <c r="AW42" s="9">
        <v>44927</v>
      </c>
      <c r="AX42" s="9">
        <v>44958</v>
      </c>
    </row>
    <row r="43" spans="1:74" x14ac:dyDescent="0.25">
      <c r="A43" t="s">
        <v>24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U43">
        <v>19</v>
      </c>
      <c r="V43">
        <v>20</v>
      </c>
      <c r="W43">
        <v>21</v>
      </c>
      <c r="X43">
        <v>22</v>
      </c>
      <c r="Y43">
        <v>23</v>
      </c>
      <c r="Z43">
        <v>24</v>
      </c>
      <c r="AA43">
        <v>25</v>
      </c>
      <c r="AB43">
        <v>26</v>
      </c>
      <c r="AC43">
        <v>27</v>
      </c>
      <c r="AD43">
        <v>28</v>
      </c>
      <c r="AE43">
        <v>29</v>
      </c>
      <c r="AF43">
        <v>30</v>
      </c>
      <c r="AG43">
        <v>31</v>
      </c>
      <c r="AH43">
        <v>32</v>
      </c>
      <c r="AI43">
        <v>33</v>
      </c>
      <c r="AJ43">
        <v>34</v>
      </c>
      <c r="AK43">
        <v>35</v>
      </c>
      <c r="AL43">
        <v>36</v>
      </c>
      <c r="AM43">
        <v>37</v>
      </c>
      <c r="AN43">
        <v>38</v>
      </c>
      <c r="AO43">
        <v>39</v>
      </c>
      <c r="AP43">
        <v>40</v>
      </c>
      <c r="AQ43">
        <v>41</v>
      </c>
      <c r="AR43">
        <v>42</v>
      </c>
      <c r="AS43">
        <v>43</v>
      </c>
      <c r="AT43">
        <v>44</v>
      </c>
      <c r="AU43">
        <v>45</v>
      </c>
      <c r="AV43">
        <v>46</v>
      </c>
      <c r="AW43">
        <v>47</v>
      </c>
      <c r="AX43">
        <v>48</v>
      </c>
    </row>
    <row r="44" spans="1:74" x14ac:dyDescent="0.25">
      <c r="A44" t="s">
        <v>1</v>
      </c>
      <c r="C44">
        <v>300</v>
      </c>
      <c r="D44">
        <v>300</v>
      </c>
      <c r="E44">
        <v>300</v>
      </c>
      <c r="F44">
        <v>300</v>
      </c>
      <c r="G44">
        <v>300</v>
      </c>
      <c r="H44">
        <v>300</v>
      </c>
      <c r="I44">
        <v>300</v>
      </c>
      <c r="J44">
        <v>300</v>
      </c>
      <c r="K44">
        <v>300</v>
      </c>
      <c r="L44">
        <v>300</v>
      </c>
      <c r="M44">
        <v>300</v>
      </c>
      <c r="N44">
        <v>300</v>
      </c>
      <c r="O44">
        <v>300</v>
      </c>
      <c r="P44">
        <v>300</v>
      </c>
      <c r="Q44">
        <v>300</v>
      </c>
      <c r="R44">
        <v>300</v>
      </c>
      <c r="S44">
        <v>300</v>
      </c>
      <c r="T44">
        <v>300</v>
      </c>
      <c r="U44">
        <v>300</v>
      </c>
      <c r="V44">
        <v>300</v>
      </c>
      <c r="W44">
        <v>300</v>
      </c>
      <c r="X44">
        <v>300</v>
      </c>
      <c r="Y44">
        <v>300</v>
      </c>
      <c r="Z44">
        <v>300</v>
      </c>
      <c r="AA44">
        <v>300</v>
      </c>
      <c r="AB44">
        <v>300</v>
      </c>
      <c r="AC44">
        <v>300</v>
      </c>
      <c r="AD44">
        <v>300</v>
      </c>
      <c r="AE44">
        <v>300</v>
      </c>
      <c r="AF44">
        <v>300</v>
      </c>
      <c r="AG44">
        <v>300</v>
      </c>
      <c r="AH44">
        <v>300</v>
      </c>
      <c r="AI44">
        <v>300</v>
      </c>
      <c r="AJ44">
        <v>300</v>
      </c>
      <c r="AK44">
        <v>300</v>
      </c>
      <c r="AL44">
        <v>300</v>
      </c>
      <c r="AM44">
        <v>300</v>
      </c>
      <c r="AN44">
        <v>300</v>
      </c>
      <c r="AO44">
        <v>300</v>
      </c>
      <c r="AP44">
        <v>300</v>
      </c>
      <c r="AQ44">
        <v>300</v>
      </c>
      <c r="AR44">
        <v>300</v>
      </c>
      <c r="AS44">
        <v>300</v>
      </c>
      <c r="AT44">
        <v>300</v>
      </c>
      <c r="AU44">
        <v>300</v>
      </c>
      <c r="AV44">
        <v>300</v>
      </c>
      <c r="AW44">
        <v>300</v>
      </c>
      <c r="AX44">
        <v>300</v>
      </c>
    </row>
    <row r="45" spans="1:74" x14ac:dyDescent="0.25">
      <c r="A45" t="s">
        <v>1</v>
      </c>
      <c r="C45">
        <f>C44/(1+$F$34)^(C43)</f>
        <v>298.87920298879203</v>
      </c>
      <c r="D45">
        <f>D44/(1+$F$34)^(D43)</f>
        <v>297.76259326405187</v>
      </c>
      <c r="E45">
        <f t="shared" ref="E45:AX45" si="4">E44/(1+$F$34)^(E43)</f>
        <v>296.65015518211897</v>
      </c>
      <c r="F45">
        <f t="shared" si="4"/>
        <v>295.54187315777733</v>
      </c>
      <c r="G45">
        <f t="shared" si="4"/>
        <v>294.43773166403719</v>
      </c>
      <c r="H45">
        <f t="shared" si="4"/>
        <v>293.33771523191751</v>
      </c>
      <c r="I45">
        <f t="shared" si="4"/>
        <v>292.2418084502292</v>
      </c>
      <c r="J45">
        <f t="shared" si="4"/>
        <v>291.1499959653591</v>
      </c>
      <c r="K45">
        <f t="shared" si="4"/>
        <v>290.06226248105514</v>
      </c>
      <c r="L45">
        <f t="shared" si="4"/>
        <v>288.9785927582119</v>
      </c>
      <c r="M45">
        <f t="shared" si="4"/>
        <v>287.898971614657</v>
      </c>
      <c r="N45">
        <f t="shared" si="4"/>
        <v>286.82338392493847</v>
      </c>
      <c r="O45">
        <f t="shared" si="4"/>
        <v>285.75181462011307</v>
      </c>
      <c r="P45">
        <f t="shared" si="4"/>
        <v>284.68424868753482</v>
      </c>
      <c r="Q45">
        <f t="shared" si="4"/>
        <v>283.62067117064498</v>
      </c>
      <c r="R45">
        <f t="shared" si="4"/>
        <v>282.56106716876212</v>
      </c>
      <c r="S45">
        <f t="shared" si="4"/>
        <v>281.50542183687389</v>
      </c>
      <c r="T45">
        <f t="shared" si="4"/>
        <v>280.45372038542854</v>
      </c>
      <c r="U45">
        <f t="shared" si="4"/>
        <v>279.4059480801281</v>
      </c>
      <c r="V45">
        <f t="shared" si="4"/>
        <v>278.36209024172166</v>
      </c>
      <c r="W45">
        <f t="shared" si="4"/>
        <v>277.32213224579988</v>
      </c>
      <c r="X45">
        <f t="shared" si="4"/>
        <v>276.28605952259022</v>
      </c>
      <c r="Y45">
        <f t="shared" si="4"/>
        <v>275.25385755675239</v>
      </c>
      <c r="Z45">
        <f t="shared" si="4"/>
        <v>274.22551188717557</v>
      </c>
      <c r="AA45">
        <f t="shared" si="4"/>
        <v>273.20100810677513</v>
      </c>
      <c r="AB45">
        <f t="shared" si="4"/>
        <v>272.18033186229155</v>
      </c>
      <c r="AC45">
        <f t="shared" si="4"/>
        <v>271.16346885408876</v>
      </c>
      <c r="AD45">
        <f t="shared" si="4"/>
        <v>270.15040483595391</v>
      </c>
      <c r="AE45">
        <f t="shared" si="4"/>
        <v>269.14112561489804</v>
      </c>
      <c r="AF45">
        <f t="shared" si="4"/>
        <v>268.13561705095702</v>
      </c>
      <c r="AG45">
        <f t="shared" si="4"/>
        <v>267.13386505699339</v>
      </c>
      <c r="AH45">
        <f t="shared" si="4"/>
        <v>266.13585559849895</v>
      </c>
      <c r="AI45">
        <f t="shared" si="4"/>
        <v>265.14157469339875</v>
      </c>
      <c r="AJ45">
        <f t="shared" si="4"/>
        <v>264.15100841185426</v>
      </c>
      <c r="AK45">
        <f t="shared" si="4"/>
        <v>263.16414287606909</v>
      </c>
      <c r="AL45">
        <f t="shared" si="4"/>
        <v>262.18096426009373</v>
      </c>
      <c r="AM45">
        <f t="shared" si="4"/>
        <v>261.20145878963262</v>
      </c>
      <c r="AN45">
        <f t="shared" si="4"/>
        <v>260.22561274185068</v>
      </c>
      <c r="AO45">
        <f t="shared" si="4"/>
        <v>259.25341244518131</v>
      </c>
      <c r="AP45">
        <f t="shared" si="4"/>
        <v>258.28484427913457</v>
      </c>
      <c r="AQ45">
        <f t="shared" si="4"/>
        <v>257.31989467410671</v>
      </c>
      <c r="AR45">
        <f t="shared" si="4"/>
        <v>256.35855011118974</v>
      </c>
      <c r="AS45">
        <f t="shared" si="4"/>
        <v>255.40079712198232</v>
      </c>
      <c r="AT45">
        <f t="shared" si="4"/>
        <v>254.44662228840085</v>
      </c>
      <c r="AU45">
        <f t="shared" si="4"/>
        <v>253.4960122424915</v>
      </c>
      <c r="AV45">
        <f t="shared" si="4"/>
        <v>252.54895366624314</v>
      </c>
      <c r="AW45">
        <f t="shared" si="4"/>
        <v>251.60543329140046</v>
      </c>
      <c r="AX45">
        <f t="shared" si="4"/>
        <v>250.66543789927815</v>
      </c>
    </row>
    <row r="46" spans="1:74" x14ac:dyDescent="0.25">
      <c r="A46" t="s">
        <v>7</v>
      </c>
      <c r="B46" s="2">
        <f>SUM(C45:AX45)</f>
        <v>13155.883226859434</v>
      </c>
      <c r="C46" t="s">
        <v>49</v>
      </c>
    </row>
    <row r="47" spans="1:74" x14ac:dyDescent="0.25">
      <c r="B47">
        <f>B46*(1+F34)^(48)</f>
        <v>15745.150193556843</v>
      </c>
    </row>
    <row r="48" spans="1:74" x14ac:dyDescent="0.25">
      <c r="A48" t="s">
        <v>50</v>
      </c>
      <c r="B48" s="2">
        <f>B40-B46</f>
        <v>23764.35690492094</v>
      </c>
      <c r="C48" t="s">
        <v>51</v>
      </c>
    </row>
    <row r="49" spans="1:8" x14ac:dyDescent="0.25">
      <c r="B49">
        <f>B48*(1+F34)^(48)</f>
        <v>28441.524013936716</v>
      </c>
      <c r="C49" t="s">
        <v>52</v>
      </c>
    </row>
    <row r="52" spans="1:8" x14ac:dyDescent="0.25">
      <c r="A52" t="s">
        <v>32</v>
      </c>
      <c r="B52" t="s">
        <v>45</v>
      </c>
      <c r="C52" s="3">
        <v>0.14000000000000001</v>
      </c>
    </row>
    <row r="53" spans="1:8" x14ac:dyDescent="0.25"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</row>
    <row r="54" spans="1:8" x14ac:dyDescent="0.25">
      <c r="B54">
        <v>-500000</v>
      </c>
    </row>
    <row r="55" spans="1:8" x14ac:dyDescent="0.25">
      <c r="C55">
        <v>300000</v>
      </c>
      <c r="D55">
        <v>300000</v>
      </c>
      <c r="E55">
        <v>300000</v>
      </c>
      <c r="F55">
        <v>300000</v>
      </c>
      <c r="G55">
        <v>300000</v>
      </c>
      <c r="H55">
        <f>300000+1000000</f>
        <v>1300000</v>
      </c>
    </row>
    <row r="56" spans="1:8" x14ac:dyDescent="0.25">
      <c r="A56" t="s">
        <v>53</v>
      </c>
      <c r="B56">
        <f>B54/(1+$C$52)^(B53)</f>
        <v>-500000</v>
      </c>
      <c r="C56">
        <f>C55/(1+$C$52)^(C53)</f>
        <v>263157.89473684208</v>
      </c>
      <c r="D56">
        <f t="shared" ref="D56:H56" si="5">D55/(1+$C$52)^(D53)</f>
        <v>230840.25854108951</v>
      </c>
      <c r="E56">
        <f t="shared" si="5"/>
        <v>202491.45486060483</v>
      </c>
      <c r="F56">
        <f t="shared" si="5"/>
        <v>177624.08321105683</v>
      </c>
      <c r="G56">
        <f t="shared" si="5"/>
        <v>155810.59930794456</v>
      </c>
      <c r="H56">
        <f t="shared" si="5"/>
        <v>592262.51198926289</v>
      </c>
    </row>
    <row r="57" spans="1:8" x14ac:dyDescent="0.25">
      <c r="A57" t="s">
        <v>3</v>
      </c>
      <c r="B57" s="2">
        <f>SUM(B56:H56)</f>
        <v>1122186.8026468006</v>
      </c>
    </row>
    <row r="60" spans="1:8" x14ac:dyDescent="0.25">
      <c r="A60" t="s">
        <v>54</v>
      </c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</row>
    <row r="61" spans="1:8" x14ac:dyDescent="0.25">
      <c r="B61">
        <v>-500000</v>
      </c>
      <c r="C61">
        <v>400000</v>
      </c>
      <c r="D61">
        <v>400000</v>
      </c>
      <c r="E61">
        <f>400000+800000</f>
        <v>1200000</v>
      </c>
    </row>
    <row r="62" spans="1:8" x14ac:dyDescent="0.25">
      <c r="A62" t="s">
        <v>55</v>
      </c>
      <c r="B62">
        <f>B61/(1+$C$52)^(B60)</f>
        <v>-500000</v>
      </c>
      <c r="C62">
        <f t="shared" ref="C62:E62" si="6">C61/(1+$C$52)^(C60)</f>
        <v>350877.19298245612</v>
      </c>
      <c r="D62">
        <f t="shared" si="6"/>
        <v>307787.01138811937</v>
      </c>
      <c r="E62">
        <f t="shared" si="6"/>
        <v>809965.81944241934</v>
      </c>
    </row>
    <row r="63" spans="1:8" x14ac:dyDescent="0.25">
      <c r="A63" t="s">
        <v>3</v>
      </c>
      <c r="B63" s="2">
        <f>SUM(B62:E62)</f>
        <v>968630.02381299483</v>
      </c>
    </row>
    <row r="68" spans="2:14" x14ac:dyDescent="0.25">
      <c r="B68" t="s">
        <v>142</v>
      </c>
    </row>
    <row r="69" spans="2:14" x14ac:dyDescent="0.25">
      <c r="B69" t="s">
        <v>141</v>
      </c>
      <c r="C69">
        <v>10000</v>
      </c>
      <c r="G69" t="s">
        <v>150</v>
      </c>
      <c r="H69">
        <f>C69/4</f>
        <v>2500</v>
      </c>
    </row>
    <row r="71" spans="2:14" x14ac:dyDescent="0.25">
      <c r="B71" t="s">
        <v>24</v>
      </c>
      <c r="C71" t="s">
        <v>143</v>
      </c>
      <c r="D71" t="s">
        <v>144</v>
      </c>
      <c r="E71" t="s">
        <v>145</v>
      </c>
      <c r="F71" t="s">
        <v>146</v>
      </c>
      <c r="G71" t="s">
        <v>147</v>
      </c>
      <c r="H71" t="s">
        <v>148</v>
      </c>
      <c r="I71" t="s">
        <v>149</v>
      </c>
    </row>
    <row r="72" spans="2:14" x14ac:dyDescent="0.25">
      <c r="B72">
        <v>0</v>
      </c>
      <c r="C72">
        <f>C69</f>
        <v>10000</v>
      </c>
      <c r="D72" s="3">
        <v>0.12</v>
      </c>
      <c r="E72">
        <v>0</v>
      </c>
      <c r="F72">
        <v>0</v>
      </c>
      <c r="G72">
        <v>0</v>
      </c>
      <c r="H72">
        <v>0</v>
      </c>
      <c r="I72">
        <f>C72+E72-H72</f>
        <v>10000</v>
      </c>
    </row>
    <row r="73" spans="2:14" x14ac:dyDescent="0.25">
      <c r="B73">
        <v>1</v>
      </c>
      <c r="C73">
        <f>I72</f>
        <v>10000</v>
      </c>
      <c r="D73" s="3">
        <v>0.12</v>
      </c>
      <c r="E73">
        <f>C73*D73</f>
        <v>1200</v>
      </c>
      <c r="F73">
        <f>E73</f>
        <v>1200</v>
      </c>
      <c r="G73">
        <v>0</v>
      </c>
      <c r="H73">
        <f>F73+G73</f>
        <v>1200</v>
      </c>
      <c r="I73">
        <f>C73+E73-H73</f>
        <v>10000</v>
      </c>
    </row>
    <row r="74" spans="2:14" x14ac:dyDescent="0.25">
      <c r="B74">
        <v>2</v>
      </c>
      <c r="C74">
        <f t="shared" ref="C74:C77" si="7">I73</f>
        <v>10000</v>
      </c>
      <c r="D74" s="3">
        <v>1.1200000000000001</v>
      </c>
      <c r="E74">
        <f t="shared" ref="E74:E77" si="8">C74*D74</f>
        <v>11200.000000000002</v>
      </c>
      <c r="F74">
        <f t="shared" ref="F74:F77" si="9">E74</f>
        <v>11200.000000000002</v>
      </c>
      <c r="G74">
        <f>H69</f>
        <v>2500</v>
      </c>
      <c r="H74">
        <f t="shared" ref="H74:H77" si="10">F74+G74</f>
        <v>13700.000000000002</v>
      </c>
      <c r="I74">
        <f t="shared" ref="I74:I77" si="11">C74+E74-H74</f>
        <v>7499.9999999999982</v>
      </c>
    </row>
    <row r="75" spans="2:14" x14ac:dyDescent="0.25">
      <c r="B75">
        <v>3</v>
      </c>
      <c r="C75">
        <f t="shared" si="7"/>
        <v>7499.9999999999982</v>
      </c>
      <c r="D75" s="3">
        <v>2.12</v>
      </c>
      <c r="E75">
        <f t="shared" si="8"/>
        <v>15899.999999999996</v>
      </c>
      <c r="F75">
        <f t="shared" si="9"/>
        <v>15899.999999999996</v>
      </c>
      <c r="G75">
        <f>H69</f>
        <v>2500</v>
      </c>
      <c r="H75">
        <f t="shared" si="10"/>
        <v>18399.999999999996</v>
      </c>
      <c r="I75">
        <f t="shared" si="11"/>
        <v>4999.9999999999964</v>
      </c>
    </row>
    <row r="76" spans="2:14" x14ac:dyDescent="0.25">
      <c r="B76">
        <v>4</v>
      </c>
      <c r="C76">
        <f t="shared" si="7"/>
        <v>4999.9999999999964</v>
      </c>
      <c r="D76" s="3">
        <v>3.12</v>
      </c>
      <c r="E76">
        <f t="shared" si="8"/>
        <v>15599.999999999989</v>
      </c>
      <c r="F76">
        <f t="shared" si="9"/>
        <v>15599.999999999989</v>
      </c>
      <c r="G76">
        <f>H69</f>
        <v>2500</v>
      </c>
      <c r="H76">
        <f t="shared" si="10"/>
        <v>18099.999999999989</v>
      </c>
      <c r="I76">
        <f t="shared" si="11"/>
        <v>2499.9999999999964</v>
      </c>
    </row>
    <row r="77" spans="2:14" x14ac:dyDescent="0.25">
      <c r="B77">
        <v>5</v>
      </c>
      <c r="C77">
        <f t="shared" si="7"/>
        <v>2499.9999999999964</v>
      </c>
      <c r="D77" s="3">
        <v>4.12</v>
      </c>
      <c r="E77">
        <f t="shared" si="8"/>
        <v>10299.999999999985</v>
      </c>
      <c r="F77">
        <f t="shared" si="9"/>
        <v>10299.999999999985</v>
      </c>
      <c r="G77">
        <f>H69</f>
        <v>2500</v>
      </c>
      <c r="H77">
        <f t="shared" si="10"/>
        <v>12799.999999999985</v>
      </c>
      <c r="I77" s="2">
        <f t="shared" si="11"/>
        <v>0</v>
      </c>
    </row>
    <row r="79" spans="2:14" x14ac:dyDescent="0.25">
      <c r="N79" t="s">
        <v>156</v>
      </c>
    </row>
    <row r="80" spans="2:14" x14ac:dyDescent="0.25">
      <c r="N80" t="s">
        <v>157</v>
      </c>
    </row>
    <row r="84" spans="1:102" x14ac:dyDescent="0.25">
      <c r="A84" t="s">
        <v>2</v>
      </c>
      <c r="B84" s="3">
        <v>0.1</v>
      </c>
      <c r="L84" t="s">
        <v>151</v>
      </c>
      <c r="M84" t="s">
        <v>152</v>
      </c>
    </row>
    <row r="85" spans="1:102" x14ac:dyDescent="0.25"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  <c r="H85">
        <v>6</v>
      </c>
      <c r="I85">
        <v>7</v>
      </c>
      <c r="J85">
        <v>8</v>
      </c>
      <c r="K85">
        <v>9</v>
      </c>
      <c r="L85">
        <v>10</v>
      </c>
      <c r="M85">
        <v>11</v>
      </c>
      <c r="N85">
        <v>12</v>
      </c>
      <c r="O85">
        <v>13</v>
      </c>
      <c r="P85">
        <v>14</v>
      </c>
      <c r="Q85">
        <v>15</v>
      </c>
      <c r="R85">
        <v>16</v>
      </c>
      <c r="S85">
        <v>17</v>
      </c>
      <c r="T85">
        <v>18</v>
      </c>
      <c r="U85">
        <v>19</v>
      </c>
      <c r="V85">
        <v>20</v>
      </c>
      <c r="W85">
        <v>21</v>
      </c>
      <c r="X85">
        <v>22</v>
      </c>
      <c r="Y85">
        <v>23</v>
      </c>
      <c r="Z85">
        <v>24</v>
      </c>
      <c r="AA85">
        <v>25</v>
      </c>
      <c r="AB85">
        <v>26</v>
      </c>
      <c r="AC85">
        <v>27</v>
      </c>
      <c r="AD85">
        <v>28</v>
      </c>
      <c r="AE85">
        <v>29</v>
      </c>
      <c r="AF85">
        <v>30</v>
      </c>
      <c r="AG85">
        <v>31</v>
      </c>
      <c r="AH85">
        <v>32</v>
      </c>
      <c r="AI85">
        <v>33</v>
      </c>
      <c r="AJ85">
        <v>34</v>
      </c>
      <c r="AK85">
        <v>35</v>
      </c>
      <c r="AL85">
        <v>36</v>
      </c>
      <c r="AM85">
        <v>37</v>
      </c>
      <c r="AN85">
        <v>38</v>
      </c>
      <c r="AO85">
        <v>39</v>
      </c>
      <c r="AP85">
        <v>40</v>
      </c>
      <c r="AQ85">
        <v>41</v>
      </c>
      <c r="AR85">
        <v>42</v>
      </c>
      <c r="AS85">
        <v>43</v>
      </c>
      <c r="AT85">
        <v>44</v>
      </c>
      <c r="AU85">
        <v>45</v>
      </c>
      <c r="AV85">
        <v>46</v>
      </c>
      <c r="AW85">
        <v>47</v>
      </c>
      <c r="AX85">
        <v>48</v>
      </c>
      <c r="AY85">
        <v>49</v>
      </c>
      <c r="AZ85">
        <v>50</v>
      </c>
      <c r="BA85">
        <v>51</v>
      </c>
      <c r="BB85">
        <v>52</v>
      </c>
      <c r="BC85">
        <v>53</v>
      </c>
      <c r="BD85">
        <v>54</v>
      </c>
      <c r="BE85">
        <v>55</v>
      </c>
      <c r="BF85">
        <v>56</v>
      </c>
      <c r="BG85">
        <v>57</v>
      </c>
      <c r="BH85">
        <v>58</v>
      </c>
      <c r="BI85">
        <v>59</v>
      </c>
      <c r="BJ85">
        <v>60</v>
      </c>
      <c r="BK85">
        <v>61</v>
      </c>
      <c r="BL85">
        <v>62</v>
      </c>
      <c r="BM85">
        <v>63</v>
      </c>
      <c r="BN85">
        <v>64</v>
      </c>
      <c r="BO85">
        <v>65</v>
      </c>
      <c r="BP85">
        <v>66</v>
      </c>
      <c r="BQ85">
        <v>67</v>
      </c>
      <c r="BR85">
        <v>68</v>
      </c>
      <c r="BS85">
        <v>69</v>
      </c>
      <c r="BT85">
        <v>70</v>
      </c>
      <c r="BU85">
        <v>71</v>
      </c>
      <c r="BV85">
        <v>72</v>
      </c>
      <c r="BW85">
        <v>73</v>
      </c>
      <c r="BX85">
        <v>74</v>
      </c>
      <c r="BY85">
        <v>75</v>
      </c>
      <c r="BZ85">
        <v>76</v>
      </c>
      <c r="CA85">
        <v>77</v>
      </c>
      <c r="CB85">
        <v>78</v>
      </c>
      <c r="CC85">
        <v>79</v>
      </c>
      <c r="CD85">
        <v>80</v>
      </c>
      <c r="CE85">
        <v>81</v>
      </c>
      <c r="CF85">
        <v>82</v>
      </c>
      <c r="CG85">
        <v>83</v>
      </c>
      <c r="CH85">
        <v>84</v>
      </c>
      <c r="CI85">
        <v>85</v>
      </c>
      <c r="CJ85">
        <v>86</v>
      </c>
      <c r="CK85">
        <v>87</v>
      </c>
      <c r="CL85">
        <v>88</v>
      </c>
      <c r="CM85">
        <v>89</v>
      </c>
      <c r="CN85">
        <v>90</v>
      </c>
      <c r="CO85">
        <v>91</v>
      </c>
      <c r="CP85">
        <v>92</v>
      </c>
      <c r="CQ85">
        <v>93</v>
      </c>
      <c r="CR85">
        <v>94</v>
      </c>
      <c r="CS85">
        <v>95</v>
      </c>
      <c r="CT85">
        <v>96</v>
      </c>
      <c r="CU85">
        <v>97</v>
      </c>
      <c r="CV85">
        <v>98</v>
      </c>
      <c r="CW85">
        <v>99</v>
      </c>
      <c r="CX85">
        <v>100</v>
      </c>
    </row>
    <row r="86" spans="1:102" x14ac:dyDescent="0.25">
      <c r="A86" t="s">
        <v>1</v>
      </c>
      <c r="C86">
        <f>$B$89</f>
        <v>11561.589807031365</v>
      </c>
      <c r="D86">
        <f t="shared" ref="D86:L86" si="12">$B$89</f>
        <v>11561.589807031365</v>
      </c>
      <c r="E86">
        <f t="shared" si="12"/>
        <v>11561.589807031365</v>
      </c>
      <c r="F86">
        <f t="shared" si="12"/>
        <v>11561.589807031365</v>
      </c>
      <c r="G86">
        <f t="shared" si="12"/>
        <v>11561.589807031365</v>
      </c>
      <c r="H86">
        <f t="shared" si="12"/>
        <v>11561.589807031365</v>
      </c>
      <c r="I86">
        <f t="shared" si="12"/>
        <v>11561.589807031365</v>
      </c>
      <c r="J86">
        <f t="shared" si="12"/>
        <v>11561.589807031365</v>
      </c>
      <c r="K86">
        <f t="shared" si="12"/>
        <v>11561.589807031365</v>
      </c>
      <c r="L86">
        <f t="shared" si="12"/>
        <v>11561.589807031365</v>
      </c>
      <c r="M86">
        <v>20000</v>
      </c>
      <c r="N86">
        <v>20000</v>
      </c>
      <c r="O86">
        <v>20000</v>
      </c>
      <c r="P86">
        <v>20000</v>
      </c>
      <c r="Q86">
        <v>20000</v>
      </c>
      <c r="R86">
        <v>20000</v>
      </c>
      <c r="S86">
        <v>20000</v>
      </c>
      <c r="T86">
        <v>20000</v>
      </c>
      <c r="U86">
        <v>20000</v>
      </c>
      <c r="V86">
        <v>20000</v>
      </c>
      <c r="W86">
        <v>20000</v>
      </c>
      <c r="X86">
        <v>20000</v>
      </c>
      <c r="Y86">
        <v>20000</v>
      </c>
      <c r="Z86">
        <v>20000</v>
      </c>
      <c r="AA86">
        <v>20000</v>
      </c>
      <c r="AB86">
        <v>20000</v>
      </c>
      <c r="AC86">
        <v>20000</v>
      </c>
      <c r="AD86">
        <v>20000</v>
      </c>
      <c r="AE86">
        <v>20000</v>
      </c>
      <c r="AF86">
        <v>20000</v>
      </c>
      <c r="AG86">
        <v>20000</v>
      </c>
      <c r="AH86">
        <v>20000</v>
      </c>
      <c r="AI86">
        <v>20000</v>
      </c>
      <c r="AJ86">
        <v>20000</v>
      </c>
      <c r="AK86">
        <v>20000</v>
      </c>
      <c r="AL86">
        <v>20000</v>
      </c>
      <c r="AM86">
        <v>20000</v>
      </c>
      <c r="AN86">
        <v>20000</v>
      </c>
      <c r="AO86">
        <v>20000</v>
      </c>
      <c r="AP86">
        <v>20000</v>
      </c>
      <c r="AQ86">
        <v>20000</v>
      </c>
      <c r="AR86">
        <v>20000</v>
      </c>
      <c r="AS86">
        <v>20000</v>
      </c>
      <c r="AT86">
        <v>20000</v>
      </c>
      <c r="AU86">
        <v>20000</v>
      </c>
      <c r="AV86">
        <v>20000</v>
      </c>
      <c r="AW86">
        <v>20000</v>
      </c>
      <c r="AX86">
        <v>20000</v>
      </c>
      <c r="AY86">
        <v>20000</v>
      </c>
      <c r="AZ86">
        <v>20000</v>
      </c>
      <c r="BA86">
        <v>20000</v>
      </c>
      <c r="BB86">
        <v>20000</v>
      </c>
      <c r="BC86">
        <v>20000</v>
      </c>
      <c r="BD86">
        <v>20000</v>
      </c>
      <c r="BE86">
        <v>20000</v>
      </c>
      <c r="BF86">
        <v>20000</v>
      </c>
      <c r="BG86">
        <v>20000</v>
      </c>
      <c r="BH86">
        <v>20000</v>
      </c>
      <c r="BI86">
        <v>20000</v>
      </c>
      <c r="BJ86">
        <v>20000</v>
      </c>
      <c r="BK86">
        <v>20000</v>
      </c>
      <c r="BL86">
        <v>20000</v>
      </c>
      <c r="BM86">
        <v>20000</v>
      </c>
      <c r="BN86">
        <v>20000</v>
      </c>
      <c r="BO86">
        <v>20000</v>
      </c>
      <c r="BP86">
        <v>20000</v>
      </c>
      <c r="BQ86">
        <v>20000</v>
      </c>
      <c r="BR86">
        <v>20000</v>
      </c>
      <c r="BS86">
        <v>20000</v>
      </c>
      <c r="BT86">
        <v>20000</v>
      </c>
      <c r="BU86">
        <v>20000</v>
      </c>
      <c r="BV86">
        <v>20000</v>
      </c>
      <c r="BW86">
        <v>20000</v>
      </c>
      <c r="BX86">
        <v>20000</v>
      </c>
      <c r="BY86">
        <v>20000</v>
      </c>
      <c r="BZ86">
        <v>20000</v>
      </c>
      <c r="CA86">
        <v>20000</v>
      </c>
      <c r="CB86">
        <v>20000</v>
      </c>
      <c r="CC86">
        <v>20000</v>
      </c>
      <c r="CD86">
        <v>20000</v>
      </c>
      <c r="CE86">
        <v>20000</v>
      </c>
      <c r="CF86">
        <v>20000</v>
      </c>
      <c r="CG86">
        <v>20000</v>
      </c>
      <c r="CH86">
        <v>20000</v>
      </c>
      <c r="CI86">
        <v>20000</v>
      </c>
      <c r="CJ86">
        <v>20000</v>
      </c>
      <c r="CK86">
        <v>20000</v>
      </c>
      <c r="CL86">
        <v>20000</v>
      </c>
      <c r="CM86">
        <v>20000</v>
      </c>
      <c r="CN86">
        <v>20000</v>
      </c>
      <c r="CO86">
        <v>20000</v>
      </c>
      <c r="CP86">
        <v>20000</v>
      </c>
      <c r="CQ86">
        <v>20000</v>
      </c>
      <c r="CR86">
        <v>20000</v>
      </c>
      <c r="CS86">
        <v>20000</v>
      </c>
      <c r="CT86">
        <v>20000</v>
      </c>
      <c r="CU86">
        <v>20000</v>
      </c>
      <c r="CV86">
        <v>20000</v>
      </c>
      <c r="CW86">
        <v>20000</v>
      </c>
      <c r="CX86">
        <v>20000</v>
      </c>
    </row>
    <row r="87" spans="1:102" x14ac:dyDescent="0.25">
      <c r="A87" t="s">
        <v>39</v>
      </c>
      <c r="C87">
        <f>C86*(1+$B$84)^($L$85-C85)</f>
        <v>27261.62398977876</v>
      </c>
      <c r="D87">
        <f t="shared" ref="D87:K87" si="13">D86*(1+$B$84)^($L$85-D85)</f>
        <v>24783.294536162506</v>
      </c>
      <c r="E87">
        <f t="shared" si="13"/>
        <v>22530.267760147737</v>
      </c>
      <c r="F87">
        <f t="shared" si="13"/>
        <v>20482.061600134301</v>
      </c>
      <c r="G87">
        <f t="shared" si="13"/>
        <v>18620.056000122091</v>
      </c>
      <c r="H87">
        <f t="shared" si="13"/>
        <v>16927.323636474626</v>
      </c>
      <c r="I87">
        <f t="shared" si="13"/>
        <v>15388.476033158751</v>
      </c>
      <c r="J87">
        <f t="shared" si="13"/>
        <v>13989.523666507954</v>
      </c>
      <c r="K87">
        <f t="shared" si="13"/>
        <v>12717.748787734503</v>
      </c>
      <c r="L87">
        <f t="shared" ref="L87" si="14">L86*(1+$B$84)^(U85-L85)</f>
        <v>27261.62398977876</v>
      </c>
      <c r="M87">
        <f>M86/(1+$B$84)^(M85-$L$85)</f>
        <v>18181.81818181818</v>
      </c>
      <c r="N87">
        <f t="shared" ref="N87:BY87" si="15">N86/(1+$B$84)^(N85-$L$85)</f>
        <v>16528.925619834707</v>
      </c>
      <c r="O87">
        <f t="shared" si="15"/>
        <v>15026.296018031551</v>
      </c>
      <c r="P87">
        <f t="shared" si="15"/>
        <v>13660.26910730141</v>
      </c>
      <c r="Q87">
        <f t="shared" si="15"/>
        <v>12418.426461183099</v>
      </c>
      <c r="R87">
        <f t="shared" si="15"/>
        <v>11289.478601075543</v>
      </c>
      <c r="S87">
        <f t="shared" si="15"/>
        <v>10263.162364614129</v>
      </c>
      <c r="T87">
        <f t="shared" si="15"/>
        <v>9330.1476041946626</v>
      </c>
      <c r="U87">
        <f t="shared" si="15"/>
        <v>8481.9523674496941</v>
      </c>
      <c r="V87">
        <f t="shared" si="15"/>
        <v>7710.8657885906296</v>
      </c>
      <c r="W87">
        <f t="shared" si="15"/>
        <v>7009.8779896278438</v>
      </c>
      <c r="X87">
        <f t="shared" si="15"/>
        <v>6372.6163542071308</v>
      </c>
      <c r="Y87">
        <f t="shared" si="15"/>
        <v>5793.2875947337552</v>
      </c>
      <c r="Z87">
        <f t="shared" si="15"/>
        <v>5266.6250861215949</v>
      </c>
      <c r="AA87">
        <f t="shared" si="15"/>
        <v>4787.8409873832679</v>
      </c>
      <c r="AB87">
        <f t="shared" si="15"/>
        <v>4352.5827158029706</v>
      </c>
      <c r="AC87">
        <f t="shared" si="15"/>
        <v>3956.8933780027005</v>
      </c>
      <c r="AD87">
        <f t="shared" si="15"/>
        <v>3597.1757981842729</v>
      </c>
      <c r="AE87">
        <f t="shared" si="15"/>
        <v>3270.1598165311566</v>
      </c>
      <c r="AF87">
        <f t="shared" si="15"/>
        <v>2972.8725604828696</v>
      </c>
      <c r="AG87">
        <f t="shared" si="15"/>
        <v>2702.6114186207906</v>
      </c>
      <c r="AH87">
        <f t="shared" si="15"/>
        <v>2456.9194714734454</v>
      </c>
      <c r="AI87">
        <f t="shared" si="15"/>
        <v>2233.56315588495</v>
      </c>
      <c r="AJ87">
        <f t="shared" si="15"/>
        <v>2030.5119598954095</v>
      </c>
      <c r="AK87">
        <f t="shared" si="15"/>
        <v>1845.919963541281</v>
      </c>
      <c r="AL87">
        <f t="shared" si="15"/>
        <v>1678.1090577648008</v>
      </c>
      <c r="AM87">
        <f t="shared" si="15"/>
        <v>1525.5536888770914</v>
      </c>
      <c r="AN87">
        <f t="shared" si="15"/>
        <v>1386.8669898882649</v>
      </c>
      <c r="AO87">
        <f t="shared" si="15"/>
        <v>1260.7881726256953</v>
      </c>
      <c r="AP87">
        <f t="shared" si="15"/>
        <v>1146.1710660233593</v>
      </c>
      <c r="AQ87">
        <f t="shared" si="15"/>
        <v>1041.973696384872</v>
      </c>
      <c r="AR87">
        <f t="shared" si="15"/>
        <v>947.24881489533823</v>
      </c>
      <c r="AS87">
        <f t="shared" si="15"/>
        <v>861.13528626848915</v>
      </c>
      <c r="AT87">
        <f t="shared" si="15"/>
        <v>782.85026024408103</v>
      </c>
      <c r="AU87">
        <f t="shared" si="15"/>
        <v>711.68205476734624</v>
      </c>
      <c r="AV87">
        <f t="shared" si="15"/>
        <v>646.98368615213303</v>
      </c>
      <c r="AW87">
        <f t="shared" si="15"/>
        <v>588.16698741102994</v>
      </c>
      <c r="AX87">
        <f t="shared" si="15"/>
        <v>534.69726128275443</v>
      </c>
      <c r="AY87">
        <f t="shared" si="15"/>
        <v>486.08841934795851</v>
      </c>
      <c r="AZ87">
        <f t="shared" si="15"/>
        <v>441.8985630435987</v>
      </c>
      <c r="BA87">
        <f t="shared" si="15"/>
        <v>401.72596640327151</v>
      </c>
      <c r="BB87">
        <f t="shared" si="15"/>
        <v>365.2054240029741</v>
      </c>
      <c r="BC87">
        <f t="shared" si="15"/>
        <v>332.00493091179453</v>
      </c>
      <c r="BD87">
        <f t="shared" si="15"/>
        <v>301.82266446526779</v>
      </c>
      <c r="BE87">
        <f t="shared" si="15"/>
        <v>274.38424042297066</v>
      </c>
      <c r="BF87">
        <f t="shared" si="15"/>
        <v>249.44021856633697</v>
      </c>
      <c r="BG87">
        <f t="shared" si="15"/>
        <v>226.76383506030632</v>
      </c>
      <c r="BH87">
        <f t="shared" si="15"/>
        <v>206.14894096391484</v>
      </c>
      <c r="BI87">
        <f t="shared" si="15"/>
        <v>187.40812814901346</v>
      </c>
      <c r="BJ87">
        <f t="shared" si="15"/>
        <v>170.37102559001224</v>
      </c>
      <c r="BK87">
        <f t="shared" si="15"/>
        <v>154.88275053637474</v>
      </c>
      <c r="BL87">
        <f t="shared" si="15"/>
        <v>140.80250048761337</v>
      </c>
      <c r="BM87">
        <f t="shared" si="15"/>
        <v>128.0022731705576</v>
      </c>
      <c r="BN87">
        <f t="shared" si="15"/>
        <v>116.3657028823251</v>
      </c>
      <c r="BO87">
        <f t="shared" si="15"/>
        <v>105.78700262029552</v>
      </c>
      <c r="BP87">
        <f t="shared" si="15"/>
        <v>96.170002382086864</v>
      </c>
      <c r="BQ87">
        <f t="shared" si="15"/>
        <v>87.427274892806224</v>
      </c>
      <c r="BR87">
        <f t="shared" si="15"/>
        <v>79.479340811642018</v>
      </c>
      <c r="BS87">
        <f t="shared" si="15"/>
        <v>72.253946192401813</v>
      </c>
      <c r="BT87">
        <f t="shared" si="15"/>
        <v>65.685405629456199</v>
      </c>
      <c r="BU87">
        <f t="shared" si="15"/>
        <v>59.714005117687449</v>
      </c>
      <c r="BV87">
        <f t="shared" si="15"/>
        <v>54.285459197897673</v>
      </c>
      <c r="BW87">
        <f t="shared" si="15"/>
        <v>49.350417452634254</v>
      </c>
      <c r="BX87">
        <f t="shared" si="15"/>
        <v>44.864015866031131</v>
      </c>
      <c r="BY87">
        <f t="shared" si="15"/>
        <v>40.785468969119208</v>
      </c>
      <c r="BZ87">
        <f t="shared" ref="BZ87:CX87" si="16">BZ86/(1+$B$84)^(BZ85-$L$85)</f>
        <v>37.077699062835642</v>
      </c>
      <c r="CA87">
        <f t="shared" si="16"/>
        <v>33.706999148032395</v>
      </c>
      <c r="CB87">
        <f t="shared" si="16"/>
        <v>30.642726498211271</v>
      </c>
      <c r="CC87">
        <f t="shared" si="16"/>
        <v>27.857024089282969</v>
      </c>
      <c r="CD87">
        <f t="shared" si="16"/>
        <v>25.324567353893606</v>
      </c>
      <c r="CE87">
        <f t="shared" si="16"/>
        <v>23.022333958085095</v>
      </c>
      <c r="CF87">
        <f t="shared" si="16"/>
        <v>20.929394507350086</v>
      </c>
      <c r="CG87">
        <f t="shared" si="16"/>
        <v>19.026722279409167</v>
      </c>
      <c r="CH87">
        <f t="shared" si="16"/>
        <v>17.297020254008334</v>
      </c>
      <c r="CI87">
        <f t="shared" si="16"/>
        <v>15.724563867280303</v>
      </c>
      <c r="CJ87">
        <f t="shared" si="16"/>
        <v>14.29505806116391</v>
      </c>
      <c r="CK87">
        <f t="shared" si="16"/>
        <v>12.995507328330827</v>
      </c>
      <c r="CL87">
        <f t="shared" si="16"/>
        <v>11.814097571209841</v>
      </c>
      <c r="CM87">
        <f t="shared" si="16"/>
        <v>10.740088701099856</v>
      </c>
      <c r="CN87">
        <f t="shared" si="16"/>
        <v>9.7637170009998684</v>
      </c>
      <c r="CO87">
        <f t="shared" si="16"/>
        <v>8.8761063645453344</v>
      </c>
      <c r="CP87">
        <f t="shared" si="16"/>
        <v>8.0691876041321215</v>
      </c>
      <c r="CQ87">
        <f t="shared" si="16"/>
        <v>7.3356250946655628</v>
      </c>
      <c r="CR87">
        <f t="shared" si="16"/>
        <v>6.6687500860596041</v>
      </c>
      <c r="CS87">
        <f t="shared" si="16"/>
        <v>6.0625000782360026</v>
      </c>
      <c r="CT87">
        <f t="shared" si="16"/>
        <v>5.5113637074872743</v>
      </c>
      <c r="CU87">
        <f t="shared" si="16"/>
        <v>5.0103306431702492</v>
      </c>
      <c r="CV87">
        <f t="shared" si="16"/>
        <v>4.5548460392456818</v>
      </c>
      <c r="CW87">
        <f t="shared" si="16"/>
        <v>4.1407691265869824</v>
      </c>
      <c r="CX87">
        <f t="shared" si="16"/>
        <v>3.7643355696245293</v>
      </c>
    </row>
    <row r="88" spans="1:102" x14ac:dyDescent="0.25">
      <c r="M88">
        <f>SUM(M87:CX87)</f>
        <v>199962.35664430368</v>
      </c>
    </row>
    <row r="89" spans="1:102" x14ac:dyDescent="0.25">
      <c r="A89" t="s">
        <v>153</v>
      </c>
      <c r="B89">
        <v>11561.589807031365</v>
      </c>
    </row>
    <row r="91" spans="1:102" x14ac:dyDescent="0.25">
      <c r="A91" t="s">
        <v>155</v>
      </c>
      <c r="B91">
        <f>SUM(B87:L87)</f>
        <v>199962</v>
      </c>
    </row>
    <row r="92" spans="1:102" x14ac:dyDescent="0.25">
      <c r="A92" t="s">
        <v>154</v>
      </c>
      <c r="B92">
        <f>M88</f>
        <v>199962.35664430368</v>
      </c>
    </row>
    <row r="94" spans="1:102" x14ac:dyDescent="0.25">
      <c r="B94" t="s">
        <v>161</v>
      </c>
    </row>
    <row r="96" spans="1:102" x14ac:dyDescent="0.25">
      <c r="B96" t="s">
        <v>1</v>
      </c>
      <c r="C96" t="s">
        <v>160</v>
      </c>
      <c r="E96" t="s">
        <v>162</v>
      </c>
      <c r="F96">
        <f>C98/C97</f>
        <v>200000</v>
      </c>
    </row>
    <row r="97" spans="1:3" x14ac:dyDescent="0.25">
      <c r="B97" t="s">
        <v>158</v>
      </c>
      <c r="C97" s="3">
        <v>0.1</v>
      </c>
    </row>
    <row r="98" spans="1:3" x14ac:dyDescent="0.25">
      <c r="B98" t="s">
        <v>159</v>
      </c>
      <c r="C98">
        <f>20000</f>
        <v>20000</v>
      </c>
    </row>
    <row r="109" spans="1:3" x14ac:dyDescent="0.25">
      <c r="B109" t="s">
        <v>163</v>
      </c>
      <c r="C109">
        <v>25000</v>
      </c>
    </row>
    <row r="110" spans="1:3" x14ac:dyDescent="0.25">
      <c r="B110" t="s">
        <v>2</v>
      </c>
      <c r="C110" s="1">
        <v>0.125</v>
      </c>
    </row>
    <row r="111" spans="1:3" x14ac:dyDescent="0.25">
      <c r="A111" t="s">
        <v>165</v>
      </c>
      <c r="C111" s="1"/>
    </row>
    <row r="112" spans="1:3" x14ac:dyDescent="0.25">
      <c r="A112" t="s">
        <v>164</v>
      </c>
    </row>
    <row r="113" spans="1:33" x14ac:dyDescent="0.25">
      <c r="B113">
        <v>29</v>
      </c>
      <c r="C113">
        <v>30</v>
      </c>
      <c r="D113">
        <v>31</v>
      </c>
      <c r="E113">
        <v>32</v>
      </c>
      <c r="F113">
        <v>33</v>
      </c>
      <c r="G113">
        <v>34</v>
      </c>
      <c r="H113">
        <v>35</v>
      </c>
      <c r="I113">
        <v>36</v>
      </c>
      <c r="J113">
        <v>37</v>
      </c>
      <c r="K113">
        <v>38</v>
      </c>
      <c r="L113">
        <v>39</v>
      </c>
      <c r="M113">
        <v>40</v>
      </c>
      <c r="N113">
        <v>41</v>
      </c>
      <c r="O113">
        <v>42</v>
      </c>
      <c r="P113">
        <v>43</v>
      </c>
      <c r="Q113">
        <v>44</v>
      </c>
      <c r="R113">
        <v>45</v>
      </c>
      <c r="S113">
        <v>46</v>
      </c>
      <c r="T113">
        <v>47</v>
      </c>
      <c r="U113">
        <v>48</v>
      </c>
      <c r="V113">
        <v>49</v>
      </c>
      <c r="W113">
        <v>50</v>
      </c>
      <c r="X113">
        <v>51</v>
      </c>
      <c r="Y113">
        <v>52</v>
      </c>
      <c r="Z113">
        <v>53</v>
      </c>
      <c r="AA113">
        <v>54</v>
      </c>
      <c r="AB113">
        <v>55</v>
      </c>
      <c r="AC113">
        <v>56</v>
      </c>
      <c r="AD113">
        <v>57</v>
      </c>
      <c r="AE113">
        <v>58</v>
      </c>
      <c r="AF113">
        <v>59</v>
      </c>
      <c r="AG113">
        <v>60</v>
      </c>
    </row>
    <row r="114" spans="1:33" x14ac:dyDescent="0.25"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  <c r="J114">
        <v>8</v>
      </c>
      <c r="K114">
        <v>9</v>
      </c>
      <c r="L114">
        <v>10</v>
      </c>
      <c r="M114">
        <v>11</v>
      </c>
      <c r="N114">
        <v>12</v>
      </c>
      <c r="O114">
        <v>13</v>
      </c>
      <c r="P114">
        <v>14</v>
      </c>
      <c r="Q114">
        <v>15</v>
      </c>
      <c r="R114">
        <v>16</v>
      </c>
      <c r="S114">
        <v>17</v>
      </c>
      <c r="T114">
        <v>18</v>
      </c>
      <c r="U114">
        <v>19</v>
      </c>
      <c r="V114">
        <v>20</v>
      </c>
      <c r="W114">
        <v>21</v>
      </c>
      <c r="X114">
        <v>22</v>
      </c>
      <c r="Y114">
        <v>23</v>
      </c>
      <c r="Z114">
        <v>24</v>
      </c>
      <c r="AA114">
        <v>25</v>
      </c>
      <c r="AB114">
        <v>26</v>
      </c>
      <c r="AC114">
        <v>27</v>
      </c>
      <c r="AD114">
        <v>28</v>
      </c>
      <c r="AE114">
        <v>29</v>
      </c>
      <c r="AF114">
        <v>30</v>
      </c>
      <c r="AG114">
        <v>31</v>
      </c>
    </row>
    <row r="115" spans="1:33" x14ac:dyDescent="0.25">
      <c r="A115" t="s">
        <v>0</v>
      </c>
      <c r="B115">
        <v>0</v>
      </c>
    </row>
    <row r="116" spans="1:33" x14ac:dyDescent="0.25">
      <c r="C116">
        <v>100000</v>
      </c>
      <c r="D116">
        <f>C116+5000</f>
        <v>105000</v>
      </c>
      <c r="E116">
        <f t="shared" ref="E116:AG116" si="17">D116+5000</f>
        <v>110000</v>
      </c>
      <c r="F116">
        <f t="shared" si="17"/>
        <v>115000</v>
      </c>
      <c r="G116">
        <f t="shared" si="17"/>
        <v>120000</v>
      </c>
      <c r="H116">
        <f t="shared" si="17"/>
        <v>125000</v>
      </c>
      <c r="I116">
        <f t="shared" si="17"/>
        <v>130000</v>
      </c>
      <c r="J116">
        <f t="shared" si="17"/>
        <v>135000</v>
      </c>
      <c r="K116">
        <f t="shared" si="17"/>
        <v>140000</v>
      </c>
      <c r="L116">
        <f t="shared" si="17"/>
        <v>145000</v>
      </c>
      <c r="M116">
        <f t="shared" si="17"/>
        <v>150000</v>
      </c>
      <c r="N116">
        <f t="shared" si="17"/>
        <v>155000</v>
      </c>
      <c r="O116">
        <f t="shared" si="17"/>
        <v>160000</v>
      </c>
      <c r="P116">
        <f t="shared" si="17"/>
        <v>165000</v>
      </c>
      <c r="Q116">
        <f t="shared" si="17"/>
        <v>170000</v>
      </c>
      <c r="R116">
        <f t="shared" si="17"/>
        <v>175000</v>
      </c>
      <c r="S116">
        <f t="shared" si="17"/>
        <v>180000</v>
      </c>
      <c r="T116">
        <f t="shared" si="17"/>
        <v>185000</v>
      </c>
      <c r="U116">
        <f t="shared" si="17"/>
        <v>190000</v>
      </c>
      <c r="V116">
        <f t="shared" si="17"/>
        <v>195000</v>
      </c>
      <c r="W116">
        <f t="shared" si="17"/>
        <v>200000</v>
      </c>
      <c r="X116">
        <f t="shared" si="17"/>
        <v>205000</v>
      </c>
      <c r="Y116">
        <f t="shared" si="17"/>
        <v>210000</v>
      </c>
      <c r="Z116">
        <f t="shared" si="17"/>
        <v>215000</v>
      </c>
      <c r="AA116">
        <f t="shared" si="17"/>
        <v>220000</v>
      </c>
      <c r="AB116">
        <f t="shared" si="17"/>
        <v>225000</v>
      </c>
      <c r="AC116">
        <f t="shared" si="17"/>
        <v>230000</v>
      </c>
      <c r="AD116">
        <f t="shared" si="17"/>
        <v>235000</v>
      </c>
      <c r="AE116">
        <f t="shared" si="17"/>
        <v>240000</v>
      </c>
      <c r="AF116">
        <f t="shared" si="17"/>
        <v>245000</v>
      </c>
      <c r="AG116">
        <f t="shared" si="17"/>
        <v>250000</v>
      </c>
    </row>
    <row r="117" spans="1:33" x14ac:dyDescent="0.25">
      <c r="A117" t="s">
        <v>70</v>
      </c>
      <c r="B117">
        <f>B115</f>
        <v>0</v>
      </c>
      <c r="C117">
        <f>C116</f>
        <v>100000</v>
      </c>
      <c r="D117">
        <f t="shared" ref="D117:AG117" si="18">D116</f>
        <v>105000</v>
      </c>
      <c r="E117">
        <f t="shared" si="18"/>
        <v>110000</v>
      </c>
      <c r="F117">
        <f t="shared" si="18"/>
        <v>115000</v>
      </c>
      <c r="G117">
        <f t="shared" si="18"/>
        <v>120000</v>
      </c>
      <c r="H117">
        <f t="shared" si="18"/>
        <v>125000</v>
      </c>
      <c r="I117">
        <f t="shared" si="18"/>
        <v>130000</v>
      </c>
      <c r="J117">
        <f t="shared" si="18"/>
        <v>135000</v>
      </c>
      <c r="K117">
        <f t="shared" si="18"/>
        <v>140000</v>
      </c>
      <c r="L117">
        <f t="shared" si="18"/>
        <v>145000</v>
      </c>
      <c r="M117">
        <f t="shared" si="18"/>
        <v>150000</v>
      </c>
      <c r="N117">
        <f t="shared" si="18"/>
        <v>155000</v>
      </c>
      <c r="O117">
        <f t="shared" si="18"/>
        <v>160000</v>
      </c>
      <c r="P117">
        <f t="shared" si="18"/>
        <v>165000</v>
      </c>
      <c r="Q117">
        <f t="shared" si="18"/>
        <v>170000</v>
      </c>
      <c r="R117">
        <f t="shared" si="18"/>
        <v>175000</v>
      </c>
      <c r="S117">
        <f t="shared" si="18"/>
        <v>180000</v>
      </c>
      <c r="T117">
        <f t="shared" si="18"/>
        <v>185000</v>
      </c>
      <c r="U117">
        <f t="shared" si="18"/>
        <v>190000</v>
      </c>
      <c r="V117">
        <f t="shared" si="18"/>
        <v>195000</v>
      </c>
      <c r="W117">
        <f t="shared" si="18"/>
        <v>200000</v>
      </c>
      <c r="X117">
        <f t="shared" si="18"/>
        <v>205000</v>
      </c>
      <c r="Y117">
        <f t="shared" si="18"/>
        <v>210000</v>
      </c>
      <c r="Z117">
        <f t="shared" si="18"/>
        <v>215000</v>
      </c>
      <c r="AA117">
        <f t="shared" si="18"/>
        <v>220000</v>
      </c>
      <c r="AB117">
        <f t="shared" si="18"/>
        <v>225000</v>
      </c>
      <c r="AC117">
        <f t="shared" si="18"/>
        <v>230000</v>
      </c>
      <c r="AD117">
        <f t="shared" si="18"/>
        <v>235000</v>
      </c>
      <c r="AE117">
        <f t="shared" si="18"/>
        <v>240000</v>
      </c>
      <c r="AF117">
        <f t="shared" si="18"/>
        <v>245000</v>
      </c>
      <c r="AG117">
        <f t="shared" si="18"/>
        <v>250000</v>
      </c>
    </row>
    <row r="118" spans="1:33" x14ac:dyDescent="0.25">
      <c r="A118" t="s">
        <v>53</v>
      </c>
      <c r="B118">
        <f>B117/(1+$C$110)^(B114)</f>
        <v>0</v>
      </c>
      <c r="C118">
        <f>C117/(1+$C$110)^(C114)</f>
        <v>88888.888888888891</v>
      </c>
      <c r="D118">
        <f t="shared" ref="D118:AG118" si="19">D117/(1+$C$110)^(D114)</f>
        <v>82962.962962962964</v>
      </c>
      <c r="E118">
        <f t="shared" si="19"/>
        <v>77256.515775034291</v>
      </c>
      <c r="F118">
        <f t="shared" si="19"/>
        <v>71793.933851547015</v>
      </c>
      <c r="G118">
        <f t="shared" si="19"/>
        <v>66591.474876797234</v>
      </c>
      <c r="H118">
        <f t="shared" si="19"/>
        <v>61658.773034071513</v>
      </c>
      <c r="I118">
        <f t="shared" si="19"/>
        <v>57000.110182608332</v>
      </c>
      <c r="J118">
        <f t="shared" si="19"/>
        <v>52615.486322407691</v>
      </c>
      <c r="K118">
        <f t="shared" si="19"/>
        <v>48501.518256046598</v>
      </c>
      <c r="L118">
        <f t="shared" si="19"/>
        <v>44652.191410328611</v>
      </c>
      <c r="M118">
        <f t="shared" si="19"/>
        <v>41059.486354325163</v>
      </c>
      <c r="N118">
        <f t="shared" si="19"/>
        <v>37713.898577306078</v>
      </c>
      <c r="O118">
        <f t="shared" si="19"/>
        <v>34604.867511793389</v>
      </c>
      <c r="P118">
        <f t="shared" si="19"/>
        <v>31721.128552477272</v>
      </c>
      <c r="Q118">
        <f t="shared" si="19"/>
        <v>29050.999886443831</v>
      </c>
      <c r="R118">
        <f t="shared" si="19"/>
        <v>26582.614275177362</v>
      </c>
      <c r="S118">
        <f t="shared" si="19"/>
        <v>24304.104480162161</v>
      </c>
      <c r="T118">
        <f t="shared" si="19"/>
        <v>22203.749771999996</v>
      </c>
      <c r="U118">
        <f t="shared" si="19"/>
        <v>20270.089881945943</v>
      </c>
      <c r="V118">
        <f t="shared" si="19"/>
        <v>18492.011822126125</v>
      </c>
      <c r="W118">
        <f t="shared" si="19"/>
        <v>16858.814196810141</v>
      </c>
      <c r="X118">
        <f t="shared" si="19"/>
        <v>15360.252934871463</v>
      </c>
      <c r="Y118">
        <f t="shared" si="19"/>
        <v>13986.57177809434</v>
      </c>
      <c r="Z118">
        <f t="shared" si="19"/>
        <v>12728.520348318658</v>
      </c>
      <c r="AA118">
        <f t="shared" si="19"/>
        <v>11577.362177282088</v>
      </c>
      <c r="AB118">
        <f t="shared" si="19"/>
        <v>10524.874706620079</v>
      </c>
      <c r="AC118">
        <f t="shared" si="19"/>
        <v>9563.3429432992325</v>
      </c>
      <c r="AD118">
        <f t="shared" si="19"/>
        <v>8685.5481803877083</v>
      </c>
      <c r="AE118">
        <f t="shared" si="19"/>
        <v>7884.7529580824594</v>
      </c>
      <c r="AF118">
        <f t="shared" si="19"/>
        <v>7154.683239741491</v>
      </c>
      <c r="AG118">
        <f t="shared" si="19"/>
        <v>6489.5086074752744</v>
      </c>
    </row>
    <row r="119" spans="1:33" x14ac:dyDescent="0.25">
      <c r="A119" t="s">
        <v>3</v>
      </c>
      <c r="B119">
        <f>SUM(B118:AG118)</f>
        <v>1058739.0387454336</v>
      </c>
    </row>
    <row r="122" spans="1:33" x14ac:dyDescent="0.25">
      <c r="A122" t="s">
        <v>166</v>
      </c>
    </row>
    <row r="123" spans="1:33" x14ac:dyDescent="0.25">
      <c r="B123">
        <v>29</v>
      </c>
      <c r="C123">
        <v>30</v>
      </c>
      <c r="D123">
        <v>31</v>
      </c>
      <c r="E123">
        <v>32</v>
      </c>
      <c r="F123">
        <v>33</v>
      </c>
      <c r="G123">
        <v>34</v>
      </c>
      <c r="H123">
        <v>35</v>
      </c>
      <c r="I123">
        <v>36</v>
      </c>
      <c r="J123">
        <v>37</v>
      </c>
      <c r="K123">
        <v>38</v>
      </c>
      <c r="L123">
        <v>39</v>
      </c>
      <c r="M123">
        <v>40</v>
      </c>
      <c r="N123">
        <v>41</v>
      </c>
      <c r="O123">
        <v>42</v>
      </c>
      <c r="P123">
        <v>43</v>
      </c>
      <c r="Q123">
        <v>44</v>
      </c>
      <c r="R123">
        <v>45</v>
      </c>
      <c r="S123">
        <v>46</v>
      </c>
      <c r="T123">
        <v>47</v>
      </c>
      <c r="U123">
        <v>48</v>
      </c>
      <c r="V123">
        <v>49</v>
      </c>
      <c r="W123">
        <v>50</v>
      </c>
      <c r="X123">
        <v>51</v>
      </c>
      <c r="Y123">
        <v>52</v>
      </c>
      <c r="Z123">
        <v>53</v>
      </c>
      <c r="AA123">
        <v>54</v>
      </c>
      <c r="AB123">
        <v>55</v>
      </c>
      <c r="AC123">
        <v>56</v>
      </c>
      <c r="AD123">
        <v>57</v>
      </c>
      <c r="AE123">
        <v>58</v>
      </c>
      <c r="AF123">
        <v>59</v>
      </c>
      <c r="AG123">
        <v>60</v>
      </c>
    </row>
    <row r="124" spans="1:33" x14ac:dyDescent="0.25">
      <c r="B124">
        <v>0</v>
      </c>
      <c r="C124">
        <v>1</v>
      </c>
      <c r="D124">
        <v>2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  <c r="O124">
        <v>13</v>
      </c>
      <c r="P124">
        <v>14</v>
      </c>
      <c r="Q124">
        <v>15</v>
      </c>
      <c r="R124">
        <v>16</v>
      </c>
      <c r="S124">
        <v>17</v>
      </c>
      <c r="T124">
        <v>18</v>
      </c>
      <c r="U124">
        <v>19</v>
      </c>
      <c r="V124">
        <v>20</v>
      </c>
      <c r="W124">
        <v>21</v>
      </c>
      <c r="X124">
        <v>22</v>
      </c>
      <c r="Y124">
        <v>23</v>
      </c>
      <c r="Z124">
        <v>24</v>
      </c>
      <c r="AA124">
        <v>25</v>
      </c>
      <c r="AB124">
        <v>26</v>
      </c>
      <c r="AC124">
        <v>27</v>
      </c>
      <c r="AD124">
        <v>28</v>
      </c>
      <c r="AE124">
        <v>29</v>
      </c>
      <c r="AF124">
        <v>30</v>
      </c>
      <c r="AG124">
        <v>31</v>
      </c>
    </row>
    <row r="125" spans="1:33" x14ac:dyDescent="0.25">
      <c r="A125" t="s">
        <v>0</v>
      </c>
      <c r="B125">
        <v>-25000</v>
      </c>
    </row>
    <row r="126" spans="1:33" x14ac:dyDescent="0.25">
      <c r="C126" s="2">
        <v>0</v>
      </c>
      <c r="D126">
        <v>130000</v>
      </c>
      <c r="E126">
        <f t="shared" ref="E126:AG126" si="20">D126+5000</f>
        <v>135000</v>
      </c>
      <c r="F126">
        <f t="shared" si="20"/>
        <v>140000</v>
      </c>
      <c r="G126">
        <f t="shared" si="20"/>
        <v>145000</v>
      </c>
      <c r="H126">
        <f t="shared" si="20"/>
        <v>150000</v>
      </c>
      <c r="I126">
        <f t="shared" si="20"/>
        <v>155000</v>
      </c>
      <c r="J126">
        <f t="shared" si="20"/>
        <v>160000</v>
      </c>
      <c r="K126">
        <f t="shared" si="20"/>
        <v>165000</v>
      </c>
      <c r="L126">
        <f t="shared" si="20"/>
        <v>170000</v>
      </c>
      <c r="M126">
        <f t="shared" si="20"/>
        <v>175000</v>
      </c>
      <c r="N126">
        <f t="shared" si="20"/>
        <v>180000</v>
      </c>
      <c r="O126">
        <f t="shared" si="20"/>
        <v>185000</v>
      </c>
      <c r="P126">
        <f t="shared" si="20"/>
        <v>190000</v>
      </c>
      <c r="Q126">
        <f t="shared" si="20"/>
        <v>195000</v>
      </c>
      <c r="R126">
        <f t="shared" si="20"/>
        <v>200000</v>
      </c>
      <c r="S126">
        <f t="shared" si="20"/>
        <v>205000</v>
      </c>
      <c r="T126">
        <f t="shared" si="20"/>
        <v>210000</v>
      </c>
      <c r="U126">
        <f t="shared" si="20"/>
        <v>215000</v>
      </c>
      <c r="V126">
        <f t="shared" si="20"/>
        <v>220000</v>
      </c>
      <c r="W126">
        <f t="shared" si="20"/>
        <v>225000</v>
      </c>
      <c r="X126">
        <f t="shared" si="20"/>
        <v>230000</v>
      </c>
      <c r="Y126">
        <f t="shared" si="20"/>
        <v>235000</v>
      </c>
      <c r="Z126">
        <f t="shared" si="20"/>
        <v>240000</v>
      </c>
      <c r="AA126">
        <f t="shared" si="20"/>
        <v>245000</v>
      </c>
      <c r="AB126">
        <f t="shared" si="20"/>
        <v>250000</v>
      </c>
      <c r="AC126">
        <f t="shared" si="20"/>
        <v>255000</v>
      </c>
      <c r="AD126">
        <f t="shared" si="20"/>
        <v>260000</v>
      </c>
      <c r="AE126">
        <f t="shared" si="20"/>
        <v>265000</v>
      </c>
      <c r="AF126">
        <f t="shared" si="20"/>
        <v>270000</v>
      </c>
      <c r="AG126">
        <f t="shared" si="20"/>
        <v>275000</v>
      </c>
    </row>
    <row r="127" spans="1:33" x14ac:dyDescent="0.25">
      <c r="A127" t="s">
        <v>70</v>
      </c>
      <c r="B127">
        <f>B125</f>
        <v>-25000</v>
      </c>
      <c r="C127">
        <f>C126</f>
        <v>0</v>
      </c>
      <c r="D127">
        <f t="shared" ref="D127" si="21">D126</f>
        <v>130000</v>
      </c>
      <c r="E127">
        <f t="shared" ref="E127" si="22">E126</f>
        <v>135000</v>
      </c>
      <c r="F127">
        <f t="shared" ref="F127" si="23">F126</f>
        <v>140000</v>
      </c>
      <c r="G127">
        <f t="shared" ref="G127" si="24">G126</f>
        <v>145000</v>
      </c>
      <c r="H127">
        <f t="shared" ref="H127" si="25">H126</f>
        <v>150000</v>
      </c>
      <c r="I127">
        <f t="shared" ref="I127" si="26">I126</f>
        <v>155000</v>
      </c>
      <c r="J127">
        <f t="shared" ref="J127" si="27">J126</f>
        <v>160000</v>
      </c>
      <c r="K127">
        <f t="shared" ref="K127" si="28">K126</f>
        <v>165000</v>
      </c>
      <c r="L127">
        <f t="shared" ref="L127" si="29">L126</f>
        <v>170000</v>
      </c>
      <c r="M127">
        <f t="shared" ref="M127" si="30">M126</f>
        <v>175000</v>
      </c>
      <c r="N127">
        <f t="shared" ref="N127" si="31">N126</f>
        <v>180000</v>
      </c>
      <c r="O127">
        <f t="shared" ref="O127" si="32">O126</f>
        <v>185000</v>
      </c>
      <c r="P127">
        <f t="shared" ref="P127" si="33">P126</f>
        <v>190000</v>
      </c>
      <c r="Q127">
        <f t="shared" ref="Q127" si="34">Q126</f>
        <v>195000</v>
      </c>
      <c r="R127">
        <f t="shared" ref="R127" si="35">R126</f>
        <v>200000</v>
      </c>
      <c r="S127">
        <f t="shared" ref="S127" si="36">S126</f>
        <v>205000</v>
      </c>
      <c r="T127">
        <f t="shared" ref="T127" si="37">T126</f>
        <v>210000</v>
      </c>
      <c r="U127">
        <f t="shared" ref="U127" si="38">U126</f>
        <v>215000</v>
      </c>
      <c r="V127">
        <f t="shared" ref="V127" si="39">V126</f>
        <v>220000</v>
      </c>
      <c r="W127">
        <f t="shared" ref="W127" si="40">W126</f>
        <v>225000</v>
      </c>
      <c r="X127">
        <f t="shared" ref="X127" si="41">X126</f>
        <v>230000</v>
      </c>
      <c r="Y127">
        <f t="shared" ref="Y127" si="42">Y126</f>
        <v>235000</v>
      </c>
      <c r="Z127">
        <f t="shared" ref="Z127" si="43">Z126</f>
        <v>240000</v>
      </c>
      <c r="AA127">
        <f t="shared" ref="AA127" si="44">AA126</f>
        <v>245000</v>
      </c>
      <c r="AB127">
        <f t="shared" ref="AB127" si="45">AB126</f>
        <v>250000</v>
      </c>
      <c r="AC127">
        <f t="shared" ref="AC127" si="46">AC126</f>
        <v>255000</v>
      </c>
      <c r="AD127">
        <f t="shared" ref="AD127" si="47">AD126</f>
        <v>260000</v>
      </c>
      <c r="AE127">
        <f t="shared" ref="AE127" si="48">AE126</f>
        <v>265000</v>
      </c>
      <c r="AF127">
        <f t="shared" ref="AF127" si="49">AF126</f>
        <v>270000</v>
      </c>
      <c r="AG127">
        <f t="shared" ref="AG127" si="50">AG126</f>
        <v>275000</v>
      </c>
    </row>
    <row r="128" spans="1:33" x14ac:dyDescent="0.25">
      <c r="A128" t="s">
        <v>53</v>
      </c>
      <c r="B128">
        <f>B127/(1+$C$110)^(B124)</f>
        <v>-25000</v>
      </c>
      <c r="C128">
        <f>C127/(1+$C$110)^(C124)</f>
        <v>0</v>
      </c>
      <c r="D128">
        <f t="shared" ref="D128" si="51">D127/(1+$C$110)^(D124)</f>
        <v>102716.04938271605</v>
      </c>
      <c r="E128">
        <f t="shared" ref="E128" si="52">E127/(1+$C$110)^(E124)</f>
        <v>94814.814814814818</v>
      </c>
      <c r="F128">
        <f t="shared" ref="F128" si="53">F127/(1+$C$110)^(F124)</f>
        <v>87401.310775796373</v>
      </c>
      <c r="G128">
        <f t="shared" ref="G128" si="54">G127/(1+$C$110)^(G124)</f>
        <v>80464.698809463327</v>
      </c>
      <c r="H128">
        <f t="shared" ref="H128" si="55">H127/(1+$C$110)^(H124)</f>
        <v>73990.527640885819</v>
      </c>
      <c r="I128">
        <f t="shared" ref="I128" si="56">I127/(1+$C$110)^(I124)</f>
        <v>67961.669833109932</v>
      </c>
      <c r="J128">
        <f t="shared" ref="J128" si="57">J127/(1+$C$110)^(J124)</f>
        <v>62359.094900631339</v>
      </c>
      <c r="K128">
        <f t="shared" ref="K128" si="58">K127/(1+$C$110)^(K124)</f>
        <v>57162.503658912065</v>
      </c>
      <c r="L128">
        <f t="shared" ref="L128" si="59">L127/(1+$C$110)^(L124)</f>
        <v>52350.845101764578</v>
      </c>
      <c r="M128">
        <f t="shared" ref="M128" si="60">M127/(1+$C$110)^(M124)</f>
        <v>47902.734080046022</v>
      </c>
      <c r="N128">
        <f t="shared" ref="N128" si="61">N127/(1+$C$110)^(N124)</f>
        <v>43796.785444613502</v>
      </c>
      <c r="O128">
        <f t="shared" ref="O128" si="62">O127/(1+$C$110)^(O124)</f>
        <v>40011.878060511102</v>
      </c>
      <c r="P128">
        <f t="shared" ref="P128" si="63">P127/(1+$C$110)^(P124)</f>
        <v>36527.360151337467</v>
      </c>
      <c r="Q128">
        <f t="shared" ref="Q128" si="64">Q127/(1+$C$110)^(Q124)</f>
        <v>33323.205752097339</v>
      </c>
      <c r="R128">
        <f t="shared" ref="R128" si="65">R127/(1+$C$110)^(R124)</f>
        <v>30380.130600202701</v>
      </c>
      <c r="S128">
        <f t="shared" ref="S128" si="66">S127/(1+$C$110)^(S124)</f>
        <v>27679.674546851351</v>
      </c>
      <c r="T128">
        <f t="shared" ref="T128" si="67">T127/(1+$C$110)^(T124)</f>
        <v>25204.256497945942</v>
      </c>
      <c r="U128">
        <f t="shared" ref="U128" si="68">U127/(1+$C$110)^(U124)</f>
        <v>22937.206971675674</v>
      </c>
      <c r="V128">
        <f t="shared" ref="V128" si="69">V127/(1+$C$110)^(V124)</f>
        <v>20862.782568552549</v>
      </c>
      <c r="W128">
        <f t="shared" ref="W128" si="70">W127/(1+$C$110)^(W124)</f>
        <v>18966.165971411407</v>
      </c>
      <c r="X128">
        <f t="shared" ref="X128" si="71">X127/(1+$C$110)^(X124)</f>
        <v>17233.454512294811</v>
      </c>
      <c r="Y128">
        <f t="shared" ref="Y128" si="72">Y127/(1+$C$110)^(Y124)</f>
        <v>15651.639846915094</v>
      </c>
      <c r="Z128">
        <f t="shared" ref="Z128" si="73">Z127/(1+$C$110)^(Z124)</f>
        <v>14208.580853937106</v>
      </c>
      <c r="AA128">
        <f t="shared" ref="AA128" si="74">AA127/(1+$C$110)^(AA124)</f>
        <v>12892.971515609597</v>
      </c>
      <c r="AB128">
        <f t="shared" ref="AB128" si="75">AB127/(1+$C$110)^(AB124)</f>
        <v>11694.305229577867</v>
      </c>
      <c r="AC128">
        <f t="shared" ref="AC128" si="76">AC127/(1+$C$110)^(AC124)</f>
        <v>10602.83674148393</v>
      </c>
      <c r="AD128">
        <f t="shared" ref="AD128" si="77">AD127/(1+$C$110)^(AD124)</f>
        <v>9609.5426676629959</v>
      </c>
      <c r="AE128">
        <f t="shared" ref="AE128" si="78">AE127/(1+$C$110)^(AE124)</f>
        <v>8706.0813912160484</v>
      </c>
      <c r="AF128">
        <f t="shared" ref="AF128" si="79">AF127/(1+$C$110)^(AF124)</f>
        <v>7884.7529580824594</v>
      </c>
      <c r="AG128">
        <f t="shared" ref="AG128" si="80">AG127/(1+$C$110)^(AG124)</f>
        <v>7138.4594682228017</v>
      </c>
    </row>
    <row r="129" spans="1:33" x14ac:dyDescent="0.25">
      <c r="A129" t="s">
        <v>3</v>
      </c>
      <c r="B129">
        <f>SUM(B128:AG128)</f>
        <v>1117436.320748342</v>
      </c>
    </row>
    <row r="131" spans="1:33" x14ac:dyDescent="0.25">
      <c r="A131" t="s">
        <v>167</v>
      </c>
    </row>
    <row r="132" spans="1:33" x14ac:dyDescent="0.25">
      <c r="B132">
        <v>29</v>
      </c>
      <c r="C132">
        <v>30</v>
      </c>
      <c r="D132">
        <v>31</v>
      </c>
      <c r="E132">
        <v>32</v>
      </c>
      <c r="F132">
        <v>33</v>
      </c>
      <c r="G132">
        <v>34</v>
      </c>
      <c r="H132">
        <v>35</v>
      </c>
      <c r="I132">
        <v>36</v>
      </c>
      <c r="J132">
        <v>37</v>
      </c>
      <c r="K132">
        <v>38</v>
      </c>
      <c r="L132">
        <v>39</v>
      </c>
      <c r="M132">
        <v>40</v>
      </c>
      <c r="N132">
        <v>41</v>
      </c>
      <c r="O132">
        <v>42</v>
      </c>
      <c r="P132">
        <v>43</v>
      </c>
      <c r="Q132">
        <v>44</v>
      </c>
      <c r="R132">
        <v>45</v>
      </c>
      <c r="S132">
        <v>46</v>
      </c>
      <c r="T132">
        <v>47</v>
      </c>
      <c r="U132">
        <v>48</v>
      </c>
      <c r="V132">
        <v>49</v>
      </c>
      <c r="W132">
        <v>50</v>
      </c>
      <c r="X132">
        <v>51</v>
      </c>
      <c r="Y132">
        <v>52</v>
      </c>
      <c r="Z132">
        <v>53</v>
      </c>
      <c r="AA132">
        <v>54</v>
      </c>
      <c r="AB132">
        <v>55</v>
      </c>
      <c r="AC132">
        <v>56</v>
      </c>
      <c r="AD132">
        <v>57</v>
      </c>
      <c r="AE132">
        <v>58</v>
      </c>
      <c r="AF132">
        <v>59</v>
      </c>
      <c r="AG132">
        <v>60</v>
      </c>
    </row>
    <row r="133" spans="1:33" x14ac:dyDescent="0.25">
      <c r="B133">
        <v>0</v>
      </c>
      <c r="C133">
        <v>1</v>
      </c>
      <c r="D133">
        <v>2</v>
      </c>
      <c r="E133">
        <v>3</v>
      </c>
      <c r="F133">
        <v>4</v>
      </c>
      <c r="G133">
        <v>5</v>
      </c>
      <c r="H133">
        <v>6</v>
      </c>
      <c r="I133">
        <v>7</v>
      </c>
      <c r="J133">
        <v>8</v>
      </c>
      <c r="K133">
        <v>9</v>
      </c>
      <c r="L133">
        <v>10</v>
      </c>
      <c r="M133">
        <v>11</v>
      </c>
      <c r="N133">
        <v>12</v>
      </c>
      <c r="O133">
        <v>13</v>
      </c>
      <c r="P133">
        <v>14</v>
      </c>
      <c r="Q133">
        <v>15</v>
      </c>
      <c r="R133">
        <v>16</v>
      </c>
      <c r="S133">
        <v>17</v>
      </c>
      <c r="T133">
        <v>18</v>
      </c>
      <c r="U133">
        <v>19</v>
      </c>
      <c r="V133">
        <v>20</v>
      </c>
      <c r="W133">
        <v>21</v>
      </c>
      <c r="X133">
        <v>22</v>
      </c>
      <c r="Y133">
        <v>23</v>
      </c>
      <c r="Z133">
        <v>24</v>
      </c>
      <c r="AA133">
        <v>25</v>
      </c>
      <c r="AB133">
        <v>26</v>
      </c>
      <c r="AC133">
        <v>27</v>
      </c>
      <c r="AD133">
        <v>28</v>
      </c>
      <c r="AE133">
        <v>29</v>
      </c>
      <c r="AF133">
        <v>30</v>
      </c>
      <c r="AG133">
        <v>31</v>
      </c>
    </row>
    <row r="134" spans="1:33" x14ac:dyDescent="0.25">
      <c r="A134" t="s">
        <v>0</v>
      </c>
      <c r="B134">
        <f>B125-B115</f>
        <v>-25000</v>
      </c>
    </row>
    <row r="135" spans="1:33" x14ac:dyDescent="0.25">
      <c r="C135">
        <f>C126-C117</f>
        <v>-100000</v>
      </c>
      <c r="D135">
        <f t="shared" ref="D135:AG135" si="81">D126-D117</f>
        <v>25000</v>
      </c>
      <c r="E135">
        <f t="shared" si="81"/>
        <v>25000</v>
      </c>
      <c r="F135">
        <f t="shared" si="81"/>
        <v>25000</v>
      </c>
      <c r="G135">
        <f t="shared" si="81"/>
        <v>25000</v>
      </c>
      <c r="H135">
        <f t="shared" si="81"/>
        <v>25000</v>
      </c>
      <c r="I135">
        <f t="shared" si="81"/>
        <v>25000</v>
      </c>
      <c r="J135">
        <f t="shared" si="81"/>
        <v>25000</v>
      </c>
      <c r="K135">
        <f t="shared" si="81"/>
        <v>25000</v>
      </c>
      <c r="L135">
        <f t="shared" si="81"/>
        <v>25000</v>
      </c>
      <c r="M135">
        <f t="shared" si="81"/>
        <v>25000</v>
      </c>
      <c r="N135">
        <f t="shared" si="81"/>
        <v>25000</v>
      </c>
      <c r="O135">
        <f t="shared" si="81"/>
        <v>25000</v>
      </c>
      <c r="P135">
        <f t="shared" si="81"/>
        <v>25000</v>
      </c>
      <c r="Q135">
        <f t="shared" si="81"/>
        <v>25000</v>
      </c>
      <c r="R135">
        <f t="shared" si="81"/>
        <v>25000</v>
      </c>
      <c r="S135">
        <f t="shared" si="81"/>
        <v>25000</v>
      </c>
      <c r="T135">
        <f t="shared" si="81"/>
        <v>25000</v>
      </c>
      <c r="U135">
        <f t="shared" si="81"/>
        <v>25000</v>
      </c>
      <c r="V135">
        <f t="shared" si="81"/>
        <v>25000</v>
      </c>
      <c r="W135">
        <f t="shared" si="81"/>
        <v>25000</v>
      </c>
      <c r="X135">
        <f t="shared" si="81"/>
        <v>25000</v>
      </c>
      <c r="Y135">
        <f t="shared" si="81"/>
        <v>25000</v>
      </c>
      <c r="Z135">
        <f t="shared" si="81"/>
        <v>25000</v>
      </c>
      <c r="AA135">
        <f t="shared" si="81"/>
        <v>25000</v>
      </c>
      <c r="AB135">
        <f t="shared" si="81"/>
        <v>25000</v>
      </c>
      <c r="AC135">
        <f t="shared" si="81"/>
        <v>25000</v>
      </c>
      <c r="AD135">
        <f t="shared" si="81"/>
        <v>25000</v>
      </c>
      <c r="AE135">
        <f t="shared" si="81"/>
        <v>25000</v>
      </c>
      <c r="AF135">
        <f t="shared" si="81"/>
        <v>25000</v>
      </c>
      <c r="AG135">
        <f t="shared" si="81"/>
        <v>25000</v>
      </c>
    </row>
    <row r="136" spans="1:33" x14ac:dyDescent="0.25">
      <c r="A136" t="s">
        <v>70</v>
      </c>
      <c r="B136">
        <f>B134</f>
        <v>-25000</v>
      </c>
      <c r="C136">
        <f>C135</f>
        <v>-100000</v>
      </c>
      <c r="D136">
        <f t="shared" ref="D136" si="82">D135</f>
        <v>25000</v>
      </c>
      <c r="E136">
        <f t="shared" ref="E136" si="83">E135</f>
        <v>25000</v>
      </c>
      <c r="F136">
        <f t="shared" ref="F136" si="84">F135</f>
        <v>25000</v>
      </c>
      <c r="G136">
        <f t="shared" ref="G136" si="85">G135</f>
        <v>25000</v>
      </c>
      <c r="H136">
        <f t="shared" ref="H136" si="86">H135</f>
        <v>25000</v>
      </c>
      <c r="I136">
        <f t="shared" ref="I136" si="87">I135</f>
        <v>25000</v>
      </c>
      <c r="J136">
        <f t="shared" ref="J136" si="88">J135</f>
        <v>25000</v>
      </c>
      <c r="K136">
        <f t="shared" ref="K136" si="89">K135</f>
        <v>25000</v>
      </c>
      <c r="L136">
        <f t="shared" ref="L136" si="90">L135</f>
        <v>25000</v>
      </c>
      <c r="M136">
        <f t="shared" ref="M136" si="91">M135</f>
        <v>25000</v>
      </c>
      <c r="N136">
        <f t="shared" ref="N136" si="92">N135</f>
        <v>25000</v>
      </c>
      <c r="O136">
        <f t="shared" ref="O136" si="93">O135</f>
        <v>25000</v>
      </c>
      <c r="P136">
        <f t="shared" ref="P136" si="94">P135</f>
        <v>25000</v>
      </c>
      <c r="Q136">
        <f t="shared" ref="Q136" si="95">Q135</f>
        <v>25000</v>
      </c>
      <c r="R136">
        <f t="shared" ref="R136" si="96">R135</f>
        <v>25000</v>
      </c>
      <c r="S136">
        <f t="shared" ref="S136" si="97">S135</f>
        <v>25000</v>
      </c>
      <c r="T136">
        <f t="shared" ref="T136" si="98">T135</f>
        <v>25000</v>
      </c>
      <c r="U136">
        <f t="shared" ref="U136" si="99">U135</f>
        <v>25000</v>
      </c>
      <c r="V136">
        <f t="shared" ref="V136" si="100">V135</f>
        <v>25000</v>
      </c>
      <c r="W136">
        <f t="shared" ref="W136" si="101">W135</f>
        <v>25000</v>
      </c>
      <c r="X136">
        <f t="shared" ref="X136" si="102">X135</f>
        <v>25000</v>
      </c>
      <c r="Y136">
        <f t="shared" ref="Y136" si="103">Y135</f>
        <v>25000</v>
      </c>
      <c r="Z136">
        <f t="shared" ref="Z136" si="104">Z135</f>
        <v>25000</v>
      </c>
      <c r="AA136">
        <f t="shared" ref="AA136" si="105">AA135</f>
        <v>25000</v>
      </c>
      <c r="AB136">
        <f t="shared" ref="AB136" si="106">AB135</f>
        <v>25000</v>
      </c>
      <c r="AC136">
        <f t="shared" ref="AC136" si="107">AC135</f>
        <v>25000</v>
      </c>
      <c r="AD136">
        <f t="shared" ref="AD136" si="108">AD135</f>
        <v>25000</v>
      </c>
      <c r="AE136">
        <f t="shared" ref="AE136" si="109">AE135</f>
        <v>25000</v>
      </c>
      <c r="AF136">
        <f t="shared" ref="AF136" si="110">AF135</f>
        <v>25000</v>
      </c>
      <c r="AG136">
        <f t="shared" ref="AG136" si="111">AG135</f>
        <v>25000</v>
      </c>
    </row>
    <row r="137" spans="1:33" x14ac:dyDescent="0.25">
      <c r="A137" t="s">
        <v>53</v>
      </c>
      <c r="B137">
        <f>B136/(1+$C$110)^(B133)</f>
        <v>-25000</v>
      </c>
      <c r="C137">
        <f>C136/(1+$C$110)^(C133)</f>
        <v>-88888.888888888891</v>
      </c>
      <c r="D137">
        <f t="shared" ref="D137" si="112">D136/(1+$C$110)^(D133)</f>
        <v>19753.086419753086</v>
      </c>
      <c r="E137">
        <f t="shared" ref="E137" si="113">E136/(1+$C$110)^(E133)</f>
        <v>17558.299039780522</v>
      </c>
      <c r="F137">
        <f t="shared" ref="F137" si="114">F136/(1+$C$110)^(F133)</f>
        <v>15607.376924249353</v>
      </c>
      <c r="G137">
        <f t="shared" ref="G137" si="115">G136/(1+$C$110)^(G133)</f>
        <v>13873.223932666091</v>
      </c>
      <c r="H137">
        <f t="shared" ref="H137" si="116">H136/(1+$C$110)^(H133)</f>
        <v>12331.754606814304</v>
      </c>
      <c r="I137">
        <f t="shared" ref="I137" si="117">I136/(1+$C$110)^(I133)</f>
        <v>10961.559650501602</v>
      </c>
      <c r="J137">
        <f t="shared" ref="J137" si="118">J136/(1+$C$110)^(J133)</f>
        <v>9743.608578223646</v>
      </c>
      <c r="K137">
        <f t="shared" ref="K137" si="119">K136/(1+$C$110)^(K133)</f>
        <v>8660.9854028654645</v>
      </c>
      <c r="L137">
        <f t="shared" ref="L137" si="120">L136/(1+$C$110)^(L133)</f>
        <v>7698.6536914359676</v>
      </c>
      <c r="M137">
        <f t="shared" ref="M137" si="121">M136/(1+$C$110)^(M133)</f>
        <v>6843.2477257208602</v>
      </c>
      <c r="N137">
        <f t="shared" ref="N137" si="122">N136/(1+$C$110)^(N133)</f>
        <v>6082.8868673074312</v>
      </c>
      <c r="O137">
        <f t="shared" ref="O137" si="123">O136/(1+$C$110)^(O133)</f>
        <v>5407.010548717717</v>
      </c>
      <c r="P137">
        <f t="shared" ref="P137" si="124">P136/(1+$C$110)^(P133)</f>
        <v>4806.2315988601931</v>
      </c>
      <c r="Q137">
        <f t="shared" ref="Q137" si="125">Q136/(1+$C$110)^(Q133)</f>
        <v>4272.2058656535046</v>
      </c>
      <c r="R137">
        <f t="shared" ref="R137" si="126">R136/(1+$C$110)^(R133)</f>
        <v>3797.5163250253377</v>
      </c>
      <c r="S137">
        <f t="shared" ref="S137" si="127">S136/(1+$C$110)^(S133)</f>
        <v>3375.5700666891889</v>
      </c>
      <c r="T137">
        <f t="shared" ref="T137" si="128">T136/(1+$C$110)^(T133)</f>
        <v>3000.5067259459452</v>
      </c>
      <c r="U137">
        <f t="shared" ref="U137" si="129">U136/(1+$C$110)^(U133)</f>
        <v>2667.1170897297297</v>
      </c>
      <c r="V137">
        <f t="shared" ref="V137" si="130">V136/(1+$C$110)^(V133)</f>
        <v>2370.7707464264263</v>
      </c>
      <c r="W137">
        <f t="shared" ref="W137" si="131">W136/(1+$C$110)^(W133)</f>
        <v>2107.3517746012676</v>
      </c>
      <c r="X137">
        <f t="shared" ref="X137" si="132">X136/(1+$C$110)^(X133)</f>
        <v>1873.2015774233491</v>
      </c>
      <c r="Y137">
        <f t="shared" ref="Y137" si="133">Y136/(1+$C$110)^(Y133)</f>
        <v>1665.0680688207547</v>
      </c>
      <c r="Z137">
        <f t="shared" ref="Z137" si="134">Z136/(1+$C$110)^(Z133)</f>
        <v>1480.0605056184486</v>
      </c>
      <c r="AA137">
        <f t="shared" ref="AA137" si="135">AA136/(1+$C$110)^(AA133)</f>
        <v>1315.6093383275099</v>
      </c>
      <c r="AB137">
        <f t="shared" ref="AB137" si="136">AB136/(1+$C$110)^(AB133)</f>
        <v>1169.4305229577867</v>
      </c>
      <c r="AC137">
        <f t="shared" ref="AC137" si="137">AC136/(1+$C$110)^(AC133)</f>
        <v>1039.493798184699</v>
      </c>
      <c r="AD137">
        <f t="shared" ref="AD137" si="138">AD136/(1+$C$110)^(AD133)</f>
        <v>923.99448727528807</v>
      </c>
      <c r="AE137">
        <f t="shared" ref="AE137" si="139">AE136/(1+$C$110)^(AE133)</f>
        <v>821.32843313358944</v>
      </c>
      <c r="AF137">
        <f t="shared" ref="AF137" si="140">AF136/(1+$C$110)^(AF133)</f>
        <v>730.06971834096839</v>
      </c>
      <c r="AG137">
        <f t="shared" ref="AG137" si="141">AG136/(1+$C$110)^(AG133)</f>
        <v>648.95086074752749</v>
      </c>
    </row>
    <row r="138" spans="1:33" x14ac:dyDescent="0.25">
      <c r="A138" t="s">
        <v>3</v>
      </c>
      <c r="B138" s="2">
        <f>SUM(B137:AG137)</f>
        <v>58697.282002908672</v>
      </c>
    </row>
    <row r="139" spans="1:33" x14ac:dyDescent="0.25">
      <c r="A139" t="s">
        <v>38</v>
      </c>
      <c r="B139" s="13">
        <f>IRR(B136:AG136)</f>
        <v>0.19161684217671127</v>
      </c>
      <c r="C139" t="s">
        <v>168</v>
      </c>
    </row>
    <row r="145" spans="1:13" x14ac:dyDescent="0.25">
      <c r="L145">
        <v>4150</v>
      </c>
    </row>
    <row r="146" spans="1:13" x14ac:dyDescent="0.25">
      <c r="L146">
        <v>8800</v>
      </c>
    </row>
    <row r="147" spans="1:13" x14ac:dyDescent="0.25">
      <c r="L147">
        <v>8000</v>
      </c>
    </row>
    <row r="148" spans="1:13" x14ac:dyDescent="0.25">
      <c r="L148">
        <v>150</v>
      </c>
    </row>
    <row r="149" spans="1:13" x14ac:dyDescent="0.25">
      <c r="L149">
        <f>SUM(L145:L148)</f>
        <v>21100</v>
      </c>
    </row>
    <row r="152" spans="1:13" x14ac:dyDescent="0.25">
      <c r="L152" t="s">
        <v>2</v>
      </c>
      <c r="M152" s="3">
        <v>0.15</v>
      </c>
    </row>
    <row r="155" spans="1:13" x14ac:dyDescent="0.25">
      <c r="B155" t="s">
        <v>170</v>
      </c>
    </row>
    <row r="156" spans="1:13" x14ac:dyDescent="0.25">
      <c r="C156" t="s">
        <v>169</v>
      </c>
      <c r="D156">
        <v>1</v>
      </c>
      <c r="E156">
        <v>2</v>
      </c>
      <c r="F156">
        <v>3</v>
      </c>
      <c r="G156">
        <v>4</v>
      </c>
      <c r="H156">
        <v>5</v>
      </c>
      <c r="I156">
        <v>6</v>
      </c>
      <c r="J156">
        <v>7</v>
      </c>
      <c r="K156">
        <v>8</v>
      </c>
      <c r="L156">
        <v>9</v>
      </c>
    </row>
    <row r="157" spans="1:13" x14ac:dyDescent="0.25">
      <c r="B157">
        <v>0</v>
      </c>
      <c r="C157">
        <v>1</v>
      </c>
      <c r="D157">
        <v>2</v>
      </c>
      <c r="E157">
        <v>3</v>
      </c>
      <c r="F157">
        <v>4</v>
      </c>
      <c r="G157">
        <v>5</v>
      </c>
      <c r="H157">
        <v>6</v>
      </c>
      <c r="I157">
        <v>7</v>
      </c>
      <c r="J157">
        <v>8</v>
      </c>
      <c r="K157">
        <v>9</v>
      </c>
      <c r="L157">
        <v>10</v>
      </c>
    </row>
    <row r="158" spans="1:13" x14ac:dyDescent="0.25">
      <c r="A158" t="s">
        <v>8</v>
      </c>
      <c r="B158">
        <f>-1*L149</f>
        <v>-21100</v>
      </c>
    </row>
    <row r="159" spans="1:13" x14ac:dyDescent="0.25">
      <c r="A159" t="s">
        <v>58</v>
      </c>
    </row>
    <row r="160" spans="1:13" x14ac:dyDescent="0.25">
      <c r="A160" t="s">
        <v>171</v>
      </c>
      <c r="D160" s="3">
        <v>0</v>
      </c>
      <c r="E160" s="3">
        <v>0.05</v>
      </c>
      <c r="F160" s="3">
        <v>0.05</v>
      </c>
      <c r="G160" s="3">
        <v>0.05</v>
      </c>
      <c r="H160" s="3">
        <v>0.05</v>
      </c>
      <c r="I160" s="17">
        <v>0</v>
      </c>
      <c r="J160" s="17">
        <v>0</v>
      </c>
      <c r="K160" s="17">
        <v>0</v>
      </c>
      <c r="L160" s="17">
        <v>0</v>
      </c>
    </row>
    <row r="161" spans="1:14" x14ac:dyDescent="0.25">
      <c r="A161" t="s">
        <v>57</v>
      </c>
      <c r="D161">
        <f>35000</f>
        <v>35000</v>
      </c>
      <c r="E161">
        <f>D161*(1+E160)</f>
        <v>36750</v>
      </c>
      <c r="F161">
        <f t="shared" ref="F161:L161" si="142">E161*(1+F160)</f>
        <v>38587.5</v>
      </c>
      <c r="G161">
        <f t="shared" si="142"/>
        <v>40516.875</v>
      </c>
      <c r="H161">
        <f t="shared" si="142"/>
        <v>42542.71875</v>
      </c>
      <c r="I161">
        <f t="shared" si="142"/>
        <v>42542.71875</v>
      </c>
      <c r="J161">
        <f t="shared" si="142"/>
        <v>42542.71875</v>
      </c>
      <c r="K161">
        <f t="shared" si="142"/>
        <v>42542.71875</v>
      </c>
      <c r="L161">
        <f t="shared" si="142"/>
        <v>42542.71875</v>
      </c>
    </row>
    <row r="162" spans="1:14" x14ac:dyDescent="0.25">
      <c r="A162" t="s">
        <v>104</v>
      </c>
      <c r="D162" s="14">
        <v>0.95</v>
      </c>
      <c r="E162">
        <v>1.05</v>
      </c>
      <c r="F162">
        <v>1.05</v>
      </c>
      <c r="G162">
        <v>1.05</v>
      </c>
      <c r="H162">
        <v>1.05</v>
      </c>
      <c r="I162">
        <v>1.05</v>
      </c>
      <c r="J162">
        <v>1.05</v>
      </c>
      <c r="K162">
        <v>1.05</v>
      </c>
      <c r="L162">
        <v>1.05</v>
      </c>
    </row>
    <row r="163" spans="1:14" x14ac:dyDescent="0.25">
      <c r="A163" t="s">
        <v>63</v>
      </c>
      <c r="L163">
        <f>10000</f>
        <v>10000</v>
      </c>
    </row>
    <row r="164" spans="1:14" x14ac:dyDescent="0.25">
      <c r="A164" s="2" t="s">
        <v>64</v>
      </c>
      <c r="B164" s="2"/>
      <c r="C164" s="2"/>
      <c r="D164" s="2">
        <f>D161*D162+D163</f>
        <v>33250</v>
      </c>
      <c r="E164" s="2">
        <f t="shared" ref="E164:L164" si="143">E161*E162+E163</f>
        <v>38587.5</v>
      </c>
      <c r="F164" s="2">
        <f t="shared" si="143"/>
        <v>40516.875</v>
      </c>
      <c r="G164" s="2">
        <f t="shared" si="143"/>
        <v>42542.71875</v>
      </c>
      <c r="H164" s="2">
        <f t="shared" si="143"/>
        <v>44669.854687500003</v>
      </c>
      <c r="I164" s="2">
        <f t="shared" si="143"/>
        <v>44669.854687500003</v>
      </c>
      <c r="J164" s="2">
        <f t="shared" si="143"/>
        <v>44669.854687500003</v>
      </c>
      <c r="K164" s="2">
        <f t="shared" si="143"/>
        <v>44669.854687500003</v>
      </c>
      <c r="L164" s="2">
        <f>L161*L162+L163</f>
        <v>54669.854687500003</v>
      </c>
    </row>
    <row r="165" spans="1:14" x14ac:dyDescent="0.25">
      <c r="A165" t="s">
        <v>172</v>
      </c>
    </row>
    <row r="166" spans="1:14" x14ac:dyDescent="0.25">
      <c r="A166" t="s">
        <v>173</v>
      </c>
      <c r="D166">
        <v>0.25</v>
      </c>
      <c r="E166">
        <v>0.25</v>
      </c>
      <c r="F166">
        <v>0.25</v>
      </c>
      <c r="G166">
        <v>0.25</v>
      </c>
      <c r="H166">
        <v>0.25</v>
      </c>
      <c r="I166">
        <v>0.25</v>
      </c>
      <c r="J166">
        <v>0.25</v>
      </c>
      <c r="K166">
        <v>0.25</v>
      </c>
      <c r="L166">
        <v>0.25</v>
      </c>
    </row>
    <row r="167" spans="1:14" x14ac:dyDescent="0.25">
      <c r="A167" t="s">
        <v>174</v>
      </c>
      <c r="D167">
        <v>0.3</v>
      </c>
      <c r="E167">
        <v>0.3</v>
      </c>
      <c r="F167">
        <v>0.3</v>
      </c>
      <c r="G167">
        <v>0.3</v>
      </c>
      <c r="H167">
        <v>0.3</v>
      </c>
      <c r="I167">
        <v>0.3</v>
      </c>
      <c r="J167">
        <v>0.3</v>
      </c>
      <c r="K167">
        <v>0.3</v>
      </c>
      <c r="L167">
        <v>0.3</v>
      </c>
      <c r="N167" t="s">
        <v>179</v>
      </c>
    </row>
    <row r="168" spans="1:14" x14ac:dyDescent="0.25">
      <c r="A168" t="s">
        <v>175</v>
      </c>
      <c r="D168">
        <v>0.18</v>
      </c>
      <c r="E168">
        <v>0.18</v>
      </c>
      <c r="F168">
        <v>0.18</v>
      </c>
      <c r="G168">
        <v>0.18</v>
      </c>
      <c r="H168">
        <v>0.18</v>
      </c>
      <c r="I168">
        <v>0.18</v>
      </c>
      <c r="J168">
        <v>0.18</v>
      </c>
      <c r="K168">
        <v>0.18</v>
      </c>
      <c r="L168">
        <v>0.18</v>
      </c>
    </row>
    <row r="169" spans="1:14" x14ac:dyDescent="0.25">
      <c r="A169" t="s">
        <v>176</v>
      </c>
      <c r="D169">
        <f>D164*0.05</f>
        <v>1662.5</v>
      </c>
      <c r="E169">
        <f t="shared" ref="E169:L169" si="144">E164*0.05</f>
        <v>1929.375</v>
      </c>
      <c r="F169">
        <f t="shared" si="144"/>
        <v>2025.84375</v>
      </c>
      <c r="G169">
        <f t="shared" si="144"/>
        <v>2127.1359375000002</v>
      </c>
      <c r="H169">
        <f t="shared" si="144"/>
        <v>2233.4927343750001</v>
      </c>
      <c r="I169">
        <f t="shared" si="144"/>
        <v>2233.4927343750001</v>
      </c>
      <c r="J169">
        <f t="shared" si="144"/>
        <v>2233.4927343750001</v>
      </c>
      <c r="K169">
        <f t="shared" si="144"/>
        <v>2233.4927343750001</v>
      </c>
      <c r="L169">
        <f t="shared" si="144"/>
        <v>2733.4927343750005</v>
      </c>
    </row>
    <row r="170" spans="1:14" x14ac:dyDescent="0.25">
      <c r="A170" t="s">
        <v>177</v>
      </c>
      <c r="D170">
        <f>2200</f>
        <v>2200</v>
      </c>
      <c r="E170">
        <v>3500</v>
      </c>
      <c r="F170">
        <v>3500</v>
      </c>
      <c r="G170">
        <v>3500</v>
      </c>
      <c r="H170">
        <v>3500</v>
      </c>
      <c r="I170">
        <v>3500</v>
      </c>
      <c r="J170">
        <v>3500</v>
      </c>
      <c r="K170">
        <v>3500</v>
      </c>
      <c r="L170">
        <v>3500</v>
      </c>
      <c r="N170" t="s">
        <v>178</v>
      </c>
    </row>
    <row r="171" spans="1:14" x14ac:dyDescent="0.25">
      <c r="A171" s="11" t="s">
        <v>65</v>
      </c>
      <c r="B171" s="11"/>
      <c r="C171" s="11"/>
      <c r="D171" s="11">
        <f>D166*D161+D167*D161+D168*D161+D169+D170</f>
        <v>29412.5</v>
      </c>
      <c r="E171" s="11">
        <f t="shared" ref="E171:L171" si="145">E166*E161+E167*E161+E168*E161+E169+E170</f>
        <v>32256.875</v>
      </c>
      <c r="F171" s="11">
        <f t="shared" si="145"/>
        <v>33694.71875</v>
      </c>
      <c r="G171" s="11">
        <f t="shared" si="145"/>
        <v>35204.454687499994</v>
      </c>
      <c r="H171" s="11">
        <f t="shared" si="145"/>
        <v>36789.677421875</v>
      </c>
      <c r="I171" s="11">
        <f t="shared" si="145"/>
        <v>36789.677421875</v>
      </c>
      <c r="J171" s="11">
        <f t="shared" si="145"/>
        <v>36789.677421875</v>
      </c>
      <c r="K171" s="11">
        <f t="shared" si="145"/>
        <v>36789.677421875</v>
      </c>
      <c r="L171" s="11">
        <f t="shared" si="145"/>
        <v>37289.677421875</v>
      </c>
    </row>
    <row r="172" spans="1:14" x14ac:dyDescent="0.25">
      <c r="A172" t="s">
        <v>70</v>
      </c>
      <c r="B172">
        <f>B158</f>
        <v>-21100</v>
      </c>
      <c r="C172">
        <v>0</v>
      </c>
      <c r="D172">
        <f>D164-D171</f>
        <v>3837.5</v>
      </c>
      <c r="E172">
        <f t="shared" ref="E172:L172" si="146">E164-E171</f>
        <v>6330.625</v>
      </c>
      <c r="F172">
        <f t="shared" si="146"/>
        <v>6822.15625</v>
      </c>
      <c r="G172">
        <f t="shared" si="146"/>
        <v>7338.2640625000058</v>
      </c>
      <c r="H172">
        <f t="shared" si="146"/>
        <v>7880.1772656250032</v>
      </c>
      <c r="I172">
        <f t="shared" si="146"/>
        <v>7880.1772656250032</v>
      </c>
      <c r="J172">
        <f t="shared" si="146"/>
        <v>7880.1772656250032</v>
      </c>
      <c r="K172">
        <f t="shared" si="146"/>
        <v>7880.1772656250032</v>
      </c>
      <c r="L172">
        <f t="shared" si="146"/>
        <v>17380.177265625003</v>
      </c>
    </row>
    <row r="173" spans="1:14" x14ac:dyDescent="0.25">
      <c r="A173" t="s">
        <v>53</v>
      </c>
      <c r="B173">
        <f>B172/(1+$M$152)^(B157)</f>
        <v>-21100</v>
      </c>
      <c r="C173">
        <f>C172/(1+$M$152)^(C157)</f>
        <v>0</v>
      </c>
      <c r="D173">
        <f>D172/(1+$M$152)^(D157)</f>
        <v>2901.7013232514182</v>
      </c>
      <c r="E173">
        <f t="shared" ref="D173:L173" si="147">E172/(1+$M$152)^(E157)</f>
        <v>4162.4886989397564</v>
      </c>
      <c r="F173">
        <f t="shared" si="147"/>
        <v>3900.5899778802977</v>
      </c>
      <c r="G173">
        <f t="shared" si="147"/>
        <v>3648.4141693505189</v>
      </c>
      <c r="H173">
        <f t="shared" si="147"/>
        <v>3406.8180926045602</v>
      </c>
      <c r="I173">
        <f t="shared" si="147"/>
        <v>2962.4505153083142</v>
      </c>
      <c r="J173">
        <f t="shared" si="147"/>
        <v>2576.0439263550556</v>
      </c>
      <c r="K173">
        <f t="shared" si="147"/>
        <v>2240.0381968304837</v>
      </c>
      <c r="L173">
        <f t="shared" si="147"/>
        <v>4296.1140097494508</v>
      </c>
    </row>
    <row r="174" spans="1:14" x14ac:dyDescent="0.25">
      <c r="A174" t="s">
        <v>3</v>
      </c>
      <c r="B174" s="2">
        <f>SUM(B173:L173)</f>
        <v>8994.6589102698563</v>
      </c>
    </row>
    <row r="175" spans="1:14" x14ac:dyDescent="0.25">
      <c r="A175" t="s">
        <v>38</v>
      </c>
      <c r="B175" s="13">
        <f>IRR(B172:L172)</f>
        <v>0.2242862864350903</v>
      </c>
      <c r="C175" t="s">
        <v>168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F8E5-4BFE-4FDE-89EB-2A3EA10960A7}">
  <dimension ref="A6:P202"/>
  <sheetViews>
    <sheetView topLeftCell="A25" zoomScale="145" zoomScaleNormal="145" workbookViewId="0">
      <selection activeCell="K100" sqref="K100"/>
    </sheetView>
  </sheetViews>
  <sheetFormatPr defaultRowHeight="15" x14ac:dyDescent="0.25"/>
  <cols>
    <col min="12" max="12" width="12.140625" bestFit="1" customWidth="1"/>
  </cols>
  <sheetData>
    <row r="6" spans="1:10" x14ac:dyDescent="0.25">
      <c r="I6" t="s">
        <v>115</v>
      </c>
      <c r="J6">
        <f>(J7-J8)/J9</f>
        <v>129083.33333333333</v>
      </c>
    </row>
    <row r="7" spans="1:10" x14ac:dyDescent="0.25">
      <c r="I7" t="s">
        <v>99</v>
      </c>
      <c r="J7">
        <v>850000</v>
      </c>
    </row>
    <row r="8" spans="1:10" x14ac:dyDescent="0.25">
      <c r="I8" t="s">
        <v>63</v>
      </c>
      <c r="J8">
        <v>75500</v>
      </c>
    </row>
    <row r="9" spans="1:10" x14ac:dyDescent="0.25">
      <c r="I9" t="s">
        <v>100</v>
      </c>
      <c r="J9">
        <v>6</v>
      </c>
    </row>
    <row r="14" spans="1:10" x14ac:dyDescent="0.25">
      <c r="A14" t="s">
        <v>45</v>
      </c>
      <c r="B14" s="13">
        <v>0.1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</row>
    <row r="15" spans="1:10" x14ac:dyDescent="0.25">
      <c r="B15" t="s">
        <v>66</v>
      </c>
      <c r="C15" s="2">
        <v>-850000</v>
      </c>
    </row>
    <row r="16" spans="1:10" x14ac:dyDescent="0.25">
      <c r="B16" s="10" t="s">
        <v>58</v>
      </c>
      <c r="C16" s="10"/>
      <c r="D16" s="10"/>
      <c r="E16" s="10"/>
      <c r="F16" s="10"/>
      <c r="G16" s="10"/>
      <c r="H16" s="10"/>
      <c r="I16" s="10"/>
    </row>
    <row r="17" spans="2:9" x14ac:dyDescent="0.25">
      <c r="B17" t="s">
        <v>63</v>
      </c>
      <c r="I17">
        <v>75500</v>
      </c>
    </row>
    <row r="18" spans="2:9" x14ac:dyDescent="0.25">
      <c r="B18" t="s">
        <v>57</v>
      </c>
      <c r="D18">
        <v>12500</v>
      </c>
      <c r="E18">
        <v>12500</v>
      </c>
      <c r="F18">
        <v>12500</v>
      </c>
      <c r="G18">
        <v>15000</v>
      </c>
      <c r="H18">
        <v>15000</v>
      </c>
      <c r="I18">
        <v>15000</v>
      </c>
    </row>
    <row r="19" spans="2:9" x14ac:dyDescent="0.25">
      <c r="B19" t="s">
        <v>56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25</v>
      </c>
    </row>
    <row r="20" spans="2:9" x14ac:dyDescent="0.25">
      <c r="B20" s="2" t="s">
        <v>64</v>
      </c>
      <c r="C20" s="2"/>
      <c r="D20" s="2">
        <f>D18*D19</f>
        <v>312500</v>
      </c>
      <c r="E20" s="2">
        <f t="shared" ref="E20:H20" si="0">E18*E19</f>
        <v>312500</v>
      </c>
      <c r="F20" s="2">
        <f t="shared" si="0"/>
        <v>312500</v>
      </c>
      <c r="G20" s="2">
        <f t="shared" si="0"/>
        <v>375000</v>
      </c>
      <c r="H20" s="2">
        <f t="shared" si="0"/>
        <v>375000</v>
      </c>
      <c r="I20" s="2">
        <f>I18*I19+I17</f>
        <v>450500</v>
      </c>
    </row>
    <row r="21" spans="2:9" x14ac:dyDescent="0.25">
      <c r="B21" s="10" t="s">
        <v>59</v>
      </c>
      <c r="C21" s="10"/>
      <c r="D21" s="10"/>
      <c r="E21" s="10"/>
      <c r="F21" s="10"/>
      <c r="G21" s="10"/>
      <c r="H21" s="10"/>
      <c r="I21" s="10"/>
    </row>
    <row r="22" spans="2:9" x14ac:dyDescent="0.25">
      <c r="B22" t="s">
        <v>60</v>
      </c>
      <c r="D22">
        <v>24500</v>
      </c>
      <c r="E22">
        <v>24500</v>
      </c>
      <c r="F22">
        <v>24500</v>
      </c>
      <c r="G22">
        <v>24500</v>
      </c>
      <c r="H22">
        <v>24500</v>
      </c>
      <c r="I22">
        <v>24500</v>
      </c>
    </row>
    <row r="23" spans="2:9" x14ac:dyDescent="0.25">
      <c r="B23" t="s">
        <v>61</v>
      </c>
      <c r="D23">
        <v>50000</v>
      </c>
      <c r="E23">
        <v>50000</v>
      </c>
      <c r="F23">
        <v>50000</v>
      </c>
      <c r="G23">
        <v>50000</v>
      </c>
      <c r="H23">
        <v>50000</v>
      </c>
      <c r="I23">
        <v>50000</v>
      </c>
    </row>
    <row r="24" spans="2:9" x14ac:dyDescent="0.25">
      <c r="B24" t="s">
        <v>111</v>
      </c>
      <c r="D24" s="2">
        <f>$J$6</f>
        <v>129083.33333333333</v>
      </c>
      <c r="E24">
        <f t="shared" ref="E24:I24" si="1">$J$6</f>
        <v>129083.33333333333</v>
      </c>
      <c r="F24">
        <f t="shared" si="1"/>
        <v>129083.33333333333</v>
      </c>
      <c r="G24">
        <f t="shared" si="1"/>
        <v>129083.33333333333</v>
      </c>
      <c r="H24">
        <f t="shared" si="1"/>
        <v>129083.33333333333</v>
      </c>
      <c r="I24">
        <f t="shared" si="1"/>
        <v>129083.33333333333</v>
      </c>
    </row>
    <row r="25" spans="2:9" x14ac:dyDescent="0.25">
      <c r="B25" s="11" t="s">
        <v>65</v>
      </c>
      <c r="C25" s="11"/>
      <c r="D25" s="11">
        <f>D22+D23+D24</f>
        <v>203583.33333333331</v>
      </c>
      <c r="E25" s="11">
        <f t="shared" ref="E25:I25" si="2">E22+E23+E24</f>
        <v>203583.33333333331</v>
      </c>
      <c r="F25" s="11">
        <f t="shared" si="2"/>
        <v>203583.33333333331</v>
      </c>
      <c r="G25" s="11">
        <f t="shared" si="2"/>
        <v>203583.33333333331</v>
      </c>
      <c r="H25" s="11">
        <f t="shared" si="2"/>
        <v>203583.33333333331</v>
      </c>
      <c r="I25" s="11">
        <f t="shared" si="2"/>
        <v>203583.33333333331</v>
      </c>
    </row>
    <row r="26" spans="2:9" x14ac:dyDescent="0.25">
      <c r="B26" s="12" t="s">
        <v>67</v>
      </c>
      <c r="C26" s="12"/>
      <c r="D26" s="12">
        <f t="shared" ref="D26:I26" si="3">D20-D25</f>
        <v>108916.66666666669</v>
      </c>
      <c r="E26" s="12">
        <f t="shared" si="3"/>
        <v>108916.66666666669</v>
      </c>
      <c r="F26" s="12">
        <f t="shared" si="3"/>
        <v>108916.66666666669</v>
      </c>
      <c r="G26" s="12">
        <f t="shared" si="3"/>
        <v>171416.66666666669</v>
      </c>
      <c r="H26" s="12">
        <f t="shared" si="3"/>
        <v>171416.66666666669</v>
      </c>
      <c r="I26" s="12">
        <f t="shared" si="3"/>
        <v>246916.66666666669</v>
      </c>
    </row>
    <row r="27" spans="2:9" x14ac:dyDescent="0.25">
      <c r="B27" t="s">
        <v>68</v>
      </c>
      <c r="D27" s="3">
        <v>0.35</v>
      </c>
      <c r="E27" s="3">
        <v>0.35</v>
      </c>
      <c r="F27" s="3">
        <v>0.35</v>
      </c>
      <c r="G27" s="3">
        <v>0.35</v>
      </c>
      <c r="H27" s="3">
        <v>0.35</v>
      </c>
      <c r="I27" s="3">
        <v>0.35</v>
      </c>
    </row>
    <row r="28" spans="2:9" x14ac:dyDescent="0.25">
      <c r="B28" t="s">
        <v>62</v>
      </c>
      <c r="D28" s="2">
        <f>D26*D27</f>
        <v>38120.833333333336</v>
      </c>
      <c r="E28">
        <f t="shared" ref="E28:I28" si="4">E26*E27</f>
        <v>38120.833333333336</v>
      </c>
      <c r="F28">
        <f t="shared" si="4"/>
        <v>38120.833333333336</v>
      </c>
      <c r="G28">
        <f t="shared" si="4"/>
        <v>59995.833333333336</v>
      </c>
      <c r="H28">
        <f t="shared" si="4"/>
        <v>59995.833333333336</v>
      </c>
      <c r="I28">
        <f t="shared" si="4"/>
        <v>86420.833333333328</v>
      </c>
    </row>
    <row r="29" spans="2:9" x14ac:dyDescent="0.25">
      <c r="B29" s="12" t="s">
        <v>69</v>
      </c>
      <c r="C29" s="12"/>
      <c r="D29" s="16">
        <f t="shared" ref="D29:I29" si="5">D26-D28</f>
        <v>70795.833333333343</v>
      </c>
      <c r="E29" s="12">
        <f t="shared" si="5"/>
        <v>70795.833333333343</v>
      </c>
      <c r="F29" s="12">
        <f t="shared" si="5"/>
        <v>70795.833333333343</v>
      </c>
      <c r="G29" s="12">
        <f t="shared" si="5"/>
        <v>111420.83333333334</v>
      </c>
      <c r="H29" s="12">
        <f t="shared" si="5"/>
        <v>111420.83333333334</v>
      </c>
      <c r="I29" s="12">
        <f t="shared" si="5"/>
        <v>160495.83333333337</v>
      </c>
    </row>
    <row r="30" spans="2:9" x14ac:dyDescent="0.25">
      <c r="B30" t="s">
        <v>111</v>
      </c>
      <c r="D30" s="2">
        <f>D24</f>
        <v>129083.33333333333</v>
      </c>
      <c r="E30">
        <f t="shared" ref="E30:I30" si="6">E24</f>
        <v>129083.33333333333</v>
      </c>
      <c r="F30">
        <f t="shared" si="6"/>
        <v>129083.33333333333</v>
      </c>
      <c r="G30">
        <f t="shared" si="6"/>
        <v>129083.33333333333</v>
      </c>
      <c r="H30">
        <f t="shared" si="6"/>
        <v>129083.33333333333</v>
      </c>
      <c r="I30">
        <f t="shared" si="6"/>
        <v>129083.33333333333</v>
      </c>
    </row>
    <row r="31" spans="2:9" x14ac:dyDescent="0.25">
      <c r="B31" t="s">
        <v>70</v>
      </c>
      <c r="C31">
        <f>C15</f>
        <v>-850000</v>
      </c>
      <c r="D31">
        <f>D29+D30</f>
        <v>199879.16666666669</v>
      </c>
      <c r="E31">
        <f t="shared" ref="E31:I31" si="7">E29+E30</f>
        <v>199879.16666666669</v>
      </c>
      <c r="F31">
        <f t="shared" si="7"/>
        <v>199879.16666666669</v>
      </c>
      <c r="G31">
        <f t="shared" si="7"/>
        <v>240504.16666666669</v>
      </c>
      <c r="H31">
        <f t="shared" si="7"/>
        <v>240504.16666666669</v>
      </c>
      <c r="I31">
        <f t="shared" si="7"/>
        <v>289579.16666666669</v>
      </c>
    </row>
    <row r="32" spans="2:9" x14ac:dyDescent="0.25">
      <c r="B32" t="s">
        <v>53</v>
      </c>
      <c r="C32">
        <f t="shared" ref="C32:I32" si="8">C31/(1+$B$14)^(C14)</f>
        <v>-850000</v>
      </c>
      <c r="D32">
        <f t="shared" si="8"/>
        <v>181708.33333333334</v>
      </c>
      <c r="E32">
        <f t="shared" si="8"/>
        <v>165189.39393939392</v>
      </c>
      <c r="F32">
        <f t="shared" si="8"/>
        <v>150172.1763085399</v>
      </c>
      <c r="G32">
        <f t="shared" si="8"/>
        <v>164267.58190469682</v>
      </c>
      <c r="H32">
        <f t="shared" si="8"/>
        <v>149334.16536790619</v>
      </c>
      <c r="I32">
        <f t="shared" si="8"/>
        <v>163459.89027003109</v>
      </c>
    </row>
    <row r="33" spans="1:9" x14ac:dyDescent="0.25">
      <c r="B33" t="s">
        <v>3</v>
      </c>
      <c r="C33" s="2">
        <f>SUM(C32:I32)</f>
        <v>124131.54112390132</v>
      </c>
    </row>
    <row r="34" spans="1:9" x14ac:dyDescent="0.25">
      <c r="B34" t="s">
        <v>38</v>
      </c>
      <c r="C34" s="13">
        <f>IRR(C31:I31)</f>
        <v>0.14533430126679714</v>
      </c>
      <c r="D34" t="s">
        <v>116</v>
      </c>
    </row>
    <row r="36" spans="1:9" x14ac:dyDescent="0.25">
      <c r="A36" t="s">
        <v>133</v>
      </c>
    </row>
    <row r="37" spans="1:9" x14ac:dyDescent="0.25">
      <c r="H37" t="s">
        <v>71</v>
      </c>
      <c r="I37" s="13">
        <v>0.05</v>
      </c>
    </row>
    <row r="38" spans="1:9" x14ac:dyDescent="0.25">
      <c r="H38" t="s">
        <v>72</v>
      </c>
      <c r="I38" s="13">
        <v>0.09</v>
      </c>
    </row>
    <row r="44" spans="1:9" x14ac:dyDescent="0.25">
      <c r="B44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</row>
    <row r="45" spans="1:9" x14ac:dyDescent="0.25">
      <c r="A45" t="s">
        <v>66</v>
      </c>
      <c r="B45">
        <v>-650000</v>
      </c>
    </row>
    <row r="46" spans="1:9" x14ac:dyDescent="0.25">
      <c r="A46" t="s">
        <v>73</v>
      </c>
      <c r="B46" s="2">
        <v>160000</v>
      </c>
      <c r="C46">
        <f>B46*(1+$I$37)</f>
        <v>168000</v>
      </c>
      <c r="D46">
        <f t="shared" ref="D46:H46" si="9">C46*(1+$I$37)</f>
        <v>176400</v>
      </c>
      <c r="E46">
        <f t="shared" si="9"/>
        <v>185220</v>
      </c>
      <c r="F46">
        <f t="shared" si="9"/>
        <v>194481</v>
      </c>
      <c r="G46">
        <f t="shared" si="9"/>
        <v>204205.05000000002</v>
      </c>
      <c r="H46">
        <f t="shared" si="9"/>
        <v>214415.30250000002</v>
      </c>
      <c r="I46" s="2">
        <f>H46*(1+$I$37)+200000</f>
        <v>425136.06762500003</v>
      </c>
    </row>
    <row r="47" spans="1:9" x14ac:dyDescent="0.25">
      <c r="A47" t="s">
        <v>74</v>
      </c>
    </row>
    <row r="48" spans="1:9" x14ac:dyDescent="0.25">
      <c r="A48" t="s">
        <v>75</v>
      </c>
      <c r="B48" s="2">
        <v>85000</v>
      </c>
      <c r="C48">
        <f>B48*(1+$I$37)</f>
        <v>89250</v>
      </c>
      <c r="D48">
        <f t="shared" ref="D48:I48" si="10">C48*(1+$I$37)</f>
        <v>93712.5</v>
      </c>
      <c r="E48">
        <f t="shared" si="10"/>
        <v>98398.125</v>
      </c>
      <c r="F48">
        <f t="shared" si="10"/>
        <v>103318.03125</v>
      </c>
      <c r="G48">
        <f>F48*(1+$I$37)</f>
        <v>108483.9328125</v>
      </c>
      <c r="H48">
        <f t="shared" si="10"/>
        <v>113908.129453125</v>
      </c>
      <c r="I48">
        <f t="shared" si="10"/>
        <v>119603.53592578125</v>
      </c>
    </row>
    <row r="49" spans="1:16" x14ac:dyDescent="0.25">
      <c r="A49" t="s">
        <v>70</v>
      </c>
      <c r="B49">
        <f>B45</f>
        <v>-650000</v>
      </c>
      <c r="C49">
        <f>C46-C48</f>
        <v>78750</v>
      </c>
      <c r="D49">
        <f>D46-D48</f>
        <v>82687.5</v>
      </c>
      <c r="E49">
        <f t="shared" ref="E49:I49" si="11">E46-E48</f>
        <v>86821.875</v>
      </c>
      <c r="F49">
        <f t="shared" si="11"/>
        <v>91162.96875</v>
      </c>
      <c r="G49">
        <f t="shared" si="11"/>
        <v>95721.117187500015</v>
      </c>
      <c r="H49">
        <f t="shared" si="11"/>
        <v>100507.17304687502</v>
      </c>
      <c r="I49">
        <f t="shared" si="11"/>
        <v>305532.53169921879</v>
      </c>
    </row>
    <row r="50" spans="1:16" x14ac:dyDescent="0.25">
      <c r="A50" t="s">
        <v>53</v>
      </c>
      <c r="B50">
        <f>B49/(1+$I$38)^(B44)</f>
        <v>-650000</v>
      </c>
      <c r="C50">
        <f>C49/(1+$I$38)^(C44)</f>
        <v>72247.706422018338</v>
      </c>
      <c r="D50">
        <f t="shared" ref="D50:I50" si="12">D49/(1+$I$38)^(D44)</f>
        <v>69596.41444322867</v>
      </c>
      <c r="E50">
        <f t="shared" si="12"/>
        <v>67042.417582926704</v>
      </c>
      <c r="F50">
        <f t="shared" si="12"/>
        <v>64582.145378048655</v>
      </c>
      <c r="G50">
        <f t="shared" si="12"/>
        <v>62212.158391698249</v>
      </c>
      <c r="H50">
        <f t="shared" si="12"/>
        <v>59929.143404846938</v>
      </c>
      <c r="I50">
        <f t="shared" si="12"/>
        <v>167136.75775314905</v>
      </c>
    </row>
    <row r="51" spans="1:16" x14ac:dyDescent="0.25">
      <c r="A51" t="s">
        <v>3</v>
      </c>
      <c r="B51" s="2">
        <f>SUM(B50:I50)</f>
        <v>-87253.256624083355</v>
      </c>
      <c r="E51" t="s">
        <v>76</v>
      </c>
    </row>
    <row r="52" spans="1:16" x14ac:dyDescent="0.25">
      <c r="A52" t="s">
        <v>38</v>
      </c>
      <c r="B52" s="3">
        <f>IRR(B49:I49)</f>
        <v>5.5922993062539561E-2</v>
      </c>
    </row>
    <row r="54" spans="1:16" x14ac:dyDescent="0.25">
      <c r="P54" t="s">
        <v>134</v>
      </c>
    </row>
    <row r="55" spans="1:16" x14ac:dyDescent="0.25">
      <c r="P55" t="s">
        <v>135</v>
      </c>
    </row>
    <row r="56" spans="1:16" x14ac:dyDescent="0.25">
      <c r="P56" t="s">
        <v>136</v>
      </c>
    </row>
    <row r="57" spans="1:16" x14ac:dyDescent="0.25">
      <c r="P57" t="s">
        <v>137</v>
      </c>
    </row>
    <row r="58" spans="1:16" x14ac:dyDescent="0.25">
      <c r="P58" t="s">
        <v>138</v>
      </c>
    </row>
    <row r="59" spans="1:16" x14ac:dyDescent="0.25">
      <c r="P59" t="s">
        <v>139</v>
      </c>
    </row>
    <row r="64" spans="1:16" x14ac:dyDescent="0.25">
      <c r="I64" t="s">
        <v>102</v>
      </c>
      <c r="L64" t="s">
        <v>93</v>
      </c>
      <c r="O64" t="s">
        <v>72</v>
      </c>
      <c r="P64" s="13">
        <v>0.1</v>
      </c>
    </row>
    <row r="65" spans="2:14" x14ac:dyDescent="0.25">
      <c r="I65">
        <v>5000</v>
      </c>
      <c r="J65" t="s">
        <v>77</v>
      </c>
      <c r="L65">
        <v>200000</v>
      </c>
      <c r="M65" t="s">
        <v>88</v>
      </c>
      <c r="N65" t="s">
        <v>89</v>
      </c>
    </row>
    <row r="66" spans="2:14" x14ac:dyDescent="0.25">
      <c r="I66">
        <v>4000</v>
      </c>
      <c r="J66" t="s">
        <v>78</v>
      </c>
      <c r="L66" t="s">
        <v>90</v>
      </c>
      <c r="M66">
        <v>6000</v>
      </c>
      <c r="N66" t="s">
        <v>91</v>
      </c>
    </row>
    <row r="67" spans="2:14" x14ac:dyDescent="0.25">
      <c r="I67" t="s">
        <v>79</v>
      </c>
      <c r="J67" t="s">
        <v>80</v>
      </c>
      <c r="K67" t="s">
        <v>81</v>
      </c>
      <c r="L67" t="s">
        <v>92</v>
      </c>
    </row>
    <row r="68" spans="2:14" x14ac:dyDescent="0.25">
      <c r="J68">
        <v>2</v>
      </c>
      <c r="K68">
        <v>3</v>
      </c>
    </row>
    <row r="69" spans="2:14" x14ac:dyDescent="0.25">
      <c r="I69" t="s">
        <v>82</v>
      </c>
      <c r="L69" t="s">
        <v>94</v>
      </c>
      <c r="M69">
        <v>4</v>
      </c>
    </row>
    <row r="70" spans="2:14" x14ac:dyDescent="0.25">
      <c r="I70" t="s">
        <v>83</v>
      </c>
      <c r="J70">
        <v>6</v>
      </c>
      <c r="L70" t="s">
        <v>95</v>
      </c>
      <c r="M70">
        <v>5</v>
      </c>
    </row>
    <row r="71" spans="2:14" x14ac:dyDescent="0.25">
      <c r="I71" t="s">
        <v>84</v>
      </c>
      <c r="J71">
        <v>3</v>
      </c>
      <c r="L71" t="s">
        <v>96</v>
      </c>
      <c r="M71" s="3">
        <v>0.1</v>
      </c>
    </row>
    <row r="72" spans="2:14" x14ac:dyDescent="0.25">
      <c r="I72" t="s">
        <v>85</v>
      </c>
      <c r="J72" t="s">
        <v>86</v>
      </c>
      <c r="K72" t="s">
        <v>87</v>
      </c>
      <c r="L72" t="s">
        <v>71</v>
      </c>
      <c r="M72" s="3">
        <v>0.05</v>
      </c>
    </row>
    <row r="73" spans="2:14" x14ac:dyDescent="0.25">
      <c r="L73" t="s">
        <v>62</v>
      </c>
      <c r="M73" s="3">
        <v>0.4</v>
      </c>
    </row>
    <row r="74" spans="2:14" x14ac:dyDescent="0.25">
      <c r="B74" t="s">
        <v>97</v>
      </c>
    </row>
    <row r="75" spans="2:14" x14ac:dyDescent="0.25">
      <c r="K75" t="s">
        <v>98</v>
      </c>
    </row>
    <row r="76" spans="2:14" x14ac:dyDescent="0.25">
      <c r="K76" t="s">
        <v>99</v>
      </c>
      <c r="L76">
        <v>200000</v>
      </c>
    </row>
    <row r="77" spans="2:14" x14ac:dyDescent="0.25">
      <c r="K77" t="s">
        <v>63</v>
      </c>
      <c r="L77">
        <v>0</v>
      </c>
    </row>
    <row r="78" spans="2:14" x14ac:dyDescent="0.25">
      <c r="K78" t="s">
        <v>100</v>
      </c>
      <c r="L78">
        <v>5</v>
      </c>
    </row>
    <row r="79" spans="2:14" x14ac:dyDescent="0.25">
      <c r="K79" t="s">
        <v>101</v>
      </c>
      <c r="L79">
        <f>(L76-L77)/L78</f>
        <v>40000</v>
      </c>
    </row>
    <row r="82" spans="1:7" x14ac:dyDescent="0.25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</row>
    <row r="83" spans="1:7" x14ac:dyDescent="0.25">
      <c r="A83" t="s">
        <v>66</v>
      </c>
      <c r="B83">
        <f>-1*L65</f>
        <v>-200000</v>
      </c>
    </row>
    <row r="84" spans="1:7" x14ac:dyDescent="0.25">
      <c r="A84" s="10" t="s">
        <v>103</v>
      </c>
      <c r="B84" s="10"/>
      <c r="C84" s="10"/>
      <c r="D84" s="10"/>
      <c r="E84" s="10"/>
      <c r="F84" s="10"/>
      <c r="G84" s="10"/>
    </row>
    <row r="85" spans="1:7" x14ac:dyDescent="0.25">
      <c r="A85" t="s">
        <v>57</v>
      </c>
      <c r="C85">
        <f>$I$65</f>
        <v>5000</v>
      </c>
      <c r="D85">
        <f t="shared" ref="D85:E85" si="13">$I$65</f>
        <v>5000</v>
      </c>
      <c r="E85">
        <f t="shared" si="13"/>
        <v>5000</v>
      </c>
      <c r="F85">
        <f>$I$66</f>
        <v>4000</v>
      </c>
      <c r="G85">
        <f>$I$66</f>
        <v>4000</v>
      </c>
    </row>
    <row r="86" spans="1:7" x14ac:dyDescent="0.25">
      <c r="A86" t="s">
        <v>56</v>
      </c>
      <c r="B86" s="2">
        <v>35</v>
      </c>
      <c r="C86">
        <f>B86*(1+$M$72)</f>
        <v>36.75</v>
      </c>
      <c r="D86">
        <f t="shared" ref="D86:G86" si="14">C86*(1+$M$72)</f>
        <v>38.587499999999999</v>
      </c>
      <c r="E86">
        <f t="shared" si="14"/>
        <v>40.516874999999999</v>
      </c>
      <c r="F86">
        <f t="shared" si="14"/>
        <v>42.542718749999999</v>
      </c>
      <c r="G86">
        <f t="shared" si="14"/>
        <v>44.669854687499999</v>
      </c>
    </row>
    <row r="87" spans="1:7" x14ac:dyDescent="0.25">
      <c r="A87" s="10" t="s">
        <v>74</v>
      </c>
      <c r="B87" s="10"/>
      <c r="C87" s="10"/>
      <c r="D87" s="10"/>
      <c r="E87" s="10"/>
      <c r="F87" s="10"/>
      <c r="G87" s="10"/>
    </row>
    <row r="88" spans="1:7" x14ac:dyDescent="0.25">
      <c r="A88" t="s">
        <v>81</v>
      </c>
      <c r="B88" s="2">
        <v>3</v>
      </c>
      <c r="C88">
        <f>B88*(1+$M$71)</f>
        <v>3.3000000000000003</v>
      </c>
      <c r="D88">
        <f t="shared" ref="D88:G88" si="15">C88*(1+$M$71)</f>
        <v>3.6300000000000008</v>
      </c>
      <c r="E88">
        <f t="shared" si="15"/>
        <v>3.9930000000000012</v>
      </c>
      <c r="F88">
        <f t="shared" si="15"/>
        <v>4.3923000000000014</v>
      </c>
      <c r="G88">
        <f t="shared" si="15"/>
        <v>4.8315300000000017</v>
      </c>
    </row>
    <row r="89" spans="1:7" x14ac:dyDescent="0.25">
      <c r="A89" t="s">
        <v>85</v>
      </c>
      <c r="E89">
        <f>J71*1000*E88</f>
        <v>11979.000000000004</v>
      </c>
    </row>
    <row r="90" spans="1:7" x14ac:dyDescent="0.25">
      <c r="A90" t="s">
        <v>90</v>
      </c>
      <c r="C90" s="2">
        <f>M66</f>
        <v>6000</v>
      </c>
      <c r="D90">
        <f>C90*(1+$M$72)</f>
        <v>6300</v>
      </c>
      <c r="E90">
        <f t="shared" ref="E90:G90" si="16">D90*(1+$M$72)</f>
        <v>6615</v>
      </c>
      <c r="F90">
        <f t="shared" si="16"/>
        <v>6945.75</v>
      </c>
      <c r="G90">
        <f t="shared" si="16"/>
        <v>7293.0375000000004</v>
      </c>
    </row>
    <row r="91" spans="1:7" x14ac:dyDescent="0.25">
      <c r="A91" t="s">
        <v>94</v>
      </c>
      <c r="B91" s="2">
        <v>4</v>
      </c>
      <c r="C91">
        <f>B91*(1+$M$72)</f>
        <v>4.2</v>
      </c>
      <c r="D91">
        <f t="shared" ref="D91:G91" si="17">C91*(1+$M$72)</f>
        <v>4.41</v>
      </c>
      <c r="E91">
        <f t="shared" si="17"/>
        <v>4.6305000000000005</v>
      </c>
      <c r="F91">
        <f t="shared" si="17"/>
        <v>4.8620250000000009</v>
      </c>
      <c r="G91">
        <f t="shared" si="17"/>
        <v>5.1051262500000014</v>
      </c>
    </row>
    <row r="92" spans="1:7" x14ac:dyDescent="0.25">
      <c r="A92" t="s">
        <v>105</v>
      </c>
      <c r="B92" s="2">
        <v>5</v>
      </c>
      <c r="C92">
        <f>B92*(1+$M$72)</f>
        <v>5.25</v>
      </c>
      <c r="D92">
        <f t="shared" ref="D92:G92" si="18">C92*(1+$M$72)</f>
        <v>5.5125000000000002</v>
      </c>
      <c r="E92">
        <f t="shared" si="18"/>
        <v>5.7881250000000009</v>
      </c>
      <c r="F92">
        <f t="shared" si="18"/>
        <v>6.0775312500000007</v>
      </c>
      <c r="G92">
        <f t="shared" si="18"/>
        <v>6.3814078125000009</v>
      </c>
    </row>
    <row r="93" spans="1:7" x14ac:dyDescent="0.25">
      <c r="A93" t="s">
        <v>117</v>
      </c>
      <c r="B93" s="2">
        <v>8</v>
      </c>
      <c r="C93">
        <f>B93*(1+$M$72)</f>
        <v>8.4</v>
      </c>
      <c r="D93">
        <f t="shared" ref="D93:G93" si="19">C93*(1+$M$72)</f>
        <v>8.82</v>
      </c>
      <c r="E93">
        <f t="shared" si="19"/>
        <v>9.261000000000001</v>
      </c>
      <c r="F93">
        <f t="shared" si="19"/>
        <v>9.7240500000000019</v>
      </c>
      <c r="G93">
        <f t="shared" si="19"/>
        <v>10.210252500000003</v>
      </c>
    </row>
    <row r="94" spans="1:7" x14ac:dyDescent="0.25">
      <c r="A94" t="s">
        <v>118</v>
      </c>
      <c r="B94" s="2">
        <v>6</v>
      </c>
      <c r="C94">
        <f>B94*(1+$M$72)</f>
        <v>6.3000000000000007</v>
      </c>
      <c r="D94">
        <f t="shared" ref="D94:G94" si="20">C94*(1+$M$72)</f>
        <v>6.6150000000000011</v>
      </c>
      <c r="E94">
        <f t="shared" si="20"/>
        <v>6.9457500000000012</v>
      </c>
      <c r="F94">
        <f t="shared" si="20"/>
        <v>7.2930375000000014</v>
      </c>
      <c r="G94">
        <f t="shared" si="20"/>
        <v>7.6576893750000021</v>
      </c>
    </row>
    <row r="95" spans="1:7" x14ac:dyDescent="0.25">
      <c r="A95" t="s">
        <v>111</v>
      </c>
      <c r="C95" s="2">
        <f>$L$79</f>
        <v>40000</v>
      </c>
      <c r="D95" s="2">
        <f t="shared" ref="D95:G95" si="21">$L$79</f>
        <v>40000</v>
      </c>
      <c r="E95" s="2">
        <f t="shared" si="21"/>
        <v>40000</v>
      </c>
      <c r="F95" s="2">
        <f t="shared" si="21"/>
        <v>40000</v>
      </c>
      <c r="G95" s="2">
        <f t="shared" si="21"/>
        <v>40000</v>
      </c>
    </row>
    <row r="96" spans="1:7" x14ac:dyDescent="0.25">
      <c r="A96" t="s">
        <v>106</v>
      </c>
      <c r="C96">
        <f>C90+C91*C85+C92*C85+C93*C85+C94*C85+C95</f>
        <v>166750</v>
      </c>
      <c r="D96">
        <f t="shared" ref="D96:G96" si="22">D90+D91*D85+D92*D85+D93*D85+D94*D85+D95</f>
        <v>173087.5</v>
      </c>
      <c r="E96">
        <f t="shared" si="22"/>
        <v>179741.87500000003</v>
      </c>
      <c r="F96">
        <f t="shared" si="22"/>
        <v>158772.32500000001</v>
      </c>
      <c r="G96">
        <f t="shared" si="22"/>
        <v>164710.94125000003</v>
      </c>
    </row>
    <row r="97" spans="1:11" x14ac:dyDescent="0.25">
      <c r="A97" s="10" t="s">
        <v>70</v>
      </c>
      <c r="B97" s="10"/>
      <c r="C97" s="10">
        <f>C85*C86-C96</f>
        <v>17000</v>
      </c>
      <c r="D97" s="10">
        <f t="shared" ref="D97:G97" si="23">D85*D86-D96</f>
        <v>19850</v>
      </c>
      <c r="E97" s="10">
        <f t="shared" si="23"/>
        <v>22842.499999999971</v>
      </c>
      <c r="F97" s="10">
        <f t="shared" si="23"/>
        <v>11398.549999999988</v>
      </c>
      <c r="G97" s="10">
        <f t="shared" si="23"/>
        <v>13968.47749999995</v>
      </c>
    </row>
    <row r="100" spans="1:11" x14ac:dyDescent="0.25">
      <c r="K100" t="s">
        <v>140</v>
      </c>
    </row>
    <row r="107" spans="1:11" x14ac:dyDescent="0.25">
      <c r="A107" t="s">
        <v>2</v>
      </c>
      <c r="B107" s="13">
        <v>0.1</v>
      </c>
    </row>
    <row r="108" spans="1:11" x14ac:dyDescent="0.25">
      <c r="B108">
        <v>0</v>
      </c>
      <c r="C108">
        <v>1</v>
      </c>
      <c r="D108">
        <v>2</v>
      </c>
      <c r="E108">
        <v>3</v>
      </c>
      <c r="F108">
        <v>4</v>
      </c>
      <c r="G108">
        <v>5</v>
      </c>
      <c r="H108">
        <v>6</v>
      </c>
      <c r="J108" t="s">
        <v>98</v>
      </c>
    </row>
    <row r="109" spans="1:11" x14ac:dyDescent="0.25">
      <c r="A109" t="s">
        <v>66</v>
      </c>
      <c r="B109" s="2">
        <v>-950000</v>
      </c>
      <c r="J109" t="s">
        <v>99</v>
      </c>
      <c r="K109">
        <v>950000</v>
      </c>
    </row>
    <row r="110" spans="1:11" x14ac:dyDescent="0.25">
      <c r="A110" s="10" t="s">
        <v>73</v>
      </c>
      <c r="B110" s="10"/>
      <c r="C110" s="10"/>
      <c r="D110" s="10"/>
      <c r="E110" s="10"/>
      <c r="F110" s="10"/>
      <c r="G110" s="10"/>
      <c r="H110" s="10"/>
      <c r="J110" t="s">
        <v>63</v>
      </c>
      <c r="K110">
        <v>65500</v>
      </c>
    </row>
    <row r="111" spans="1:11" x14ac:dyDescent="0.25">
      <c r="A111" t="s">
        <v>57</v>
      </c>
      <c r="C111">
        <v>12000</v>
      </c>
      <c r="D111">
        <v>12000</v>
      </c>
      <c r="E111">
        <v>12000</v>
      </c>
      <c r="F111">
        <v>14000</v>
      </c>
      <c r="G111">
        <v>14000</v>
      </c>
      <c r="H111">
        <v>14000</v>
      </c>
      <c r="J111" t="s">
        <v>100</v>
      </c>
      <c r="K111">
        <v>6</v>
      </c>
    </row>
    <row r="112" spans="1:11" x14ac:dyDescent="0.25">
      <c r="A112" t="s">
        <v>56</v>
      </c>
      <c r="C112">
        <v>27.5</v>
      </c>
      <c r="D112">
        <v>27.5</v>
      </c>
      <c r="E112">
        <v>27.5</v>
      </c>
      <c r="F112">
        <v>27.5</v>
      </c>
      <c r="G112">
        <v>27.5</v>
      </c>
      <c r="H112">
        <v>27.5</v>
      </c>
      <c r="J112" t="s">
        <v>109</v>
      </c>
      <c r="K112">
        <f>(K109-K110)/K111</f>
        <v>147416.66666666666</v>
      </c>
    </row>
    <row r="113" spans="1:8" x14ac:dyDescent="0.25">
      <c r="A113" s="2" t="s">
        <v>64</v>
      </c>
      <c r="B113" s="2"/>
      <c r="C113" s="2">
        <f>C112*C111</f>
        <v>330000</v>
      </c>
      <c r="D113" s="2">
        <f t="shared" ref="D113:G113" si="24">D112*D111</f>
        <v>330000</v>
      </c>
      <c r="E113" s="2">
        <f t="shared" si="24"/>
        <v>330000</v>
      </c>
      <c r="F113" s="2">
        <f t="shared" si="24"/>
        <v>385000</v>
      </c>
      <c r="G113" s="2">
        <f t="shared" si="24"/>
        <v>385000</v>
      </c>
      <c r="H113" s="2">
        <f>H112*H111+65500</f>
        <v>450500</v>
      </c>
    </row>
    <row r="114" spans="1:8" x14ac:dyDescent="0.25">
      <c r="A114" s="10" t="s">
        <v>74</v>
      </c>
      <c r="B114" s="10"/>
      <c r="C114" s="10"/>
      <c r="D114" s="10"/>
      <c r="E114" s="10"/>
      <c r="F114" s="10"/>
      <c r="G114" s="10"/>
      <c r="H114" s="10"/>
    </row>
    <row r="115" spans="1:8" x14ac:dyDescent="0.25">
      <c r="A115" t="s">
        <v>107</v>
      </c>
      <c r="C115">
        <v>22500</v>
      </c>
      <c r="D115">
        <v>22500</v>
      </c>
      <c r="E115">
        <v>22500</v>
      </c>
      <c r="F115">
        <v>22500</v>
      </c>
      <c r="G115">
        <v>22500</v>
      </c>
      <c r="H115">
        <v>22500</v>
      </c>
    </row>
    <row r="116" spans="1:8" x14ac:dyDescent="0.25">
      <c r="A116" t="s">
        <v>108</v>
      </c>
      <c r="C116">
        <v>60000</v>
      </c>
      <c r="D116">
        <v>60000</v>
      </c>
      <c r="E116">
        <v>60000</v>
      </c>
      <c r="F116">
        <v>60000</v>
      </c>
      <c r="G116">
        <v>60000</v>
      </c>
      <c r="H116">
        <v>60000</v>
      </c>
    </row>
    <row r="117" spans="1:8" x14ac:dyDescent="0.25">
      <c r="A117" t="s">
        <v>98</v>
      </c>
      <c r="C117">
        <f>$K$112</f>
        <v>147416.66666666666</v>
      </c>
      <c r="D117">
        <f t="shared" ref="D117:H117" si="25">$K$112</f>
        <v>147416.66666666666</v>
      </c>
      <c r="E117">
        <f t="shared" si="25"/>
        <v>147416.66666666666</v>
      </c>
      <c r="F117">
        <f t="shared" si="25"/>
        <v>147416.66666666666</v>
      </c>
      <c r="G117">
        <f t="shared" si="25"/>
        <v>147416.66666666666</v>
      </c>
      <c r="H117">
        <f t="shared" si="25"/>
        <v>147416.66666666666</v>
      </c>
    </row>
    <row r="118" spans="1:8" x14ac:dyDescent="0.25">
      <c r="A118" s="14" t="s">
        <v>65</v>
      </c>
      <c r="B118" s="14"/>
      <c r="C118" s="14">
        <f>SUM(C115:C117)</f>
        <v>229916.66666666666</v>
      </c>
      <c r="D118" s="14">
        <f t="shared" ref="D118:H118" si="26">SUM(D115:D117)</f>
        <v>229916.66666666666</v>
      </c>
      <c r="E118" s="14">
        <f t="shared" si="26"/>
        <v>229916.66666666666</v>
      </c>
      <c r="F118" s="14">
        <f t="shared" si="26"/>
        <v>229916.66666666666</v>
      </c>
      <c r="G118" s="14">
        <f t="shared" si="26"/>
        <v>229916.66666666666</v>
      </c>
      <c r="H118" s="14">
        <f t="shared" si="26"/>
        <v>229916.66666666666</v>
      </c>
    </row>
    <row r="119" spans="1:8" x14ac:dyDescent="0.25">
      <c r="A119" s="15" t="s">
        <v>110</v>
      </c>
      <c r="B119" s="15"/>
      <c r="C119" s="15">
        <f>C113-C118</f>
        <v>100083.33333333334</v>
      </c>
      <c r="D119" s="15">
        <f t="shared" ref="D119:H119" si="27">D113-D118</f>
        <v>100083.33333333334</v>
      </c>
      <c r="E119" s="15">
        <f t="shared" si="27"/>
        <v>100083.33333333334</v>
      </c>
      <c r="F119" s="15">
        <f t="shared" si="27"/>
        <v>155083.33333333334</v>
      </c>
      <c r="G119" s="15">
        <f t="shared" si="27"/>
        <v>155083.33333333334</v>
      </c>
      <c r="H119" s="15">
        <f t="shared" si="27"/>
        <v>220583.33333333334</v>
      </c>
    </row>
    <row r="120" spans="1:8" x14ac:dyDescent="0.25">
      <c r="A120" s="11" t="s">
        <v>62</v>
      </c>
      <c r="B120" s="11"/>
      <c r="C120" s="11">
        <f>C119*0.35</f>
        <v>35029.166666666664</v>
      </c>
      <c r="D120" s="11">
        <f t="shared" ref="D120:H120" si="28">D119*0.35</f>
        <v>35029.166666666664</v>
      </c>
      <c r="E120" s="11">
        <f t="shared" si="28"/>
        <v>35029.166666666664</v>
      </c>
      <c r="F120" s="11">
        <f t="shared" si="28"/>
        <v>54279.166666666664</v>
      </c>
      <c r="G120" s="11">
        <f t="shared" si="28"/>
        <v>54279.166666666664</v>
      </c>
      <c r="H120" s="11">
        <f t="shared" si="28"/>
        <v>77204.166666666672</v>
      </c>
    </row>
    <row r="121" spans="1:8" x14ac:dyDescent="0.25">
      <c r="A121" s="15" t="s">
        <v>112</v>
      </c>
      <c r="B121" s="15"/>
      <c r="C121" s="15">
        <f>C119-C120</f>
        <v>65054.166666666679</v>
      </c>
      <c r="D121" s="15">
        <f t="shared" ref="D121:H121" si="29">D119-D120</f>
        <v>65054.166666666679</v>
      </c>
      <c r="E121" s="15">
        <f t="shared" si="29"/>
        <v>65054.166666666679</v>
      </c>
      <c r="F121" s="15">
        <f t="shared" si="29"/>
        <v>100804.16666666669</v>
      </c>
      <c r="G121" s="15">
        <f t="shared" si="29"/>
        <v>100804.16666666669</v>
      </c>
      <c r="H121" s="15">
        <f t="shared" si="29"/>
        <v>143379.16666666669</v>
      </c>
    </row>
    <row r="122" spans="1:8" x14ac:dyDescent="0.25">
      <c r="A122" t="s">
        <v>111</v>
      </c>
      <c r="C122">
        <f>C117</f>
        <v>147416.66666666666</v>
      </c>
      <c r="D122">
        <f t="shared" ref="D122:H122" si="30">D117</f>
        <v>147416.66666666666</v>
      </c>
      <c r="E122">
        <f t="shared" si="30"/>
        <v>147416.66666666666</v>
      </c>
      <c r="F122">
        <f t="shared" si="30"/>
        <v>147416.66666666666</v>
      </c>
      <c r="G122">
        <f t="shared" si="30"/>
        <v>147416.66666666666</v>
      </c>
      <c r="H122">
        <f t="shared" si="30"/>
        <v>147416.66666666666</v>
      </c>
    </row>
    <row r="123" spans="1:8" x14ac:dyDescent="0.25">
      <c r="A123" s="10" t="s">
        <v>10</v>
      </c>
      <c r="B123" s="10">
        <f>B109</f>
        <v>-950000</v>
      </c>
      <c r="C123" s="10">
        <f>C121+C122</f>
        <v>212470.83333333334</v>
      </c>
      <c r="D123" s="10">
        <f t="shared" ref="D123:H123" si="31">D121+D122</f>
        <v>212470.83333333334</v>
      </c>
      <c r="E123" s="10">
        <f t="shared" si="31"/>
        <v>212470.83333333334</v>
      </c>
      <c r="F123" s="10">
        <f t="shared" si="31"/>
        <v>248220.83333333334</v>
      </c>
      <c r="G123" s="10">
        <f t="shared" si="31"/>
        <v>248220.83333333334</v>
      </c>
      <c r="H123" s="10">
        <f t="shared" si="31"/>
        <v>290795.83333333337</v>
      </c>
    </row>
    <row r="124" spans="1:8" x14ac:dyDescent="0.25">
      <c r="A124" s="10" t="s">
        <v>53</v>
      </c>
      <c r="B124" s="10">
        <f>B123/(1+$B$107)^(B108)</f>
        <v>-950000</v>
      </c>
      <c r="C124" s="10">
        <f t="shared" ref="C124:H124" si="32">C123/(1+$B$107)^(C108)</f>
        <v>193155.30303030301</v>
      </c>
      <c r="D124" s="10">
        <f t="shared" si="32"/>
        <v>175595.73002754818</v>
      </c>
      <c r="E124" s="10">
        <f t="shared" si="32"/>
        <v>159632.4818432256</v>
      </c>
      <c r="F124" s="10">
        <f t="shared" si="32"/>
        <v>169538.16906859729</v>
      </c>
      <c r="G124" s="10">
        <f t="shared" si="32"/>
        <v>154125.60824417934</v>
      </c>
      <c r="H124" s="10">
        <f t="shared" si="32"/>
        <v>164146.66688492987</v>
      </c>
    </row>
    <row r="125" spans="1:8" x14ac:dyDescent="0.25">
      <c r="A125" t="s">
        <v>3</v>
      </c>
      <c r="B125" s="2">
        <f>SUM(B124:H124)</f>
        <v>66193.959098783234</v>
      </c>
    </row>
    <row r="126" spans="1:8" x14ac:dyDescent="0.25">
      <c r="A126" t="s">
        <v>38</v>
      </c>
      <c r="B126" s="3">
        <f>IRR(B123:H123)</f>
        <v>0.12219475466075846</v>
      </c>
    </row>
    <row r="129" spans="1:12" x14ac:dyDescent="0.25">
      <c r="K129" t="s">
        <v>71</v>
      </c>
      <c r="L129" s="13">
        <v>0.05</v>
      </c>
    </row>
    <row r="130" spans="1:12" x14ac:dyDescent="0.25">
      <c r="K130" t="s">
        <v>72</v>
      </c>
      <c r="L130" s="13">
        <v>0.12</v>
      </c>
    </row>
    <row r="134" spans="1:12" x14ac:dyDescent="0.25">
      <c r="L134" t="s">
        <v>114</v>
      </c>
    </row>
    <row r="136" spans="1:12" x14ac:dyDescent="0.25">
      <c r="B136">
        <v>0</v>
      </c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</row>
    <row r="137" spans="1:12" x14ac:dyDescent="0.25">
      <c r="A137" t="s">
        <v>66</v>
      </c>
      <c r="B137">
        <v>-5559500</v>
      </c>
    </row>
    <row r="138" spans="1:12" x14ac:dyDescent="0.25">
      <c r="A138" t="s">
        <v>73</v>
      </c>
      <c r="B138">
        <v>1500000</v>
      </c>
      <c r="C138">
        <f>B138*(1+$L$129)</f>
        <v>1575000</v>
      </c>
      <c r="D138">
        <f t="shared" ref="D138:I138" si="33">C138*(1+$L$129)</f>
        <v>1653750</v>
      </c>
      <c r="E138">
        <f t="shared" si="33"/>
        <v>1736437.5</v>
      </c>
      <c r="F138">
        <f t="shared" si="33"/>
        <v>1823259.375</v>
      </c>
      <c r="G138">
        <f t="shared" si="33"/>
        <v>1914422.34375</v>
      </c>
      <c r="H138">
        <f t="shared" si="33"/>
        <v>2010143.4609375</v>
      </c>
      <c r="I138">
        <f t="shared" si="33"/>
        <v>2110650.6339843753</v>
      </c>
    </row>
    <row r="139" spans="1:12" x14ac:dyDescent="0.25">
      <c r="A139" t="s">
        <v>113</v>
      </c>
      <c r="B139">
        <v>750000</v>
      </c>
      <c r="C139">
        <f>B139*(1+$L$129)</f>
        <v>787500</v>
      </c>
      <c r="D139">
        <f t="shared" ref="D139:I139" si="34">C139*(1+$L$129)</f>
        <v>826875</v>
      </c>
      <c r="E139">
        <f t="shared" si="34"/>
        <v>868218.75</v>
      </c>
      <c r="F139">
        <f t="shared" si="34"/>
        <v>911629.6875</v>
      </c>
      <c r="G139">
        <f t="shared" si="34"/>
        <v>957211.171875</v>
      </c>
      <c r="H139">
        <f t="shared" si="34"/>
        <v>1005071.73046875</v>
      </c>
      <c r="I139">
        <f t="shared" si="34"/>
        <v>1055325.3169921876</v>
      </c>
    </row>
    <row r="140" spans="1:12" x14ac:dyDescent="0.25">
      <c r="A140" t="s">
        <v>63</v>
      </c>
      <c r="I140">
        <v>2500000</v>
      </c>
    </row>
    <row r="141" spans="1:12" x14ac:dyDescent="0.25">
      <c r="A141" t="s">
        <v>70</v>
      </c>
      <c r="B141">
        <f>B137</f>
        <v>-5559500</v>
      </c>
      <c r="C141">
        <f>C138-C139</f>
        <v>787500</v>
      </c>
      <c r="D141">
        <f t="shared" ref="D141:H141" si="35">D138-D139</f>
        <v>826875</v>
      </c>
      <c r="E141">
        <f t="shared" si="35"/>
        <v>868218.75</v>
      </c>
      <c r="F141">
        <f t="shared" si="35"/>
        <v>911629.6875</v>
      </c>
      <c r="G141">
        <f t="shared" si="35"/>
        <v>957211.171875</v>
      </c>
      <c r="H141">
        <f t="shared" si="35"/>
        <v>1005071.73046875</v>
      </c>
      <c r="I141">
        <f>I138-I139+I140</f>
        <v>3555325.3169921879</v>
      </c>
    </row>
    <row r="142" spans="1:12" x14ac:dyDescent="0.25">
      <c r="A142" t="s">
        <v>53</v>
      </c>
      <c r="B142">
        <f t="shared" ref="B142:I142" si="36">B141/(1+$L$130)^(B136)</f>
        <v>-5559500</v>
      </c>
      <c r="C142">
        <f t="shared" si="36"/>
        <v>703124.99999999988</v>
      </c>
      <c r="D142">
        <f t="shared" si="36"/>
        <v>659179.68749999988</v>
      </c>
      <c r="E142">
        <f t="shared" si="36"/>
        <v>617980.95703124977</v>
      </c>
      <c r="F142">
        <f t="shared" si="36"/>
        <v>579357.14721679676</v>
      </c>
      <c r="G142">
        <f t="shared" si="36"/>
        <v>543147.32551574695</v>
      </c>
      <c r="H142">
        <f t="shared" si="36"/>
        <v>509200.61767101265</v>
      </c>
      <c r="I142">
        <f t="shared" si="36"/>
        <v>1608248.6174088081</v>
      </c>
    </row>
    <row r="143" spans="1:12" x14ac:dyDescent="0.25">
      <c r="A143" t="s">
        <v>3</v>
      </c>
      <c r="B143" s="2">
        <f>SUM(B142:I142)</f>
        <v>-339260.64765638532</v>
      </c>
    </row>
    <row r="162" spans="11:15" x14ac:dyDescent="0.25">
      <c r="K162" t="s">
        <v>119</v>
      </c>
      <c r="L162">
        <v>120000</v>
      </c>
      <c r="M162" t="s">
        <v>57</v>
      </c>
    </row>
    <row r="163" spans="11:15" x14ac:dyDescent="0.25">
      <c r="K163" t="s">
        <v>120</v>
      </c>
      <c r="L163" s="3">
        <v>0.65</v>
      </c>
      <c r="M163" t="s">
        <v>121</v>
      </c>
    </row>
    <row r="164" spans="11:15" x14ac:dyDescent="0.25">
      <c r="L164" s="3">
        <v>0.75</v>
      </c>
      <c r="M164" t="s">
        <v>122</v>
      </c>
    </row>
    <row r="165" spans="11:15" x14ac:dyDescent="0.25">
      <c r="L165" s="3">
        <v>0.88</v>
      </c>
      <c r="M165" t="s">
        <v>123</v>
      </c>
    </row>
    <row r="167" spans="11:15" x14ac:dyDescent="0.25">
      <c r="K167" t="s">
        <v>104</v>
      </c>
      <c r="L167">
        <v>26</v>
      </c>
      <c r="N167" t="s">
        <v>124</v>
      </c>
      <c r="O167" s="3">
        <v>7.0000000000000007E-2</v>
      </c>
    </row>
    <row r="168" spans="11:15" x14ac:dyDescent="0.25">
      <c r="K168" t="s">
        <v>125</v>
      </c>
      <c r="L168">
        <v>7500000</v>
      </c>
    </row>
    <row r="169" spans="11:15" x14ac:dyDescent="0.25">
      <c r="K169" t="s">
        <v>92</v>
      </c>
    </row>
    <row r="170" spans="11:15" x14ac:dyDescent="0.25">
      <c r="K170" t="s">
        <v>118</v>
      </c>
      <c r="L170">
        <v>120000</v>
      </c>
      <c r="N170" t="s">
        <v>126</v>
      </c>
      <c r="O170" s="3">
        <v>0.08</v>
      </c>
    </row>
    <row r="171" spans="11:15" x14ac:dyDescent="0.25">
      <c r="K171" t="s">
        <v>90</v>
      </c>
      <c r="L171">
        <v>25000</v>
      </c>
      <c r="M171" t="s">
        <v>121</v>
      </c>
    </row>
    <row r="172" spans="11:15" x14ac:dyDescent="0.25">
      <c r="L172">
        <v>30000</v>
      </c>
      <c r="M172" t="s">
        <v>127</v>
      </c>
    </row>
    <row r="173" spans="11:15" x14ac:dyDescent="0.25">
      <c r="K173" t="s">
        <v>128</v>
      </c>
      <c r="L173">
        <v>100000</v>
      </c>
      <c r="M173">
        <v>1</v>
      </c>
      <c r="N173" t="s">
        <v>129</v>
      </c>
      <c r="O173" s="3">
        <v>0.08</v>
      </c>
    </row>
    <row r="174" spans="11:15" x14ac:dyDescent="0.25">
      <c r="K174" t="s">
        <v>62</v>
      </c>
      <c r="L174" s="3">
        <v>0.34</v>
      </c>
    </row>
    <row r="176" spans="11:15" x14ac:dyDescent="0.25">
      <c r="K176" t="s">
        <v>2</v>
      </c>
      <c r="L176" s="3">
        <v>0.15</v>
      </c>
    </row>
    <row r="182" spans="1:12" x14ac:dyDescent="0.25">
      <c r="B182">
        <v>0</v>
      </c>
      <c r="C182">
        <v>1</v>
      </c>
      <c r="D182">
        <v>2</v>
      </c>
      <c r="E182">
        <v>3</v>
      </c>
      <c r="F182">
        <v>4</v>
      </c>
      <c r="G182">
        <v>5</v>
      </c>
      <c r="H182">
        <v>6</v>
      </c>
    </row>
    <row r="183" spans="1:12" x14ac:dyDescent="0.25">
      <c r="A183" t="s">
        <v>8</v>
      </c>
      <c r="B183" s="2">
        <f>-1*L168</f>
        <v>-7500000</v>
      </c>
    </row>
    <row r="184" spans="1:12" x14ac:dyDescent="0.25">
      <c r="A184" s="10" t="s">
        <v>73</v>
      </c>
      <c r="B184" s="10"/>
      <c r="C184" s="10"/>
      <c r="D184" s="10"/>
      <c r="E184" s="10"/>
      <c r="F184" s="10"/>
      <c r="G184" s="10"/>
      <c r="H184" s="10"/>
      <c r="K184" t="s">
        <v>111</v>
      </c>
      <c r="L184">
        <f>(L185-L186)/L187</f>
        <v>1250000</v>
      </c>
    </row>
    <row r="185" spans="1:12" x14ac:dyDescent="0.25">
      <c r="A185" t="s">
        <v>119</v>
      </c>
      <c r="C185" s="3">
        <v>0.65</v>
      </c>
      <c r="D185" s="3">
        <v>0.65</v>
      </c>
      <c r="E185" s="3">
        <v>0.75</v>
      </c>
      <c r="F185" s="3">
        <v>0.75</v>
      </c>
      <c r="G185" s="3">
        <v>0.88</v>
      </c>
      <c r="H185" s="3">
        <v>0.88</v>
      </c>
      <c r="K185" t="s">
        <v>99</v>
      </c>
      <c r="L185">
        <f>L168</f>
        <v>7500000</v>
      </c>
    </row>
    <row r="186" spans="1:12" x14ac:dyDescent="0.25">
      <c r="A186" t="s">
        <v>57</v>
      </c>
      <c r="C186">
        <f>$L$162*C185</f>
        <v>78000</v>
      </c>
      <c r="D186">
        <f t="shared" ref="D186:H186" si="37">$L$162*D185</f>
        <v>78000</v>
      </c>
      <c r="E186">
        <f t="shared" si="37"/>
        <v>90000</v>
      </c>
      <c r="F186">
        <f t="shared" si="37"/>
        <v>90000</v>
      </c>
      <c r="G186">
        <f t="shared" si="37"/>
        <v>105600</v>
      </c>
      <c r="H186">
        <f t="shared" si="37"/>
        <v>105600</v>
      </c>
      <c r="K186" t="s">
        <v>63</v>
      </c>
      <c r="L186">
        <v>0</v>
      </c>
    </row>
    <row r="187" spans="1:12" x14ac:dyDescent="0.25">
      <c r="A187" t="s">
        <v>104</v>
      </c>
      <c r="C187" s="14">
        <v>26</v>
      </c>
      <c r="D187">
        <f>C187*(1+$O$167)</f>
        <v>27.82</v>
      </c>
      <c r="E187">
        <f>D187*(1+$O$167)</f>
        <v>29.767400000000002</v>
      </c>
      <c r="F187">
        <f t="shared" ref="F187:H187" si="38">E187*(1+$O$167)</f>
        <v>31.851118000000003</v>
      </c>
      <c r="G187">
        <f t="shared" si="38"/>
        <v>34.080696260000003</v>
      </c>
      <c r="H187">
        <f t="shared" si="38"/>
        <v>36.466344998200007</v>
      </c>
      <c r="K187" t="s">
        <v>100</v>
      </c>
      <c r="L187">
        <v>6</v>
      </c>
    </row>
    <row r="188" spans="1:12" x14ac:dyDescent="0.25">
      <c r="A188" s="2" t="s">
        <v>130</v>
      </c>
      <c r="B188" s="2"/>
      <c r="C188" s="2">
        <f t="shared" ref="C188:H188" si="39">C186*C187</f>
        <v>2028000</v>
      </c>
      <c r="D188" s="2">
        <f t="shared" si="39"/>
        <v>2169960</v>
      </c>
      <c r="E188" s="2">
        <f t="shared" si="39"/>
        <v>2679066</v>
      </c>
      <c r="F188" s="2">
        <f t="shared" si="39"/>
        <v>2866600.62</v>
      </c>
      <c r="G188" s="2">
        <f t="shared" si="39"/>
        <v>3598921.5250560003</v>
      </c>
      <c r="H188" s="2">
        <f t="shared" si="39"/>
        <v>3850846.0318099209</v>
      </c>
    </row>
    <row r="189" spans="1:12" x14ac:dyDescent="0.25">
      <c r="A189" s="10" t="s">
        <v>74</v>
      </c>
      <c r="B189" s="10"/>
      <c r="C189" s="10"/>
      <c r="D189" s="10"/>
      <c r="E189" s="10"/>
      <c r="F189" s="10"/>
      <c r="G189" s="10"/>
      <c r="H189" s="10"/>
    </row>
    <row r="190" spans="1:12" x14ac:dyDescent="0.25">
      <c r="A190" t="s">
        <v>118</v>
      </c>
      <c r="C190" s="2">
        <f>L170</f>
        <v>120000</v>
      </c>
      <c r="D190" s="2">
        <f>C190*(1+$O$170)</f>
        <v>129600.00000000001</v>
      </c>
      <c r="E190" s="2">
        <f t="shared" ref="E190:H190" si="40">D190*(1+$O$170)</f>
        <v>139968.00000000003</v>
      </c>
      <c r="F190" s="2">
        <f t="shared" si="40"/>
        <v>151165.44000000003</v>
      </c>
      <c r="G190" s="2">
        <f t="shared" si="40"/>
        <v>163258.67520000006</v>
      </c>
      <c r="H190" s="2">
        <f t="shared" si="40"/>
        <v>176319.36921600008</v>
      </c>
    </row>
    <row r="191" spans="1:12" x14ac:dyDescent="0.25">
      <c r="A191" t="s">
        <v>131</v>
      </c>
      <c r="C191" s="2">
        <f>L171</f>
        <v>25000</v>
      </c>
      <c r="D191" s="2">
        <f>L171</f>
        <v>25000</v>
      </c>
      <c r="E191" s="2">
        <v>30000</v>
      </c>
      <c r="F191" s="2">
        <v>30000</v>
      </c>
      <c r="G191" s="2">
        <v>30000</v>
      </c>
      <c r="H191" s="2">
        <v>30000</v>
      </c>
    </row>
    <row r="192" spans="1:12" x14ac:dyDescent="0.25">
      <c r="A192" t="s">
        <v>128</v>
      </c>
      <c r="C192" s="2">
        <f>L173</f>
        <v>100000</v>
      </c>
      <c r="D192" s="2">
        <f>C192*(1+$O$173)</f>
        <v>108000</v>
      </c>
      <c r="E192" s="2">
        <f t="shared" ref="E192:H192" si="41">D192*(1+$O$173)</f>
        <v>116640.00000000001</v>
      </c>
      <c r="F192" s="2">
        <f t="shared" si="41"/>
        <v>125971.20000000003</v>
      </c>
      <c r="G192" s="2">
        <f t="shared" si="41"/>
        <v>136048.89600000004</v>
      </c>
      <c r="H192" s="2">
        <f t="shared" si="41"/>
        <v>146932.80768000006</v>
      </c>
    </row>
    <row r="193" spans="1:9" x14ac:dyDescent="0.25">
      <c r="A193" t="s">
        <v>111</v>
      </c>
      <c r="C193" s="2">
        <f>$L$184</f>
        <v>1250000</v>
      </c>
      <c r="D193" s="2">
        <f t="shared" ref="D193:H193" si="42">$L$184</f>
        <v>1250000</v>
      </c>
      <c r="E193" s="2">
        <f t="shared" si="42"/>
        <v>1250000</v>
      </c>
      <c r="F193" s="2">
        <f t="shared" si="42"/>
        <v>1250000</v>
      </c>
      <c r="G193" s="2">
        <f t="shared" si="42"/>
        <v>1250000</v>
      </c>
      <c r="H193" s="2">
        <f t="shared" si="42"/>
        <v>1250000</v>
      </c>
    </row>
    <row r="194" spans="1:9" x14ac:dyDescent="0.25">
      <c r="A194" s="11" t="s">
        <v>106</v>
      </c>
      <c r="B194" s="11"/>
      <c r="C194" s="11">
        <f>SUM(C190:C193)</f>
        <v>1495000</v>
      </c>
      <c r="D194" s="11">
        <f t="shared" ref="D194:H194" si="43">SUM(D190:D193)</f>
        <v>1512600</v>
      </c>
      <c r="E194" s="11">
        <f t="shared" si="43"/>
        <v>1536608</v>
      </c>
      <c r="F194" s="11">
        <f t="shared" si="43"/>
        <v>1557136.6400000001</v>
      </c>
      <c r="G194" s="11">
        <f t="shared" si="43"/>
        <v>1579307.5712000001</v>
      </c>
      <c r="H194" s="11">
        <f t="shared" si="43"/>
        <v>1603252.1768960003</v>
      </c>
    </row>
    <row r="195" spans="1:9" x14ac:dyDescent="0.25">
      <c r="A195" s="12" t="s">
        <v>110</v>
      </c>
      <c r="B195" s="12"/>
      <c r="C195" s="12">
        <f>C188-C194</f>
        <v>533000</v>
      </c>
      <c r="D195" s="12">
        <f t="shared" ref="D195:H195" si="44">D188-D194</f>
        <v>657360</v>
      </c>
      <c r="E195" s="12">
        <f t="shared" si="44"/>
        <v>1142458</v>
      </c>
      <c r="F195" s="12">
        <f t="shared" si="44"/>
        <v>1309463.98</v>
      </c>
      <c r="G195" s="12">
        <f t="shared" si="44"/>
        <v>2019613.9538560002</v>
      </c>
      <c r="H195" s="12">
        <f t="shared" si="44"/>
        <v>2247593.8549139206</v>
      </c>
      <c r="I195" t="s">
        <v>132</v>
      </c>
    </row>
    <row r="196" spans="1:9" x14ac:dyDescent="0.25">
      <c r="A196" t="s">
        <v>62</v>
      </c>
      <c r="C196">
        <f>C195*$L$174</f>
        <v>181220</v>
      </c>
      <c r="D196">
        <f t="shared" ref="D196:H196" si="45">D195*$L$174</f>
        <v>223502.40000000002</v>
      </c>
      <c r="E196">
        <f t="shared" si="45"/>
        <v>388435.72000000003</v>
      </c>
      <c r="F196">
        <f t="shared" si="45"/>
        <v>445217.75320000004</v>
      </c>
      <c r="G196">
        <f t="shared" si="45"/>
        <v>686668.74431104015</v>
      </c>
      <c r="H196">
        <f t="shared" si="45"/>
        <v>764181.91067073308</v>
      </c>
    </row>
    <row r="197" spans="1:9" x14ac:dyDescent="0.25">
      <c r="A197" t="s">
        <v>111</v>
      </c>
      <c r="C197">
        <f>C193</f>
        <v>1250000</v>
      </c>
      <c r="D197">
        <f t="shared" ref="D197:H197" si="46">D193</f>
        <v>1250000</v>
      </c>
      <c r="E197">
        <f t="shared" si="46"/>
        <v>1250000</v>
      </c>
      <c r="F197">
        <f t="shared" si="46"/>
        <v>1250000</v>
      </c>
      <c r="G197">
        <f t="shared" si="46"/>
        <v>1250000</v>
      </c>
      <c r="H197">
        <f t="shared" si="46"/>
        <v>1250000</v>
      </c>
    </row>
    <row r="198" spans="1:9" x14ac:dyDescent="0.25">
      <c r="A198" s="12" t="s">
        <v>110</v>
      </c>
      <c r="B198" s="12"/>
      <c r="C198" s="12">
        <f>C195-C196+C197</f>
        <v>1601780</v>
      </c>
      <c r="D198" s="12">
        <f t="shared" ref="D198:H198" si="47">D195-D196+D197</f>
        <v>1683857.6</v>
      </c>
      <c r="E198" s="12">
        <f t="shared" si="47"/>
        <v>2004022.28</v>
      </c>
      <c r="F198" s="12">
        <f t="shared" si="47"/>
        <v>2114246.2267999998</v>
      </c>
      <c r="G198" s="12">
        <f t="shared" si="47"/>
        <v>2582945.2095449599</v>
      </c>
      <c r="H198" s="12">
        <f t="shared" si="47"/>
        <v>2733411.9442431876</v>
      </c>
      <c r="I198" t="s">
        <v>132</v>
      </c>
    </row>
    <row r="199" spans="1:9" x14ac:dyDescent="0.25">
      <c r="A199" t="s">
        <v>70</v>
      </c>
      <c r="B199">
        <f>B183</f>
        <v>-7500000</v>
      </c>
      <c r="C199">
        <f>C198</f>
        <v>1601780</v>
      </c>
      <c r="D199">
        <f t="shared" ref="D199:H199" si="48">D198</f>
        <v>1683857.6</v>
      </c>
      <c r="E199">
        <f t="shared" si="48"/>
        <v>2004022.28</v>
      </c>
      <c r="F199">
        <f t="shared" si="48"/>
        <v>2114246.2267999998</v>
      </c>
      <c r="G199">
        <f t="shared" si="48"/>
        <v>2582945.2095449599</v>
      </c>
      <c r="H199">
        <f t="shared" si="48"/>
        <v>2733411.9442431876</v>
      </c>
    </row>
    <row r="200" spans="1:9" x14ac:dyDescent="0.25">
      <c r="A200" t="s">
        <v>53</v>
      </c>
      <c r="B200">
        <f>B199/(1+$L$176)^(B182)</f>
        <v>-7500000</v>
      </c>
      <c r="C200">
        <f>C199/(1+$L$176)^(C182)</f>
        <v>1392852.1739130437</v>
      </c>
      <c r="D200">
        <f t="shared" ref="D200:H200" si="49">D199/(1+$L$176)^(D182)</f>
        <v>1273238.2608695654</v>
      </c>
      <c r="E200">
        <f t="shared" si="49"/>
        <v>1317677.1792553633</v>
      </c>
      <c r="F200">
        <f t="shared" si="49"/>
        <v>1208827.1421557243</v>
      </c>
      <c r="G200">
        <f t="shared" si="49"/>
        <v>1284180.2667359204</v>
      </c>
      <c r="H200">
        <f t="shared" si="49"/>
        <v>1181729.4144905906</v>
      </c>
    </row>
    <row r="201" spans="1:9" x14ac:dyDescent="0.25">
      <c r="A201" t="s">
        <v>3</v>
      </c>
      <c r="B201" s="2">
        <f>SUM(B200:H200)</f>
        <v>158504.43742020847</v>
      </c>
      <c r="C201" t="s">
        <v>132</v>
      </c>
    </row>
    <row r="202" spans="1:9" x14ac:dyDescent="0.25">
      <c r="A202" t="s">
        <v>38</v>
      </c>
      <c r="B202" s="13">
        <f>IRR(B199:H199)</f>
        <v>0.15705981948897785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B0A-E888-4B9F-A84E-5F51132D66A0}">
  <dimension ref="A8:J27"/>
  <sheetViews>
    <sheetView zoomScale="235" zoomScaleNormal="235" workbookViewId="0">
      <selection activeCell="F16" sqref="F16"/>
    </sheetView>
  </sheetViews>
  <sheetFormatPr defaultRowHeight="15" x14ac:dyDescent="0.25"/>
  <sheetData>
    <row r="8" spans="1:8" x14ac:dyDescent="0.25">
      <c r="A8" t="s">
        <v>5</v>
      </c>
      <c r="C8">
        <v>0</v>
      </c>
      <c r="D8">
        <v>1</v>
      </c>
      <c r="E8">
        <v>2</v>
      </c>
      <c r="F8">
        <v>3</v>
      </c>
      <c r="G8" t="s">
        <v>7</v>
      </c>
      <c r="H8" t="s">
        <v>3</v>
      </c>
    </row>
    <row r="9" spans="1:8" x14ac:dyDescent="0.25">
      <c r="B9" t="s">
        <v>0</v>
      </c>
      <c r="C9">
        <v>8000</v>
      </c>
      <c r="D9">
        <v>1000</v>
      </c>
      <c r="E9">
        <v>3000</v>
      </c>
      <c r="F9">
        <v>5000</v>
      </c>
      <c r="H9" s="2">
        <f>-C10+SUM(D10:F10)</f>
        <v>374.36981057482808</v>
      </c>
    </row>
    <row r="10" spans="1:8" x14ac:dyDescent="0.25">
      <c r="A10" t="s">
        <v>2</v>
      </c>
      <c r="B10" s="3">
        <v>0.03</v>
      </c>
      <c r="C10">
        <f>C9/((1+$B$10)^(C8))</f>
        <v>8000</v>
      </c>
      <c r="D10">
        <f t="shared" ref="D10:F10" si="0">D9/((1+$B$10)^(D8))</f>
        <v>970.87378640776694</v>
      </c>
      <c r="E10">
        <f t="shared" si="0"/>
        <v>2827.7877274012631</v>
      </c>
      <c r="F10">
        <f t="shared" si="0"/>
        <v>4575.708296765798</v>
      </c>
    </row>
    <row r="12" spans="1:8" x14ac:dyDescent="0.25">
      <c r="A12" t="s">
        <v>6</v>
      </c>
      <c r="C12">
        <v>0</v>
      </c>
      <c r="D12">
        <v>1</v>
      </c>
      <c r="E12">
        <v>2</v>
      </c>
      <c r="F12">
        <v>3</v>
      </c>
      <c r="G12" t="s">
        <v>9</v>
      </c>
      <c r="H12" t="s">
        <v>3</v>
      </c>
    </row>
    <row r="13" spans="1:8" x14ac:dyDescent="0.25">
      <c r="B13" s="3" t="s">
        <v>8</v>
      </c>
      <c r="C13">
        <v>8000</v>
      </c>
      <c r="H13" s="2">
        <f>-C13+F20</f>
        <v>483.36318220378962</v>
      </c>
    </row>
    <row r="14" spans="1:8" x14ac:dyDescent="0.25">
      <c r="B14" s="3"/>
      <c r="C14" s="3">
        <v>0.03</v>
      </c>
      <c r="E14" s="3"/>
      <c r="F14" s="3"/>
    </row>
    <row r="15" spans="1:8" x14ac:dyDescent="0.25">
      <c r="B15" s="3" t="s">
        <v>1</v>
      </c>
    </row>
    <row r="16" spans="1:8" x14ac:dyDescent="0.25">
      <c r="B16" s="3" t="s">
        <v>10</v>
      </c>
      <c r="F16">
        <v>5000</v>
      </c>
    </row>
    <row r="17" spans="1:10" x14ac:dyDescent="0.25">
      <c r="F17">
        <f>3000*(1+5%)</f>
        <v>3150</v>
      </c>
      <c r="G17" t="s">
        <v>11</v>
      </c>
    </row>
    <row r="18" spans="1:10" x14ac:dyDescent="0.25">
      <c r="F18">
        <f>D9*(1+0.12)</f>
        <v>1120</v>
      </c>
      <c r="G18" t="s">
        <v>12</v>
      </c>
    </row>
    <row r="19" spans="1:10" x14ac:dyDescent="0.25">
      <c r="E19" s="3"/>
    </row>
    <row r="20" spans="1:10" x14ac:dyDescent="0.25">
      <c r="B20" t="s">
        <v>1</v>
      </c>
      <c r="F20" s="2">
        <f>(F16+F17+F18)/((1+3%)^(3))</f>
        <v>8483.3631822037896</v>
      </c>
    </row>
    <row r="22" spans="1:10" x14ac:dyDescent="0.25">
      <c r="D22" s="4"/>
      <c r="F22" s="4"/>
      <c r="H22" s="4"/>
      <c r="J22" s="4"/>
    </row>
    <row r="23" spans="1:10" x14ac:dyDescent="0.25">
      <c r="A23" s="7" t="s">
        <v>14</v>
      </c>
      <c r="D23" s="3"/>
      <c r="F23" s="3"/>
      <c r="H23" s="3"/>
      <c r="J23" s="3"/>
    </row>
    <row r="24" spans="1:10" x14ac:dyDescent="0.25">
      <c r="D24" s="3"/>
      <c r="E24" s="3"/>
      <c r="F24" s="3"/>
      <c r="J24" s="3"/>
    </row>
    <row r="26" spans="1:10" x14ac:dyDescent="0.25">
      <c r="I26" s="3"/>
    </row>
    <row r="27" spans="1:10" x14ac:dyDescent="0.25">
      <c r="D27" s="3"/>
      <c r="E27" s="3"/>
      <c r="F27" s="3"/>
    </row>
  </sheetData>
  <hyperlinks>
    <hyperlink ref="A23" r:id="rId1" xr:uid="{9527F13D-02E4-4A6B-AA1D-636024E6D09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EA77-88D1-49E1-B1B4-AAEBCFB243D9}">
  <dimension ref="A9:F13"/>
  <sheetViews>
    <sheetView zoomScale="220" zoomScaleNormal="220" workbookViewId="0">
      <selection activeCell="H10" sqref="H10"/>
    </sheetView>
  </sheetViews>
  <sheetFormatPr defaultRowHeight="15" x14ac:dyDescent="0.25"/>
  <sheetData>
    <row r="9" spans="1:6" x14ac:dyDescent="0.25">
      <c r="A9" s="3">
        <v>0.08</v>
      </c>
      <c r="B9">
        <v>0</v>
      </c>
      <c r="C9">
        <v>1</v>
      </c>
      <c r="D9">
        <v>2</v>
      </c>
      <c r="F9" t="s">
        <v>3</v>
      </c>
    </row>
    <row r="10" spans="1:6" x14ac:dyDescent="0.25">
      <c r="B10">
        <v>-440000</v>
      </c>
      <c r="C10">
        <v>2770000</v>
      </c>
      <c r="D10">
        <v>-2000000</v>
      </c>
      <c r="F10" s="2">
        <f>SUM(B10:D10)</f>
        <v>330000</v>
      </c>
    </row>
    <row r="11" spans="1:6" x14ac:dyDescent="0.25">
      <c r="A11" s="3" t="s">
        <v>1</v>
      </c>
      <c r="C11">
        <f>C10/((1+$A$9)^(C9))</f>
        <v>2564814.8148148148</v>
      </c>
      <c r="D11">
        <f>D10/((1+$A$9)^(D9))</f>
        <v>-1714677.6406035663</v>
      </c>
    </row>
    <row r="13" spans="1:6" x14ac:dyDescent="0.25">
      <c r="C13" t="s">
        <v>38</v>
      </c>
      <c r="D13" s="3">
        <f>IRR(B10:D10)</f>
        <v>-0.16803014937389482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FC55-9E33-47F0-ABBC-DA8EE95001EA}">
  <dimension ref="A1"/>
  <sheetViews>
    <sheetView zoomScale="235" zoomScaleNormal="235" workbookViewId="0">
      <selection activeCell="B13" sqref="B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338A-7EC8-44AD-A38F-00E2CAFDC4E9}">
  <dimension ref="A10:G15"/>
  <sheetViews>
    <sheetView zoomScale="220" zoomScaleNormal="220" workbookViewId="0">
      <selection activeCell="D15" sqref="D15"/>
    </sheetView>
  </sheetViews>
  <sheetFormatPr defaultRowHeight="15" x14ac:dyDescent="0.25"/>
  <sheetData>
    <row r="10" spans="1:7" x14ac:dyDescent="0.25">
      <c r="A10" s="3">
        <v>0.08</v>
      </c>
      <c r="C10" s="3">
        <v>0.4</v>
      </c>
      <c r="D10" s="3">
        <v>0.6</v>
      </c>
    </row>
    <row r="11" spans="1:7" x14ac:dyDescent="0.25">
      <c r="B11">
        <v>80000</v>
      </c>
      <c r="C11">
        <f>B11*C10</f>
        <v>32000</v>
      </c>
      <c r="D11">
        <f>B11*D10</f>
        <v>48000</v>
      </c>
    </row>
    <row r="13" spans="1:7" x14ac:dyDescent="0.25">
      <c r="C13">
        <v>0</v>
      </c>
      <c r="D13">
        <v>1</v>
      </c>
      <c r="E13">
        <v>2</v>
      </c>
      <c r="F13" t="s">
        <v>13</v>
      </c>
      <c r="G13" t="s">
        <v>3</v>
      </c>
    </row>
    <row r="14" spans="1:7" x14ac:dyDescent="0.25">
      <c r="B14" t="s">
        <v>0</v>
      </c>
      <c r="C14">
        <f>C11</f>
        <v>32000</v>
      </c>
      <c r="E14">
        <f>D11</f>
        <v>48000</v>
      </c>
      <c r="F14">
        <f>C14+E14/((1+A10)^(E13))</f>
        <v>73152.263374485599</v>
      </c>
      <c r="G14" s="2">
        <f>-F14+F15</f>
        <v>28699.58847736624</v>
      </c>
    </row>
    <row r="15" spans="1:7" x14ac:dyDescent="0.25">
      <c r="B15" t="s">
        <v>10</v>
      </c>
      <c r="D15">
        <v>110000</v>
      </c>
      <c r="F15">
        <f>D15/((1+A10)^(D13))</f>
        <v>101851.85185185184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3743-43EC-458F-B166-98F33BE978B6}">
  <dimension ref="B12:I16"/>
  <sheetViews>
    <sheetView zoomScale="205" zoomScaleNormal="205" workbookViewId="0">
      <selection activeCell="I13" sqref="I13"/>
    </sheetView>
  </sheetViews>
  <sheetFormatPr defaultRowHeight="15" x14ac:dyDescent="0.25"/>
  <sheetData>
    <row r="12" spans="2:9" x14ac:dyDescent="0.25">
      <c r="B12" s="3">
        <v>0.1</v>
      </c>
      <c r="C12">
        <v>0</v>
      </c>
      <c r="D12">
        <v>1</v>
      </c>
      <c r="E12">
        <v>2</v>
      </c>
      <c r="F12">
        <v>3</v>
      </c>
      <c r="G12">
        <v>4</v>
      </c>
      <c r="I12" t="s">
        <v>3</v>
      </c>
    </row>
    <row r="13" spans="2:9" x14ac:dyDescent="0.25">
      <c r="B13" s="3" t="s">
        <v>0</v>
      </c>
      <c r="C13">
        <v>50000</v>
      </c>
      <c r="I13" s="2">
        <f>-C14+SUM(D16:G16)</f>
        <v>38122.396011201388</v>
      </c>
    </row>
    <row r="14" spans="2:9" x14ac:dyDescent="0.25">
      <c r="B14" t="s">
        <v>1</v>
      </c>
      <c r="C14">
        <f>C13</f>
        <v>50000</v>
      </c>
    </row>
    <row r="15" spans="2:9" x14ac:dyDescent="0.25">
      <c r="B15" t="s">
        <v>10</v>
      </c>
      <c r="D15">
        <v>20000</v>
      </c>
      <c r="E15">
        <v>40000</v>
      </c>
      <c r="F15">
        <v>40000</v>
      </c>
      <c r="G15">
        <v>10000</v>
      </c>
    </row>
    <row r="16" spans="2:9" x14ac:dyDescent="0.25">
      <c r="B16" t="s">
        <v>1</v>
      </c>
      <c r="D16">
        <f>D15/((1+$B$12)^(D12))</f>
        <v>18181.81818181818</v>
      </c>
      <c r="E16">
        <f t="shared" ref="E16:G16" si="0">E15/((1+$B$12)^(E12))</f>
        <v>33057.851239669413</v>
      </c>
      <c r="F16">
        <f t="shared" si="0"/>
        <v>30052.592036063103</v>
      </c>
      <c r="G16">
        <f t="shared" si="0"/>
        <v>6830.1345536507051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476D-71A6-432D-BE85-C4F412D29398}">
  <dimension ref="A13:K33"/>
  <sheetViews>
    <sheetView zoomScale="205" zoomScaleNormal="205" workbookViewId="0">
      <selection activeCell="K31" sqref="K31"/>
    </sheetView>
  </sheetViews>
  <sheetFormatPr defaultRowHeight="15" x14ac:dyDescent="0.25"/>
  <sheetData>
    <row r="13" spans="2:10" x14ac:dyDescent="0.25">
      <c r="B13" s="3">
        <v>0.1</v>
      </c>
      <c r="C13">
        <v>0</v>
      </c>
      <c r="D13">
        <v>1</v>
      </c>
      <c r="E13">
        <v>2</v>
      </c>
      <c r="F13">
        <v>3</v>
      </c>
      <c r="G13">
        <v>4</v>
      </c>
      <c r="H13" t="s">
        <v>7</v>
      </c>
      <c r="J13" t="s">
        <v>3</v>
      </c>
    </row>
    <row r="14" spans="2:10" x14ac:dyDescent="0.25">
      <c r="B14" t="s">
        <v>0</v>
      </c>
      <c r="C14">
        <v>60000000</v>
      </c>
      <c r="D14">
        <v>5000000</v>
      </c>
      <c r="J14" s="2">
        <f>-H15+H17</f>
        <v>4499009.630489707</v>
      </c>
    </row>
    <row r="15" spans="2:10" x14ac:dyDescent="0.25">
      <c r="B15" t="s">
        <v>1</v>
      </c>
      <c r="C15">
        <f>C14</f>
        <v>60000000</v>
      </c>
      <c r="D15">
        <f>D14/((1+B13)^(D13))</f>
        <v>4545454.5454545449</v>
      </c>
      <c r="H15">
        <f>SUM(C15:D15)</f>
        <v>64545454.545454547</v>
      </c>
    </row>
    <row r="16" spans="2:10" x14ac:dyDescent="0.25">
      <c r="B16" t="s">
        <v>10</v>
      </c>
      <c r="E16">
        <v>4800000</v>
      </c>
      <c r="F16">
        <v>4800000</v>
      </c>
      <c r="G16">
        <v>90000000</v>
      </c>
    </row>
    <row r="17" spans="1:11" x14ac:dyDescent="0.25">
      <c r="B17" t="s">
        <v>1</v>
      </c>
      <c r="E17">
        <f>E16/((1+$B$13)^(E13))</f>
        <v>3966942.1487603299</v>
      </c>
      <c r="F17">
        <f t="shared" ref="F17:G17" si="0">F16/((1+$B$13)^(F13))</f>
        <v>3606311.044327572</v>
      </c>
      <c r="G17">
        <f t="shared" si="0"/>
        <v>61471210.982856348</v>
      </c>
      <c r="H17">
        <f>SUM(E17:G17)</f>
        <v>69044464.175944254</v>
      </c>
    </row>
    <row r="19" spans="1:11" x14ac:dyDescent="0.25">
      <c r="B19" t="s">
        <v>15</v>
      </c>
    </row>
    <row r="27" spans="1:11" x14ac:dyDescent="0.25">
      <c r="B27" t="s">
        <v>34</v>
      </c>
      <c r="C27">
        <v>0</v>
      </c>
      <c r="D27">
        <v>1</v>
      </c>
      <c r="E27">
        <v>2</v>
      </c>
      <c r="F27">
        <v>3</v>
      </c>
      <c r="G27">
        <v>4</v>
      </c>
      <c r="H27">
        <v>5</v>
      </c>
      <c r="J27" t="s">
        <v>34</v>
      </c>
    </row>
    <row r="28" spans="1:11" x14ac:dyDescent="0.25">
      <c r="B28" t="s">
        <v>0</v>
      </c>
      <c r="C28">
        <v>75</v>
      </c>
      <c r="J28" s="2">
        <f>-C28+H30</f>
        <v>-6.9416802966246962</v>
      </c>
      <c r="K28" t="s">
        <v>36</v>
      </c>
    </row>
    <row r="29" spans="1:11" x14ac:dyDescent="0.25">
      <c r="B29" t="s">
        <v>10</v>
      </c>
      <c r="H29">
        <v>100</v>
      </c>
    </row>
    <row r="30" spans="1:11" x14ac:dyDescent="0.25">
      <c r="H30">
        <f>H29/(1+A31)^(H27)</f>
        <v>68.058319703375304</v>
      </c>
    </row>
    <row r="31" spans="1:11" x14ac:dyDescent="0.25">
      <c r="A31" s="3">
        <v>0.08</v>
      </c>
      <c r="B31" t="s">
        <v>35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J31" t="s">
        <v>35</v>
      </c>
    </row>
    <row r="32" spans="1:11" x14ac:dyDescent="0.25">
      <c r="B32" t="s">
        <v>0</v>
      </c>
      <c r="C32">
        <v>75</v>
      </c>
      <c r="D32">
        <f>C32*(1+$A$31)</f>
        <v>81</v>
      </c>
      <c r="E32">
        <f>D32*(1+$A$31)</f>
        <v>87.48</v>
      </c>
      <c r="F32">
        <f>E32*(1+$A$31)</f>
        <v>94.478400000000008</v>
      </c>
      <c r="G32">
        <f t="shared" ref="G32:H32" si="1">F32*(1+$A$31)</f>
        <v>102.03667200000001</v>
      </c>
      <c r="H32">
        <f t="shared" si="1"/>
        <v>110.19960576000001</v>
      </c>
      <c r="J32" s="2">
        <f>-C32+SUM(D32:H32)</f>
        <v>400.19467776000005</v>
      </c>
    </row>
    <row r="33" spans="2:2" x14ac:dyDescent="0.25">
      <c r="B33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063-F1D6-4AF8-AC60-645FFDBB3617}">
  <dimension ref="A15:N26"/>
  <sheetViews>
    <sheetView zoomScale="205" zoomScaleNormal="205" workbookViewId="0">
      <selection activeCell="F14" sqref="F14"/>
    </sheetView>
  </sheetViews>
  <sheetFormatPr defaultRowHeight="15" x14ac:dyDescent="0.25"/>
  <sheetData>
    <row r="15" spans="2:14" x14ac:dyDescent="0.25">
      <c r="B15" t="s">
        <v>16</v>
      </c>
    </row>
    <row r="16" spans="2:14" x14ac:dyDescent="0.25">
      <c r="B16" t="s">
        <v>17</v>
      </c>
      <c r="C16">
        <v>200</v>
      </c>
      <c r="J16" t="s">
        <v>18</v>
      </c>
      <c r="K16" t="s">
        <v>19</v>
      </c>
      <c r="L16" t="s">
        <v>23</v>
      </c>
      <c r="M16" t="s">
        <v>20</v>
      </c>
      <c r="N16" t="s">
        <v>21</v>
      </c>
    </row>
    <row r="17" spans="1:14" x14ac:dyDescent="0.25">
      <c r="A17" s="3">
        <v>0.05</v>
      </c>
      <c r="B17">
        <v>50</v>
      </c>
      <c r="C17">
        <f>B17*C16</f>
        <v>10000</v>
      </c>
      <c r="D17">
        <v>10</v>
      </c>
      <c r="F17">
        <v>20</v>
      </c>
      <c r="G17">
        <v>20</v>
      </c>
      <c r="I17">
        <v>1</v>
      </c>
      <c r="J17">
        <v>10000</v>
      </c>
      <c r="K17" s="3">
        <v>0.14000000000000001</v>
      </c>
      <c r="L17">
        <f>M17*K17</f>
        <v>280</v>
      </c>
      <c r="M17">
        <f>10*200</f>
        <v>2000</v>
      </c>
      <c r="N17">
        <f>J17-L17-M17</f>
        <v>7720</v>
      </c>
    </row>
    <row r="18" spans="1:14" x14ac:dyDescent="0.25">
      <c r="D18">
        <f>D17*C16</f>
        <v>2000</v>
      </c>
      <c r="F18">
        <f>F17*C16</f>
        <v>4000</v>
      </c>
      <c r="G18">
        <f>G17*C16</f>
        <v>4000</v>
      </c>
      <c r="I18">
        <v>2</v>
      </c>
      <c r="J18">
        <f>N17</f>
        <v>7720</v>
      </c>
      <c r="K18" s="3">
        <v>0.14000000000000001</v>
      </c>
    </row>
    <row r="19" spans="1:14" x14ac:dyDescent="0.25">
      <c r="C19">
        <v>0</v>
      </c>
      <c r="D19">
        <v>1</v>
      </c>
      <c r="E19">
        <v>2</v>
      </c>
      <c r="F19">
        <v>3</v>
      </c>
      <c r="G19">
        <v>4</v>
      </c>
      <c r="I19">
        <v>3</v>
      </c>
    </row>
    <row r="20" spans="1:14" x14ac:dyDescent="0.25">
      <c r="B20" t="s">
        <v>0</v>
      </c>
      <c r="C20">
        <f>C17</f>
        <v>10000</v>
      </c>
      <c r="I20">
        <v>4</v>
      </c>
    </row>
    <row r="21" spans="1:14" x14ac:dyDescent="0.25">
      <c r="B21" t="s">
        <v>1</v>
      </c>
    </row>
    <row r="22" spans="1:14" x14ac:dyDescent="0.25">
      <c r="B22" t="s">
        <v>10</v>
      </c>
      <c r="D22">
        <f>D18*(1+0.14)</f>
        <v>2280.0000000000005</v>
      </c>
      <c r="F22">
        <f>F18*(1+0.14)^(2)</f>
        <v>5198.4000000000015</v>
      </c>
      <c r="G22">
        <f>G18*(1+0.14)</f>
        <v>4560.0000000000009</v>
      </c>
    </row>
    <row r="26" spans="1:14" x14ac:dyDescent="0.25">
      <c r="B26" t="s"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1322-AEBB-493A-A8A6-50AE82AF1940}">
  <dimension ref="A11:L23"/>
  <sheetViews>
    <sheetView zoomScale="160" zoomScaleNormal="160" workbookViewId="0">
      <selection activeCell="G10" sqref="G10"/>
    </sheetView>
  </sheetViews>
  <sheetFormatPr defaultRowHeight="15" x14ac:dyDescent="0.25"/>
  <sheetData>
    <row r="11" spans="1:12" x14ac:dyDescent="0.25">
      <c r="A11" s="3">
        <v>0.14000000000000001</v>
      </c>
      <c r="K11" t="s">
        <v>32</v>
      </c>
      <c r="L11">
        <f>C13/4</f>
        <v>2500</v>
      </c>
    </row>
    <row r="12" spans="1:12" ht="29.25" customHeight="1" x14ac:dyDescent="0.25">
      <c r="B12" s="5" t="s">
        <v>24</v>
      </c>
      <c r="C12" s="5" t="s">
        <v>25</v>
      </c>
      <c r="D12" s="5" t="s">
        <v>27</v>
      </c>
      <c r="E12" s="5" t="s">
        <v>26</v>
      </c>
      <c r="F12" s="5" t="s">
        <v>28</v>
      </c>
      <c r="G12" s="5" t="s">
        <v>29</v>
      </c>
      <c r="H12" s="5" t="s">
        <v>30</v>
      </c>
      <c r="I12" s="5" t="s">
        <v>31</v>
      </c>
    </row>
    <row r="13" spans="1:12" x14ac:dyDescent="0.25">
      <c r="B13">
        <v>0</v>
      </c>
      <c r="C13">
        <v>10000</v>
      </c>
      <c r="D13" s="3">
        <f>$A$11</f>
        <v>0.14000000000000001</v>
      </c>
      <c r="E13">
        <v>0</v>
      </c>
      <c r="F13">
        <v>0</v>
      </c>
      <c r="G13">
        <v>0</v>
      </c>
      <c r="H13">
        <v>0</v>
      </c>
      <c r="I13">
        <f>C13-H13</f>
        <v>10000</v>
      </c>
    </row>
    <row r="14" spans="1:12" x14ac:dyDescent="0.25">
      <c r="B14">
        <v>1</v>
      </c>
      <c r="C14">
        <f>I13</f>
        <v>10000</v>
      </c>
      <c r="D14" s="3">
        <f t="shared" ref="D14:D17" si="0">$A$11</f>
        <v>0.14000000000000001</v>
      </c>
      <c r="E14">
        <f>C14*D14</f>
        <v>1400.0000000000002</v>
      </c>
      <c r="F14">
        <f>E14</f>
        <v>1400.0000000000002</v>
      </c>
      <c r="G14">
        <f>$L$11</f>
        <v>2500</v>
      </c>
      <c r="H14" s="2">
        <f>SUM(F14:G14)</f>
        <v>3900</v>
      </c>
      <c r="I14">
        <f>C14+E14-H14</f>
        <v>7500</v>
      </c>
    </row>
    <row r="15" spans="1:12" x14ac:dyDescent="0.25">
      <c r="B15">
        <v>2</v>
      </c>
      <c r="C15">
        <f t="shared" ref="C15:C17" si="1">I14</f>
        <v>7500</v>
      </c>
      <c r="D15" s="3">
        <f t="shared" si="0"/>
        <v>0.14000000000000001</v>
      </c>
      <c r="E15">
        <f t="shared" ref="E15:E17" si="2">C15*D15</f>
        <v>1050</v>
      </c>
      <c r="F15">
        <f t="shared" ref="F15:F17" si="3">E15</f>
        <v>1050</v>
      </c>
      <c r="G15">
        <f t="shared" ref="G15:G17" si="4">$L$11</f>
        <v>2500</v>
      </c>
      <c r="H15" s="2">
        <f t="shared" ref="H15:H17" si="5">SUM(F15:G15)</f>
        <v>3550</v>
      </c>
      <c r="I15">
        <f t="shared" ref="I15:I17" si="6">C15+E15-H15</f>
        <v>5000</v>
      </c>
    </row>
    <row r="16" spans="1:12" x14ac:dyDescent="0.25">
      <c r="B16">
        <v>3</v>
      </c>
      <c r="C16">
        <f t="shared" si="1"/>
        <v>5000</v>
      </c>
      <c r="D16" s="3">
        <f t="shared" si="0"/>
        <v>0.14000000000000001</v>
      </c>
      <c r="E16">
        <f t="shared" si="2"/>
        <v>700.00000000000011</v>
      </c>
      <c r="F16">
        <f t="shared" si="3"/>
        <v>700.00000000000011</v>
      </c>
      <c r="G16">
        <f t="shared" si="4"/>
        <v>2500</v>
      </c>
      <c r="H16" s="2">
        <f t="shared" si="5"/>
        <v>3200</v>
      </c>
      <c r="I16">
        <f t="shared" si="6"/>
        <v>2500</v>
      </c>
    </row>
    <row r="17" spans="1:11" x14ac:dyDescent="0.25">
      <c r="B17">
        <v>4</v>
      </c>
      <c r="C17">
        <f t="shared" si="1"/>
        <v>2500</v>
      </c>
      <c r="D17" s="3">
        <f t="shared" si="0"/>
        <v>0.14000000000000001</v>
      </c>
      <c r="E17">
        <f t="shared" si="2"/>
        <v>350.00000000000006</v>
      </c>
      <c r="F17">
        <f t="shared" si="3"/>
        <v>350.00000000000006</v>
      </c>
      <c r="G17">
        <f t="shared" si="4"/>
        <v>2500</v>
      </c>
      <c r="H17" s="2">
        <f t="shared" si="5"/>
        <v>2850</v>
      </c>
      <c r="I17">
        <f t="shared" si="6"/>
        <v>0</v>
      </c>
    </row>
    <row r="19" spans="1:11" x14ac:dyDescent="0.25">
      <c r="A19" s="3">
        <v>0.05</v>
      </c>
      <c r="C19">
        <v>0</v>
      </c>
      <c r="D19">
        <v>1</v>
      </c>
      <c r="E19">
        <v>2</v>
      </c>
      <c r="F19">
        <v>3</v>
      </c>
      <c r="G19">
        <v>4</v>
      </c>
      <c r="H19" t="s">
        <v>7</v>
      </c>
      <c r="J19" t="s">
        <v>3</v>
      </c>
    </row>
    <row r="20" spans="1:11" x14ac:dyDescent="0.25">
      <c r="B20" s="6" t="s">
        <v>0</v>
      </c>
      <c r="C20" s="6">
        <v>10000</v>
      </c>
      <c r="D20" s="6"/>
      <c r="E20" s="6"/>
      <c r="F20" s="6"/>
      <c r="G20" s="6"/>
      <c r="H20" s="6"/>
      <c r="J20" s="2">
        <f>-C21+H23</f>
        <v>2043.2227312693776</v>
      </c>
      <c r="K20" t="s">
        <v>33</v>
      </c>
    </row>
    <row r="21" spans="1:11" x14ac:dyDescent="0.25">
      <c r="B21" t="s">
        <v>1</v>
      </c>
      <c r="C21">
        <f>C20</f>
        <v>10000</v>
      </c>
    </row>
    <row r="22" spans="1:11" x14ac:dyDescent="0.25">
      <c r="B22" s="6" t="s">
        <v>10</v>
      </c>
      <c r="C22" s="6"/>
      <c r="D22" s="6">
        <f>H14</f>
        <v>3900</v>
      </c>
      <c r="E22" s="6">
        <f>H15</f>
        <v>3550</v>
      </c>
      <c r="F22" s="6">
        <f>H16</f>
        <v>3200</v>
      </c>
      <c r="G22" s="6">
        <f>H17</f>
        <v>2850</v>
      </c>
      <c r="H22" s="6"/>
    </row>
    <row r="23" spans="1:11" x14ac:dyDescent="0.25">
      <c r="B23" t="s">
        <v>1</v>
      </c>
      <c r="D23">
        <f>D22/((1+$A$19)^(D19))</f>
        <v>3714.2857142857142</v>
      </c>
      <c r="E23">
        <f>E22/((1+$A$19)^(E19))</f>
        <v>3219.9546485260771</v>
      </c>
      <c r="F23">
        <f t="shared" ref="F23:G23" si="7">F22/((1+$A$19)^(F19))</f>
        <v>2764.280315300723</v>
      </c>
      <c r="G23">
        <f t="shared" si="7"/>
        <v>2344.7020531568637</v>
      </c>
      <c r="H23">
        <f>SUM(D23:G23)</f>
        <v>12043.222731269378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ex1</vt:lpstr>
      <vt:lpstr>ex2g</vt:lpstr>
      <vt:lpstr>ex3</vt:lpstr>
      <vt:lpstr>ex4</vt:lpstr>
      <vt:lpstr>ex5g</vt:lpstr>
      <vt:lpstr>ex6g</vt:lpstr>
      <vt:lpstr>ex7g</vt:lpstr>
      <vt:lpstr>ex8</vt:lpstr>
      <vt:lpstr>ex9g</vt:lpstr>
      <vt:lpstr>trash</vt:lpstr>
      <vt:lpstr>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2023-03-05T17:33:05Z</dcterms:created>
  <dcterms:modified xsi:type="dcterms:W3CDTF">2023-03-29T04:06:30Z</dcterms:modified>
</cp:coreProperties>
</file>