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97CFFD6F-7CD0-4309-A3CC-7AD0DDE984D2}" xr6:coauthVersionLast="47" xr6:coauthVersionMax="47" xr10:uidLastSave="{00000000-0000-0000-0000-000000000000}"/>
  <bookViews>
    <workbookView xWindow="-120" yWindow="-120" windowWidth="29040" windowHeight="15840" firstSheet="8" activeTab="24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" sheetId="11" r:id="rId11"/>
    <sheet name="ex12b" sheetId="12" r:id="rId12"/>
    <sheet name="ex13g" sheetId="13" r:id="rId13"/>
    <sheet name="ex14g" sheetId="14" r:id="rId14"/>
    <sheet name="ex15g" sheetId="15" r:id="rId15"/>
    <sheet name="ex16" sheetId="16" r:id="rId16"/>
    <sheet name="ex17g" sheetId="17" r:id="rId17"/>
    <sheet name="ex18" sheetId="18" r:id="rId18"/>
    <sheet name="ex19b" sheetId="19" r:id="rId19"/>
    <sheet name="ex20g" sheetId="20" r:id="rId20"/>
    <sheet name="ex21g" sheetId="21" r:id="rId21"/>
    <sheet name="ex22g" sheetId="22" r:id="rId22"/>
    <sheet name="ex23" sheetId="23" r:id="rId23"/>
    <sheet name="ex24g" sheetId="24" r:id="rId24"/>
    <sheet name="ex25g" sheetId="25" r:id="rId25"/>
    <sheet name="ex26b" sheetId="26" r:id="rId26"/>
    <sheet name="ex27g" sheetId="27" r:id="rId27"/>
    <sheet name="ex28" sheetId="28" r:id="rId28"/>
    <sheet name="ex29g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5" l="1"/>
  <c r="H15" i="25"/>
  <c r="G15" i="25"/>
  <c r="F15" i="25"/>
  <c r="E15" i="25"/>
  <c r="AD42" i="21"/>
  <c r="AT41" i="21"/>
  <c r="AU41" i="21"/>
  <c r="AV41" i="21"/>
  <c r="AW41" i="21"/>
  <c r="AX41" i="21"/>
  <c r="AX42" i="21" s="1"/>
  <c r="AY41" i="21"/>
  <c r="AZ41" i="21"/>
  <c r="AZ42" i="21" s="1"/>
  <c r="BA41" i="21"/>
  <c r="BA42" i="21" s="1"/>
  <c r="BB41" i="21"/>
  <c r="BC41" i="21"/>
  <c r="BD41" i="21"/>
  <c r="BE41" i="21"/>
  <c r="BE42" i="21" s="1"/>
  <c r="BF41" i="21"/>
  <c r="BF42" i="21" s="1"/>
  <c r="BG41" i="21"/>
  <c r="BH41" i="21"/>
  <c r="BH42" i="21" s="1"/>
  <c r="BI41" i="21"/>
  <c r="BJ41" i="21"/>
  <c r="BK41" i="21"/>
  <c r="BL41" i="21"/>
  <c r="BM41" i="21"/>
  <c r="BN41" i="21"/>
  <c r="BO41" i="21"/>
  <c r="BP41" i="21"/>
  <c r="BQ41" i="21"/>
  <c r="BQ42" i="21" s="1"/>
  <c r="BR41" i="21"/>
  <c r="BS41" i="21"/>
  <c r="BT41" i="21"/>
  <c r="BU41" i="21"/>
  <c r="BU42" i="21" s="1"/>
  <c r="BV41" i="21"/>
  <c r="BV42" i="21" s="1"/>
  <c r="BW41" i="21"/>
  <c r="BX41" i="21"/>
  <c r="BY41" i="21"/>
  <c r="BZ41" i="21"/>
  <c r="CA41" i="21"/>
  <c r="CB41" i="21"/>
  <c r="CC41" i="21"/>
  <c r="CD41" i="21"/>
  <c r="CD42" i="21" s="1"/>
  <c r="CE41" i="21"/>
  <c r="CF41" i="21"/>
  <c r="CF42" i="21" s="1"/>
  <c r="AS41" i="21"/>
  <c r="BI42" i="21"/>
  <c r="BP42" i="21"/>
  <c r="BX42" i="21"/>
  <c r="BY42" i="21"/>
  <c r="E39" i="21"/>
  <c r="AS42" i="21"/>
  <c r="AC42" i="21"/>
  <c r="AD41" i="21"/>
  <c r="AE41" i="21"/>
  <c r="AE42" i="21" s="1"/>
  <c r="AF41" i="21"/>
  <c r="AF42" i="21" s="1"/>
  <c r="AG41" i="21"/>
  <c r="AG42" i="21" s="1"/>
  <c r="AH41" i="21"/>
  <c r="AH42" i="21" s="1"/>
  <c r="AI41" i="21"/>
  <c r="AI42" i="21" s="1"/>
  <c r="AJ41" i="21"/>
  <c r="AJ42" i="21" s="1"/>
  <c r="AK41" i="21"/>
  <c r="AK42" i="21" s="1"/>
  <c r="AL41" i="21"/>
  <c r="AL42" i="21" s="1"/>
  <c r="AM41" i="21"/>
  <c r="AM42" i="21" s="1"/>
  <c r="AN41" i="21"/>
  <c r="AN42" i="21" s="1"/>
  <c r="AO41" i="21"/>
  <c r="AO42" i="21" s="1"/>
  <c r="AP41" i="21"/>
  <c r="AP42" i="21" s="1"/>
  <c r="AQ41" i="21"/>
  <c r="AQ42" i="21" s="1"/>
  <c r="AR41" i="21"/>
  <c r="AR42" i="21" s="1"/>
  <c r="AT42" i="21"/>
  <c r="AU42" i="21"/>
  <c r="AV42" i="21"/>
  <c r="AW42" i="21"/>
  <c r="AY42" i="21"/>
  <c r="BB42" i="21"/>
  <c r="BC42" i="21"/>
  <c r="BD42" i="21"/>
  <c r="BG42" i="21"/>
  <c r="BJ42" i="21"/>
  <c r="BK42" i="21"/>
  <c r="BL42" i="21"/>
  <c r="BM42" i="21"/>
  <c r="BN42" i="21"/>
  <c r="BO42" i="21"/>
  <c r="BR42" i="21"/>
  <c r="BS42" i="21"/>
  <c r="BT42" i="21"/>
  <c r="BW42" i="21"/>
  <c r="BZ42" i="21"/>
  <c r="CA42" i="21"/>
  <c r="CB42" i="21"/>
  <c r="CC42" i="21"/>
  <c r="CE42" i="21"/>
  <c r="AR9" i="20"/>
  <c r="B15" i="20" s="1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X9" i="20"/>
  <c r="W8" i="20"/>
  <c r="C9" i="20"/>
  <c r="F17" i="19"/>
  <c r="F16" i="19"/>
  <c r="F15" i="19"/>
  <c r="B36" i="17"/>
  <c r="B35" i="17"/>
  <c r="B34" i="17"/>
  <c r="B31" i="17"/>
  <c r="C27" i="17"/>
  <c r="C24" i="17"/>
  <c r="C21" i="17"/>
  <c r="H11" i="17"/>
  <c r="H10" i="17"/>
  <c r="C8" i="16"/>
  <c r="D9" i="11"/>
  <c r="K11" i="5"/>
  <c r="J11" i="5"/>
  <c r="J12" i="5" s="1"/>
  <c r="I11" i="5"/>
  <c r="L11" i="5"/>
  <c r="J6" i="4"/>
  <c r="N19" i="2"/>
  <c r="I25" i="1"/>
  <c r="N10" i="21"/>
  <c r="C17" i="21"/>
  <c r="D16" i="2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O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16" i="27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AS46" i="21" l="1"/>
  <c r="AS45" i="21"/>
  <c r="CG42" i="21"/>
  <c r="M18" i="2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2" i="22"/>
  <c r="J13" i="22"/>
  <c r="J11" i="22"/>
  <c r="J10" i="22"/>
  <c r="K10" i="22" s="1"/>
  <c r="L10" i="22" s="1"/>
  <c r="E11" i="22" s="1"/>
  <c r="G11" i="22" s="1"/>
  <c r="H11" i="22" s="1"/>
  <c r="H10" i="22"/>
  <c r="E10" i="22"/>
  <c r="G10" i="22" s="1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C12" i="19"/>
  <c r="C6" i="18"/>
  <c r="D10" i="17"/>
  <c r="E10" i="17" s="1"/>
  <c r="D9" i="15"/>
  <c r="D9" i="14"/>
  <c r="F9" i="13"/>
  <c r="E9" i="13"/>
  <c r="D9" i="13"/>
  <c r="G10" i="11"/>
  <c r="F11" i="11"/>
  <c r="E10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3" i="5"/>
  <c r="J14" i="5" s="1"/>
  <c r="J15" i="5" s="1"/>
  <c r="K12" i="5"/>
  <c r="K13" i="5" s="1"/>
  <c r="K14" i="5" s="1"/>
  <c r="K15" i="5" s="1"/>
  <c r="L12" i="5"/>
  <c r="L13" i="5" s="1"/>
  <c r="L14" i="5" s="1"/>
  <c r="L15" i="5" s="1"/>
  <c r="I12" i="5"/>
  <c r="I13" i="5" s="1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F24" i="1"/>
  <c r="G24" i="1"/>
  <c r="I24" i="1" s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<sst xmlns="http://schemas.openxmlformats.org/spreadsheetml/2006/main" count="296" uniqueCount="121">
  <si>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</si>
  <si>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</si>
  <si>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</si>
  <si>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</si>
  <si>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</si>
  <si>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</si>
  <si>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</si>
  <si>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</si>
  <si>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</si>
  <si>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</si>
  <si>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</si>
  <si>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</si>
  <si>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</si>
  <si>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</si>
  <si>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</si>
  <si>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</si>
  <si>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</si>
  <si>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</si>
  <si>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</si>
  <si>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</si>
  <si>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</si>
  <si>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</si>
  <si>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</si>
  <si>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</si>
  <si>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</si>
  <si>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</si>
  <si>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</si>
  <si>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</si>
  <si>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</si>
  <si>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</si>
  <si>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</si>
  <si>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</si>
  <si>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</si>
  <si>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</si>
  <si>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</si>
  <si>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</si>
  <si>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</si>
  <si>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</si>
  <si>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</si>
  <si>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</si>
  <si>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</si>
  <si>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</si>
  <si>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</si>
  <si>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</si>
  <si>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</si>
  <si>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</si>
  <si>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</si>
  <si>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</si>
  <si>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</si>
  <si>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</si>
  <si>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</si>
  <si>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</si>
  <si>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</si>
  <si>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</si>
  <si>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</si>
  <si>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</si>
  <si>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</si>
  <si>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</si>
  <si>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</si>
  <si>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</si>
  <si>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</si>
  <si>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</si>
  <si>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</si>
  <si>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</si>
  <si>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</si>
  <si>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</si>
  <si>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</si>
  <si>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</si>
  <si>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</si>
  <si>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</si>
  <si>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</si>
  <si>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</si>
  <si>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</si>
  <si>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</si>
  <si>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</si>
  <si>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</si>
  <si>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</si>
  <si>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</si>
  <si>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</si>
  <si>
    <t>flujo es toda la tabla, un flujo está compuesto de varios momentos</t>
  </si>
  <si>
    <t>valor f o p al 3 es valor equivalente al 3</t>
  </si>
  <si>
    <t>no pide la suma</t>
  </si>
  <si>
    <t>o Traerlo todo del 3 al 0</t>
  </si>
  <si>
    <t>del 0 al 1 es 10%</t>
  </si>
  <si>
    <t>INF</t>
  </si>
  <si>
    <t>((1+TN)/(1+TR))-1</t>
  </si>
  <si>
    <t>Índice de precios = factor de acumulación</t>
  </si>
  <si>
    <t>la tasa promedio daría 1.1686 al saltar 3</t>
  </si>
  <si>
    <t>el 1.1686 es igual a (1+r)^(3), la r es la tasa promedio de cómo creció ese</t>
  </si>
  <si>
    <t>para dar varios brincos en uno, necesitas tasas iguales</t>
  </si>
  <si>
    <t>del año 0 al 1 la inf es 5%</t>
  </si>
  <si>
    <t>el 0 vale 1, los siguientes es sacar cuanto vale ese peso en el futuro, o el factor</t>
  </si>
  <si>
    <t>correcto</t>
  </si>
  <si>
    <t>despejas r</t>
  </si>
  <si>
    <t>determinar el incremento en el precio cada año</t>
  </si>
  <si>
    <t>te podrían decir que ese incremento se dio en 5 años y saques el inc del p cada año</t>
  </si>
  <si>
    <t>es este</t>
  </si>
  <si>
    <t>del 2009 al 2010 es 6.5%</t>
  </si>
  <si>
    <t>traerlo al 2009</t>
  </si>
  <si>
    <t>indice de precios (tasas acumuladas)</t>
  </si>
  <si>
    <t>saca la tasa nominal</t>
  </si>
  <si>
    <t>Vf</t>
  </si>
  <si>
    <t>Vp</t>
  </si>
  <si>
    <t>n</t>
  </si>
  <si>
    <t>tasa promedio de la inflación</t>
  </si>
  <si>
    <t>tasa promedio del aumento de sueldo</t>
  </si>
  <si>
    <t>la tasa real</t>
  </si>
  <si>
    <t>comprobando</t>
  </si>
  <si>
    <t>empieza a recibir la lana a partir del 21, anualidades vencidas</t>
  </si>
  <si>
    <t>en el año 20 recibir es anualidades anticipadas, pero no recibes en 40 (20 pagos exactos)</t>
  </si>
  <si>
    <t>pagos vencidos</t>
  </si>
  <si>
    <t>VP = A / r</t>
  </si>
  <si>
    <t>200k para el año 11, y con solver</t>
  </si>
  <si>
    <t>ahorro desde hoy (anticipado) es 11408</t>
  </si>
  <si>
    <t>vencido (ahorras desde el 1) es 12549</t>
  </si>
  <si>
    <t>con 200, el primer mes genera 20, y asi perpetuamente</t>
  </si>
  <si>
    <t>Hoy tengo 25, si planeo vivir hasta los 80 años, y retirarme a los 40 años, cuanto debo de ahorrar para sacar 30 años cuando me retire (vencido)</t>
  </si>
  <si>
    <t>anual</t>
  </si>
  <si>
    <t>ahorro</t>
  </si>
  <si>
    <t>Disposición</t>
  </si>
  <si>
    <t>también puedes asumir gracia de capital y de 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</si>
</sst>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  <xf numFmtId="164" fontId="2" fillId="2" borderId="0" xfId="1" applyNumberFormat="1"/>
    <xf numFmtId="165" fontId="2" fillId="2" borderId="10" xfId="1" applyNumberFormat="1" applyBorder="1"/>
    <xf numFmtId="10" fontId="2" fillId="2" borderId="10" xfId="1" applyNumberFormat="1" applyBorder="1"/>
    <xf numFmtId="10" fontId="2" fillId="2" borderId="8" xfId="1" applyNumberFormat="1" applyBorder="1"/>
    <xf numFmtId="10" fontId="2" fillId="2" borderId="5" xfId="1" applyNumberFormat="1" applyBorder="1"/>
    <xf numFmtId="0" fontId="2" fillId="2" borderId="0" xfId="1" applyNumberFormat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ex21g!$N$12:$DN$12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528205</xdr:colOff>
      <xdr:row>0</xdr:row>
      <xdr:rowOff>95075</xdr:rowOff>
    </xdr:from>
    <xdr:to>
      <xdr:col>7</xdr:col>
      <xdr:colOff>300332</xdr:colOff>
      <xdr:row>8</xdr:row>
      <xdr:rowOff>145081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5" y="95075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5:K25"/>
  <sheetViews>
    <sheetView topLeftCell="A10"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5" spans="2:11" x14ac:dyDescent="0.25">
      <c r="K5" t="s">
        <v>79</v>
      </c>
    </row>
    <row r="12" spans="2:11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11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11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11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11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-750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-1012.5000000000001</v>
      </c>
      <c r="H24">
        <f t="shared" si="4"/>
        <v>1000</v>
      </c>
      <c r="I24">
        <f>SUM(D24:H24)</f>
        <v>-1577.571875000001</v>
      </c>
    </row>
    <row r="25" spans="2:9" x14ac:dyDescent="0.25">
      <c r="H25" t="s">
        <v>15</v>
      </c>
      <c r="I25">
        <f>SUM(I14:I24)</f>
        <v>-1517.0938549999998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I15" sqref="I15"/>
    </sheetView>
  </sheetViews>
  <sheetFormatPr defaultRowHeight="15" x14ac:dyDescent="0.25"/>
  <sheetData>
    <row r="7" spans="2:8" x14ac:dyDescent="0.25">
      <c r="B7" s="6" t="s">
        <v>24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19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18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 s="2">
        <f>C8/((1+C9)^(C7))</f>
        <v>10000</v>
      </c>
      <c r="D10" s="2">
        <f>D8/((1+D9)^(D7))</f>
        <v>8333.3333333333339</v>
      </c>
      <c r="E10" s="2">
        <f t="shared" ref="E10:G10" si="0">E8/((1+E9)^(E7))</f>
        <v>6944.4444444444443</v>
      </c>
      <c r="F10" s="2">
        <f t="shared" si="0"/>
        <v>5787.0370370370374</v>
      </c>
      <c r="G10" s="2">
        <f t="shared" si="0"/>
        <v>4822.5308641975307</v>
      </c>
      <c r="H10" s="2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4"/>
  <sheetViews>
    <sheetView zoomScale="205" zoomScaleNormal="205" workbookViewId="0">
      <selection activeCell="D9" sqref="D9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25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26</v>
      </c>
      <c r="C9" s="23">
        <v>0.15</v>
      </c>
      <c r="D9" s="38">
        <f>((D11+1)/(D10+1))-1</f>
        <v>8.6956521739130599E-2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27</v>
      </c>
      <c r="C10" s="25">
        <v>0.1</v>
      </c>
      <c r="D10" s="25">
        <v>0.15</v>
      </c>
      <c r="E10" s="29">
        <f>((1+E11)/(1+E9))-1</f>
        <v>8.6956521739130599E-2</v>
      </c>
      <c r="F10" s="25">
        <v>0.15</v>
      </c>
      <c r="G10" s="37">
        <f>((1+G11)/(1+G9))-1</f>
        <v>8.0000000000000071E-2</v>
      </c>
    </row>
    <row r="11" spans="2:7" x14ac:dyDescent="0.25">
      <c r="B11" s="19" t="s">
        <v>28</v>
      </c>
      <c r="C11" s="35">
        <f>(1+C10)*(1+C9)-1</f>
        <v>0.2649999999999999</v>
      </c>
      <c r="D11" s="26">
        <v>0.25</v>
      </c>
      <c r="E11" s="26">
        <v>0.25</v>
      </c>
      <c r="F11" s="36">
        <f>(1+F10)*(1+F9)-1</f>
        <v>0.55249999999999999</v>
      </c>
      <c r="G11" s="27">
        <v>0.35</v>
      </c>
    </row>
    <row r="14" spans="2:7" x14ac:dyDescent="0.25">
      <c r="C14" t="s">
        <v>84</v>
      </c>
      <c r="D14" t="s">
        <v>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K17"/>
  <sheetViews>
    <sheetView zoomScale="160" zoomScaleNormal="160" workbookViewId="0">
      <selection activeCell="F11" sqref="F11"/>
    </sheetView>
  </sheetViews>
  <sheetFormatPr defaultRowHeight="15" x14ac:dyDescent="0.25"/>
  <sheetData>
    <row r="6" spans="2:11" x14ac:dyDescent="0.25">
      <c r="B6" t="s">
        <v>21</v>
      </c>
      <c r="C6">
        <v>1</v>
      </c>
      <c r="D6">
        <v>2</v>
      </c>
      <c r="E6">
        <v>3</v>
      </c>
    </row>
    <row r="7" spans="2:11" x14ac:dyDescent="0.25">
      <c r="B7" t="s">
        <v>30</v>
      </c>
      <c r="C7" s="1">
        <v>0.05</v>
      </c>
      <c r="D7" s="28">
        <v>6.5000000000000002E-2</v>
      </c>
      <c r="E7" s="28">
        <v>4.4999999999999998E-2</v>
      </c>
    </row>
    <row r="8" spans="2:11" x14ac:dyDescent="0.25">
      <c r="B8" t="s">
        <v>31</v>
      </c>
      <c r="C8" s="2">
        <v>1.05</v>
      </c>
      <c r="D8" s="39">
        <v>1.1183000000000001</v>
      </c>
      <c r="E8" s="2">
        <v>1.1686000000000001</v>
      </c>
      <c r="G8" t="s">
        <v>90</v>
      </c>
    </row>
    <row r="11" spans="2:11" x14ac:dyDescent="0.25">
      <c r="C11" t="s">
        <v>91</v>
      </c>
    </row>
    <row r="12" spans="2:11" x14ac:dyDescent="0.25">
      <c r="K12" t="s">
        <v>86</v>
      </c>
    </row>
    <row r="13" spans="2:11" x14ac:dyDescent="0.25">
      <c r="C13" t="s">
        <v>87</v>
      </c>
    </row>
    <row r="15" spans="2:11" x14ac:dyDescent="0.25">
      <c r="C15" t="s">
        <v>88</v>
      </c>
    </row>
    <row r="17" spans="3:3" x14ac:dyDescent="0.25">
      <c r="C17" t="s">
        <v>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F12" sqref="F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28"/>
      <c r="D8" s="1">
        <v>0.05</v>
      </c>
      <c r="E8" s="28">
        <v>6.5000000000000002E-2</v>
      </c>
      <c r="F8" s="28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G14"/>
  <sheetViews>
    <sheetView zoomScale="220" zoomScaleNormal="220" workbookViewId="0">
      <selection activeCell="G7" sqref="G7"/>
    </sheetView>
  </sheetViews>
  <sheetFormatPr defaultRowHeight="15" x14ac:dyDescent="0.25"/>
  <sheetData>
    <row r="6" spans="3:7" x14ac:dyDescent="0.25">
      <c r="C6">
        <v>0</v>
      </c>
      <c r="D6">
        <v>1</v>
      </c>
      <c r="G6" t="s">
        <v>94</v>
      </c>
    </row>
    <row r="7" spans="3:7" x14ac:dyDescent="0.25">
      <c r="C7">
        <v>3500</v>
      </c>
      <c r="D7">
        <v>4375</v>
      </c>
      <c r="G7" t="s">
        <v>95</v>
      </c>
    </row>
    <row r="9" spans="3:7" x14ac:dyDescent="0.25">
      <c r="C9" s="2" t="s">
        <v>1</v>
      </c>
      <c r="D9" s="3">
        <f>(D7-C7)/3500</f>
        <v>0.25</v>
      </c>
      <c r="F9" t="s">
        <v>92</v>
      </c>
    </row>
    <row r="12" spans="3:7" x14ac:dyDescent="0.25">
      <c r="C12" t="s">
        <v>3</v>
      </c>
      <c r="D12">
        <v>3500</v>
      </c>
    </row>
    <row r="13" spans="3:7" x14ac:dyDescent="0.25">
      <c r="C13" t="s">
        <v>13</v>
      </c>
      <c r="D13">
        <v>4375</v>
      </c>
    </row>
    <row r="14" spans="3:7" x14ac:dyDescent="0.25">
      <c r="C14" t="s">
        <v>93</v>
      </c>
      <c r="D14" s="1"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D11" sqref="D11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30</v>
      </c>
      <c r="D6" s="1">
        <v>0.15</v>
      </c>
    </row>
    <row r="7" spans="3:4" x14ac:dyDescent="0.25">
      <c r="C7" t="s">
        <v>29</v>
      </c>
      <c r="D7" s="1">
        <v>0.25</v>
      </c>
    </row>
    <row r="9" spans="3:4" x14ac:dyDescent="0.25">
      <c r="C9" s="2" t="s">
        <v>32</v>
      </c>
      <c r="D9" s="29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C7" sqref="C7"/>
    </sheetView>
  </sheetViews>
  <sheetFormatPr defaultRowHeight="15" x14ac:dyDescent="0.25"/>
  <sheetData>
    <row r="6" spans="2:3" x14ac:dyDescent="0.25">
      <c r="B6" t="s">
        <v>33</v>
      </c>
      <c r="C6">
        <v>5500</v>
      </c>
    </row>
    <row r="7" spans="2:3" x14ac:dyDescent="0.25">
      <c r="B7" t="s">
        <v>30</v>
      </c>
      <c r="C7" s="1">
        <v>0.15</v>
      </c>
    </row>
    <row r="8" spans="2:3" x14ac:dyDescent="0.25">
      <c r="B8" s="2" t="s">
        <v>34</v>
      </c>
      <c r="C8" s="2">
        <f>5500/((1+C7))</f>
        <v>4782.608695652174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6:L36"/>
  <sheetViews>
    <sheetView zoomScale="205" zoomScaleNormal="205" workbookViewId="0">
      <selection activeCell="F37" sqref="F37"/>
    </sheetView>
  </sheetViews>
  <sheetFormatPr defaultRowHeight="15" x14ac:dyDescent="0.25"/>
  <sheetData>
    <row r="6" spans="2:12" x14ac:dyDescent="0.25">
      <c r="L6" t="s">
        <v>98</v>
      </c>
    </row>
    <row r="9" spans="2:12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35</v>
      </c>
    </row>
    <row r="10" spans="2:12" x14ac:dyDescent="0.25">
      <c r="B10" t="s">
        <v>33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 s="2">
        <f>F10/((1+D11)*(1+E11)*(1+F11))</f>
        <v>22389.446302489781</v>
      </c>
      <c r="I10" t="s">
        <v>96</v>
      </c>
    </row>
    <row r="11" spans="2:12" x14ac:dyDescent="0.25">
      <c r="B11" t="s">
        <v>30</v>
      </c>
      <c r="C11" s="30">
        <v>0</v>
      </c>
      <c r="D11" s="30">
        <v>6.5000000000000002E-2</v>
      </c>
      <c r="E11" s="30">
        <v>3.5000000000000003E-2</v>
      </c>
      <c r="F11" s="1">
        <v>0.04</v>
      </c>
      <c r="H11" s="2">
        <f>H10/C10</f>
        <v>1.8958522487861487</v>
      </c>
      <c r="I11" s="2" t="s">
        <v>36</v>
      </c>
    </row>
    <row r="12" spans="2:12" x14ac:dyDescent="0.25">
      <c r="D12" t="s">
        <v>97</v>
      </c>
    </row>
    <row r="14" spans="2:12" x14ac:dyDescent="0.25">
      <c r="B14" t="s">
        <v>99</v>
      </c>
      <c r="D14">
        <v>1.0649999999999999</v>
      </c>
      <c r="E14">
        <v>1.1023000000000001</v>
      </c>
      <c r="F14">
        <v>1.1464000000000001</v>
      </c>
    </row>
    <row r="17" spans="2:4" x14ac:dyDescent="0.25">
      <c r="B17" t="s">
        <v>100</v>
      </c>
    </row>
    <row r="18" spans="2:4" x14ac:dyDescent="0.25">
      <c r="B18" t="s">
        <v>101</v>
      </c>
      <c r="C18">
        <v>25666.5</v>
      </c>
    </row>
    <row r="19" spans="2:4" x14ac:dyDescent="0.25">
      <c r="B19" t="s">
        <v>102</v>
      </c>
      <c r="C19">
        <v>11809.7</v>
      </c>
    </row>
    <row r="20" spans="2:4" x14ac:dyDescent="0.25">
      <c r="B20" t="s">
        <v>103</v>
      </c>
      <c r="C20">
        <v>3</v>
      </c>
    </row>
    <row r="21" spans="2:4" x14ac:dyDescent="0.25">
      <c r="B21" t="s">
        <v>1</v>
      </c>
      <c r="C21" s="2">
        <f>(C18/C19)^(1/3)-1</f>
        <v>0.29531659130632826</v>
      </c>
      <c r="D21" t="s">
        <v>105</v>
      </c>
    </row>
    <row r="23" spans="2:4" x14ac:dyDescent="0.25">
      <c r="B23" t="s">
        <v>104</v>
      </c>
    </row>
    <row r="24" spans="2:4" x14ac:dyDescent="0.25">
      <c r="B24" t="s">
        <v>101</v>
      </c>
      <c r="C24">
        <f>E10*(1+F11)</f>
        <v>13538.2385502</v>
      </c>
    </row>
    <row r="25" spans="2:4" x14ac:dyDescent="0.25">
      <c r="B25" t="s">
        <v>102</v>
      </c>
      <c r="C25">
        <v>11809.7</v>
      </c>
    </row>
    <row r="26" spans="2:4" x14ac:dyDescent="0.25">
      <c r="B26" t="s">
        <v>103</v>
      </c>
      <c r="C26">
        <v>3</v>
      </c>
    </row>
    <row r="27" spans="2:4" x14ac:dyDescent="0.25">
      <c r="B27" t="s">
        <v>1</v>
      </c>
      <c r="C27" s="2">
        <f>(C24/C25)^(1/C26)-1</f>
        <v>4.6584822374098778E-2</v>
      </c>
    </row>
    <row r="30" spans="2:4" x14ac:dyDescent="0.25">
      <c r="B30" t="s">
        <v>106</v>
      </c>
    </row>
    <row r="31" spans="2:4" x14ac:dyDescent="0.25">
      <c r="B31" s="2">
        <f>(1+C21)/(1+C27)-1</f>
        <v>0.23766040134998345</v>
      </c>
    </row>
    <row r="33" spans="2:2" x14ac:dyDescent="0.25">
      <c r="B33" t="s">
        <v>107</v>
      </c>
    </row>
    <row r="34" spans="2:2" x14ac:dyDescent="0.25">
      <c r="B34" s="2">
        <f>C10*(1+C21)^(3)</f>
        <v>25666.5</v>
      </c>
    </row>
    <row r="35" spans="2:2" x14ac:dyDescent="0.25">
      <c r="B35" s="2">
        <f>C10*(1+C27)^(3)</f>
        <v>13538.238550200003</v>
      </c>
    </row>
    <row r="36" spans="2:2" x14ac:dyDescent="0.25">
      <c r="B36" s="2">
        <f>C10*(1+B31)^(3)</f>
        <v>22389.44630248977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D7" sqref="D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22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7"/>
  <sheetViews>
    <sheetView topLeftCell="A4" zoomScale="220" zoomScaleNormal="220" workbookViewId="0">
      <selection activeCell="F18" sqref="F18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37</v>
      </c>
      <c r="C11">
        <v>250</v>
      </c>
      <c r="F11" s="2">
        <v>150</v>
      </c>
    </row>
    <row r="12" spans="2:6" x14ac:dyDescent="0.25">
      <c r="B12" t="s">
        <v>22</v>
      </c>
      <c r="C12">
        <f>C9/C10-1</f>
        <v>0.25</v>
      </c>
    </row>
    <row r="15" spans="2:6" x14ac:dyDescent="0.25">
      <c r="C15" s="1">
        <v>0.25</v>
      </c>
      <c r="E15" t="s">
        <v>13</v>
      </c>
      <c r="F15">
        <f>C9/(1+C15)</f>
        <v>1000</v>
      </c>
    </row>
    <row r="16" spans="2:6" x14ac:dyDescent="0.25">
      <c r="C16" s="1">
        <v>0.3</v>
      </c>
      <c r="E16" t="s">
        <v>13</v>
      </c>
      <c r="F16">
        <f>C9/(1+C16)</f>
        <v>961.53846153846155</v>
      </c>
    </row>
    <row r="17" spans="3:6" x14ac:dyDescent="0.25">
      <c r="C17" s="1">
        <v>0.15</v>
      </c>
      <c r="E17" t="s">
        <v>13</v>
      </c>
      <c r="F17">
        <f>C9/(1+C17)</f>
        <v>1086.9565217391305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Q24"/>
  <sheetViews>
    <sheetView topLeftCell="D7" zoomScale="190" zoomScaleNormal="190" workbookViewId="0">
      <selection activeCell="Q19" sqref="Q19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34">
        <f>SUM(K16:O16)</f>
        <v>369.7070665000694</v>
      </c>
    </row>
    <row r="17" spans="2:17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34">
        <f>SUM(K17:O17)</f>
        <v>71.541339546385288</v>
      </c>
    </row>
    <row r="18" spans="2:17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34">
        <f t="shared" ref="P18:P24" si="3">SUM(K18:O18)</f>
        <v>303.80438494638338</v>
      </c>
    </row>
    <row r="19" spans="2:17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>N18/((1+$C$19)^(N15-$K$15))</f>
        <v>70.559241256722132</v>
      </c>
      <c r="O19" s="9">
        <f t="shared" si="4"/>
        <v>69.976107031459975</v>
      </c>
      <c r="P19" s="9">
        <f t="shared" si="3"/>
        <v>233.08367149014916</v>
      </c>
      <c r="Q19">
        <v>330</v>
      </c>
    </row>
    <row r="20" spans="2:17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34">
        <f t="shared" si="3"/>
        <v>-743.88592120016904</v>
      </c>
    </row>
    <row r="21" spans="2:17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34">
        <f t="shared" si="3"/>
        <v>-474.95676848417799</v>
      </c>
    </row>
    <row r="22" spans="2:17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34">
        <f t="shared" si="3"/>
        <v>-2554.8179099020208</v>
      </c>
    </row>
    <row r="23" spans="2:17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34">
        <f t="shared" si="3"/>
        <v>236.70763040440863</v>
      </c>
    </row>
    <row r="24" spans="2:17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34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6"/>
  <sheetViews>
    <sheetView zoomScaleNormal="100" workbookViewId="0">
      <selection activeCell="H20" sqref="H20"/>
    </sheetView>
  </sheetViews>
  <sheetFormatPr defaultRowHeight="15" x14ac:dyDescent="0.25"/>
  <sheetData>
    <row r="6" spans="2:44" x14ac:dyDescent="0.25">
      <c r="B6" t="s">
        <v>38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  <c r="W9">
        <v>0</v>
      </c>
      <c r="X9">
        <f>X7/((1+$B$8)^(X6-$W$6))</f>
        <v>9523.8095238095229</v>
      </c>
      <c r="Y9">
        <f t="shared" ref="Y9:AQ9" si="1">Y7/((1+$B$8)^(Y6-$W$6))</f>
        <v>9070.2947845804993</v>
      </c>
      <c r="Z9">
        <f t="shared" si="1"/>
        <v>8638.3759853147603</v>
      </c>
      <c r="AA9">
        <f t="shared" si="1"/>
        <v>8227.0247479188201</v>
      </c>
      <c r="AB9">
        <f t="shared" si="1"/>
        <v>7835.2616646845891</v>
      </c>
      <c r="AC9">
        <f t="shared" si="1"/>
        <v>7462.153966366277</v>
      </c>
      <c r="AD9">
        <f t="shared" si="1"/>
        <v>7106.8133013012148</v>
      </c>
      <c r="AE9">
        <f t="shared" si="1"/>
        <v>6768.3936202868717</v>
      </c>
      <c r="AF9">
        <f t="shared" si="1"/>
        <v>6446.0891621779729</v>
      </c>
      <c r="AG9">
        <f t="shared" si="1"/>
        <v>6139.1325354075934</v>
      </c>
      <c r="AH9">
        <f t="shared" si="1"/>
        <v>5846.7928908643744</v>
      </c>
      <c r="AI9">
        <f t="shared" si="1"/>
        <v>5568.3741817755954</v>
      </c>
      <c r="AJ9">
        <f t="shared" si="1"/>
        <v>5303.2135064529466</v>
      </c>
      <c r="AK9">
        <f t="shared" si="1"/>
        <v>5050.6795299551886</v>
      </c>
      <c r="AL9">
        <f t="shared" si="1"/>
        <v>4810.1709809097019</v>
      </c>
      <c r="AM9">
        <f t="shared" si="1"/>
        <v>4581.1152199140024</v>
      </c>
      <c r="AN9">
        <f t="shared" si="1"/>
        <v>4362.9668761085732</v>
      </c>
      <c r="AO9">
        <f t="shared" si="1"/>
        <v>4155.2065486748315</v>
      </c>
      <c r="AP9">
        <f t="shared" si="1"/>
        <v>3957.3395701665063</v>
      </c>
      <c r="AQ9">
        <f t="shared" si="1"/>
        <v>3768.8948287300059</v>
      </c>
      <c r="AR9">
        <f>SUM(W9:AQ9)</f>
        <v>124622.10342539985</v>
      </c>
    </row>
    <row r="12" spans="2:44" x14ac:dyDescent="0.25">
      <c r="B12" s="2" t="s">
        <v>71</v>
      </c>
    </row>
    <row r="15" spans="2:44" x14ac:dyDescent="0.25">
      <c r="B15" s="2">
        <f>AR9/((1+B8)^(20))</f>
        <v>46968.760114544544</v>
      </c>
      <c r="D15" t="s">
        <v>108</v>
      </c>
    </row>
    <row r="16" spans="2:44" x14ac:dyDescent="0.25">
      <c r="D16" t="s">
        <v>109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5:DN46"/>
  <sheetViews>
    <sheetView topLeftCell="AB19" zoomScale="115" zoomScaleNormal="115" workbookViewId="0">
      <selection activeCell="AL44" sqref="AL44"/>
    </sheetView>
  </sheetViews>
  <sheetFormatPr defaultRowHeight="15" x14ac:dyDescent="0.25"/>
  <cols>
    <col min="1" max="1" width="11.85546875" customWidth="1"/>
    <col min="45" max="45" width="14" customWidth="1"/>
  </cols>
  <sheetData>
    <row r="5" spans="1:118" x14ac:dyDescent="0.25">
      <c r="L5" t="s">
        <v>110</v>
      </c>
    </row>
    <row r="7" spans="1:118" x14ac:dyDescent="0.25">
      <c r="C7" t="s">
        <v>39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3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77</v>
      </c>
      <c r="N11" t="s">
        <v>73</v>
      </c>
    </row>
    <row r="12" spans="1:118" x14ac:dyDescent="0.25">
      <c r="L12" t="s">
        <v>65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74</v>
      </c>
      <c r="L13" t="s">
        <v>66</v>
      </c>
      <c r="M13">
        <f>SUM(N10:DN10)</f>
        <v>199990.98847993463</v>
      </c>
      <c r="N13" t="s">
        <v>76</v>
      </c>
    </row>
    <row r="14" spans="1:118" x14ac:dyDescent="0.25">
      <c r="A14" t="s">
        <v>72</v>
      </c>
      <c r="B14" s="2">
        <v>10792.142736644701</v>
      </c>
    </row>
    <row r="16" spans="1:118" x14ac:dyDescent="0.25">
      <c r="A16" t="s">
        <v>75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8" x14ac:dyDescent="0.25">
      <c r="A17" t="s">
        <v>72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8" x14ac:dyDescent="0.25">
      <c r="L18" t="s">
        <v>65</v>
      </c>
      <c r="M18">
        <f>SUM(C17:M17)</f>
        <v>190765.00000000003</v>
      </c>
    </row>
    <row r="19" spans="1:18" x14ac:dyDescent="0.25">
      <c r="L19" t="s">
        <v>66</v>
      </c>
      <c r="M19">
        <v>190765</v>
      </c>
    </row>
    <row r="23" spans="1:18" x14ac:dyDescent="0.25">
      <c r="Q23" t="s">
        <v>115</v>
      </c>
    </row>
    <row r="24" spans="1:18" x14ac:dyDescent="0.25">
      <c r="Q24" t="s">
        <v>111</v>
      </c>
      <c r="R24" t="s">
        <v>112</v>
      </c>
    </row>
    <row r="25" spans="1:18" x14ac:dyDescent="0.25">
      <c r="Q25" t="s">
        <v>113</v>
      </c>
    </row>
    <row r="26" spans="1:18" x14ac:dyDescent="0.25">
      <c r="Q26" t="s">
        <v>114</v>
      </c>
    </row>
    <row r="36" spans="2:85" x14ac:dyDescent="0.25">
      <c r="B36" t="s">
        <v>116</v>
      </c>
    </row>
    <row r="38" spans="2:85" x14ac:dyDescent="0.25">
      <c r="B38" t="s">
        <v>117</v>
      </c>
      <c r="C38" s="1">
        <v>0.13</v>
      </c>
    </row>
    <row r="39" spans="2:85" x14ac:dyDescent="0.25">
      <c r="B39" t="s">
        <v>119</v>
      </c>
      <c r="C39">
        <v>300000</v>
      </c>
      <c r="D39">
        <v>12</v>
      </c>
      <c r="E39">
        <f>C39*D39</f>
        <v>3600000</v>
      </c>
    </row>
    <row r="40" spans="2:85" x14ac:dyDescent="0.25"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 s="17">
        <v>41</v>
      </c>
      <c r="AT40">
        <v>42</v>
      </c>
      <c r="AU40">
        <v>43</v>
      </c>
      <c r="AV40">
        <v>44</v>
      </c>
      <c r="AW40">
        <v>45</v>
      </c>
      <c r="AX40">
        <v>46</v>
      </c>
      <c r="AY40">
        <v>47</v>
      </c>
      <c r="AZ40">
        <v>48</v>
      </c>
      <c r="BA40">
        <v>49</v>
      </c>
      <c r="BB40">
        <v>50</v>
      </c>
      <c r="BC40">
        <v>51</v>
      </c>
      <c r="BD40">
        <v>52</v>
      </c>
      <c r="BE40">
        <v>53</v>
      </c>
      <c r="BF40">
        <v>54</v>
      </c>
      <c r="BG40">
        <v>55</v>
      </c>
      <c r="BH40">
        <v>56</v>
      </c>
      <c r="BI40">
        <v>57</v>
      </c>
      <c r="BJ40">
        <v>58</v>
      </c>
      <c r="BK40">
        <v>59</v>
      </c>
      <c r="BL40">
        <v>60</v>
      </c>
      <c r="BM40">
        <v>61</v>
      </c>
      <c r="BN40">
        <v>62</v>
      </c>
      <c r="BO40">
        <v>63</v>
      </c>
      <c r="BP40">
        <v>64</v>
      </c>
      <c r="BQ40">
        <v>65</v>
      </c>
      <c r="BR40">
        <v>66</v>
      </c>
      <c r="BS40">
        <v>67</v>
      </c>
      <c r="BT40">
        <v>68</v>
      </c>
      <c r="BU40">
        <v>69</v>
      </c>
      <c r="BV40">
        <v>70</v>
      </c>
      <c r="BW40">
        <v>71</v>
      </c>
      <c r="BX40">
        <v>72</v>
      </c>
      <c r="BY40">
        <v>73</v>
      </c>
      <c r="BZ40">
        <v>74</v>
      </c>
      <c r="CA40">
        <v>75</v>
      </c>
      <c r="CB40">
        <v>76</v>
      </c>
      <c r="CC40">
        <v>77</v>
      </c>
      <c r="CD40">
        <v>78</v>
      </c>
      <c r="CE40">
        <v>79</v>
      </c>
      <c r="CF40">
        <v>80</v>
      </c>
      <c r="CG40" t="s">
        <v>4</v>
      </c>
    </row>
    <row r="41" spans="2:85" x14ac:dyDescent="0.25">
      <c r="B41" t="s">
        <v>118</v>
      </c>
      <c r="C41">
        <v>679996.94409822964</v>
      </c>
      <c r="AC41">
        <v>0</v>
      </c>
      <c r="AD41">
        <f t="shared" ref="F41:AR41" si="106">$C$41</f>
        <v>679996.94409822964</v>
      </c>
      <c r="AE41">
        <f t="shared" si="106"/>
        <v>679996.94409822964</v>
      </c>
      <c r="AF41">
        <f t="shared" si="106"/>
        <v>679996.94409822964</v>
      </c>
      <c r="AG41">
        <f t="shared" si="106"/>
        <v>679996.94409822964</v>
      </c>
      <c r="AH41">
        <f t="shared" si="106"/>
        <v>679996.94409822964</v>
      </c>
      <c r="AI41">
        <f t="shared" si="106"/>
        <v>679996.94409822964</v>
      </c>
      <c r="AJ41">
        <f t="shared" si="106"/>
        <v>679996.94409822964</v>
      </c>
      <c r="AK41">
        <f t="shared" si="106"/>
        <v>679996.94409822964</v>
      </c>
      <c r="AL41">
        <f t="shared" si="106"/>
        <v>679996.94409822964</v>
      </c>
      <c r="AM41">
        <f t="shared" si="106"/>
        <v>679996.94409822964</v>
      </c>
      <c r="AN41">
        <f t="shared" si="106"/>
        <v>679996.94409822964</v>
      </c>
      <c r="AO41">
        <f t="shared" si="106"/>
        <v>679996.94409822964</v>
      </c>
      <c r="AP41">
        <f t="shared" si="106"/>
        <v>679996.94409822964</v>
      </c>
      <c r="AQ41">
        <f t="shared" si="106"/>
        <v>679996.94409822964</v>
      </c>
      <c r="AR41">
        <f t="shared" si="106"/>
        <v>679996.94409822964</v>
      </c>
      <c r="AS41" s="17">
        <f>$E$39</f>
        <v>3600000</v>
      </c>
      <c r="AT41" s="17">
        <f t="shared" ref="AT41:CF41" si="107">$E$39</f>
        <v>3600000</v>
      </c>
      <c r="AU41" s="17">
        <f t="shared" si="107"/>
        <v>3600000</v>
      </c>
      <c r="AV41" s="17">
        <f t="shared" si="107"/>
        <v>3600000</v>
      </c>
      <c r="AW41" s="17">
        <f t="shared" si="107"/>
        <v>3600000</v>
      </c>
      <c r="AX41" s="17">
        <f t="shared" si="107"/>
        <v>3600000</v>
      </c>
      <c r="AY41" s="17">
        <f t="shared" si="107"/>
        <v>3600000</v>
      </c>
      <c r="AZ41" s="17">
        <f t="shared" si="107"/>
        <v>3600000</v>
      </c>
      <c r="BA41" s="17">
        <f t="shared" si="107"/>
        <v>3600000</v>
      </c>
      <c r="BB41" s="17">
        <f t="shared" si="107"/>
        <v>3600000</v>
      </c>
      <c r="BC41" s="17">
        <f t="shared" si="107"/>
        <v>3600000</v>
      </c>
      <c r="BD41" s="17">
        <f t="shared" si="107"/>
        <v>3600000</v>
      </c>
      <c r="BE41" s="17">
        <f t="shared" si="107"/>
        <v>3600000</v>
      </c>
      <c r="BF41" s="17">
        <f t="shared" si="107"/>
        <v>3600000</v>
      </c>
      <c r="BG41" s="17">
        <f t="shared" si="107"/>
        <v>3600000</v>
      </c>
      <c r="BH41" s="17">
        <f t="shared" si="107"/>
        <v>3600000</v>
      </c>
      <c r="BI41" s="17">
        <f t="shared" si="107"/>
        <v>3600000</v>
      </c>
      <c r="BJ41" s="17">
        <f t="shared" si="107"/>
        <v>3600000</v>
      </c>
      <c r="BK41" s="17">
        <f t="shared" si="107"/>
        <v>3600000</v>
      </c>
      <c r="BL41" s="17">
        <f t="shared" si="107"/>
        <v>3600000</v>
      </c>
      <c r="BM41" s="17">
        <f t="shared" si="107"/>
        <v>3600000</v>
      </c>
      <c r="BN41" s="17">
        <f t="shared" si="107"/>
        <v>3600000</v>
      </c>
      <c r="BO41" s="17">
        <f t="shared" si="107"/>
        <v>3600000</v>
      </c>
      <c r="BP41" s="17">
        <f t="shared" si="107"/>
        <v>3600000</v>
      </c>
      <c r="BQ41" s="17">
        <f t="shared" si="107"/>
        <v>3600000</v>
      </c>
      <c r="BR41" s="17">
        <f t="shared" si="107"/>
        <v>3600000</v>
      </c>
      <c r="BS41" s="17">
        <f t="shared" si="107"/>
        <v>3600000</v>
      </c>
      <c r="BT41" s="17">
        <f t="shared" si="107"/>
        <v>3600000</v>
      </c>
      <c r="BU41" s="17">
        <f t="shared" si="107"/>
        <v>3600000</v>
      </c>
      <c r="BV41" s="17">
        <f t="shared" si="107"/>
        <v>3600000</v>
      </c>
      <c r="BW41" s="17">
        <f t="shared" si="107"/>
        <v>3600000</v>
      </c>
      <c r="BX41" s="17">
        <f t="shared" si="107"/>
        <v>3600000</v>
      </c>
      <c r="BY41" s="17">
        <f t="shared" si="107"/>
        <v>3600000</v>
      </c>
      <c r="BZ41" s="17">
        <f t="shared" si="107"/>
        <v>3600000</v>
      </c>
      <c r="CA41" s="17">
        <f t="shared" si="107"/>
        <v>3600000</v>
      </c>
      <c r="CB41" s="17">
        <f t="shared" si="107"/>
        <v>3600000</v>
      </c>
      <c r="CC41" s="17">
        <f t="shared" si="107"/>
        <v>3600000</v>
      </c>
      <c r="CD41" s="17">
        <f t="shared" si="107"/>
        <v>3600000</v>
      </c>
      <c r="CE41" s="17">
        <f t="shared" si="107"/>
        <v>3600000</v>
      </c>
      <c r="CF41" s="17">
        <f t="shared" si="107"/>
        <v>3600000</v>
      </c>
    </row>
    <row r="42" spans="2:85" x14ac:dyDescent="0.25">
      <c r="AC42">
        <f>AC41*(1+$C$38)^(40-AC40)</f>
        <v>0</v>
      </c>
      <c r="AD42">
        <f>AD41*(1+$C$38)^(40-AD40)</f>
        <v>3763614.8180515277</v>
      </c>
      <c r="AE42">
        <f t="shared" ref="AE42:AR42" si="108">AE41*(1+$C$38)^(40-AE40)</f>
        <v>3330632.5823464859</v>
      </c>
      <c r="AF42">
        <f t="shared" si="108"/>
        <v>2947462.4622535273</v>
      </c>
      <c r="AG42">
        <f t="shared" si="108"/>
        <v>2608373.8604013519</v>
      </c>
      <c r="AH42">
        <f t="shared" si="108"/>
        <v>2308295.4516826128</v>
      </c>
      <c r="AI42">
        <f t="shared" si="108"/>
        <v>2042739.3377722239</v>
      </c>
      <c r="AJ42">
        <f t="shared" si="108"/>
        <v>1807733.9272320566</v>
      </c>
      <c r="AK42">
        <f t="shared" si="108"/>
        <v>1599764.5373735016</v>
      </c>
      <c r="AL42">
        <f t="shared" si="108"/>
        <v>1415720.8295340722</v>
      </c>
      <c r="AM42">
        <f t="shared" si="108"/>
        <v>1252850.2916230729</v>
      </c>
      <c r="AN42">
        <f t="shared" si="108"/>
        <v>1108717.0722328082</v>
      </c>
      <c r="AO42">
        <f t="shared" si="108"/>
        <v>981165.55064850289</v>
      </c>
      <c r="AP42">
        <f t="shared" si="108"/>
        <v>868288.09791902918</v>
      </c>
      <c r="AQ42">
        <f t="shared" si="108"/>
        <v>768396.54683099943</v>
      </c>
      <c r="AR42">
        <f t="shared" si="108"/>
        <v>679996.94409822964</v>
      </c>
      <c r="AS42" s="17">
        <f>AS41/(1+$C$38)^(AS40-$AR$40)</f>
        <v>3185840.7079646019</v>
      </c>
      <c r="AT42">
        <f>AT41/(1+$C$38)^(AT40-$AR$40)</f>
        <v>2819328.0601456659</v>
      </c>
      <c r="AU42">
        <f t="shared" ref="AT42:CF42" si="109">AU41/(1+$C$38)^(AU40-$AR$40)</f>
        <v>2494980.5841997047</v>
      </c>
      <c r="AV42">
        <f t="shared" si="109"/>
        <v>2207947.4196457565</v>
      </c>
      <c r="AW42">
        <f t="shared" si="109"/>
        <v>1953935.7695980149</v>
      </c>
      <c r="AX42">
        <f t="shared" si="109"/>
        <v>1729146.6987593055</v>
      </c>
      <c r="AY42">
        <f t="shared" si="109"/>
        <v>1530218.3174861113</v>
      </c>
      <c r="AZ42">
        <f t="shared" si="109"/>
        <v>1354175.5022000985</v>
      </c>
      <c r="BA42">
        <f t="shared" si="109"/>
        <v>1198385.4001770783</v>
      </c>
      <c r="BB42">
        <f t="shared" si="109"/>
        <v>1060518.0532540518</v>
      </c>
      <c r="BC42">
        <f t="shared" si="109"/>
        <v>938511.55155225843</v>
      </c>
      <c r="BD42">
        <f t="shared" si="109"/>
        <v>830541.19606394565</v>
      </c>
      <c r="BE42">
        <f t="shared" si="109"/>
        <v>734992.20890614658</v>
      </c>
      <c r="BF42">
        <f t="shared" si="109"/>
        <v>650435.58310278482</v>
      </c>
      <c r="BG42">
        <f t="shared" si="109"/>
        <v>575606.710710429</v>
      </c>
      <c r="BH42">
        <f t="shared" si="109"/>
        <v>509386.46965524694</v>
      </c>
      <c r="BI42">
        <f t="shared" si="109"/>
        <v>450784.48642057256</v>
      </c>
      <c r="BJ42">
        <f t="shared" si="109"/>
        <v>398924.32426599349</v>
      </c>
      <c r="BK42">
        <f t="shared" si="109"/>
        <v>353030.37545663147</v>
      </c>
      <c r="BL42">
        <f t="shared" si="109"/>
        <v>312416.26146604557</v>
      </c>
      <c r="BM42">
        <f t="shared" si="109"/>
        <v>276474.56766906689</v>
      </c>
      <c r="BN42">
        <f t="shared" si="109"/>
        <v>244667.75899917429</v>
      </c>
      <c r="BO42">
        <f t="shared" si="109"/>
        <v>216520.14070723389</v>
      </c>
      <c r="BP42">
        <f t="shared" si="109"/>
        <v>191610.74398870257</v>
      </c>
      <c r="BQ42">
        <f t="shared" si="109"/>
        <v>169567.03007849786</v>
      </c>
      <c r="BR42">
        <f t="shared" si="109"/>
        <v>150059.31865353795</v>
      </c>
      <c r="BS42">
        <f t="shared" si="109"/>
        <v>132795.85721552034</v>
      </c>
      <c r="BT42">
        <f t="shared" si="109"/>
        <v>117518.45771284986</v>
      </c>
      <c r="BU42">
        <f t="shared" si="109"/>
        <v>103998.63514411492</v>
      </c>
      <c r="BV42">
        <f t="shared" si="109"/>
        <v>92034.190393022087</v>
      </c>
      <c r="BW42">
        <f t="shared" si="109"/>
        <v>81446.186188515116</v>
      </c>
      <c r="BX42">
        <f t="shared" si="109"/>
        <v>72076.270963287723</v>
      </c>
      <c r="BY42">
        <f t="shared" si="109"/>
        <v>63784.310586980297</v>
      </c>
      <c r="BZ42">
        <f t="shared" si="109"/>
        <v>56446.292554849824</v>
      </c>
      <c r="CA42">
        <f t="shared" si="109"/>
        <v>49952.471287477725</v>
      </c>
      <c r="CB42">
        <f t="shared" si="109"/>
        <v>44205.726803077639</v>
      </c>
      <c r="CC42">
        <f t="shared" si="109"/>
        <v>39120.11221511296</v>
      </c>
      <c r="CD42">
        <f t="shared" si="109"/>
        <v>34619.568331958377</v>
      </c>
      <c r="CE42">
        <f t="shared" si="109"/>
        <v>30636.786134476442</v>
      </c>
      <c r="CF42">
        <f t="shared" si="109"/>
        <v>27112.200119005702</v>
      </c>
      <c r="CG42">
        <f>SUM(AS42:CF42)</f>
        <v>27483752.306776911</v>
      </c>
    </row>
    <row r="45" spans="2:85" x14ac:dyDescent="0.25">
      <c r="AR45" t="s">
        <v>66</v>
      </c>
      <c r="AS45" s="2">
        <f>SUM(AS42:CF42)</f>
        <v>27483752.306776911</v>
      </c>
    </row>
    <row r="46" spans="2:85" x14ac:dyDescent="0.25">
      <c r="AR46" t="s">
        <v>65</v>
      </c>
      <c r="AS46">
        <f>SUM(AD42:AR42)</f>
        <v>27483752.310000006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I10" sqref="I10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41</v>
      </c>
      <c r="B8">
        <v>1000</v>
      </c>
      <c r="D8" s="6" t="s">
        <v>42</v>
      </c>
      <c r="E8" s="6" t="s">
        <v>43</v>
      </c>
      <c r="F8" s="6" t="s">
        <v>49</v>
      </c>
      <c r="G8" s="31" t="s">
        <v>44</v>
      </c>
      <c r="H8" s="31" t="s">
        <v>45</v>
      </c>
      <c r="I8" s="31" t="s">
        <v>50</v>
      </c>
      <c r="J8" s="31" t="s">
        <v>46</v>
      </c>
      <c r="K8" s="31" t="s">
        <v>47</v>
      </c>
      <c r="L8" s="31" t="s">
        <v>48</v>
      </c>
    </row>
    <row r="9" spans="1:12" x14ac:dyDescent="0.25">
      <c r="A9" t="s">
        <v>40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L12" sqref="L12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51</v>
      </c>
      <c r="C6">
        <v>10000</v>
      </c>
      <c r="E6" s="31" t="s">
        <v>42</v>
      </c>
      <c r="F6" s="31" t="s">
        <v>43</v>
      </c>
      <c r="G6" s="31" t="s">
        <v>49</v>
      </c>
      <c r="H6" s="31" t="s">
        <v>44</v>
      </c>
      <c r="I6" s="31" t="s">
        <v>45</v>
      </c>
      <c r="J6" s="31" t="s">
        <v>46</v>
      </c>
      <c r="K6" s="31" t="s">
        <v>47</v>
      </c>
      <c r="L6" s="31" t="s">
        <v>48</v>
      </c>
    </row>
    <row r="7" spans="2:13" x14ac:dyDescent="0.25">
      <c r="B7" t="s">
        <v>40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52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G16" sqref="G1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1" t="s">
        <v>42</v>
      </c>
      <c r="E6" s="31" t="s">
        <v>43</v>
      </c>
      <c r="F6" s="31" t="s">
        <v>49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41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40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52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5"/>
  <sheetViews>
    <sheetView tabSelected="1" topLeftCell="B1" zoomScale="205" zoomScaleNormal="205" workbookViewId="0">
      <selection activeCell="K14" sqref="K14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55</v>
      </c>
    </row>
    <row r="5" spans="1:12" ht="29.25" customHeight="1" x14ac:dyDescent="0.25">
      <c r="A5" t="s">
        <v>41</v>
      </c>
      <c r="B5">
        <v>10000</v>
      </c>
      <c r="D5" s="31" t="s">
        <v>42</v>
      </c>
      <c r="E5" s="31" t="s">
        <v>43</v>
      </c>
      <c r="F5" s="31" t="s">
        <v>49</v>
      </c>
      <c r="G5" s="31" t="s">
        <v>44</v>
      </c>
      <c r="H5" s="31" t="s">
        <v>45</v>
      </c>
      <c r="I5" s="31" t="s">
        <v>46</v>
      </c>
      <c r="J5" s="31" t="s">
        <v>47</v>
      </c>
      <c r="K5" s="31" t="s">
        <v>48</v>
      </c>
    </row>
    <row r="6" spans="1:12" x14ac:dyDescent="0.25">
      <c r="A6" t="s">
        <v>40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54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2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56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  <row r="13" spans="1:12" x14ac:dyDescent="0.25">
      <c r="E13" t="s">
        <v>120</v>
      </c>
    </row>
    <row r="14" spans="1:12" x14ac:dyDescent="0.25">
      <c r="D14">
        <v>1</v>
      </c>
      <c r="E14">
        <v>10000</v>
      </c>
      <c r="F14">
        <v>1200</v>
      </c>
      <c r="J14">
        <v>11200</v>
      </c>
    </row>
    <row r="15" spans="1:12" x14ac:dyDescent="0.25">
      <c r="D15">
        <v>2</v>
      </c>
      <c r="E15">
        <f>J14</f>
        <v>11200</v>
      </c>
      <c r="F15">
        <f>E15*F7</f>
        <v>1344</v>
      </c>
      <c r="G15">
        <f>F15</f>
        <v>1344</v>
      </c>
      <c r="H15" s="2">
        <f>J14/4</f>
        <v>2800</v>
      </c>
      <c r="I15">
        <f>G15+H15</f>
        <v>4144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42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57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58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26</v>
      </c>
      <c r="D13" s="1">
        <v>0.06</v>
      </c>
      <c r="F13" s="3">
        <v>0.01</v>
      </c>
      <c r="H13" s="1">
        <v>0.11</v>
      </c>
    </row>
    <row r="14" spans="2:9" x14ac:dyDescent="0.25">
      <c r="B14" t="s">
        <v>59</v>
      </c>
      <c r="D14" s="29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60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16"/>
  <sheetViews>
    <sheetView zoomScale="145" zoomScaleNormal="145" workbookViewId="0">
      <selection activeCell="C16" sqref="C16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41</v>
      </c>
      <c r="B6">
        <v>2000</v>
      </c>
      <c r="E6" t="s">
        <v>69</v>
      </c>
    </row>
    <row r="7" spans="1:28" x14ac:dyDescent="0.25">
      <c r="A7" t="s">
        <v>54</v>
      </c>
      <c r="B7" s="1">
        <v>0.1</v>
      </c>
    </row>
    <row r="8" spans="1:28" x14ac:dyDescent="0.25">
      <c r="A8" t="s">
        <v>61</v>
      </c>
      <c r="B8">
        <f>B7/12</f>
        <v>8.3333333333333332E-3</v>
      </c>
      <c r="C8">
        <f>0.1/12</f>
        <v>8.3333333333333332E-3</v>
      </c>
    </row>
    <row r="9" spans="1:28" x14ac:dyDescent="0.25">
      <c r="B9" s="28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70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65</v>
      </c>
      <c r="C15">
        <f>SUM(D11:AB11)</f>
        <v>2440.7800000000011</v>
      </c>
    </row>
    <row r="16" spans="1:28" x14ac:dyDescent="0.25">
      <c r="B16" t="s">
        <v>66</v>
      </c>
      <c r="C16">
        <f>B6*(1+B8)^(24)</f>
        <v>2440.7819227511181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54</v>
      </c>
      <c r="B7" s="28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41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54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62</v>
      </c>
      <c r="B9">
        <f>B8/12</f>
        <v>3.3333333333333335E-3</v>
      </c>
      <c r="C9" t="s">
        <v>3</v>
      </c>
      <c r="L9" t="s">
        <v>65</v>
      </c>
    </row>
    <row r="10" spans="1:76" x14ac:dyDescent="0.25">
      <c r="K10">
        <v>5000</v>
      </c>
      <c r="L10" t="s">
        <v>66</v>
      </c>
    </row>
    <row r="12" spans="1:76" x14ac:dyDescent="0.25">
      <c r="A12" t="s">
        <v>62</v>
      </c>
      <c r="B12" t="s">
        <v>67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28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68</v>
      </c>
      <c r="B16">
        <v>29.913456439437823</v>
      </c>
      <c r="E16" t="s">
        <v>4</v>
      </c>
    </row>
    <row r="17" spans="4:5" x14ac:dyDescent="0.25">
      <c r="D17" t="s">
        <v>65</v>
      </c>
      <c r="E17">
        <f>SUM(D14:BX14)</f>
        <v>2464.5899999999992</v>
      </c>
    </row>
    <row r="18" spans="4:5" x14ac:dyDescent="0.25">
      <c r="D18" t="s">
        <v>66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3:O19"/>
  <sheetViews>
    <sheetView topLeftCell="B4" zoomScale="220" zoomScaleNormal="220" workbookViewId="0">
      <selection activeCell="I10" sqref="I10"/>
    </sheetView>
  </sheetViews>
  <sheetFormatPr defaultRowHeight="15" x14ac:dyDescent="0.25"/>
  <sheetData>
    <row r="3" spans="2:15" x14ac:dyDescent="0.25">
      <c r="I3" t="s">
        <v>80</v>
      </c>
    </row>
    <row r="7" spans="2:15" x14ac:dyDescent="0.25">
      <c r="O7">
        <f>O11/((1+5%)^(3))</f>
        <v>369.7070665000694</v>
      </c>
    </row>
    <row r="8" spans="2:15" x14ac:dyDescent="0.25">
      <c r="L8" t="s">
        <v>81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 s="2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 s="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 s="2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 s="2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 s="2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 s="2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 s="2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 s="2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 s="2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63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E15" sqref="E15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s="2" t="s">
        <v>82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34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34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34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34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34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34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34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34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34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G17" sqref="G17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17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34">
        <f>1/((1+C11))</f>
        <v>0.86956521739130443</v>
      </c>
      <c r="J11" s="34">
        <f>1/((1+C11)*(1+D11))</f>
        <v>0.7561436672967865</v>
      </c>
      <c r="K11" s="34">
        <f>1/((1+E11)*(1+D11)*(1+C11))</f>
        <v>0.63011972274732209</v>
      </c>
      <c r="L11" s="34">
        <f>1/((1+F11)*(1+E11)*(1+D11)*(1+C11))</f>
        <v>0.52509976895610178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 t="shared" ref="I12:I15" si="1">1/((1+C12)^(I11-$H$9))</f>
        <v>0.8236267123512192</v>
      </c>
      <c r="J12" s="9">
        <f>1/((1+D12)^(J11-$H$9))</f>
        <v>0.87121952971932737</v>
      </c>
      <c r="K12" s="9">
        <f t="shared" ref="K12:K15" si="2">1/((1+E12)^(K11-$H$9))</f>
        <v>0.91569974588265246</v>
      </c>
      <c r="L12" s="9">
        <f t="shared" si="0"/>
        <v>0.92923931940565763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si="1"/>
        <v>0.91088326212660575</v>
      </c>
      <c r="J13" s="9">
        <f t="shared" si="0"/>
        <v>0.89212021870211344</v>
      </c>
      <c r="K13" s="9">
        <f t="shared" si="2"/>
        <v>0.87292279718988242</v>
      </c>
      <c r="L13" s="9">
        <f t="shared" si="0"/>
        <v>0.87117038216120479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1"/>
        <v>0.89464705003874745</v>
      </c>
      <c r="J14" s="9">
        <f t="shared" si="0"/>
        <v>0.88277541436376639</v>
      </c>
      <c r="K14" s="9">
        <f t="shared" si="2"/>
        <v>0.88514714197213495</v>
      </c>
      <c r="L14" s="9">
        <f t="shared" si="0"/>
        <v>0.88536395958229064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1"/>
        <v>0.7400600896039734</v>
      </c>
      <c r="J15" s="9">
        <f t="shared" si="0"/>
        <v>0.74302215373654135</v>
      </c>
      <c r="K15" s="9">
        <f t="shared" si="2"/>
        <v>0.74242944336004224</v>
      </c>
      <c r="L15" s="9">
        <f t="shared" si="0"/>
        <v>0.74237528280160858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P20"/>
  <sheetViews>
    <sheetView zoomScale="175" zoomScaleNormal="175" workbookViewId="0">
      <selection activeCell="P8" sqref="P8"/>
    </sheetView>
  </sheetViews>
  <sheetFormatPr defaultRowHeight="15" x14ac:dyDescent="0.25"/>
  <sheetData>
    <row r="2" spans="9:16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6" x14ac:dyDescent="0.25">
      <c r="I3" s="13" t="s">
        <v>18</v>
      </c>
      <c r="J3" s="14"/>
      <c r="K3" s="15">
        <v>0.1</v>
      </c>
      <c r="L3" s="15">
        <v>0.15</v>
      </c>
      <c r="M3" s="15">
        <v>0.2</v>
      </c>
      <c r="N3" s="16">
        <v>0.25</v>
      </c>
      <c r="P3" t="s">
        <v>83</v>
      </c>
    </row>
    <row r="4" spans="9:16" x14ac:dyDescent="0.25">
      <c r="I4" s="17" t="s">
        <v>19</v>
      </c>
      <c r="K4">
        <v>1250</v>
      </c>
      <c r="L4">
        <v>1500</v>
      </c>
      <c r="M4">
        <v>1750</v>
      </c>
      <c r="N4" s="18">
        <v>2000</v>
      </c>
    </row>
    <row r="5" spans="9:16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 s="2">
        <f>SUM(K5:N5)</f>
        <v>4528.985507246377</v>
      </c>
    </row>
    <row r="7" spans="9:16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6" x14ac:dyDescent="0.25">
      <c r="I8" s="13" t="s">
        <v>18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6" x14ac:dyDescent="0.25">
      <c r="I9" s="17" t="s">
        <v>19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6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 s="2">
        <f>SUM(J10:N10)</f>
        <v>-131.48880105401827</v>
      </c>
    </row>
    <row r="12" spans="9:16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6" x14ac:dyDescent="0.25">
      <c r="I13" s="13" t="s">
        <v>18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6" x14ac:dyDescent="0.25">
      <c r="I14" s="17" t="s">
        <v>19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6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 s="2">
        <f>SUM(J15:N15)</f>
        <v>421.05007817348951</v>
      </c>
    </row>
    <row r="17" spans="2:15" x14ac:dyDescent="0.25">
      <c r="B17" s="2" t="s">
        <v>20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18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19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 s="2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H14" sqref="H14"/>
    </sheetView>
  </sheetViews>
  <sheetFormatPr defaultRowHeight="15" x14ac:dyDescent="0.25"/>
  <sheetData>
    <row r="8" spans="2:8" x14ac:dyDescent="0.25">
      <c r="B8" s="6" t="s">
        <v>21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23</v>
      </c>
      <c r="C11" s="2">
        <v>1</v>
      </c>
      <c r="D11" s="34">
        <f>1/((1+D10)^(D8))</f>
        <v>0.86956521739130443</v>
      </c>
      <c r="E11" s="34">
        <f>1/((1+E10)^(E8))</f>
        <v>0.7561436672967865</v>
      </c>
      <c r="F11" s="34">
        <f t="shared" ref="F11:G11" si="0">1/((1+F10)^(F8))</f>
        <v>0.65751623243198831</v>
      </c>
      <c r="G11" s="34">
        <f t="shared" si="0"/>
        <v>0.57175324559303342</v>
      </c>
    </row>
    <row r="12" spans="2:8" x14ac:dyDescent="0.25">
      <c r="B12" t="s">
        <v>13</v>
      </c>
      <c r="D12" s="2">
        <f>D9*D11</f>
        <v>2173.913043478261</v>
      </c>
      <c r="E12" s="2">
        <f>E9*E11</f>
        <v>1890.3591682419662</v>
      </c>
      <c r="F12" s="2">
        <f>F9*F11</f>
        <v>1643.7905810799707</v>
      </c>
      <c r="G12" s="2">
        <f t="shared" ref="G12" si="1">G9*G11</f>
        <v>1429.3831139825836</v>
      </c>
      <c r="H12" s="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J11" sqref="J11"/>
    </sheetView>
  </sheetViews>
  <sheetFormatPr defaultRowHeight="15" x14ac:dyDescent="0.25"/>
  <sheetData>
    <row r="7" spans="2:8" x14ac:dyDescent="0.25">
      <c r="B7" s="6" t="s">
        <v>21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22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23</v>
      </c>
      <c r="C10" s="2">
        <f>1/((1+0%)^(C7))</f>
        <v>1</v>
      </c>
      <c r="D10" s="2">
        <f>1/((1+D9)^(D7))</f>
        <v>0.83333333333333337</v>
      </c>
      <c r="E10" s="2">
        <f>1/((1+E9)^(E7))</f>
        <v>0.69444444444444442</v>
      </c>
      <c r="F10" s="2">
        <f t="shared" ref="F10" si="0">1/((1+F9)^(F7))</f>
        <v>0.57870370370370372</v>
      </c>
      <c r="G10" s="2">
        <f>1/((1+G9)^(G7))</f>
        <v>0.48225308641975312</v>
      </c>
    </row>
    <row r="11" spans="2:8" x14ac:dyDescent="0.25">
      <c r="B11" t="s">
        <v>13</v>
      </c>
      <c r="C11" s="2">
        <f>C8*C10</f>
        <v>10000</v>
      </c>
      <c r="D11" s="2">
        <f t="shared" ref="D11:G11" si="1">D8*D10</f>
        <v>8333.3333333333339</v>
      </c>
      <c r="E11" s="2">
        <f t="shared" si="1"/>
        <v>6944.4444444444443</v>
      </c>
      <c r="F11" s="2">
        <f t="shared" si="1"/>
        <v>5787.0370370370374</v>
      </c>
      <c r="G11" s="2">
        <f t="shared" si="1"/>
        <v>4822.5308641975316</v>
      </c>
      <c r="H11" s="2">
        <f>SUM(C11:G11)</f>
        <v>35887.345679012345</v>
      </c>
    </row>
    <row r="14" spans="2:8" x14ac:dyDescent="0.25">
      <c r="B14" s="2" t="s">
        <v>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H11" sqref="H11"/>
    </sheetView>
  </sheetViews>
  <sheetFormatPr defaultRowHeight="15" x14ac:dyDescent="0.25"/>
  <sheetData>
    <row r="8" spans="2:8" x14ac:dyDescent="0.25">
      <c r="B8" s="6" t="s">
        <v>24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 s="2">
        <f>D9/((1+D10)^(D8))</f>
        <v>2173.913043478261</v>
      </c>
      <c r="E11" s="2">
        <f>E9/((1+E10)^(E8))</f>
        <v>1890.3591682419662</v>
      </c>
      <c r="F11" s="2">
        <f t="shared" ref="F11:G11" si="0">F9/((1+F10)^(F8))</f>
        <v>1643.7905810799709</v>
      </c>
      <c r="G11" s="2">
        <f t="shared" si="0"/>
        <v>1429.3831139825834</v>
      </c>
      <c r="H11" s="2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</vt:lpstr>
      <vt:lpstr>ex12b</vt:lpstr>
      <vt:lpstr>ex13g</vt:lpstr>
      <vt:lpstr>ex14g</vt:lpstr>
      <vt:lpstr>ex15g</vt:lpstr>
      <vt:lpstr>ex16</vt:lpstr>
      <vt:lpstr>ex17g</vt:lpstr>
      <vt:lpstr>ex18</vt:lpstr>
      <vt:lpstr>ex19b</vt:lpstr>
      <vt:lpstr>ex20g</vt:lpstr>
      <vt:lpstr>ex21g</vt:lpstr>
      <vt:lpstr>ex22g</vt:lpstr>
      <vt:lpstr>ex23</vt:lpstr>
      <vt:lpstr>ex24g</vt:lpstr>
      <vt:lpstr>ex25g</vt:lpstr>
      <vt:lpstr>ex26b</vt:lpstr>
      <vt:lpstr>ex27g</vt:lpstr>
      <vt:lpstr>ex28</vt:lpstr>
      <vt:lpstr>ex29g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2023-03-04T16:07:31Z</dcterms:modified>
</cp:coreProperties>
</file>