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ana\Documents\github-mariana\pm\PM2\econ\week2\"/>
    </mc:Choice>
  </mc:AlternateContent>
  <xr:revisionPtr revIDLastSave="0" documentId="13_ncr:1_{12989B83-12FF-44D5-A70F-D5F1903247F3}" xr6:coauthVersionLast="47" xr6:coauthVersionMax="47" xr10:uidLastSave="{00000000-0000-0000-0000-000000000000}"/>
  <bookViews>
    <workbookView xWindow="-120" yWindow="-120" windowWidth="29040" windowHeight="15840" activeTab="1" xr2:uid="{D9D185C7-CA61-44DF-8BA3-8C674C348F4C}"/>
  </bookViews>
  <sheets>
    <sheet name="class" sheetId="1" r:id="rId1"/>
    <sheet name="notes" sheetId="2" r:id="rId2"/>
    <sheet name="ex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9" i="3" l="1"/>
  <c r="G28" i="3"/>
  <c r="G27" i="3"/>
  <c r="F28" i="3"/>
  <c r="F27" i="3"/>
  <c r="C27" i="3"/>
  <c r="C28" i="3"/>
  <c r="B33" i="3"/>
  <c r="B32" i="3"/>
  <c r="D28" i="3"/>
  <c r="D27" i="3"/>
  <c r="B27" i="3"/>
  <c r="B24" i="3"/>
  <c r="B23" i="3"/>
  <c r="B22" i="3"/>
  <c r="B21" i="3"/>
  <c r="B20" i="3"/>
  <c r="C14" i="3"/>
  <c r="D14" i="3" s="1"/>
  <c r="B14" i="3"/>
  <c r="B18" i="3"/>
  <c r="B17" i="3"/>
  <c r="B16" i="3"/>
  <c r="B15" i="3"/>
  <c r="D13" i="3"/>
  <c r="D12" i="3"/>
  <c r="C12" i="3"/>
  <c r="B11" i="3"/>
  <c r="B9" i="3"/>
  <c r="B6" i="3"/>
  <c r="B5" i="3"/>
  <c r="B4" i="3"/>
  <c r="B3" i="3"/>
  <c r="B8" i="3"/>
  <c r="A2" i="3"/>
  <c r="E65" i="2"/>
  <c r="E66" i="2" s="1"/>
  <c r="F65" i="2"/>
  <c r="F66" i="2" s="1"/>
  <c r="G65" i="2"/>
  <c r="H65" i="2"/>
  <c r="H66" i="2" s="1"/>
  <c r="I65" i="2"/>
  <c r="I66" i="2" s="1"/>
  <c r="J65" i="2"/>
  <c r="J66" i="2" s="1"/>
  <c r="K65" i="2"/>
  <c r="K66" i="2" s="1"/>
  <c r="L65" i="2"/>
  <c r="L66" i="2" s="1"/>
  <c r="M65" i="2"/>
  <c r="M66" i="2" s="1"/>
  <c r="N65" i="2"/>
  <c r="N66" i="2" s="1"/>
  <c r="O65" i="2"/>
  <c r="P65" i="2"/>
  <c r="Q65" i="2"/>
  <c r="Q66" i="2" s="1"/>
  <c r="R65" i="2"/>
  <c r="R66" i="2" s="1"/>
  <c r="S65" i="2"/>
  <c r="S66" i="2" s="1"/>
  <c r="T65" i="2"/>
  <c r="T66" i="2" s="1"/>
  <c r="U65" i="2"/>
  <c r="U66" i="2" s="1"/>
  <c r="V65" i="2"/>
  <c r="V66" i="2" s="1"/>
  <c r="W65" i="2"/>
  <c r="X65" i="2"/>
  <c r="Y65" i="2"/>
  <c r="Y66" i="2" s="1"/>
  <c r="Z65" i="2"/>
  <c r="Z66" i="2" s="1"/>
  <c r="AA65" i="2"/>
  <c r="AA66" i="2" s="1"/>
  <c r="AB65" i="2"/>
  <c r="AB66" i="2" s="1"/>
  <c r="D65" i="2"/>
  <c r="D66" i="2" s="1"/>
  <c r="G66" i="2"/>
  <c r="O66" i="2"/>
  <c r="P66" i="2"/>
  <c r="W66" i="2"/>
  <c r="X66" i="2"/>
  <c r="B66" i="2"/>
  <c r="C67" i="2"/>
  <c r="C57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F56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I45" i="2"/>
  <c r="C35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E34" i="2"/>
  <c r="D34" i="2"/>
  <c r="C34" i="2"/>
  <c r="AA28" i="2"/>
  <c r="Y28" i="2"/>
  <c r="Y27" i="2"/>
  <c r="X27" i="2"/>
  <c r="X26" i="2"/>
  <c r="W26" i="2"/>
  <c r="W25" i="2"/>
  <c r="V25" i="2"/>
  <c r="V24" i="2"/>
  <c r="U24" i="2"/>
  <c r="U23" i="2"/>
  <c r="T23" i="2"/>
  <c r="S23" i="2"/>
  <c r="S22" i="2"/>
  <c r="R22" i="2"/>
  <c r="R21" i="2"/>
  <c r="Q21" i="2"/>
  <c r="Q20" i="2"/>
  <c r="P20" i="2"/>
  <c r="P19" i="2"/>
  <c r="O19" i="2"/>
  <c r="O18" i="2"/>
  <c r="N18" i="2"/>
  <c r="N17" i="2"/>
  <c r="M17" i="2"/>
  <c r="M16" i="2"/>
  <c r="L16" i="2"/>
  <c r="L15" i="2"/>
  <c r="K15" i="2"/>
  <c r="K14" i="2"/>
  <c r="H14" i="2"/>
  <c r="H13" i="2"/>
  <c r="D15" i="2"/>
  <c r="D18" i="2"/>
  <c r="D19" i="2"/>
  <c r="D20" i="2"/>
  <c r="D21" i="2"/>
  <c r="D22" i="2"/>
  <c r="D23" i="2"/>
  <c r="D24" i="2"/>
  <c r="D25" i="2"/>
  <c r="D26" i="2"/>
  <c r="D27" i="2"/>
  <c r="D28" i="2"/>
  <c r="D29" i="2"/>
  <c r="D17" i="2"/>
  <c r="D16" i="2"/>
  <c r="D14" i="2"/>
  <c r="B4" i="2"/>
  <c r="B3" i="2"/>
  <c r="B38" i="1"/>
  <c r="B37" i="1"/>
  <c r="D30" i="1"/>
  <c r="D31" i="1" s="1"/>
  <c r="E30" i="1"/>
  <c r="E31" i="1" s="1"/>
  <c r="F30" i="1"/>
  <c r="F31" i="1" s="1"/>
  <c r="G30" i="1"/>
  <c r="G31" i="1" s="1"/>
  <c r="H30" i="1"/>
  <c r="H31" i="1" s="1"/>
  <c r="I30" i="1"/>
  <c r="I31" i="1" s="1"/>
  <c r="J30" i="1"/>
  <c r="J31" i="1" s="1"/>
  <c r="K30" i="1"/>
  <c r="K31" i="1" s="1"/>
  <c r="L30" i="1"/>
  <c r="L31" i="1" s="1"/>
  <c r="M30" i="1"/>
  <c r="M31" i="1" s="1"/>
  <c r="N30" i="1"/>
  <c r="N31" i="1" s="1"/>
  <c r="O30" i="1"/>
  <c r="O31" i="1" s="1"/>
  <c r="P30" i="1"/>
  <c r="P31" i="1" s="1"/>
  <c r="Q30" i="1"/>
  <c r="Q31" i="1" s="1"/>
  <c r="R30" i="1"/>
  <c r="R31" i="1" s="1"/>
  <c r="S30" i="1"/>
  <c r="S31" i="1" s="1"/>
  <c r="T30" i="1"/>
  <c r="T31" i="1" s="1"/>
  <c r="U30" i="1"/>
  <c r="U31" i="1" s="1"/>
  <c r="V30" i="1"/>
  <c r="V31" i="1" s="1"/>
  <c r="W30" i="1"/>
  <c r="W31" i="1" s="1"/>
  <c r="X30" i="1"/>
  <c r="X31" i="1" s="1"/>
  <c r="Y30" i="1"/>
  <c r="Y31" i="1" s="1"/>
  <c r="Z30" i="1"/>
  <c r="Z31" i="1" s="1"/>
  <c r="AA30" i="1"/>
  <c r="AA31" i="1" s="1"/>
  <c r="C30" i="1"/>
  <c r="C31" i="1" s="1"/>
  <c r="C26" i="1"/>
  <c r="E23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F22" i="1"/>
  <c r="I5" i="1"/>
  <c r="H5" i="1"/>
  <c r="V5" i="1"/>
  <c r="W5" i="1"/>
  <c r="X5" i="1"/>
  <c r="U5" i="1"/>
  <c r="S5" i="1"/>
  <c r="T5" i="1"/>
  <c r="R5" i="1"/>
  <c r="P15" i="1"/>
  <c r="Q15" i="1"/>
  <c r="R15" i="1"/>
  <c r="S15" i="1"/>
  <c r="T15" i="1"/>
  <c r="U15" i="1"/>
  <c r="V15" i="1"/>
  <c r="W15" i="1"/>
  <c r="O15" i="1"/>
  <c r="M15" i="1"/>
  <c r="L15" i="1"/>
  <c r="K15" i="1"/>
  <c r="I15" i="1"/>
  <c r="C16" i="1" s="1"/>
  <c r="P5" i="1"/>
  <c r="O5" i="1"/>
  <c r="N5" i="1"/>
  <c r="M5" i="1"/>
  <c r="L5" i="1"/>
  <c r="K5" i="1"/>
  <c r="J5" i="1"/>
  <c r="C8" i="1"/>
  <c r="E5" i="1"/>
  <c r="C5" i="1"/>
  <c r="E10" i="1" s="1"/>
  <c r="B7" i="3" l="1"/>
  <c r="B10" i="3" s="1"/>
  <c r="AB68" i="2"/>
  <c r="C46" i="2"/>
  <c r="D30" i="2"/>
  <c r="AA33" i="1"/>
</calcChain>
</file>

<file path=xl/sharedStrings.xml><?xml version="1.0" encoding="utf-8"?>
<sst xmlns="http://schemas.openxmlformats.org/spreadsheetml/2006/main" count="27" uniqueCount="24">
  <si>
    <t>answer</t>
  </si>
  <si>
    <t>x</t>
  </si>
  <si>
    <t>Suma</t>
  </si>
  <si>
    <t>o también traes el monto al cero y lo llevas al 3</t>
  </si>
  <si>
    <t>o sacas valor futuro de todo y lo traes al 20-3</t>
  </si>
  <si>
    <t>si esto lo llevas al 21, te daría cero</t>
  </si>
  <si>
    <t>cuanto tengo que depositar cada mes para que me salga en el mes 24 175000</t>
  </si>
  <si>
    <t>Monto a ahorrar</t>
  </si>
  <si>
    <t>esta fila es sumable</t>
  </si>
  <si>
    <t>todos estan en el 24</t>
  </si>
  <si>
    <t>DATOS&gt;HIPOTESIS&gt;BUSCAR OBJETIVO</t>
  </si>
  <si>
    <t>VALOR P</t>
  </si>
  <si>
    <t>VALOR F</t>
  </si>
  <si>
    <t>OPCIÓN 1</t>
  </si>
  <si>
    <t>OPCIÓN 2</t>
  </si>
  <si>
    <t>OPCIÓN 3</t>
  </si>
  <si>
    <t>res</t>
  </si>
  <si>
    <t>VP</t>
  </si>
  <si>
    <t>VF</t>
  </si>
  <si>
    <t>ahorro</t>
  </si>
  <si>
    <t>suma (set cell)</t>
  </si>
  <si>
    <t>debe de salir (to value, written)</t>
  </si>
  <si>
    <t>by changing cell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</si>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</sst>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0000000000%"/>
    <numFmt numFmtId="166" formatCode="0.000%"/>
    <numFmt numFmtId="169" formatCode="0.0000E+00"/>
  </numFmts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8">
    <xf numFmtId="0" fontId="0" fillId="0" borderId="0" xfId="0"/>
    <xf numFmtId="9" fontId="0" fillId="0" borderId="0" xfId="0" applyNumberFormat="1"/>
    <xf numFmtId="0" fontId="1" fillId="2" borderId="0" xfId="1"/>
    <xf numFmtId="0" fontId="3" fillId="4" borderId="0" xfId="3"/>
    <xf numFmtId="0" fontId="2" fillId="3" borderId="0" xfId="2"/>
    <xf numFmtId="164" fontId="0" fillId="0" borderId="0" xfId="0" applyNumberFormat="1"/>
    <xf numFmtId="166" fontId="0" fillId="0" borderId="0" xfId="0" applyNumberFormat="1"/>
    <xf numFmtId="169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185057</xdr:colOff>
      <xdr:row>4</xdr:row>
      <xdr:rowOff>54430</xdr:rowOff>
    </xdr:from>
    <xdr:to>
      <xdr:col>15</xdr:col>
      <xdr:colOff>561704</xdr:colOff>
      <xdr:row>9</xdr:row>
      <xdr:rowOff>103610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0269D18-C6C4-D6C7-3637-C0C5B6CE32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4657" y="816430"/>
          <a:ext cx="8911047" cy="1001680"/>
        </a:xfrm>
        <a:prstGeom prst="rect">
          <a:avLst/>
        </a:prstGeom>
      </xdr:spPr>
    </xdr:pic>
    <xdr:clientData/>
  </xdr:twoCellAnchor>
  <xdr:twoCellAnchor editAs="oneCell">
    <xdr:from>
      <xdr:col>0</xdr:col>
      <xdr:colOff>549729</xdr:colOff>
      <xdr:row>35</xdr:row>
      <xdr:rowOff>157843</xdr:rowOff>
    </xdr:from>
    <xdr:to>
      <xdr:col>12</xdr:col>
      <xdr:colOff>514091</xdr:colOff>
      <xdr:row>40</xdr:row>
      <xdr:rowOff>82528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E742FF1-2DD0-27AF-A88A-FDA76E86F4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9729" y="6825343"/>
          <a:ext cx="7279562" cy="877185"/>
        </a:xfrm>
        <a:prstGeom prst="rect">
          <a:avLst/>
        </a:prstGeom>
      </xdr:spPr>
    </xdr:pic>
    <xdr:clientData/>
  </xdr:twoCellAnchor>
  <xdr:twoCellAnchor editAs="oneCell">
    <xdr:from>
      <xdr:col>1</xdr:col>
      <xdr:colOff>32657</xdr:colOff>
      <xdr:row>46</xdr:row>
      <xdr:rowOff>146958</xdr:rowOff>
    </xdr:from>
    <xdr:to>
      <xdr:col>13</xdr:col>
      <xdr:colOff>190500</xdr:colOff>
      <xdr:row>51</xdr:row>
      <xdr:rowOff>19904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BC77431-3D1A-308F-C381-2A1BD8A89F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42257" y="8909958"/>
          <a:ext cx="7473043" cy="825446"/>
        </a:xfrm>
        <a:prstGeom prst="rect">
          <a:avLst/>
        </a:prstGeom>
      </xdr:spPr>
    </xdr:pic>
    <xdr:clientData/>
  </xdr:twoCellAnchor>
  <xdr:twoCellAnchor editAs="oneCell">
    <xdr:from>
      <xdr:col>1</xdr:col>
      <xdr:colOff>76201</xdr:colOff>
      <xdr:row>57</xdr:row>
      <xdr:rowOff>174172</xdr:rowOff>
    </xdr:from>
    <xdr:to>
      <xdr:col>14</xdr:col>
      <xdr:colOff>315535</xdr:colOff>
      <xdr:row>62</xdr:row>
      <xdr:rowOff>50289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0BCD40D-9B51-4067-AAC4-CBD427E9AA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85801" y="11032672"/>
          <a:ext cx="8164134" cy="82861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1A8EB-AC87-4BB7-AFA1-919C16748180}">
  <dimension ref="A3:AB38"/>
  <sheetViews>
    <sheetView topLeftCell="A23" zoomScale="160" zoomScaleNormal="160" workbookViewId="0">
      <selection activeCell="H29" sqref="H29"/>
    </sheetView>
  </sheetViews>
  <sheetFormatPr defaultRowHeight="15" x14ac:dyDescent="0.25"/>
  <cols>
    <col min="1" max="1" width="24" customWidth="1"/>
    <col min="2" max="2" width="21.28515625" bestFit="1" customWidth="1"/>
  </cols>
  <sheetData>
    <row r="3" spans="2:24" x14ac:dyDescent="0.25">
      <c r="B3" s="1">
        <v>0.06</v>
      </c>
      <c r="C3">
        <v>0</v>
      </c>
      <c r="D3">
        <v>1</v>
      </c>
      <c r="E3">
        <v>2</v>
      </c>
      <c r="F3">
        <v>3</v>
      </c>
      <c r="G3">
        <v>4</v>
      </c>
      <c r="H3">
        <v>5</v>
      </c>
      <c r="I3">
        <v>6</v>
      </c>
      <c r="J3">
        <v>7</v>
      </c>
      <c r="K3">
        <v>8</v>
      </c>
      <c r="L3">
        <v>9</v>
      </c>
      <c r="M3">
        <v>10</v>
      </c>
      <c r="N3">
        <v>11</v>
      </c>
      <c r="O3">
        <v>12</v>
      </c>
      <c r="P3">
        <v>13</v>
      </c>
      <c r="Q3">
        <v>14</v>
      </c>
      <c r="R3">
        <v>15</v>
      </c>
      <c r="S3">
        <v>16</v>
      </c>
      <c r="T3">
        <v>17</v>
      </c>
      <c r="U3">
        <v>18</v>
      </c>
      <c r="V3">
        <v>19</v>
      </c>
      <c r="W3">
        <v>20</v>
      </c>
      <c r="X3">
        <v>21</v>
      </c>
    </row>
    <row r="4" spans="2:24" x14ac:dyDescent="0.25">
      <c r="C4">
        <v>700</v>
      </c>
      <c r="E4">
        <v>900</v>
      </c>
      <c r="H4">
        <v>1000</v>
      </c>
      <c r="I4">
        <v>1000</v>
      </c>
      <c r="J4">
        <v>1000</v>
      </c>
      <c r="K4">
        <v>1000</v>
      </c>
      <c r="L4">
        <v>1000</v>
      </c>
      <c r="M4">
        <v>1000</v>
      </c>
      <c r="N4">
        <v>1000</v>
      </c>
      <c r="O4">
        <v>1000</v>
      </c>
      <c r="P4">
        <v>1000</v>
      </c>
      <c r="R4">
        <v>1000</v>
      </c>
      <c r="S4">
        <v>1000</v>
      </c>
      <c r="T4">
        <v>1000</v>
      </c>
      <c r="U4">
        <v>1000</v>
      </c>
      <c r="V4">
        <v>1000</v>
      </c>
      <c r="W4">
        <v>0</v>
      </c>
      <c r="X4">
        <v>0</v>
      </c>
    </row>
    <row r="5" spans="2:24" x14ac:dyDescent="0.25">
      <c r="B5" s="2">
        <v>700</v>
      </c>
      <c r="C5">
        <f>C4*(1+B3)^(21)</f>
        <v>2379.6945203819337</v>
      </c>
      <c r="E5">
        <f>E4*(1+B3)^(21-E3)</f>
        <v>2723.0395518788332</v>
      </c>
      <c r="H5">
        <f>H4*(1+B3)^(21-H3)</f>
        <v>2540.3516846856733</v>
      </c>
      <c r="I5">
        <f>I4*(1+B3)^(21-I3)</f>
        <v>2396.5581930996923</v>
      </c>
      <c r="J5">
        <f>J4*(1+B3)^(21-7)</f>
        <v>2260.9039557544261</v>
      </c>
      <c r="K5">
        <f>K4*(1+B3)^(21-K3)</f>
        <v>2132.9282601456853</v>
      </c>
      <c r="L5">
        <f>L4*(1+B3)^(21-9)</f>
        <v>2012.1964718355518</v>
      </c>
      <c r="M5">
        <f>M4*(1+B3)^(21-10)</f>
        <v>1898.2985583354262</v>
      </c>
      <c r="N5">
        <f>N4*(1+B3)^(21-11)</f>
        <v>1790.8476965428547</v>
      </c>
      <c r="O5">
        <f>O4*(1+B3)^(21-12)</f>
        <v>1689.4789590026928</v>
      </c>
      <c r="P5">
        <f>P4*(1+B3)^(21-13)</f>
        <v>1593.8480745308423</v>
      </c>
      <c r="R5">
        <f>R4*(1+$B$3)^(21-R3)</f>
        <v>1418.5191122560007</v>
      </c>
      <c r="S5">
        <f t="shared" ref="S5:T5" si="0">S4*(1+$B$3)^(21-S3)</f>
        <v>1338.2255776000004</v>
      </c>
      <c r="T5">
        <f t="shared" si="0"/>
        <v>1262.4769600000004</v>
      </c>
      <c r="U5">
        <f>U4*(1+$B$3)^(21-U3)</f>
        <v>1191.0160000000003</v>
      </c>
      <c r="V5">
        <f t="shared" ref="V5:X5" si="1">V4*(1+$B$3)^(21-V3)</f>
        <v>1123.6000000000001</v>
      </c>
      <c r="W5">
        <f t="shared" si="1"/>
        <v>0</v>
      </c>
      <c r="X5">
        <f t="shared" si="1"/>
        <v>0</v>
      </c>
    </row>
    <row r="6" spans="2:24" x14ac:dyDescent="0.25">
      <c r="B6" s="3">
        <v>900</v>
      </c>
    </row>
    <row r="8" spans="2:24" x14ac:dyDescent="0.25">
      <c r="C8" s="2">
        <f>29752/(1+B3)^(21)</f>
        <v>8751.7115418063931</v>
      </c>
    </row>
    <row r="10" spans="2:24" x14ac:dyDescent="0.25">
      <c r="B10" t="s">
        <v>0</v>
      </c>
      <c r="C10" s="2">
        <v>29752</v>
      </c>
      <c r="E10">
        <f>SUM(C5:W5)</f>
        <v>29751.98357604961</v>
      </c>
    </row>
    <row r="13" spans="2:24" x14ac:dyDescent="0.25">
      <c r="B13" s="1">
        <v>0.05</v>
      </c>
      <c r="C13">
        <v>0</v>
      </c>
      <c r="D13">
        <v>1</v>
      </c>
      <c r="E13">
        <v>2</v>
      </c>
      <c r="F13">
        <v>3</v>
      </c>
      <c r="G13">
        <v>4</v>
      </c>
      <c r="H13">
        <v>5</v>
      </c>
      <c r="I13">
        <v>6</v>
      </c>
      <c r="J13">
        <v>7</v>
      </c>
      <c r="K13">
        <v>8</v>
      </c>
      <c r="L13">
        <v>9</v>
      </c>
      <c r="M13">
        <v>10</v>
      </c>
      <c r="N13">
        <v>11</v>
      </c>
      <c r="O13">
        <v>12</v>
      </c>
      <c r="P13">
        <v>13</v>
      </c>
      <c r="Q13">
        <v>14</v>
      </c>
      <c r="R13">
        <v>15</v>
      </c>
      <c r="S13">
        <v>16</v>
      </c>
      <c r="T13">
        <v>17</v>
      </c>
      <c r="U13">
        <v>18</v>
      </c>
      <c r="V13">
        <v>19</v>
      </c>
      <c r="W13">
        <v>20</v>
      </c>
    </row>
    <row r="14" spans="2:24" x14ac:dyDescent="0.25">
      <c r="F14" t="s">
        <v>1</v>
      </c>
      <c r="I14">
        <v>300</v>
      </c>
      <c r="K14">
        <v>500</v>
      </c>
      <c r="L14">
        <v>500</v>
      </c>
      <c r="M14">
        <v>500</v>
      </c>
      <c r="O14">
        <v>800</v>
      </c>
      <c r="P14">
        <v>800</v>
      </c>
      <c r="Q14">
        <v>800</v>
      </c>
      <c r="R14">
        <v>800</v>
      </c>
      <c r="S14">
        <v>800</v>
      </c>
      <c r="T14">
        <v>800</v>
      </c>
      <c r="U14">
        <v>800</v>
      </c>
      <c r="V14">
        <v>800</v>
      </c>
      <c r="W14">
        <v>800</v>
      </c>
    </row>
    <row r="15" spans="2:24" x14ac:dyDescent="0.25">
      <c r="I15">
        <f>300/(1+B13)^(6-3)</f>
        <v>259.1512795594428</v>
      </c>
      <c r="K15">
        <f>500/(1+B13)^(K13-3)</f>
        <v>391.7630832342295</v>
      </c>
      <c r="L15">
        <f>L14/(1+B13)^(L13-3)</f>
        <v>373.10769831831385</v>
      </c>
      <c r="M15">
        <f>M14/(1+B13)^(M13-3)</f>
        <v>355.3406650650607</v>
      </c>
      <c r="O15">
        <f>O14/(1+$B$13)^(O13-3)</f>
        <v>515.68713297423778</v>
      </c>
      <c r="P15">
        <f>P14/(1+$B$13)^(P13-3)</f>
        <v>491.13060283260745</v>
      </c>
      <c r="Q15">
        <f t="shared" ref="Q15:W15" si="2">Q14/(1+$B$13)^(Q13-3)</f>
        <v>467.74343126914994</v>
      </c>
      <c r="R15">
        <f t="shared" si="2"/>
        <v>445.46993454204761</v>
      </c>
      <c r="S15">
        <f t="shared" si="2"/>
        <v>424.25708051623576</v>
      </c>
      <c r="T15">
        <f t="shared" si="2"/>
        <v>404.05436239641506</v>
      </c>
      <c r="U15">
        <f t="shared" si="2"/>
        <v>384.81367847277613</v>
      </c>
      <c r="V15">
        <f t="shared" si="2"/>
        <v>366.4892175931202</v>
      </c>
      <c r="W15">
        <f t="shared" si="2"/>
        <v>349.03735008868586</v>
      </c>
    </row>
    <row r="16" spans="2:24" x14ac:dyDescent="0.25">
      <c r="B16" t="s">
        <v>2</v>
      </c>
      <c r="C16" s="2">
        <f>SUM(I15:W15)</f>
        <v>5228.045516862323</v>
      </c>
      <c r="D16" t="s">
        <v>5</v>
      </c>
    </row>
    <row r="17" spans="1:28" x14ac:dyDescent="0.25">
      <c r="C17" t="s">
        <v>3</v>
      </c>
    </row>
    <row r="18" spans="1:28" x14ac:dyDescent="0.25">
      <c r="C18" t="s">
        <v>4</v>
      </c>
    </row>
    <row r="20" spans="1:28" x14ac:dyDescent="0.25">
      <c r="B20" s="1">
        <v>0.08</v>
      </c>
      <c r="C20">
        <v>0</v>
      </c>
      <c r="D20">
        <v>1</v>
      </c>
      <c r="E20">
        <v>2</v>
      </c>
      <c r="F20">
        <v>3</v>
      </c>
      <c r="G20">
        <v>4</v>
      </c>
      <c r="H20">
        <v>5</v>
      </c>
      <c r="I20">
        <v>6</v>
      </c>
      <c r="J20">
        <v>7</v>
      </c>
      <c r="K20">
        <v>8</v>
      </c>
      <c r="L20">
        <v>9</v>
      </c>
      <c r="M20">
        <v>10</v>
      </c>
      <c r="N20">
        <v>11</v>
      </c>
      <c r="O20">
        <v>12</v>
      </c>
      <c r="P20">
        <v>13</v>
      </c>
      <c r="Q20">
        <v>14</v>
      </c>
      <c r="R20">
        <v>15</v>
      </c>
      <c r="S20">
        <v>16</v>
      </c>
      <c r="T20">
        <v>17</v>
      </c>
      <c r="U20">
        <v>18</v>
      </c>
      <c r="V20">
        <v>19</v>
      </c>
      <c r="W20">
        <v>20</v>
      </c>
      <c r="X20">
        <v>21</v>
      </c>
      <c r="Y20">
        <v>22</v>
      </c>
      <c r="Z20">
        <v>23</v>
      </c>
      <c r="AA20">
        <v>24</v>
      </c>
      <c r="AB20">
        <v>25</v>
      </c>
    </row>
    <row r="21" spans="1:28" x14ac:dyDescent="0.25">
      <c r="F21">
        <v>5000</v>
      </c>
      <c r="G21">
        <v>5000</v>
      </c>
      <c r="H21">
        <v>5000</v>
      </c>
      <c r="I21">
        <v>5000</v>
      </c>
      <c r="J21">
        <v>5000</v>
      </c>
      <c r="K21">
        <v>5000</v>
      </c>
      <c r="L21">
        <v>5000</v>
      </c>
      <c r="M21">
        <v>5000</v>
      </c>
      <c r="N21">
        <v>5000</v>
      </c>
      <c r="O21">
        <v>5000</v>
      </c>
      <c r="P21">
        <v>5000</v>
      </c>
      <c r="Q21">
        <v>5000</v>
      </c>
      <c r="R21">
        <v>5000</v>
      </c>
      <c r="S21">
        <v>1500</v>
      </c>
      <c r="T21">
        <v>2000</v>
      </c>
      <c r="U21">
        <v>2000</v>
      </c>
      <c r="V21">
        <v>2000</v>
      </c>
      <c r="W21">
        <v>2000</v>
      </c>
      <c r="X21">
        <v>2000</v>
      </c>
      <c r="Y21">
        <v>2000</v>
      </c>
    </row>
    <row r="22" spans="1:28" x14ac:dyDescent="0.25">
      <c r="F22">
        <f>F21*(1+$B$20)^(25-F20)</f>
        <v>27182.702062929162</v>
      </c>
      <c r="G22">
        <f>G21*(1+$B$20)^(25-G20)</f>
        <v>25169.168576786255</v>
      </c>
      <c r="H22">
        <f t="shared" ref="H22:Y22" si="3">H21*(1+$B$20)^(25-H20)</f>
        <v>23304.785719246531</v>
      </c>
      <c r="I22">
        <f t="shared" si="3"/>
        <v>21578.505295598643</v>
      </c>
      <c r="J22">
        <f t="shared" si="3"/>
        <v>19980.097495924667</v>
      </c>
      <c r="K22">
        <f t="shared" si="3"/>
        <v>18500.09027400432</v>
      </c>
      <c r="L22">
        <f t="shared" si="3"/>
        <v>17129.713216670665</v>
      </c>
      <c r="M22">
        <f t="shared" si="3"/>
        <v>15860.845570991358</v>
      </c>
      <c r="N22">
        <f t="shared" si="3"/>
        <v>14685.968121288293</v>
      </c>
      <c r="O22">
        <f t="shared" si="3"/>
        <v>13598.118630822491</v>
      </c>
      <c r="P22">
        <f t="shared" si="3"/>
        <v>12590.8505840949</v>
      </c>
      <c r="Q22">
        <f t="shared" si="3"/>
        <v>11658.194985273054</v>
      </c>
      <c r="R22">
        <f t="shared" si="3"/>
        <v>10794.624986363939</v>
      </c>
      <c r="S22">
        <f t="shared" si="3"/>
        <v>2998.5069406566495</v>
      </c>
      <c r="T22">
        <f t="shared" si="3"/>
        <v>3701.8604205637648</v>
      </c>
      <c r="U22">
        <f t="shared" si="3"/>
        <v>3427.6485375590414</v>
      </c>
      <c r="V22">
        <f t="shared" si="3"/>
        <v>3173.7486458880012</v>
      </c>
      <c r="W22">
        <f t="shared" si="3"/>
        <v>2938.6561536000008</v>
      </c>
      <c r="X22">
        <f t="shared" si="3"/>
        <v>2720.9779200000007</v>
      </c>
      <c r="Y22">
        <f t="shared" si="3"/>
        <v>2519.4240000000004</v>
      </c>
    </row>
    <row r="23" spans="1:28" x14ac:dyDescent="0.25">
      <c r="E23" s="2">
        <f>SUM(F22:AB22)</f>
        <v>253514.48813826172</v>
      </c>
    </row>
    <row r="26" spans="1:28" x14ac:dyDescent="0.25">
      <c r="C26">
        <f>175000/24</f>
        <v>7291.666666666667</v>
      </c>
    </row>
    <row r="27" spans="1:28" x14ac:dyDescent="0.25">
      <c r="B27" t="s">
        <v>6</v>
      </c>
    </row>
    <row r="28" spans="1:28" x14ac:dyDescent="0.25">
      <c r="B28" s="1">
        <v>0.01</v>
      </c>
      <c r="C28" t="s">
        <v>7</v>
      </c>
      <c r="E28">
        <v>6196.1818450959036</v>
      </c>
    </row>
    <row r="29" spans="1:28" x14ac:dyDescent="0.25">
      <c r="C29">
        <v>0</v>
      </c>
      <c r="D29">
        <v>1</v>
      </c>
      <c r="E29">
        <v>2</v>
      </c>
      <c r="F29">
        <v>3</v>
      </c>
      <c r="G29">
        <v>4</v>
      </c>
      <c r="H29">
        <v>5</v>
      </c>
      <c r="I29">
        <v>6</v>
      </c>
      <c r="J29">
        <v>7</v>
      </c>
      <c r="K29">
        <v>8</v>
      </c>
      <c r="L29">
        <v>9</v>
      </c>
      <c r="M29">
        <v>10</v>
      </c>
      <c r="N29">
        <v>11</v>
      </c>
      <c r="O29">
        <v>12</v>
      </c>
      <c r="P29">
        <v>13</v>
      </c>
      <c r="Q29">
        <v>14</v>
      </c>
      <c r="R29">
        <v>15</v>
      </c>
      <c r="S29">
        <v>16</v>
      </c>
      <c r="T29">
        <v>17</v>
      </c>
      <c r="U29">
        <v>18</v>
      </c>
      <c r="V29">
        <v>19</v>
      </c>
      <c r="W29">
        <v>20</v>
      </c>
      <c r="X29">
        <v>21</v>
      </c>
      <c r="Y29">
        <v>22</v>
      </c>
      <c r="Z29">
        <v>23</v>
      </c>
      <c r="AA29">
        <v>24</v>
      </c>
    </row>
    <row r="30" spans="1:28" x14ac:dyDescent="0.25">
      <c r="B30" t="s">
        <v>11</v>
      </c>
      <c r="C30" s="4">
        <f>$E$28</f>
        <v>6196.1818450959036</v>
      </c>
      <c r="D30" s="4">
        <f t="shared" ref="D30:AA30" si="4">$E$28</f>
        <v>6196.1818450959036</v>
      </c>
      <c r="E30" s="4">
        <f t="shared" si="4"/>
        <v>6196.1818450959036</v>
      </c>
      <c r="F30" s="4">
        <f t="shared" si="4"/>
        <v>6196.1818450959036</v>
      </c>
      <c r="G30" s="4">
        <f t="shared" si="4"/>
        <v>6196.1818450959036</v>
      </c>
      <c r="H30" s="4">
        <f t="shared" si="4"/>
        <v>6196.1818450959036</v>
      </c>
      <c r="I30" s="4">
        <f t="shared" si="4"/>
        <v>6196.1818450959036</v>
      </c>
      <c r="J30" s="4">
        <f t="shared" si="4"/>
        <v>6196.1818450959036</v>
      </c>
      <c r="K30" s="4">
        <f t="shared" si="4"/>
        <v>6196.1818450959036</v>
      </c>
      <c r="L30" s="4">
        <f t="shared" si="4"/>
        <v>6196.1818450959036</v>
      </c>
      <c r="M30" s="4">
        <f t="shared" si="4"/>
        <v>6196.1818450959036</v>
      </c>
      <c r="N30" s="4">
        <f t="shared" si="4"/>
        <v>6196.1818450959036</v>
      </c>
      <c r="O30" s="4">
        <f t="shared" si="4"/>
        <v>6196.1818450959036</v>
      </c>
      <c r="P30" s="4">
        <f t="shared" si="4"/>
        <v>6196.1818450959036</v>
      </c>
      <c r="Q30" s="4">
        <f t="shared" si="4"/>
        <v>6196.1818450959036</v>
      </c>
      <c r="R30" s="4">
        <f t="shared" si="4"/>
        <v>6196.1818450959036</v>
      </c>
      <c r="S30" s="4">
        <f t="shared" si="4"/>
        <v>6196.1818450959036</v>
      </c>
      <c r="T30" s="4">
        <f t="shared" si="4"/>
        <v>6196.1818450959036</v>
      </c>
      <c r="U30" s="4">
        <f t="shared" si="4"/>
        <v>6196.1818450959036</v>
      </c>
      <c r="V30" s="4">
        <f t="shared" si="4"/>
        <v>6196.1818450959036</v>
      </c>
      <c r="W30" s="4">
        <f t="shared" si="4"/>
        <v>6196.1818450959036</v>
      </c>
      <c r="X30" s="4">
        <f t="shared" si="4"/>
        <v>6196.1818450959036</v>
      </c>
      <c r="Y30" s="4">
        <f t="shared" si="4"/>
        <v>6196.1818450959036</v>
      </c>
      <c r="Z30" s="4">
        <f t="shared" si="4"/>
        <v>6196.1818450959036</v>
      </c>
      <c r="AA30" s="4">
        <f t="shared" si="4"/>
        <v>6196.1818450959036</v>
      </c>
    </row>
    <row r="31" spans="1:28" x14ac:dyDescent="0.25">
      <c r="A31" t="s">
        <v>8</v>
      </c>
      <c r="B31" t="s">
        <v>12</v>
      </c>
      <c r="C31" s="3">
        <f>C30*(1+$B$28)^($AA$29-C29)</f>
        <v>7867.5067773226792</v>
      </c>
      <c r="D31" s="3">
        <f t="shared" ref="D31:AA31" si="5">D30*(1+$B$28)^($AA$29-D29)</f>
        <v>7789.6106706165128</v>
      </c>
      <c r="E31" s="3">
        <f t="shared" si="5"/>
        <v>7712.4858124915982</v>
      </c>
      <c r="F31" s="3">
        <f t="shared" si="5"/>
        <v>7636.1245668233623</v>
      </c>
      <c r="G31" s="3">
        <f t="shared" si="5"/>
        <v>7560.5193730924384</v>
      </c>
      <c r="H31" s="3">
        <f t="shared" si="5"/>
        <v>7485.6627456360775</v>
      </c>
      <c r="I31" s="3">
        <f t="shared" si="5"/>
        <v>7411.5472729070088</v>
      </c>
      <c r="J31" s="3">
        <f t="shared" si="5"/>
        <v>7338.1656167396122</v>
      </c>
      <c r="K31" s="3">
        <f t="shared" si="5"/>
        <v>7265.5105116233781</v>
      </c>
      <c r="L31" s="3">
        <f t="shared" si="5"/>
        <v>7193.5747639835408</v>
      </c>
      <c r="M31" s="3">
        <f t="shared" si="5"/>
        <v>7122.3512514688546</v>
      </c>
      <c r="N31" s="3">
        <f t="shared" si="5"/>
        <v>7051.832922246389</v>
      </c>
      <c r="O31" s="3">
        <f t="shared" si="5"/>
        <v>6982.0127943033558</v>
      </c>
      <c r="P31" s="3">
        <f t="shared" si="5"/>
        <v>6912.8839547557973</v>
      </c>
      <c r="Q31" s="3">
        <f t="shared" si="5"/>
        <v>6844.4395591641569</v>
      </c>
      <c r="R31" s="3">
        <f t="shared" si="5"/>
        <v>6776.6728308556012</v>
      </c>
      <c r="S31" s="3">
        <f t="shared" si="5"/>
        <v>6709.5770602530702</v>
      </c>
      <c r="T31" s="3">
        <f t="shared" si="5"/>
        <v>6643.1456042109585</v>
      </c>
      <c r="U31" s="3">
        <f t="shared" si="5"/>
        <v>6577.3718853573864</v>
      </c>
      <c r="V31" s="3">
        <f t="shared" si="5"/>
        <v>6512.2493914429551</v>
      </c>
      <c r="W31" s="3">
        <f t="shared" si="5"/>
        <v>6447.7716746959959</v>
      </c>
      <c r="X31" s="3">
        <f t="shared" si="5"/>
        <v>6383.932351184154</v>
      </c>
      <c r="Y31" s="3">
        <f t="shared" si="5"/>
        <v>6320.7251001823315</v>
      </c>
      <c r="Z31" s="3">
        <f t="shared" si="5"/>
        <v>6258.1436635468626</v>
      </c>
      <c r="AA31" s="3">
        <f t="shared" si="5"/>
        <v>6196.1818450959036</v>
      </c>
    </row>
    <row r="32" spans="1:28" x14ac:dyDescent="0.25">
      <c r="A32" t="s">
        <v>9</v>
      </c>
    </row>
    <row r="33" spans="2:27" x14ac:dyDescent="0.25">
      <c r="AA33">
        <f>SUM(C31:AA31)</f>
        <v>175000</v>
      </c>
    </row>
    <row r="34" spans="2:27" x14ac:dyDescent="0.25">
      <c r="C34" t="s">
        <v>10</v>
      </c>
    </row>
    <row r="35" spans="2:27" x14ac:dyDescent="0.25">
      <c r="G35">
        <v>6196</v>
      </c>
    </row>
    <row r="37" spans="2:27" x14ac:dyDescent="0.25">
      <c r="B37" s="5">
        <f>(1+10%)/(1+8%) - 1</f>
        <v>1.8518518518518601E-2</v>
      </c>
    </row>
    <row r="38" spans="2:27" x14ac:dyDescent="0.25">
      <c r="B38">
        <f>(1+0.1)/(1+0.12)-1</f>
        <v>-1.7857142857142905E-2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2CFD6-C60A-4BAB-B1E7-8375DF5C63FA}">
  <dimension ref="A3:AB69"/>
  <sheetViews>
    <sheetView tabSelected="1" topLeftCell="A52" zoomScale="175" zoomScaleNormal="175" workbookViewId="0">
      <selection activeCell="E66" sqref="E66"/>
    </sheetView>
  </sheetViews>
  <sheetFormatPr defaultRowHeight="15" x14ac:dyDescent="0.25"/>
  <cols>
    <col min="27" max="27" width="12.140625" customWidth="1"/>
  </cols>
  <sheetData>
    <row r="3" spans="1:27" x14ac:dyDescent="0.25">
      <c r="B3">
        <f>12.96/12</f>
        <v>1.08</v>
      </c>
    </row>
    <row r="4" spans="1:27" x14ac:dyDescent="0.25">
      <c r="B4">
        <f>B3*6</f>
        <v>6.48</v>
      </c>
    </row>
    <row r="11" spans="1:27" x14ac:dyDescent="0.25">
      <c r="B11" t="s">
        <v>13</v>
      </c>
      <c r="E11" t="s">
        <v>14</v>
      </c>
      <c r="F11">
        <v>0</v>
      </c>
      <c r="G11">
        <v>1</v>
      </c>
      <c r="H11">
        <v>2</v>
      </c>
      <c r="I11">
        <v>3</v>
      </c>
      <c r="J11">
        <v>4</v>
      </c>
      <c r="K11">
        <v>5</v>
      </c>
      <c r="L11">
        <v>6</v>
      </c>
      <c r="M11">
        <v>7</v>
      </c>
      <c r="N11">
        <v>8</v>
      </c>
      <c r="O11">
        <v>9</v>
      </c>
      <c r="P11">
        <v>10</v>
      </c>
      <c r="Q11">
        <v>11</v>
      </c>
      <c r="R11">
        <v>12</v>
      </c>
      <c r="S11">
        <v>13</v>
      </c>
      <c r="T11">
        <v>14</v>
      </c>
      <c r="U11">
        <v>15</v>
      </c>
      <c r="V11">
        <v>16</v>
      </c>
      <c r="W11">
        <v>17</v>
      </c>
      <c r="X11">
        <v>18</v>
      </c>
      <c r="Y11">
        <v>19</v>
      </c>
      <c r="Z11">
        <v>20</v>
      </c>
      <c r="AA11">
        <v>21</v>
      </c>
    </row>
    <row r="12" spans="1:27" x14ac:dyDescent="0.25">
      <c r="B12" s="1">
        <v>0.06</v>
      </c>
      <c r="E12" s="1">
        <v>0.06</v>
      </c>
      <c r="F12">
        <v>700</v>
      </c>
      <c r="H12">
        <v>900</v>
      </c>
      <c r="K12">
        <v>1000</v>
      </c>
      <c r="L12">
        <v>1000</v>
      </c>
      <c r="M12">
        <v>1000</v>
      </c>
      <c r="N12">
        <v>1000</v>
      </c>
      <c r="O12">
        <v>1000</v>
      </c>
      <c r="P12">
        <v>1000</v>
      </c>
      <c r="Q12">
        <v>1000</v>
      </c>
      <c r="R12">
        <v>1000</v>
      </c>
      <c r="S12">
        <v>1000</v>
      </c>
      <c r="U12">
        <v>1000</v>
      </c>
      <c r="V12">
        <v>1000</v>
      </c>
      <c r="W12">
        <v>1000</v>
      </c>
      <c r="X12">
        <v>1000</v>
      </c>
      <c r="Y12">
        <v>1000</v>
      </c>
    </row>
    <row r="13" spans="1:27" x14ac:dyDescent="0.25">
      <c r="C13">
        <v>0</v>
      </c>
      <c r="D13">
        <v>21</v>
      </c>
      <c r="H13">
        <f>F12*(1+E12)^(2)</f>
        <v>786.5200000000001</v>
      </c>
    </row>
    <row r="14" spans="1:27" x14ac:dyDescent="0.25">
      <c r="A14">
        <v>0</v>
      </c>
      <c r="B14">
        <v>700</v>
      </c>
      <c r="C14">
        <v>700</v>
      </c>
      <c r="D14">
        <f>C14*(1+B12)^(D13)</f>
        <v>2379.6945203819337</v>
      </c>
      <c r="H14">
        <f>H12+H13</f>
        <v>1686.52</v>
      </c>
      <c r="K14">
        <f>H14*(1+E12)^(3)</f>
        <v>2008.6723043200004</v>
      </c>
    </row>
    <row r="15" spans="1:27" x14ac:dyDescent="0.25">
      <c r="A15">
        <v>2</v>
      </c>
      <c r="B15">
        <v>900</v>
      </c>
      <c r="D15">
        <f>B15*(1+B12)^(D13-A15)</f>
        <v>2723.0395518788332</v>
      </c>
      <c r="K15">
        <f>K14+K12</f>
        <v>3008.6723043200004</v>
      </c>
      <c r="L15">
        <f>K15*(1+E12)</f>
        <v>3189.1926425792008</v>
      </c>
    </row>
    <row r="16" spans="1:27" x14ac:dyDescent="0.25">
      <c r="A16">
        <v>5</v>
      </c>
      <c r="B16">
        <v>1000</v>
      </c>
      <c r="D16">
        <f>B16*(1+$B$12)^($D$13-A16)</f>
        <v>2540.3516846856733</v>
      </c>
      <c r="L16">
        <f>L15+L12</f>
        <v>4189.1926425792008</v>
      </c>
      <c r="M16">
        <f>L16*(1+E12)</f>
        <v>4440.5442011339528</v>
      </c>
    </row>
    <row r="17" spans="1:27" x14ac:dyDescent="0.25">
      <c r="A17">
        <v>6</v>
      </c>
      <c r="B17">
        <v>1000</v>
      </c>
      <c r="D17">
        <f>B17*(1+$B$12)^($D$13-A17)</f>
        <v>2396.5581930996923</v>
      </c>
      <c r="M17">
        <f>M16+M12</f>
        <v>5440.5442011339528</v>
      </c>
      <c r="N17">
        <f>M17*(1+E12)</f>
        <v>5766.9768532019907</v>
      </c>
    </row>
    <row r="18" spans="1:27" x14ac:dyDescent="0.25">
      <c r="A18">
        <v>7</v>
      </c>
      <c r="B18">
        <v>1000</v>
      </c>
      <c r="D18">
        <f t="shared" ref="D18:D29" si="0">B18*(1+$B$12)^($D$13-A18)</f>
        <v>2260.9039557544261</v>
      </c>
      <c r="N18">
        <f>N17+N12</f>
        <v>6766.9768532019907</v>
      </c>
      <c r="O18">
        <f>N18*(1+E12)</f>
        <v>7172.9954643941101</v>
      </c>
    </row>
    <row r="19" spans="1:27" x14ac:dyDescent="0.25">
      <c r="A19">
        <v>8</v>
      </c>
      <c r="B19">
        <v>1000</v>
      </c>
      <c r="D19">
        <f t="shared" si="0"/>
        <v>2132.9282601456853</v>
      </c>
      <c r="O19">
        <f>O18+O12</f>
        <v>8172.9954643941101</v>
      </c>
      <c r="P19">
        <f>O19*(1+E12)</f>
        <v>8663.3751922577576</v>
      </c>
    </row>
    <row r="20" spans="1:27" x14ac:dyDescent="0.25">
      <c r="A20">
        <v>9</v>
      </c>
      <c r="B20">
        <v>1000</v>
      </c>
      <c r="D20">
        <f t="shared" si="0"/>
        <v>2012.1964718355518</v>
      </c>
      <c r="P20">
        <f>P19+P12</f>
        <v>9663.3751922577576</v>
      </c>
      <c r="Q20">
        <f>P20*(1+E12)</f>
        <v>10243.177703793224</v>
      </c>
    </row>
    <row r="21" spans="1:27" x14ac:dyDescent="0.25">
      <c r="A21">
        <v>10</v>
      </c>
      <c r="B21">
        <v>1000</v>
      </c>
      <c r="D21">
        <f t="shared" si="0"/>
        <v>1898.2985583354262</v>
      </c>
      <c r="Q21">
        <f>Q20+Q12</f>
        <v>11243.177703793224</v>
      </c>
      <c r="R21">
        <f>Q21*(1+E12)</f>
        <v>11917.768366020819</v>
      </c>
    </row>
    <row r="22" spans="1:27" x14ac:dyDescent="0.25">
      <c r="A22">
        <v>11</v>
      </c>
      <c r="B22">
        <v>1000</v>
      </c>
      <c r="D22">
        <f t="shared" si="0"/>
        <v>1790.8476965428547</v>
      </c>
      <c r="R22">
        <f>R21+R12</f>
        <v>12917.768366020819</v>
      </c>
      <c r="S22">
        <f>R22*(1+0.06)</f>
        <v>13692.834467982068</v>
      </c>
    </row>
    <row r="23" spans="1:27" x14ac:dyDescent="0.25">
      <c r="A23">
        <v>12</v>
      </c>
      <c r="B23">
        <v>1000</v>
      </c>
      <c r="D23">
        <f t="shared" si="0"/>
        <v>1689.4789590026928</v>
      </c>
      <c r="S23">
        <f>S22+S12</f>
        <v>14692.834467982068</v>
      </c>
      <c r="T23">
        <f>S23*(1+0.06)</f>
        <v>15574.404536060993</v>
      </c>
      <c r="U23">
        <f>T23*(1+0.06)</f>
        <v>16508.868808224652</v>
      </c>
    </row>
    <row r="24" spans="1:27" x14ac:dyDescent="0.25">
      <c r="A24">
        <v>13</v>
      </c>
      <c r="B24">
        <v>1000</v>
      </c>
      <c r="D24">
        <f t="shared" si="0"/>
        <v>1593.8480745308423</v>
      </c>
      <c r="U24">
        <f>U23+U12</f>
        <v>17508.868808224652</v>
      </c>
      <c r="V24">
        <f>U24*(1+0.06)</f>
        <v>18559.400936718132</v>
      </c>
    </row>
    <row r="25" spans="1:27" x14ac:dyDescent="0.25">
      <c r="A25">
        <v>15</v>
      </c>
      <c r="B25">
        <v>1000</v>
      </c>
      <c r="D25">
        <f t="shared" si="0"/>
        <v>1418.5191122560007</v>
      </c>
      <c r="V25">
        <f>V24+V12</f>
        <v>19559.400936718132</v>
      </c>
      <c r="W25">
        <f>V25*(1+0.06)</f>
        <v>20732.964992921221</v>
      </c>
    </row>
    <row r="26" spans="1:27" x14ac:dyDescent="0.25">
      <c r="A26">
        <v>16</v>
      </c>
      <c r="B26">
        <v>1000</v>
      </c>
      <c r="D26">
        <f t="shared" si="0"/>
        <v>1338.2255776000004</v>
      </c>
      <c r="W26">
        <f>W25+W12</f>
        <v>21732.964992921221</v>
      </c>
      <c r="X26">
        <f>W26*(1+0.06)</f>
        <v>23036.942892496496</v>
      </c>
    </row>
    <row r="27" spans="1:27" x14ac:dyDescent="0.25">
      <c r="A27">
        <v>17</v>
      </c>
      <c r="B27">
        <v>1000</v>
      </c>
      <c r="D27">
        <f t="shared" si="0"/>
        <v>1262.4769600000004</v>
      </c>
      <c r="X27">
        <f>X26+X12</f>
        <v>24036.942892496496</v>
      </c>
      <c r="Y27">
        <f>X27*(1+0.06)</f>
        <v>25479.159466046287</v>
      </c>
    </row>
    <row r="28" spans="1:27" x14ac:dyDescent="0.25">
      <c r="A28">
        <v>18</v>
      </c>
      <c r="B28">
        <v>1000</v>
      </c>
      <c r="D28">
        <f t="shared" si="0"/>
        <v>1191.0160000000003</v>
      </c>
      <c r="Y28">
        <f>Y27+Y12</f>
        <v>26479.159466046287</v>
      </c>
      <c r="AA28" s="2">
        <f>Y28*(1+0.06)^(2)</f>
        <v>29751.983576049613</v>
      </c>
    </row>
    <row r="29" spans="1:27" x14ac:dyDescent="0.25">
      <c r="A29">
        <v>19</v>
      </c>
      <c r="B29">
        <v>1000</v>
      </c>
      <c r="D29">
        <f t="shared" si="0"/>
        <v>1123.6000000000001</v>
      </c>
    </row>
    <row r="30" spans="1:27" x14ac:dyDescent="0.25">
      <c r="D30" s="2">
        <f>SUM(D14:D29)</f>
        <v>29751.98357604961</v>
      </c>
    </row>
    <row r="31" spans="1:27" x14ac:dyDescent="0.25">
      <c r="B31" t="s">
        <v>15</v>
      </c>
    </row>
    <row r="32" spans="1:27" x14ac:dyDescent="0.25">
      <c r="B32" s="1">
        <v>0.06</v>
      </c>
      <c r="C32">
        <v>0</v>
      </c>
      <c r="D32">
        <v>1</v>
      </c>
      <c r="E32">
        <v>2</v>
      </c>
      <c r="F32">
        <v>3</v>
      </c>
      <c r="G32">
        <v>4</v>
      </c>
      <c r="H32">
        <v>5</v>
      </c>
      <c r="I32">
        <v>6</v>
      </c>
      <c r="J32">
        <v>7</v>
      </c>
      <c r="K32">
        <v>8</v>
      </c>
      <c r="L32">
        <v>9</v>
      </c>
      <c r="M32">
        <v>10</v>
      </c>
      <c r="N32">
        <v>11</v>
      </c>
      <c r="O32">
        <v>12</v>
      </c>
      <c r="P32">
        <v>13</v>
      </c>
      <c r="Q32">
        <v>14</v>
      </c>
      <c r="R32">
        <v>15</v>
      </c>
      <c r="S32">
        <v>16</v>
      </c>
      <c r="T32">
        <v>17</v>
      </c>
      <c r="U32">
        <v>18</v>
      </c>
      <c r="V32">
        <v>19</v>
      </c>
      <c r="W32">
        <v>20</v>
      </c>
      <c r="X32">
        <v>21</v>
      </c>
    </row>
    <row r="33" spans="2:24" x14ac:dyDescent="0.25">
      <c r="C33">
        <v>700</v>
      </c>
      <c r="E33">
        <v>900</v>
      </c>
      <c r="H33">
        <v>1000</v>
      </c>
      <c r="I33">
        <v>1000</v>
      </c>
      <c r="J33">
        <v>1000</v>
      </c>
      <c r="K33">
        <v>1000</v>
      </c>
      <c r="L33">
        <v>1000</v>
      </c>
      <c r="M33">
        <v>1000</v>
      </c>
      <c r="N33">
        <v>1000</v>
      </c>
      <c r="O33">
        <v>1000</v>
      </c>
      <c r="P33">
        <v>1000</v>
      </c>
      <c r="R33">
        <v>1000</v>
      </c>
      <c r="S33">
        <v>1000</v>
      </c>
      <c r="T33">
        <v>1000</v>
      </c>
      <c r="U33">
        <v>1000</v>
      </c>
      <c r="V33">
        <v>1000</v>
      </c>
    </row>
    <row r="34" spans="2:24" x14ac:dyDescent="0.25">
      <c r="C34">
        <f>C33*(1+$B$32)^($X$32-C32)</f>
        <v>2379.6945203819337</v>
      </c>
      <c r="D34">
        <f t="shared" ref="D34:E34" si="1">D33*(1+$B$32)^($X$32-D32)</f>
        <v>0</v>
      </c>
      <c r="E34">
        <f>E33*(1+$B$32)^($X$32-E32)</f>
        <v>2723.0395518788332</v>
      </c>
      <c r="F34">
        <f t="shared" ref="F34:X34" si="2">F33*(1+$B$32)^($X$32-F32)</f>
        <v>0</v>
      </c>
      <c r="G34">
        <f t="shared" si="2"/>
        <v>0</v>
      </c>
      <c r="H34">
        <f t="shared" si="2"/>
        <v>2540.3516846856733</v>
      </c>
      <c r="I34">
        <f t="shared" si="2"/>
        <v>2396.5581930996923</v>
      </c>
      <c r="J34">
        <f t="shared" si="2"/>
        <v>2260.9039557544261</v>
      </c>
      <c r="K34">
        <f t="shared" si="2"/>
        <v>2132.9282601456853</v>
      </c>
      <c r="L34">
        <f t="shared" si="2"/>
        <v>2012.1964718355518</v>
      </c>
      <c r="M34">
        <f t="shared" si="2"/>
        <v>1898.2985583354262</v>
      </c>
      <c r="N34">
        <f t="shared" si="2"/>
        <v>1790.8476965428547</v>
      </c>
      <c r="O34">
        <f t="shared" si="2"/>
        <v>1689.4789590026928</v>
      </c>
      <c r="P34">
        <f t="shared" si="2"/>
        <v>1593.8480745308423</v>
      </c>
      <c r="Q34">
        <f t="shared" si="2"/>
        <v>0</v>
      </c>
      <c r="R34">
        <f t="shared" si="2"/>
        <v>1418.5191122560007</v>
      </c>
      <c r="S34">
        <f t="shared" si="2"/>
        <v>1338.2255776000004</v>
      </c>
      <c r="T34">
        <f t="shared" si="2"/>
        <v>1262.4769600000004</v>
      </c>
      <c r="U34">
        <f t="shared" si="2"/>
        <v>1191.0160000000003</v>
      </c>
      <c r="V34">
        <f t="shared" si="2"/>
        <v>1123.6000000000001</v>
      </c>
      <c r="W34">
        <f t="shared" si="2"/>
        <v>0</v>
      </c>
      <c r="X34">
        <f t="shared" si="2"/>
        <v>0</v>
      </c>
    </row>
    <row r="35" spans="2:24" x14ac:dyDescent="0.25">
      <c r="B35" t="s">
        <v>16</v>
      </c>
      <c r="C35" s="2">
        <f>SUM(C34:X34)</f>
        <v>29751.98357604961</v>
      </c>
    </row>
    <row r="43" spans="2:24" x14ac:dyDescent="0.25">
      <c r="B43" s="1">
        <v>0.05</v>
      </c>
      <c r="C43">
        <v>0</v>
      </c>
      <c r="D43">
        <v>1</v>
      </c>
      <c r="E43">
        <v>2</v>
      </c>
      <c r="F43">
        <v>3</v>
      </c>
      <c r="G43">
        <v>4</v>
      </c>
      <c r="H43">
        <v>5</v>
      </c>
      <c r="I43">
        <v>6</v>
      </c>
      <c r="J43">
        <v>7</v>
      </c>
      <c r="K43">
        <v>8</v>
      </c>
      <c r="L43">
        <v>9</v>
      </c>
      <c r="M43">
        <v>10</v>
      </c>
      <c r="N43">
        <v>11</v>
      </c>
      <c r="O43">
        <v>12</v>
      </c>
      <c r="P43">
        <v>13</v>
      </c>
      <c r="Q43">
        <v>14</v>
      </c>
      <c r="R43">
        <v>15</v>
      </c>
      <c r="S43">
        <v>16</v>
      </c>
      <c r="T43">
        <v>17</v>
      </c>
      <c r="U43">
        <v>18</v>
      </c>
      <c r="V43">
        <v>19</v>
      </c>
      <c r="W43">
        <v>20</v>
      </c>
    </row>
    <row r="44" spans="2:24" x14ac:dyDescent="0.25">
      <c r="F44" s="3" t="s">
        <v>1</v>
      </c>
      <c r="I44">
        <v>300</v>
      </c>
      <c r="K44">
        <v>500</v>
      </c>
      <c r="L44">
        <v>500</v>
      </c>
      <c r="M44">
        <v>500</v>
      </c>
      <c r="O44">
        <v>800</v>
      </c>
      <c r="P44">
        <v>800</v>
      </c>
      <c r="Q44">
        <v>800</v>
      </c>
      <c r="R44">
        <v>800</v>
      </c>
      <c r="S44">
        <v>800</v>
      </c>
      <c r="T44">
        <v>800</v>
      </c>
      <c r="U44">
        <v>800</v>
      </c>
      <c r="V44">
        <v>800</v>
      </c>
      <c r="W44">
        <v>800</v>
      </c>
    </row>
    <row r="45" spans="2:24" x14ac:dyDescent="0.25">
      <c r="I45">
        <f>I44/(1+$B$43)^(I43-$F$43)</f>
        <v>259.1512795594428</v>
      </c>
      <c r="J45">
        <f t="shared" ref="J45:W45" si="3">J44/(1+$B$43)^(J43-$F$43)</f>
        <v>0</v>
      </c>
      <c r="K45">
        <f t="shared" si="3"/>
        <v>391.7630832342295</v>
      </c>
      <c r="L45">
        <f t="shared" si="3"/>
        <v>373.10769831831385</v>
      </c>
      <c r="M45">
        <f t="shared" si="3"/>
        <v>355.3406650650607</v>
      </c>
      <c r="N45">
        <f t="shared" si="3"/>
        <v>0</v>
      </c>
      <c r="O45">
        <f t="shared" si="3"/>
        <v>515.68713297423778</v>
      </c>
      <c r="P45">
        <f t="shared" si="3"/>
        <v>491.13060283260745</v>
      </c>
      <c r="Q45">
        <f t="shared" si="3"/>
        <v>467.74343126914994</v>
      </c>
      <c r="R45">
        <f t="shared" si="3"/>
        <v>445.46993454204761</v>
      </c>
      <c r="S45">
        <f t="shared" si="3"/>
        <v>424.25708051623576</v>
      </c>
      <c r="T45">
        <f t="shared" si="3"/>
        <v>404.05436239641506</v>
      </c>
      <c r="U45">
        <f t="shared" si="3"/>
        <v>384.81367847277613</v>
      </c>
      <c r="V45">
        <f t="shared" si="3"/>
        <v>366.4892175931202</v>
      </c>
      <c r="W45">
        <f t="shared" si="3"/>
        <v>349.03735008868586</v>
      </c>
    </row>
    <row r="46" spans="2:24" x14ac:dyDescent="0.25">
      <c r="B46" t="s">
        <v>16</v>
      </c>
      <c r="C46" s="2">
        <f>SUM(I45:W45)</f>
        <v>5228.045516862323</v>
      </c>
    </row>
    <row r="54" spans="1:28" x14ac:dyDescent="0.25">
      <c r="B54" s="1">
        <v>0.08</v>
      </c>
      <c r="C54">
        <v>0</v>
      </c>
      <c r="D54">
        <v>1</v>
      </c>
      <c r="E54">
        <v>2</v>
      </c>
      <c r="F54">
        <v>3</v>
      </c>
      <c r="G54">
        <v>4</v>
      </c>
      <c r="H54">
        <v>5</v>
      </c>
      <c r="I54">
        <v>6</v>
      </c>
      <c r="J54">
        <v>7</v>
      </c>
      <c r="K54">
        <v>8</v>
      </c>
      <c r="L54">
        <v>9</v>
      </c>
      <c r="M54">
        <v>10</v>
      </c>
      <c r="N54">
        <v>11</v>
      </c>
      <c r="O54">
        <v>12</v>
      </c>
      <c r="P54">
        <v>13</v>
      </c>
      <c r="Q54">
        <v>14</v>
      </c>
      <c r="R54">
        <v>15</v>
      </c>
      <c r="S54">
        <v>16</v>
      </c>
      <c r="T54">
        <v>17</v>
      </c>
      <c r="U54">
        <v>18</v>
      </c>
      <c r="V54">
        <v>19</v>
      </c>
      <c r="W54">
        <v>20</v>
      </c>
      <c r="X54">
        <v>21</v>
      </c>
      <c r="Y54">
        <v>22</v>
      </c>
      <c r="Z54">
        <v>23</v>
      </c>
      <c r="AA54">
        <v>24</v>
      </c>
      <c r="AB54">
        <v>25</v>
      </c>
    </row>
    <row r="55" spans="1:28" x14ac:dyDescent="0.25">
      <c r="F55">
        <v>5000</v>
      </c>
      <c r="G55">
        <v>5000</v>
      </c>
      <c r="H55">
        <v>5000</v>
      </c>
      <c r="I55">
        <v>5000</v>
      </c>
      <c r="J55">
        <v>5000</v>
      </c>
      <c r="K55">
        <v>5000</v>
      </c>
      <c r="L55">
        <v>5000</v>
      </c>
      <c r="M55">
        <v>5000</v>
      </c>
      <c r="N55">
        <v>5000</v>
      </c>
      <c r="O55">
        <v>5000</v>
      </c>
      <c r="P55">
        <v>5000</v>
      </c>
      <c r="Q55">
        <v>5000</v>
      </c>
      <c r="R55">
        <v>5000</v>
      </c>
      <c r="S55">
        <v>1500</v>
      </c>
      <c r="T55">
        <v>2000</v>
      </c>
      <c r="U55">
        <v>2000</v>
      </c>
      <c r="V55">
        <v>2000</v>
      </c>
      <c r="W55">
        <v>2000</v>
      </c>
      <c r="X55">
        <v>2000</v>
      </c>
      <c r="Y55">
        <v>2000</v>
      </c>
    </row>
    <row r="56" spans="1:28" x14ac:dyDescent="0.25">
      <c r="F56">
        <f>F55*(1+$B$54)^($AB$54-F54)</f>
        <v>27182.702062929162</v>
      </c>
      <c r="G56">
        <f>G55*(1+$B$54)^($AB$54-G54)</f>
        <v>25169.168576786255</v>
      </c>
      <c r="H56">
        <f t="shared" ref="G56:AB56" si="4">H55*(1+$B$54)^($AB$54-H54)</f>
        <v>23304.785719246531</v>
      </c>
      <c r="I56">
        <f t="shared" si="4"/>
        <v>21578.505295598643</v>
      </c>
      <c r="J56">
        <f t="shared" si="4"/>
        <v>19980.097495924667</v>
      </c>
      <c r="K56">
        <f t="shared" si="4"/>
        <v>18500.09027400432</v>
      </c>
      <c r="L56">
        <f t="shared" si="4"/>
        <v>17129.713216670665</v>
      </c>
      <c r="M56">
        <f t="shared" si="4"/>
        <v>15860.845570991358</v>
      </c>
      <c r="N56">
        <f t="shared" si="4"/>
        <v>14685.968121288293</v>
      </c>
      <c r="O56">
        <f t="shared" si="4"/>
        <v>13598.118630822491</v>
      </c>
      <c r="P56">
        <f t="shared" si="4"/>
        <v>12590.8505840949</v>
      </c>
      <c r="Q56">
        <f t="shared" si="4"/>
        <v>11658.194985273054</v>
      </c>
      <c r="R56">
        <f t="shared" si="4"/>
        <v>10794.624986363939</v>
      </c>
      <c r="S56">
        <f t="shared" si="4"/>
        <v>2998.5069406566495</v>
      </c>
      <c r="T56">
        <f t="shared" si="4"/>
        <v>3701.8604205637648</v>
      </c>
      <c r="U56">
        <f t="shared" si="4"/>
        <v>3427.6485375590414</v>
      </c>
      <c r="V56">
        <f t="shared" si="4"/>
        <v>3173.7486458880012</v>
      </c>
      <c r="W56">
        <f t="shared" si="4"/>
        <v>2938.6561536000008</v>
      </c>
      <c r="X56">
        <f t="shared" si="4"/>
        <v>2720.9779200000007</v>
      </c>
      <c r="Y56">
        <f t="shared" si="4"/>
        <v>2519.4240000000004</v>
      </c>
      <c r="Z56">
        <f t="shared" si="4"/>
        <v>0</v>
      </c>
      <c r="AA56">
        <f t="shared" si="4"/>
        <v>0</v>
      </c>
      <c r="AB56">
        <f t="shared" si="4"/>
        <v>0</v>
      </c>
    </row>
    <row r="57" spans="1:28" x14ac:dyDescent="0.25">
      <c r="B57" t="s">
        <v>16</v>
      </c>
      <c r="C57" s="2">
        <f>SUM(F56:AB56)</f>
        <v>253514.48813826172</v>
      </c>
    </row>
    <row r="64" spans="1:28" x14ac:dyDescent="0.25">
      <c r="A64" s="1">
        <v>0.12</v>
      </c>
      <c r="B64" s="1">
        <v>1</v>
      </c>
      <c r="C64" s="1"/>
      <c r="D64">
        <v>0</v>
      </c>
      <c r="E64">
        <v>1</v>
      </c>
      <c r="F64">
        <v>2</v>
      </c>
      <c r="G64">
        <v>3</v>
      </c>
      <c r="H64">
        <v>4</v>
      </c>
      <c r="I64">
        <v>5</v>
      </c>
      <c r="J64">
        <v>6</v>
      </c>
      <c r="K64">
        <v>7</v>
      </c>
      <c r="L64">
        <v>8</v>
      </c>
      <c r="M64">
        <v>9</v>
      </c>
      <c r="N64">
        <v>10</v>
      </c>
      <c r="O64">
        <v>11</v>
      </c>
      <c r="P64">
        <v>12</v>
      </c>
      <c r="Q64">
        <v>13</v>
      </c>
      <c r="R64">
        <v>14</v>
      </c>
      <c r="S64">
        <v>15</v>
      </c>
      <c r="T64">
        <v>16</v>
      </c>
      <c r="U64">
        <v>17</v>
      </c>
      <c r="V64">
        <v>18</v>
      </c>
      <c r="W64">
        <v>19</v>
      </c>
      <c r="X64">
        <v>20</v>
      </c>
      <c r="Y64">
        <v>21</v>
      </c>
      <c r="Z64">
        <v>22</v>
      </c>
      <c r="AA64">
        <v>23</v>
      </c>
      <c r="AB64">
        <v>24</v>
      </c>
    </row>
    <row r="65" spans="1:28" x14ac:dyDescent="0.25">
      <c r="A65" s="1">
        <v>0.01</v>
      </c>
      <c r="B65">
        <v>350000</v>
      </c>
      <c r="C65" t="s">
        <v>17</v>
      </c>
      <c r="D65" s="2">
        <f>$E$69</f>
        <v>6196.1818450959036</v>
      </c>
      <c r="E65" s="2">
        <f t="shared" ref="E65:AB65" si="5">$E$69</f>
        <v>6196.1818450959036</v>
      </c>
      <c r="F65" s="2">
        <f t="shared" si="5"/>
        <v>6196.1818450959036</v>
      </c>
      <c r="G65" s="2">
        <f t="shared" si="5"/>
        <v>6196.1818450959036</v>
      </c>
      <c r="H65" s="2">
        <f t="shared" si="5"/>
        <v>6196.1818450959036</v>
      </c>
      <c r="I65" s="2">
        <f t="shared" si="5"/>
        <v>6196.1818450959036</v>
      </c>
      <c r="J65" s="2">
        <f t="shared" si="5"/>
        <v>6196.1818450959036</v>
      </c>
      <c r="K65" s="2">
        <f t="shared" si="5"/>
        <v>6196.1818450959036</v>
      </c>
      <c r="L65" s="2">
        <f t="shared" si="5"/>
        <v>6196.1818450959036</v>
      </c>
      <c r="M65" s="2">
        <f t="shared" si="5"/>
        <v>6196.1818450959036</v>
      </c>
      <c r="N65" s="2">
        <f t="shared" si="5"/>
        <v>6196.1818450959036</v>
      </c>
      <c r="O65" s="2">
        <f t="shared" si="5"/>
        <v>6196.1818450959036</v>
      </c>
      <c r="P65" s="2">
        <f t="shared" si="5"/>
        <v>6196.1818450959036</v>
      </c>
      <c r="Q65" s="2">
        <f t="shared" si="5"/>
        <v>6196.1818450959036</v>
      </c>
      <c r="R65" s="2">
        <f t="shared" si="5"/>
        <v>6196.1818450959036</v>
      </c>
      <c r="S65" s="2">
        <f t="shared" si="5"/>
        <v>6196.1818450959036</v>
      </c>
      <c r="T65" s="2">
        <f t="shared" si="5"/>
        <v>6196.1818450959036</v>
      </c>
      <c r="U65" s="2">
        <f t="shared" si="5"/>
        <v>6196.1818450959036</v>
      </c>
      <c r="V65" s="2">
        <f t="shared" si="5"/>
        <v>6196.1818450959036</v>
      </c>
      <c r="W65" s="2">
        <f t="shared" si="5"/>
        <v>6196.1818450959036</v>
      </c>
      <c r="X65" s="2">
        <f t="shared" si="5"/>
        <v>6196.1818450959036</v>
      </c>
      <c r="Y65" s="2">
        <f t="shared" si="5"/>
        <v>6196.1818450959036</v>
      </c>
      <c r="Z65" s="2">
        <f t="shared" si="5"/>
        <v>6196.1818450959036</v>
      </c>
      <c r="AA65" s="2">
        <f t="shared" si="5"/>
        <v>6196.1818450959036</v>
      </c>
      <c r="AB65" s="2">
        <f t="shared" si="5"/>
        <v>6196.1818450959036</v>
      </c>
    </row>
    <row r="66" spans="1:28" x14ac:dyDescent="0.25">
      <c r="B66">
        <f>B65*50%</f>
        <v>175000</v>
      </c>
      <c r="C66" t="s">
        <v>18</v>
      </c>
      <c r="D66" s="3">
        <f>D65*(1+$A$65)^($AB$64-D64)</f>
        <v>7867.5067773226792</v>
      </c>
      <c r="E66" s="3">
        <f t="shared" ref="E66:X66" si="6">E65*(1+$A$65)^($AB$64-E64)</f>
        <v>7789.6106706165128</v>
      </c>
      <c r="F66" s="3">
        <f t="shared" si="6"/>
        <v>7712.4858124915982</v>
      </c>
      <c r="G66" s="3">
        <f t="shared" si="6"/>
        <v>7636.1245668233623</v>
      </c>
      <c r="H66" s="3">
        <f t="shared" si="6"/>
        <v>7560.5193730924384</v>
      </c>
      <c r="I66" s="3">
        <f t="shared" si="6"/>
        <v>7485.6627456360775</v>
      </c>
      <c r="J66" s="3">
        <f t="shared" si="6"/>
        <v>7411.5472729070088</v>
      </c>
      <c r="K66" s="3">
        <f t="shared" si="6"/>
        <v>7338.1656167396122</v>
      </c>
      <c r="L66" s="3">
        <f t="shared" si="6"/>
        <v>7265.5105116233781</v>
      </c>
      <c r="M66" s="3">
        <f t="shared" si="6"/>
        <v>7193.5747639835408</v>
      </c>
      <c r="N66" s="3">
        <f t="shared" si="6"/>
        <v>7122.3512514688546</v>
      </c>
      <c r="O66" s="3">
        <f t="shared" si="6"/>
        <v>7051.832922246389</v>
      </c>
      <c r="P66" s="3">
        <f t="shared" si="6"/>
        <v>6982.0127943033558</v>
      </c>
      <c r="Q66" s="3">
        <f t="shared" si="6"/>
        <v>6912.8839547557973</v>
      </c>
      <c r="R66" s="3">
        <f t="shared" si="6"/>
        <v>6844.4395591641569</v>
      </c>
      <c r="S66" s="3">
        <f t="shared" si="6"/>
        <v>6776.6728308556012</v>
      </c>
      <c r="T66" s="3">
        <f t="shared" si="6"/>
        <v>6709.5770602530702</v>
      </c>
      <c r="U66" s="3">
        <f t="shared" si="6"/>
        <v>6643.1456042109585</v>
      </c>
      <c r="V66" s="3">
        <f t="shared" si="6"/>
        <v>6577.3718853573864</v>
      </c>
      <c r="W66" s="3">
        <f t="shared" si="6"/>
        <v>6512.2493914429551</v>
      </c>
      <c r="X66" s="3">
        <f t="shared" si="6"/>
        <v>6447.7716746959959</v>
      </c>
      <c r="Y66" s="3">
        <f t="shared" ref="Y66" si="7">Y65*(1+$A$65)^($AB$64-Y64)</f>
        <v>6383.932351184154</v>
      </c>
      <c r="Z66" s="3">
        <f t="shared" ref="Z66" si="8">Z65*(1+$A$65)^($AB$64-Z64)</f>
        <v>6320.7251001823315</v>
      </c>
      <c r="AA66" s="3">
        <f t="shared" ref="AA66" si="9">AA65*(1+$A$65)^($AB$64-AA64)</f>
        <v>6258.1436635468626</v>
      </c>
      <c r="AB66" s="3">
        <f t="shared" ref="AB66" si="10">AB65*(1+$A$65)^($AB$64-AB64)</f>
        <v>6196.1818450959036</v>
      </c>
    </row>
    <row r="67" spans="1:28" x14ac:dyDescent="0.25">
      <c r="B67">
        <v>100</v>
      </c>
      <c r="C67">
        <f>B67*(1+(A64/12))^(24)</f>
        <v>126.9734648531915</v>
      </c>
      <c r="AA67" t="s">
        <v>21</v>
      </c>
      <c r="AB67">
        <v>175000</v>
      </c>
    </row>
    <row r="68" spans="1:28" x14ac:dyDescent="0.25">
      <c r="AA68" t="s">
        <v>20</v>
      </c>
      <c r="AB68">
        <f>SUM(D66:AB66)</f>
        <v>175000</v>
      </c>
    </row>
    <row r="69" spans="1:28" x14ac:dyDescent="0.25">
      <c r="C69" t="s">
        <v>22</v>
      </c>
      <c r="D69" t="s">
        <v>19</v>
      </c>
      <c r="E69">
        <v>6196.1818450959036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334CB-CB25-4C95-B5F5-EF03A8F375BB}">
  <dimension ref="A1:G33"/>
  <sheetViews>
    <sheetView topLeftCell="A19" zoomScale="205" zoomScaleNormal="205" workbookViewId="0">
      <selection activeCell="D25" sqref="D25"/>
    </sheetView>
  </sheetViews>
  <sheetFormatPr defaultRowHeight="15" x14ac:dyDescent="0.25"/>
  <cols>
    <col min="1" max="1" width="6" bestFit="1" customWidth="1"/>
    <col min="2" max="2" width="12.28515625" bestFit="1" customWidth="1"/>
  </cols>
  <sheetData>
    <row r="1" spans="1:4" x14ac:dyDescent="0.25">
      <c r="A1" t="s">
        <v>23</v>
      </c>
    </row>
    <row r="2" spans="1:4" x14ac:dyDescent="0.25">
      <c r="A2">
        <f>16.56/360</f>
        <v>4.5999999999999999E-2</v>
      </c>
      <c r="B2" s="6">
        <v>4.6000000000000001E-4</v>
      </c>
    </row>
    <row r="3" spans="1:4" x14ac:dyDescent="0.25">
      <c r="A3">
        <v>63000</v>
      </c>
      <c r="B3">
        <f>63000</f>
        <v>63000</v>
      </c>
    </row>
    <row r="4" spans="1:4" x14ac:dyDescent="0.25">
      <c r="A4">
        <v>46000</v>
      </c>
      <c r="B4">
        <f>A4/(1+B2)^(69)</f>
        <v>44563.212839778731</v>
      </c>
    </row>
    <row r="5" spans="1:4" x14ac:dyDescent="0.25">
      <c r="A5">
        <v>76000</v>
      </c>
      <c r="B5">
        <f>A5/(1+B2)^(94)</f>
        <v>72784.519068944559</v>
      </c>
    </row>
    <row r="6" spans="1:4" x14ac:dyDescent="0.25">
      <c r="B6">
        <f>SUM(B3:B5)</f>
        <v>180347.7319087233</v>
      </c>
    </row>
    <row r="7" spans="1:4" x14ac:dyDescent="0.25">
      <c r="B7">
        <f>B6*(1+B2)^(109)</f>
        <v>189618.71685761711</v>
      </c>
    </row>
    <row r="8" spans="1:4" x14ac:dyDescent="0.25">
      <c r="B8">
        <f>(1+B2)^(90)</f>
        <v>1.0422590083519032</v>
      </c>
    </row>
    <row r="9" spans="1:4" x14ac:dyDescent="0.25">
      <c r="B9">
        <f>(B7*(B8))/(2+B8)</f>
        <v>64962.192651717807</v>
      </c>
    </row>
    <row r="10" spans="1:4" x14ac:dyDescent="0.25">
      <c r="B10">
        <f>2*B11</f>
        <v>131305.96322416313</v>
      </c>
    </row>
    <row r="11" spans="1:4" x14ac:dyDescent="0.25">
      <c r="B11">
        <f>B9*(1+B2)^(23)</f>
        <v>65652.981612081567</v>
      </c>
      <c r="C11">
        <v>1</v>
      </c>
      <c r="D11">
        <v>100</v>
      </c>
    </row>
    <row r="12" spans="1:4" x14ac:dyDescent="0.25">
      <c r="C12">
        <f>1*(1+0.1296/12)^(6)-1</f>
        <v>6.6574999196526985E-2</v>
      </c>
      <c r="D12">
        <f>C12*100</f>
        <v>6.6574999196526985</v>
      </c>
    </row>
    <row r="13" spans="1:4" x14ac:dyDescent="0.25">
      <c r="B13" s="7"/>
      <c r="D13" s="2">
        <f>D12*2</f>
        <v>13.314999839305397</v>
      </c>
    </row>
    <row r="14" spans="1:4" x14ac:dyDescent="0.25">
      <c r="B14">
        <f>32050*100/40</f>
        <v>80125</v>
      </c>
      <c r="C14">
        <f>32050/((1+(0.168/360))^(108))</f>
        <v>30475.069005899335</v>
      </c>
      <c r="D14">
        <f>(C14*100)/40</f>
        <v>76187.672514748338</v>
      </c>
    </row>
    <row r="15" spans="1:4" x14ac:dyDescent="0.25">
      <c r="B15">
        <f>B14/(1+0.168/360)^(108)</f>
        <v>76187.672514748338</v>
      </c>
    </row>
    <row r="16" spans="1:4" x14ac:dyDescent="0.25">
      <c r="B16">
        <f>B15*0.25</f>
        <v>19046.918128687084</v>
      </c>
    </row>
    <row r="17" spans="2:7" x14ac:dyDescent="0.25">
      <c r="B17">
        <f>B16*(1+0.168/360)^(157)</f>
        <v>20494.465762468368</v>
      </c>
    </row>
    <row r="18" spans="2:7" x14ac:dyDescent="0.25">
      <c r="B18">
        <f>B17+32050+B15*0.35-B15</f>
        <v>3022.478627881952</v>
      </c>
    </row>
    <row r="20" spans="2:7" x14ac:dyDescent="0.25">
      <c r="B20">
        <f>0.116/6</f>
        <v>1.9333333333333334E-2</v>
      </c>
    </row>
    <row r="21" spans="2:7" x14ac:dyDescent="0.25">
      <c r="B21">
        <f>75000/(1+B20)^(1)</f>
        <v>73577.501635055582</v>
      </c>
    </row>
    <row r="22" spans="2:7" x14ac:dyDescent="0.25">
      <c r="B22">
        <f>75000/(1+B20)^(2)</f>
        <v>72181.983291421435</v>
      </c>
    </row>
    <row r="23" spans="2:7" x14ac:dyDescent="0.25">
      <c r="B23">
        <f>B21+B22</f>
        <v>145759.48492647702</v>
      </c>
    </row>
    <row r="24" spans="2:7" x14ac:dyDescent="0.25">
      <c r="B24">
        <f>(35*B23)/65</f>
        <v>78485.87649887224</v>
      </c>
    </row>
    <row r="26" spans="2:7" x14ac:dyDescent="0.25">
      <c r="B26">
        <v>21.5</v>
      </c>
      <c r="C26">
        <v>20.6</v>
      </c>
      <c r="D26">
        <v>20.68</v>
      </c>
    </row>
    <row r="27" spans="2:7" x14ac:dyDescent="0.25">
      <c r="B27">
        <f>B26/2</f>
        <v>10.75</v>
      </c>
      <c r="C27">
        <f>C26/52</f>
        <v>0.39615384615384619</v>
      </c>
      <c r="D27">
        <f>D26/12</f>
        <v>1.7233333333333334</v>
      </c>
      <c r="F27">
        <f>1*(1+C27/100)^(26)-1</f>
        <v>0.10826587396672749</v>
      </c>
      <c r="G27">
        <f>20.68/12</f>
        <v>1.7233333333333334</v>
      </c>
    </row>
    <row r="28" spans="2:7" x14ac:dyDescent="0.25">
      <c r="C28">
        <f>C27*26</f>
        <v>10.3</v>
      </c>
      <c r="D28">
        <f>D27*6</f>
        <v>10.34</v>
      </c>
      <c r="F28">
        <f>F27*100*2</f>
        <v>21.653174793345499</v>
      </c>
      <c r="G28">
        <f>1*(1+G27/100)^6 - 1</f>
        <v>0.10795851062643202</v>
      </c>
    </row>
    <row r="29" spans="2:7" x14ac:dyDescent="0.25">
      <c r="G29">
        <f>G28*2</f>
        <v>0.21591702125286405</v>
      </c>
    </row>
    <row r="31" spans="2:7" x14ac:dyDescent="0.25">
      <c r="B31">
        <v>0.12959999999999999</v>
      </c>
    </row>
    <row r="32" spans="2:7" x14ac:dyDescent="0.25">
      <c r="B32">
        <f>1*(1+B31/12)^(6)-1</f>
        <v>6.6574999196526985E-2</v>
      </c>
    </row>
    <row r="33" spans="2:2" x14ac:dyDescent="0.25">
      <c r="B33">
        <f>B32*100</f>
        <v>6.6574999196526985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class</vt:lpstr>
      <vt:lpstr>notes</vt:lpstr>
      <vt:lpstr>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mariana</dc:creator>
  <cp:lastModifiedBy>mariana</cp:lastModifiedBy>
  <dcterms:created xsi:type="dcterms:W3CDTF">2023-02-11T17:10:08Z</dcterms:created>
  <dcterms:modified xsi:type="dcterms:W3CDTF">2023-02-13T01:14:22Z</dcterms:modified>
</cp:coreProperties>
</file>