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shen\Desktop\python\work\PMO\source\"/>
    </mc:Choice>
  </mc:AlternateContent>
  <xr:revisionPtr revIDLastSave="0" documentId="13_ncr:1_{3407049E-B886-4820-8493-77D4572A3842}" xr6:coauthVersionLast="47" xr6:coauthVersionMax="47" xr10:uidLastSave="{00000000-0000-0000-0000-000000000000}"/>
  <bookViews>
    <workbookView xWindow="-110" yWindow="-110" windowWidth="18300" windowHeight="11020" tabRatio="900" firstSheet="4" activeTab="12" xr2:uid="{59C1887A-2BB9-4699-861D-77D71B66ADD5}"/>
  </bookViews>
  <sheets>
    <sheet name="RD201901" sheetId="28" r:id="rId1"/>
    <sheet name="RD202102" sheetId="61" r:id="rId2"/>
    <sheet name="RD202103" sheetId="65" r:id="rId3"/>
    <sheet name="RD202104" sheetId="66" r:id="rId4"/>
    <sheet name="RD202105" sheetId="67" r:id="rId5"/>
    <sheet name="RD202106Y" sheetId="73" r:id="rId6"/>
    <sheet name="RD202107" sheetId="68" r:id="rId7"/>
    <sheet name="YC201912001" sheetId="29" r:id="rId8"/>
    <sheet name="YC202008001" sheetId="48" r:id="rId9"/>
    <sheet name="YC202104001" sheetId="57" r:id="rId10"/>
    <sheet name="YC202106001" sheetId="62" r:id="rId11"/>
    <sheet name="NYH202012001" sheetId="50" r:id="rId12"/>
    <sheet name="NYH202104001" sheetId="56" r:id="rId13"/>
  </sheets>
  <definedNames>
    <definedName name="_xlnm.Print_Area" localSheetId="0">'RD201901'!$A$1:$M$46</definedName>
    <definedName name="UFPrn20171027172745">#REF!</definedName>
    <definedName name="UFPrn2017111010202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28" l="1"/>
  <c r="C36" i="28"/>
  <c r="C38" i="28" s="1"/>
  <c r="E24" i="68" l="1"/>
  <c r="E24" i="67"/>
  <c r="J7" i="62" l="1"/>
  <c r="J6" i="62"/>
  <c r="H28" i="62"/>
  <c r="F40" i="73"/>
  <c r="F25" i="73"/>
  <c r="B25" i="73"/>
  <c r="E24" i="73"/>
  <c r="D24" i="73"/>
  <c r="D26" i="73" s="1"/>
  <c r="C24" i="73"/>
  <c r="C26" i="73" s="1"/>
  <c r="B24" i="73"/>
  <c r="B26" i="73" s="1"/>
  <c r="F23" i="73"/>
  <c r="F22" i="73"/>
  <c r="F21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24" i="73" l="1"/>
  <c r="F26" i="73" s="1"/>
  <c r="G33" i="56"/>
  <c r="C32" i="56"/>
  <c r="H32" i="56"/>
  <c r="H30" i="56"/>
  <c r="H29" i="56"/>
  <c r="H28" i="56"/>
  <c r="H27" i="56"/>
  <c r="H26" i="56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C31" i="56"/>
  <c r="D31" i="56"/>
  <c r="D33" i="56" s="1"/>
  <c r="E31" i="56"/>
  <c r="E33" i="56" s="1"/>
  <c r="F31" i="56"/>
  <c r="F33" i="56" s="1"/>
  <c r="G31" i="56"/>
  <c r="C26" i="50"/>
  <c r="H26" i="50"/>
  <c r="H24" i="50"/>
  <c r="H23" i="50"/>
  <c r="H22" i="50"/>
  <c r="H21" i="50"/>
  <c r="H20" i="50"/>
  <c r="H19" i="50"/>
  <c r="H18" i="50"/>
  <c r="H17" i="50"/>
  <c r="H16" i="50"/>
  <c r="H15" i="50"/>
  <c r="H14" i="50"/>
  <c r="H13" i="50"/>
  <c r="H12" i="50"/>
  <c r="H11" i="50"/>
  <c r="H10" i="50"/>
  <c r="H9" i="50"/>
  <c r="C25" i="50"/>
  <c r="C27" i="50" s="1"/>
  <c r="D25" i="50"/>
  <c r="D27" i="50" s="1"/>
  <c r="E25" i="50"/>
  <c r="E27" i="50" s="1"/>
  <c r="F25" i="50"/>
  <c r="F27" i="50" s="1"/>
  <c r="G25" i="50"/>
  <c r="H26" i="62"/>
  <c r="H25" i="62"/>
  <c r="H24" i="62"/>
  <c r="H23" i="62"/>
  <c r="H22" i="62"/>
  <c r="H21" i="62"/>
  <c r="H20" i="62"/>
  <c r="H19" i="62"/>
  <c r="H18" i="62"/>
  <c r="H17" i="62"/>
  <c r="H16" i="62"/>
  <c r="H15" i="62"/>
  <c r="H14" i="62"/>
  <c r="H12" i="62"/>
  <c r="H11" i="62"/>
  <c r="H10" i="62"/>
  <c r="H9" i="62"/>
  <c r="C27" i="62"/>
  <c r="C29" i="62" s="1"/>
  <c r="D27" i="62"/>
  <c r="D29" i="62" s="1"/>
  <c r="C34" i="57"/>
  <c r="F34" i="57"/>
  <c r="H34" i="57"/>
  <c r="C33" i="57"/>
  <c r="C35" i="57" s="1"/>
  <c r="D33" i="57"/>
  <c r="D35" i="57" s="1"/>
  <c r="E33" i="57"/>
  <c r="F33" i="57"/>
  <c r="G33" i="57"/>
  <c r="H32" i="57"/>
  <c r="H31" i="57"/>
  <c r="H30" i="57"/>
  <c r="H29" i="57"/>
  <c r="H28" i="57"/>
  <c r="H27" i="57"/>
  <c r="H26" i="57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F31" i="48"/>
  <c r="D32" i="48"/>
  <c r="F29" i="48"/>
  <c r="F28" i="48"/>
  <c r="F27" i="48"/>
  <c r="F26" i="48"/>
  <c r="F25" i="48"/>
  <c r="F24" i="48"/>
  <c r="F23" i="48"/>
  <c r="F22" i="48"/>
  <c r="F21" i="48"/>
  <c r="C30" i="48"/>
  <c r="C32" i="48" s="1"/>
  <c r="D30" i="48"/>
  <c r="E30" i="48"/>
  <c r="E32" i="48" s="1"/>
  <c r="C33" i="56" l="1"/>
  <c r="H33" i="57"/>
  <c r="H25" i="50"/>
  <c r="F36" i="29" l="1"/>
  <c r="D35" i="29"/>
  <c r="D37" i="29" s="1"/>
  <c r="E35" i="29"/>
  <c r="E37" i="29" s="1"/>
  <c r="F34" i="29"/>
  <c r="F33" i="29"/>
  <c r="F32" i="29"/>
  <c r="F31" i="29"/>
  <c r="F30" i="29"/>
  <c r="F29" i="29"/>
  <c r="F28" i="29"/>
  <c r="F27" i="29"/>
  <c r="F9" i="29"/>
  <c r="C35" i="29"/>
  <c r="C37" i="29" s="1"/>
  <c r="D26" i="68"/>
  <c r="G25" i="68"/>
  <c r="G23" i="68"/>
  <c r="G22" i="68"/>
  <c r="G21" i="68"/>
  <c r="G20" i="68"/>
  <c r="G19" i="68"/>
  <c r="G18" i="68"/>
  <c r="G17" i="68"/>
  <c r="G16" i="68"/>
  <c r="G15" i="68"/>
  <c r="G14" i="68"/>
  <c r="G13" i="68"/>
  <c r="G12" i="68"/>
  <c r="G11" i="68"/>
  <c r="G10" i="68"/>
  <c r="G9" i="68"/>
  <c r="G8" i="68"/>
  <c r="C24" i="68"/>
  <c r="C26" i="68" s="1"/>
  <c r="D24" i="68"/>
  <c r="F24" i="68"/>
  <c r="G23" i="67"/>
  <c r="G22" i="67"/>
  <c r="G21" i="67"/>
  <c r="G20" i="67"/>
  <c r="G19" i="67"/>
  <c r="G18" i="67"/>
  <c r="G17" i="67"/>
  <c r="G16" i="67"/>
  <c r="G15" i="67"/>
  <c r="G14" i="67"/>
  <c r="G13" i="67"/>
  <c r="G12" i="67"/>
  <c r="G11" i="67"/>
  <c r="G10" i="67"/>
  <c r="G9" i="67"/>
  <c r="G8" i="67"/>
  <c r="C24" i="67"/>
  <c r="C26" i="67" s="1"/>
  <c r="D24" i="67"/>
  <c r="F24" i="67"/>
  <c r="G24" i="68" l="1"/>
  <c r="F35" i="29"/>
  <c r="G23" i="66"/>
  <c r="G22" i="66"/>
  <c r="G21" i="66"/>
  <c r="G20" i="66"/>
  <c r="G19" i="66"/>
  <c r="G18" i="66"/>
  <c r="G17" i="66"/>
  <c r="G16" i="66"/>
  <c r="G15" i="66"/>
  <c r="G14" i="66"/>
  <c r="G13" i="66"/>
  <c r="G12" i="66"/>
  <c r="G11" i="66"/>
  <c r="G10" i="66"/>
  <c r="G9" i="66"/>
  <c r="G8" i="66"/>
  <c r="C26" i="66"/>
  <c r="G24" i="65"/>
  <c r="G23" i="65"/>
  <c r="G22" i="65"/>
  <c r="G21" i="65"/>
  <c r="G20" i="65"/>
  <c r="G19" i="65"/>
  <c r="G18" i="65"/>
  <c r="G17" i="65"/>
  <c r="G16" i="65"/>
  <c r="G15" i="65"/>
  <c r="G14" i="65"/>
  <c r="G13" i="65"/>
  <c r="G12" i="65"/>
  <c r="G11" i="65"/>
  <c r="G10" i="65"/>
  <c r="G9" i="65"/>
  <c r="G8" i="65"/>
  <c r="D27" i="65"/>
  <c r="E27" i="65"/>
  <c r="C25" i="65"/>
  <c r="C27" i="65" s="1"/>
  <c r="D25" i="65"/>
  <c r="E25" i="65"/>
  <c r="F34" i="61"/>
  <c r="C33" i="61"/>
  <c r="C35" i="61" s="1"/>
  <c r="D33" i="61"/>
  <c r="E33" i="61"/>
  <c r="F32" i="61"/>
  <c r="F31" i="61"/>
  <c r="F30" i="61"/>
  <c r="F29" i="61"/>
  <c r="F28" i="61"/>
  <c r="F27" i="61"/>
  <c r="F26" i="61"/>
  <c r="F25" i="61"/>
  <c r="F24" i="61"/>
  <c r="F23" i="61"/>
  <c r="F22" i="61"/>
  <c r="F21" i="61"/>
  <c r="F20" i="61"/>
  <c r="F19" i="61"/>
  <c r="F18" i="61"/>
  <c r="F17" i="61"/>
  <c r="F16" i="61"/>
  <c r="F15" i="61"/>
  <c r="F14" i="61"/>
  <c r="F13" i="61"/>
  <c r="F12" i="61"/>
  <c r="F11" i="61"/>
  <c r="F10" i="61"/>
  <c r="F9" i="61"/>
  <c r="F8" i="61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13" i="62"/>
  <c r="E31" i="29"/>
  <c r="F27" i="62" l="1"/>
  <c r="F29" i="62" s="1"/>
  <c r="H13" i="62"/>
  <c r="H27" i="62" s="1"/>
  <c r="H29" i="62" s="1"/>
  <c r="G24" i="66"/>
  <c r="F33" i="61"/>
  <c r="F36" i="28"/>
  <c r="F25" i="65"/>
  <c r="F24" i="66"/>
  <c r="G26" i="65"/>
  <c r="F49" i="28"/>
  <c r="B34" i="61"/>
  <c r="D26" i="65"/>
  <c r="B26" i="65"/>
  <c r="D25" i="66"/>
  <c r="G25" i="66" s="1"/>
  <c r="B25" i="66"/>
  <c r="D25" i="67"/>
  <c r="B25" i="67"/>
  <c r="B25" i="68"/>
  <c r="G40" i="68"/>
  <c r="B24" i="68"/>
  <c r="G46" i="67"/>
  <c r="F26" i="67"/>
  <c r="B24" i="67"/>
  <c r="B26" i="67" s="1"/>
  <c r="G54" i="66"/>
  <c r="E24" i="66"/>
  <c r="E26" i="66" s="1"/>
  <c r="D24" i="66"/>
  <c r="D26" i="66" s="1"/>
  <c r="B24" i="66"/>
  <c r="B26" i="66" s="1"/>
  <c r="D26" i="67" l="1"/>
  <c r="G25" i="67"/>
  <c r="G24" i="67"/>
  <c r="G26" i="67" s="1"/>
  <c r="G26" i="68"/>
  <c r="B26" i="68"/>
  <c r="G26" i="66"/>
  <c r="G41" i="65" l="1"/>
  <c r="B25" i="65"/>
  <c r="D7" i="48"/>
  <c r="D6" i="48"/>
  <c r="D6" i="29"/>
  <c r="B27" i="65" l="1"/>
  <c r="G25" i="65"/>
  <c r="G27" i="65" s="1"/>
  <c r="F26" i="50"/>
  <c r="D26" i="50"/>
  <c r="G35" i="57"/>
  <c r="B28" i="62" l="1"/>
  <c r="H6" i="62"/>
  <c r="L29" i="62" s="1"/>
  <c r="L30" i="62" s="1"/>
  <c r="H49" i="62"/>
  <c r="B27" i="62"/>
  <c r="F49" i="61"/>
  <c r="E35" i="61"/>
  <c r="D35" i="61"/>
  <c r="B33" i="61"/>
  <c r="B35" i="61" s="1"/>
  <c r="B29" i="62" l="1"/>
  <c r="F35" i="61"/>
  <c r="B33" i="57" l="1"/>
  <c r="F5" i="56"/>
  <c r="B34" i="57" l="1"/>
  <c r="S33" i="57"/>
  <c r="S32" i="57" s="1"/>
  <c r="S31" i="57"/>
  <c r="S30" i="57" s="1"/>
  <c r="S29" i="57"/>
  <c r="S28" i="57" s="1"/>
  <c r="S27" i="57"/>
  <c r="D34" i="57" s="1"/>
  <c r="R25" i="57"/>
  <c r="S25" i="57" s="1"/>
  <c r="R24" i="57"/>
  <c r="S24" i="57" s="1"/>
  <c r="R23" i="57"/>
  <c r="S23" i="57" s="1"/>
  <c r="R22" i="57"/>
  <c r="S22" i="57" s="1"/>
  <c r="R21" i="57"/>
  <c r="S21" i="57" s="1"/>
  <c r="R20" i="57"/>
  <c r="S20" i="57" s="1"/>
  <c r="R19" i="57"/>
  <c r="S19" i="57" s="1"/>
  <c r="F35" i="57" s="1"/>
  <c r="R18" i="57"/>
  <c r="S18" i="57" s="1"/>
  <c r="R17" i="57"/>
  <c r="S17" i="57" s="1"/>
  <c r="R16" i="57"/>
  <c r="S16" i="57" s="1"/>
  <c r="R15" i="57"/>
  <c r="S15" i="57" s="1"/>
  <c r="R14" i="57"/>
  <c r="S14" i="57" s="1"/>
  <c r="R13" i="57"/>
  <c r="S13" i="57" s="1"/>
  <c r="R12" i="57"/>
  <c r="S12" i="57" s="1"/>
  <c r="R11" i="57"/>
  <c r="S11" i="57" s="1"/>
  <c r="R10" i="57"/>
  <c r="S10" i="57" s="1"/>
  <c r="R9" i="57"/>
  <c r="S9" i="57" s="1"/>
  <c r="R8" i="57"/>
  <c r="S8" i="57" s="1"/>
  <c r="R7" i="57"/>
  <c r="S7" i="57" s="1"/>
  <c r="R6" i="57"/>
  <c r="S6" i="57" s="1"/>
  <c r="R5" i="57"/>
  <c r="S5" i="57" s="1"/>
  <c r="H55" i="57"/>
  <c r="B35" i="57"/>
  <c r="S26" i="57" l="1"/>
  <c r="E34" i="57"/>
  <c r="S4" i="57"/>
  <c r="E35" i="57" l="1"/>
  <c r="S2" i="57"/>
  <c r="D6" i="57" s="1"/>
  <c r="H35" i="57" l="1"/>
  <c r="B35" i="29" l="1"/>
  <c r="P70" i="56"/>
  <c r="P64" i="56"/>
  <c r="P63" i="56"/>
  <c r="P65" i="56" s="1"/>
  <c r="E32" i="56" s="1"/>
  <c r="O60" i="56"/>
  <c r="M59" i="56"/>
  <c r="P59" i="56" s="1"/>
  <c r="M58" i="56"/>
  <c r="P58" i="56" s="1"/>
  <c r="M57" i="56"/>
  <c r="P57" i="56" s="1"/>
  <c r="M56" i="56"/>
  <c r="P56" i="56" s="1"/>
  <c r="M55" i="56"/>
  <c r="P55" i="56" s="1"/>
  <c r="M54" i="56"/>
  <c r="P54" i="56" s="1"/>
  <c r="M53" i="56"/>
  <c r="P53" i="56" s="1"/>
  <c r="M52" i="56"/>
  <c r="P52" i="56" s="1"/>
  <c r="M51" i="56"/>
  <c r="P51" i="56" s="1"/>
  <c r="M50" i="56"/>
  <c r="P50" i="56" s="1"/>
  <c r="M49" i="56"/>
  <c r="P49" i="56" s="1"/>
  <c r="M48" i="56"/>
  <c r="P48" i="56" s="1"/>
  <c r="M47" i="56"/>
  <c r="P47" i="56" s="1"/>
  <c r="M46" i="56"/>
  <c r="P46" i="56" s="1"/>
  <c r="M45" i="56"/>
  <c r="P45" i="56" s="1"/>
  <c r="M44" i="56"/>
  <c r="P44" i="56" s="1"/>
  <c r="M43" i="56"/>
  <c r="P43" i="56" s="1"/>
  <c r="M42" i="56"/>
  <c r="P42" i="56" s="1"/>
  <c r="M41" i="56"/>
  <c r="P41" i="56" s="1"/>
  <c r="M40" i="56"/>
  <c r="P40" i="56" s="1"/>
  <c r="M39" i="56"/>
  <c r="P39" i="56" s="1"/>
  <c r="M38" i="56"/>
  <c r="P38" i="56" s="1"/>
  <c r="M37" i="56"/>
  <c r="P37" i="56" s="1"/>
  <c r="M36" i="56"/>
  <c r="P36" i="56" s="1"/>
  <c r="M35" i="56"/>
  <c r="Q32" i="56"/>
  <c r="Q31" i="56"/>
  <c r="P30" i="56"/>
  <c r="Q30" i="56" s="1"/>
  <c r="P29" i="56"/>
  <c r="Q29" i="56" s="1"/>
  <c r="P28" i="56"/>
  <c r="Q28" i="56" s="1"/>
  <c r="P25" i="56"/>
  <c r="Q25" i="56" s="1"/>
  <c r="P24" i="56"/>
  <c r="Q24" i="56" s="1"/>
  <c r="P23" i="56"/>
  <c r="Q23" i="56" s="1"/>
  <c r="P22" i="56"/>
  <c r="Q22" i="56" s="1"/>
  <c r="P20" i="56"/>
  <c r="Q20" i="56" s="1"/>
  <c r="P19" i="56"/>
  <c r="Q19" i="56" s="1"/>
  <c r="P18" i="56"/>
  <c r="Q18" i="56" s="1"/>
  <c r="P17" i="56"/>
  <c r="Q17" i="56" s="1"/>
  <c r="P15" i="56"/>
  <c r="Q15" i="56" s="1"/>
  <c r="P14" i="56"/>
  <c r="Q14" i="56" s="1"/>
  <c r="P13" i="56"/>
  <c r="Q13" i="56" s="1"/>
  <c r="P12" i="56"/>
  <c r="Q12" i="56" s="1"/>
  <c r="P11" i="56"/>
  <c r="Q11" i="56" s="1"/>
  <c r="P10" i="56"/>
  <c r="Q10" i="56" s="1"/>
  <c r="P9" i="56"/>
  <c r="Q9" i="56" s="1"/>
  <c r="P8" i="56"/>
  <c r="Q8" i="56" s="1"/>
  <c r="P7" i="56"/>
  <c r="Q7" i="56" s="1"/>
  <c r="P6" i="56"/>
  <c r="Q6" i="56" s="1"/>
  <c r="P5" i="56"/>
  <c r="Q5" i="56" s="1"/>
  <c r="P4" i="56"/>
  <c r="Q4" i="56" s="1"/>
  <c r="M60" i="56" l="1"/>
  <c r="B32" i="56" s="1"/>
  <c r="Q33" i="56"/>
  <c r="P35" i="56"/>
  <c r="P33" i="56"/>
  <c r="T33" i="56" s="1"/>
  <c r="T70" i="56" s="1"/>
  <c r="F6" i="56" s="1"/>
  <c r="D32" i="56" l="1"/>
  <c r="P1" i="56"/>
  <c r="H59" i="56"/>
  <c r="B31" i="56"/>
  <c r="B33" i="56" s="1"/>
  <c r="H31" i="56" l="1"/>
  <c r="H33" i="56" l="1"/>
  <c r="D36" i="28" l="1"/>
  <c r="D38" i="28" s="1"/>
  <c r="E36" i="28"/>
  <c r="B26" i="50" l="1"/>
  <c r="D36" i="29" l="1"/>
  <c r="H34" i="50" l="1"/>
  <c r="B25" i="50"/>
  <c r="B27" i="50" s="1"/>
  <c r="H27" i="50" l="1"/>
  <c r="B37" i="29" l="1"/>
  <c r="B31" i="48" l="1"/>
  <c r="F44" i="48" l="1"/>
  <c r="B30" i="48"/>
  <c r="B32" i="48" s="1"/>
  <c r="F30" i="48" l="1"/>
  <c r="F32" i="48" l="1"/>
  <c r="F45" i="29" l="1"/>
  <c r="F38" i="28" l="1"/>
  <c r="F37" i="2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D37" authorId="0" shapeId="0" xr:uid="{66926066-F6D8-48DD-8578-B5CFFDC145BB}">
      <text>
        <r>
          <rPr>
            <b/>
            <sz val="9"/>
            <color indexed="81"/>
            <rFont val="宋体"/>
            <family val="3"/>
            <charset val="134"/>
          </rPr>
          <t>其中有6000是知识产权费用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F7" authorId="0" shapeId="0" xr:uid="{D79D7EDA-AA4A-4A39-A2B1-E38A10AC43AD}">
      <text>
        <r>
          <rPr>
            <b/>
            <sz val="9"/>
            <color indexed="81"/>
            <rFont val="宋体"/>
            <family val="3"/>
            <charset val="134"/>
          </rPr>
          <t>广东寰球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F7" authorId="0" shapeId="0" xr:uid="{F33C6520-A802-41F4-9AE2-56ABA8FDFD3D}">
      <text>
        <r>
          <rPr>
            <b/>
            <sz val="9"/>
            <color indexed="81"/>
            <rFont val="宋体"/>
            <family val="3"/>
            <charset val="134"/>
          </rPr>
          <t>广东寰球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B1" authorId="0" shapeId="0" xr:uid="{34128672-3DF8-425E-9891-B68F700DE087}">
      <text>
        <r>
          <rPr>
            <b/>
            <sz val="9"/>
            <color indexed="81"/>
            <rFont val="宋体"/>
            <family val="3"/>
            <charset val="134"/>
          </rPr>
          <t>玉溪卷烟厂</t>
        </r>
      </text>
    </comment>
    <comment ref="D9" authorId="0" shapeId="0" xr:uid="{C4666DA9-BFA9-4B8A-ACE3-2273E98E9749}">
      <text>
        <r>
          <rPr>
            <b/>
            <sz val="9"/>
            <color indexed="81"/>
            <rFont val="宋体"/>
            <family val="3"/>
            <charset val="134"/>
          </rPr>
          <t xml:space="preserve">租房费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9" authorId="0" shapeId="0" xr:uid="{8DA86981-4508-41ED-83DF-D7BE9F6DB086}">
      <text>
        <r>
          <rPr>
            <b/>
            <sz val="9"/>
            <color indexed="81"/>
            <rFont val="宋体"/>
            <family val="3"/>
            <charset val="134"/>
          </rPr>
          <t xml:space="preserve">租房费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0" authorId="0" shapeId="0" xr:uid="{107992C2-B90C-4B62-B81B-8C972E4313C0}">
      <text>
        <r>
          <rPr>
            <b/>
            <sz val="9"/>
            <color indexed="81"/>
            <rFont val="宋体"/>
            <family val="3"/>
            <charset val="134"/>
          </rPr>
          <t>租房用品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0" authorId="0" shapeId="0" xr:uid="{D5C76E89-65E3-40A7-A699-1D63E043AB50}">
      <text>
        <r>
          <rPr>
            <b/>
            <sz val="9"/>
            <color indexed="81"/>
            <rFont val="宋体"/>
            <family val="3"/>
            <charset val="134"/>
          </rPr>
          <t>租房用品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D1" authorId="0" shapeId="0" xr:uid="{FD23D950-CDEF-4D91-A301-44E55400F61B}">
      <text>
        <r>
          <rPr>
            <b/>
            <sz val="9"/>
            <color indexed="81"/>
            <rFont val="宋体"/>
            <family val="3"/>
            <charset val="134"/>
          </rPr>
          <t>玉溪卷烟厂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文少卿</author>
  </authors>
  <commentList>
    <comment ref="F8" authorId="0" shapeId="0" xr:uid="{6A8B1712-A9F2-4CC9-B1AA-BFF780FAF900}">
      <text>
        <r>
          <rPr>
            <b/>
            <sz val="9"/>
            <color indexed="81"/>
            <rFont val="宋体"/>
            <family val="3"/>
            <charset val="134"/>
          </rPr>
          <t>柯信&amp;摩芮思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8" authorId="0" shapeId="0" xr:uid="{288614D7-C8A9-4603-8402-247BDF55D50B}">
      <text>
        <r>
          <rPr>
            <b/>
            <sz val="9"/>
            <color indexed="81"/>
            <rFont val="宋体"/>
            <family val="3"/>
            <charset val="134"/>
          </rPr>
          <t>租房及与租房相关的费用</t>
        </r>
      </text>
    </comment>
    <comment ref="F21" authorId="0" shapeId="0" xr:uid="{33FC8D76-6568-4FF7-BB42-C56841746277}">
      <text>
        <r>
          <rPr>
            <b/>
            <sz val="9"/>
            <color indexed="81"/>
            <rFont val="宋体"/>
            <family val="3"/>
            <charset val="134"/>
          </rPr>
          <t>柯信外包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tc={1F444AE8-F029-4B46-819F-602F514B014C}</author>
    <author>文少卿</author>
    <author>Fengcheng</author>
  </authors>
  <commentList>
    <comment ref="Q7" authorId="0" shapeId="0" xr:uid="{01CEE80E-A87C-47FB-B6D9-198E4B9FB46E}">
      <text>
        <r>
          <rPr>
            <sz val="11"/>
            <color theme="1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NI设备不需要预付款，月结付</t>
        </r>
      </text>
    </comment>
    <comment ref="F8" authorId="1" shapeId="0" xr:uid="{0F15E400-A493-4374-8993-E0BC93874752}">
      <text>
        <r>
          <rPr>
            <b/>
            <sz val="9"/>
            <color indexed="81"/>
            <rFont val="宋体"/>
            <family val="3"/>
            <charset val="134"/>
          </rPr>
          <t>广东寰球外协人员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4" authorId="2" shapeId="0" xr:uid="{DA622E1A-D3F2-4C63-B720-26C8092197AB}">
      <text>
        <r>
          <rPr>
            <b/>
            <sz val="9"/>
            <color indexed="81"/>
            <rFont val="宋体"/>
            <family val="3"/>
            <charset val="134"/>
          </rPr>
          <t>Fengcheng:</t>
        </r>
        <r>
          <rPr>
            <sz val="9"/>
            <color indexed="81"/>
            <rFont val="宋体"/>
            <family val="3"/>
            <charset val="134"/>
          </rPr>
          <t xml:space="preserve">
志成工时比较多，建议放在其他项目，增加潘凡或其他员工适当工时，提高利用效率
答复：实际旋机设备的执行工作还是需要志成来实施的</t>
        </r>
      </text>
    </comment>
    <comment ref="K45" authorId="2" shapeId="0" xr:uid="{EC4D9ACC-91F6-44F5-A1AB-E71F19BE9A5D}">
      <text>
        <r>
          <rPr>
            <b/>
            <sz val="9"/>
            <color indexed="81"/>
            <rFont val="宋体"/>
            <family val="3"/>
            <charset val="134"/>
          </rPr>
          <t>Fengcheng:</t>
        </r>
        <r>
          <rPr>
            <sz val="9"/>
            <color indexed="81"/>
            <rFont val="宋体"/>
            <family val="3"/>
            <charset val="134"/>
          </rPr>
          <t xml:space="preserve">
少峰的主要工作内容是什么？
少锋主要是负责旋机的需求沟通及现场运维工作</t>
        </r>
      </text>
    </comment>
    <comment ref="K48" authorId="2" shapeId="0" xr:uid="{6FD7721B-F65E-4E68-B104-C3C5AA0184AF}">
      <text>
        <r>
          <rPr>
            <b/>
            <sz val="9"/>
            <color indexed="81"/>
            <rFont val="宋体"/>
            <family val="3"/>
            <charset val="134"/>
          </rPr>
          <t>Fengcheng:</t>
        </r>
        <r>
          <rPr>
            <sz val="9"/>
            <color indexed="81"/>
            <rFont val="宋体"/>
            <family val="3"/>
            <charset val="134"/>
          </rPr>
          <t xml:space="preserve">
主要是测试为主，放在硬件研发上</t>
        </r>
      </text>
    </comment>
  </commentList>
</comments>
</file>

<file path=xl/sharedStrings.xml><?xml version="1.0" encoding="utf-8"?>
<sst xmlns="http://schemas.openxmlformats.org/spreadsheetml/2006/main" count="642" uniqueCount="306">
  <si>
    <t>项目名称</t>
  </si>
  <si>
    <t>项目号</t>
  </si>
  <si>
    <t>项目负责人</t>
  </si>
  <si>
    <t>差旅费</t>
  </si>
  <si>
    <t>采购成本</t>
  </si>
  <si>
    <t>蔡一彪</t>
    <phoneticPr fontId="3" type="noConversion"/>
  </si>
  <si>
    <t>苏修武</t>
    <phoneticPr fontId="3" type="noConversion"/>
  </si>
  <si>
    <t>张浩</t>
    <phoneticPr fontId="3" type="noConversion"/>
  </si>
  <si>
    <t>合同金额</t>
    <phoneticPr fontId="3" type="noConversion"/>
  </si>
  <si>
    <t>合计</t>
    <phoneticPr fontId="3" type="noConversion"/>
  </si>
  <si>
    <t>研发预算</t>
    <phoneticPr fontId="3" type="noConversion"/>
  </si>
  <si>
    <t>工时</t>
    <phoneticPr fontId="3" type="noConversion"/>
  </si>
  <si>
    <t>小计</t>
    <phoneticPr fontId="3" type="noConversion"/>
  </si>
  <si>
    <t>期间</t>
  </si>
  <si>
    <t>以上费用不包括以下预付款：</t>
    <phoneticPr fontId="3" type="noConversion"/>
  </si>
  <si>
    <t>备注</t>
  </si>
  <si>
    <t>差旅</t>
  </si>
  <si>
    <t>预算</t>
  </si>
  <si>
    <t>预算</t>
    <phoneticPr fontId="3" type="noConversion"/>
  </si>
  <si>
    <t>硬件</t>
  </si>
  <si>
    <t>合同预算</t>
    <phoneticPr fontId="3" type="noConversion"/>
  </si>
  <si>
    <t>RD201901</t>
    <phoneticPr fontId="3" type="noConversion"/>
  </si>
  <si>
    <t>日期</t>
    <phoneticPr fontId="3" type="noConversion"/>
  </si>
  <si>
    <t>摘要</t>
    <phoneticPr fontId="3" type="noConversion"/>
  </si>
  <si>
    <t>预付金额</t>
    <phoneticPr fontId="3" type="noConversion"/>
  </si>
  <si>
    <t>万（￥）</t>
  </si>
  <si>
    <t>硬件费用</t>
  </si>
  <si>
    <t>数量</t>
  </si>
  <si>
    <t>单位</t>
  </si>
  <si>
    <t>单价（万）</t>
  </si>
  <si>
    <t>型号</t>
  </si>
  <si>
    <t>套</t>
  </si>
  <si>
    <t>核岛VCS温度采集边缘网关</t>
  </si>
  <si>
    <t>网关</t>
  </si>
  <si>
    <t>主变</t>
  </si>
  <si>
    <t>直流偏磁(中性点）</t>
  </si>
  <si>
    <t>iCGM2020（每套包含一个直流偏磁传感器+一个数采）</t>
  </si>
  <si>
    <t>超声局放</t>
  </si>
  <si>
    <t>SH III系列（8通道超声）</t>
  </si>
  <si>
    <t>台</t>
  </si>
  <si>
    <t>IOT接入交换机改造IOT汇聚设备</t>
  </si>
  <si>
    <t>IoT BS for Zigbee接入子系统</t>
  </si>
  <si>
    <t>IoT BS for ZigBee BS 1601-Z ；
改装套件IoT Aux ；
天线QB24V5A ；Ant_MNT Andteck</t>
  </si>
  <si>
    <t>合计</t>
  </si>
  <si>
    <t>开发费用</t>
    <phoneticPr fontId="20" type="noConversion"/>
  </si>
  <si>
    <t>工时/人天</t>
    <phoneticPr fontId="20" type="noConversion"/>
  </si>
  <si>
    <t>人工成本/万</t>
    <phoneticPr fontId="20" type="noConversion"/>
  </si>
  <si>
    <t>驻场开发及差旅费用</t>
  </si>
  <si>
    <t>人数</t>
  </si>
  <si>
    <t>天（次）数</t>
  </si>
  <si>
    <t>标准（￥/天/人）</t>
  </si>
  <si>
    <t>开发驻场补助</t>
  </si>
  <si>
    <t>差旅费用</t>
  </si>
  <si>
    <t>软件开发</t>
  </si>
  <si>
    <t>部署实施</t>
  </si>
  <si>
    <t>人工费用</t>
  </si>
  <si>
    <t>黄云俤</t>
    <phoneticPr fontId="3" type="noConversion"/>
  </si>
  <si>
    <t>YC201912001</t>
    <phoneticPr fontId="3" type="noConversion"/>
  </si>
  <si>
    <t>设备效能与健康管理平台</t>
    <phoneticPr fontId="3" type="noConversion"/>
  </si>
  <si>
    <t>上海烟机ZB416烟机设备状态监测算法系统</t>
    <phoneticPr fontId="3" type="noConversion"/>
  </si>
  <si>
    <t>预算消耗%</t>
  </si>
  <si>
    <t>无线振动温度采集单元</t>
    <phoneticPr fontId="20" type="noConversion"/>
  </si>
  <si>
    <t>AIMS-AMWV1B5R50-01</t>
    <phoneticPr fontId="20" type="noConversion"/>
  </si>
  <si>
    <t>有线振动传感器</t>
    <phoneticPr fontId="20" type="noConversion"/>
  </si>
  <si>
    <t>个</t>
    <phoneticPr fontId="20" type="noConversion"/>
  </si>
  <si>
    <t>PCB352C33</t>
    <phoneticPr fontId="20" type="noConversion"/>
  </si>
  <si>
    <t>有线振动传感器线缆</t>
    <phoneticPr fontId="20" type="noConversion"/>
  </si>
  <si>
    <t>根</t>
    <phoneticPr fontId="20" type="noConversion"/>
  </si>
  <si>
    <t>PCB003C30</t>
    <phoneticPr fontId="20" type="noConversion"/>
  </si>
  <si>
    <t>NI数据采集机箱</t>
    <phoneticPr fontId="20" type="noConversion"/>
  </si>
  <si>
    <t>NI cRIO-9032</t>
    <phoneticPr fontId="20" type="noConversion"/>
  </si>
  <si>
    <t>NI9232 BNC</t>
    <phoneticPr fontId="20" type="noConversion"/>
  </si>
  <si>
    <t>NI电源</t>
    <phoneticPr fontId="20" type="noConversion"/>
  </si>
  <si>
    <t>NI PS-15电源</t>
    <phoneticPr fontId="20" type="noConversion"/>
  </si>
  <si>
    <t>封装外壳</t>
    <phoneticPr fontId="20" type="noConversion"/>
  </si>
  <si>
    <t>定制</t>
    <phoneticPr fontId="20" type="noConversion"/>
  </si>
  <si>
    <t>#2 C相</t>
    <phoneticPr fontId="20" type="noConversion"/>
  </si>
  <si>
    <t>#2 A、B、C相</t>
    <phoneticPr fontId="20" type="noConversion"/>
  </si>
  <si>
    <t>转发服务器及交换机</t>
    <phoneticPr fontId="20" type="noConversion"/>
  </si>
  <si>
    <t>套</t>
    <phoneticPr fontId="20" type="noConversion"/>
  </si>
  <si>
    <t>智能组件柜</t>
    <phoneticPr fontId="20" type="noConversion"/>
  </si>
  <si>
    <t>无线网络设备费用</t>
  </si>
  <si>
    <t>Andteck 8口</t>
    <phoneticPr fontId="20" type="noConversion"/>
  </si>
  <si>
    <t>ADW NPP远程接入子系统V1.0</t>
    <phoneticPr fontId="20" type="noConversion"/>
  </si>
  <si>
    <t>WA-Dual 52 In_E102</t>
  </si>
  <si>
    <t>动力电缆、镀锌钢管、胶水等耗材及附件</t>
    <phoneticPr fontId="20" type="noConversion"/>
  </si>
  <si>
    <t>若干</t>
    <phoneticPr fontId="20" type="noConversion"/>
  </si>
  <si>
    <t>安装施工费用</t>
    <phoneticPr fontId="20" type="noConversion"/>
  </si>
  <si>
    <t>第二次调整</t>
    <phoneticPr fontId="3" type="noConversion"/>
  </si>
  <si>
    <t>单价</t>
  </si>
  <si>
    <t>王杏</t>
    <phoneticPr fontId="3" type="noConversion"/>
  </si>
  <si>
    <t>YC202008001</t>
    <phoneticPr fontId="3" type="noConversion"/>
  </si>
  <si>
    <t>杭烟卷包设备健康度大数据分析项目</t>
    <phoneticPr fontId="3" type="noConversion"/>
  </si>
  <si>
    <t>4-8月商机费用转入</t>
    <phoneticPr fontId="3" type="noConversion"/>
  </si>
  <si>
    <t>NYH202012001</t>
    <phoneticPr fontId="3" type="noConversion"/>
  </si>
  <si>
    <t>毛贤峰</t>
    <phoneticPr fontId="3" type="noConversion"/>
  </si>
  <si>
    <t>设备性能监测功能开发及重要泵设备在线监测试点项目</t>
    <phoneticPr fontId="3" type="noConversion"/>
  </si>
  <si>
    <t>不含税收入</t>
    <phoneticPr fontId="3" type="noConversion"/>
  </si>
  <si>
    <t>NYH202104001</t>
    <phoneticPr fontId="3" type="noConversion"/>
  </si>
  <si>
    <t>三门核电三期PHM项目</t>
    <phoneticPr fontId="3" type="noConversion"/>
  </si>
  <si>
    <t>5月中旬</t>
    <phoneticPr fontId="20" type="noConversion"/>
  </si>
  <si>
    <t>4月底</t>
    <phoneticPr fontId="20" type="noConversion"/>
  </si>
  <si>
    <t>NI 数据采集板卡（振动）</t>
    <phoneticPr fontId="20" type="noConversion"/>
  </si>
  <si>
    <t>NI数据采集板卡（温度）</t>
    <phoneticPr fontId="20" type="noConversion"/>
  </si>
  <si>
    <t>NI9210</t>
    <phoneticPr fontId="20" type="noConversion"/>
  </si>
  <si>
    <t>耐辐照振动传感器（含线缆和电荷放大器）</t>
    <phoneticPr fontId="20" type="noConversion"/>
  </si>
  <si>
    <t>PCB357B53 023FZ020FZ 003A10 422E35  003D10  080A27</t>
    <phoneticPr fontId="20" type="noConversion"/>
  </si>
  <si>
    <t>温度传感器</t>
    <phoneticPr fontId="20" type="noConversion"/>
  </si>
  <si>
    <t>AIMS-TCPU-RD</t>
    <phoneticPr fontId="20" type="noConversion"/>
  </si>
  <si>
    <t>油液监测设备（含相关耗材、配件）</t>
    <phoneticPr fontId="20" type="noConversion"/>
  </si>
  <si>
    <t>广研</t>
    <phoneticPr fontId="20" type="noConversion"/>
  </si>
  <si>
    <t>平台服务器资源</t>
    <phoneticPr fontId="20" type="noConversion"/>
  </si>
  <si>
    <t>服务器（512G内存）</t>
    <phoneticPr fontId="20" type="noConversion"/>
  </si>
  <si>
    <t>3月底</t>
    <phoneticPr fontId="20" type="noConversion"/>
  </si>
  <si>
    <t>H3C R6700G3</t>
    <phoneticPr fontId="20" type="noConversion"/>
  </si>
  <si>
    <t>光纤交换机</t>
    <phoneticPr fontId="20" type="noConversion"/>
  </si>
  <si>
    <t>H3C CN6600B</t>
    <phoneticPr fontId="20" type="noConversion"/>
  </si>
  <si>
    <t>存储</t>
    <phoneticPr fontId="20" type="noConversion"/>
  </si>
  <si>
    <t>宏杉MS3000G2-AF</t>
    <phoneticPr fontId="20" type="noConversion"/>
  </si>
  <si>
    <t>存储光纤卡</t>
    <phoneticPr fontId="20" type="noConversion"/>
  </si>
  <si>
    <t>4*16Gbps FC-4xSFP+光模块-IO 模块（宏杉MS3000G2-AF存储用）</t>
    <phoneticPr fontId="20" type="noConversion"/>
  </si>
  <si>
    <t>5月底</t>
    <phoneticPr fontId="20" type="noConversion"/>
  </si>
  <si>
    <t>6月底</t>
    <phoneticPr fontId="20" type="noConversion"/>
  </si>
  <si>
    <t>投入比例（从3月开始）</t>
    <phoneticPr fontId="20" type="noConversion"/>
  </si>
  <si>
    <t>蔡一彪P7</t>
    <phoneticPr fontId="20" type="noConversion"/>
  </si>
  <si>
    <t>赵彤P9</t>
    <phoneticPr fontId="20" type="noConversion"/>
  </si>
  <si>
    <t>毛贤峰P9</t>
    <phoneticPr fontId="20" type="noConversion"/>
  </si>
  <si>
    <t>卢奕P8</t>
    <phoneticPr fontId="20" type="noConversion"/>
  </si>
  <si>
    <t>李倩P6</t>
    <phoneticPr fontId="20" type="noConversion"/>
  </si>
  <si>
    <t>潘凡P5</t>
    <phoneticPr fontId="20" type="noConversion"/>
  </si>
  <si>
    <t>段腾飞P6</t>
    <phoneticPr fontId="20" type="noConversion"/>
  </si>
  <si>
    <t>杨雨P6</t>
    <phoneticPr fontId="20" type="noConversion"/>
  </si>
  <si>
    <t>毛立峰P4</t>
    <phoneticPr fontId="20" type="noConversion"/>
  </si>
  <si>
    <t>陈志成P5</t>
    <phoneticPr fontId="20" type="noConversion"/>
  </si>
  <si>
    <t>秦少峰P6</t>
    <phoneticPr fontId="20" type="noConversion"/>
  </si>
  <si>
    <t>苏修武P6</t>
    <phoneticPr fontId="20" type="noConversion"/>
  </si>
  <si>
    <t>何健武P7</t>
    <phoneticPr fontId="20" type="noConversion"/>
  </si>
  <si>
    <t>钱泽浩P5</t>
    <phoneticPr fontId="20" type="noConversion"/>
  </si>
  <si>
    <t>谭一锋P6</t>
    <phoneticPr fontId="20" type="noConversion"/>
  </si>
  <si>
    <t>何俊奇P6</t>
    <phoneticPr fontId="20" type="noConversion"/>
  </si>
  <si>
    <t>胡宏光P7</t>
    <phoneticPr fontId="20" type="noConversion"/>
  </si>
  <si>
    <t>黄崇表P6</t>
    <phoneticPr fontId="20" type="noConversion"/>
  </si>
  <si>
    <t>张彪P5</t>
    <phoneticPr fontId="20" type="noConversion"/>
  </si>
  <si>
    <t>刘剑锋P5</t>
    <phoneticPr fontId="20" type="noConversion"/>
  </si>
  <si>
    <t>李超凡P5</t>
    <phoneticPr fontId="20" type="noConversion"/>
  </si>
  <si>
    <t>张佩祎P5</t>
    <phoneticPr fontId="20" type="noConversion"/>
  </si>
  <si>
    <t>魏伟P5</t>
    <phoneticPr fontId="20" type="noConversion"/>
  </si>
  <si>
    <t>张浩P5</t>
    <phoneticPr fontId="20" type="noConversion"/>
  </si>
  <si>
    <t>金鹏飞P5</t>
    <phoneticPr fontId="20" type="noConversion"/>
  </si>
  <si>
    <t>团建及业务费用</t>
    <phoneticPr fontId="20" type="noConversion"/>
  </si>
  <si>
    <t>预算总计</t>
    <phoneticPr fontId="20" type="noConversion"/>
  </si>
  <si>
    <t>总预算</t>
    <phoneticPr fontId="20" type="noConversion"/>
  </si>
  <si>
    <t>提前执行采购金额</t>
    <phoneticPr fontId="20" type="noConversion"/>
  </si>
  <si>
    <t>期望到货周期</t>
    <phoneticPr fontId="20" type="noConversion"/>
  </si>
  <si>
    <t>元器件及结构制作</t>
    <phoneticPr fontId="20" type="noConversion"/>
  </si>
  <si>
    <t>硬件报价费用：728.3+26=754.3</t>
    <phoneticPr fontId="20" type="noConversion"/>
  </si>
  <si>
    <t>软件报价费用：332.7</t>
    <phoneticPr fontId="20" type="noConversion"/>
  </si>
  <si>
    <t>商机转入</t>
    <phoneticPr fontId="3" type="noConversion"/>
  </si>
  <si>
    <t>202103</t>
  </si>
  <si>
    <t xml:space="preserve">  玉溪卷烟厂精品线数据集成与产品信息追溯项目</t>
    <phoneticPr fontId="3" type="noConversion"/>
  </si>
  <si>
    <t>YC202104001</t>
    <phoneticPr fontId="3" type="noConversion"/>
  </si>
  <si>
    <t>李传政</t>
    <phoneticPr fontId="3" type="noConversion"/>
  </si>
  <si>
    <t>玉溪卷烟厂精品线数据集成与产品信息追溯项目成本估算</t>
  </si>
  <si>
    <t>类别</t>
  </si>
  <si>
    <t>模块</t>
  </si>
  <si>
    <t>子模块</t>
  </si>
  <si>
    <t>描述</t>
  </si>
  <si>
    <t>人员</t>
  </si>
  <si>
    <t>天数</t>
  </si>
  <si>
    <t>预估成本</t>
  </si>
  <si>
    <t>人工</t>
  </si>
  <si>
    <t>万</t>
  </si>
  <si>
    <t>人/天</t>
  </si>
  <si>
    <t>需求调研</t>
  </si>
  <si>
    <t>工艺流程、数据关联（来源）等</t>
  </si>
  <si>
    <t>需求分析</t>
  </si>
  <si>
    <t>业务分析、数据关联分析</t>
  </si>
  <si>
    <t>需求确认</t>
  </si>
  <si>
    <t>客户需求确认签字</t>
  </si>
  <si>
    <t>系统设计</t>
  </si>
  <si>
    <t>数据存储设计</t>
  </si>
  <si>
    <t>制丝数据存储点梳理和存储设计</t>
  </si>
  <si>
    <t>追溯功能设计</t>
  </si>
  <si>
    <t>软件功能设计</t>
  </si>
  <si>
    <t>数据库设计</t>
  </si>
  <si>
    <t>数据仓库、数据主题等</t>
  </si>
  <si>
    <t>界面设计</t>
  </si>
  <si>
    <t>界面原型设计</t>
  </si>
  <si>
    <t>设计评审确认</t>
  </si>
  <si>
    <t>客户设计确认签字</t>
  </si>
  <si>
    <t>系统开发</t>
  </si>
  <si>
    <t>产品信息追溯平台</t>
  </si>
  <si>
    <t>时间关联数据模型开发</t>
  </si>
  <si>
    <t>烟丝批次关联、烟支缓存关联模型</t>
  </si>
  <si>
    <t>OPC映射配置开发</t>
  </si>
  <si>
    <t>OPC映射配置界面开发</t>
  </si>
  <si>
    <t>系统测试</t>
  </si>
  <si>
    <t>小组测试</t>
  </si>
  <si>
    <t>小组内部测试</t>
  </si>
  <si>
    <t>集成测试</t>
  </si>
  <si>
    <t>公司QC测试</t>
  </si>
  <si>
    <t>技术平台搭建与验证</t>
  </si>
  <si>
    <t>时序数据采集配置</t>
  </si>
  <si>
    <t>工业数据仓库实施</t>
  </si>
  <si>
    <t>数据仓库搭建及数据集市建设</t>
  </si>
  <si>
    <t>软件系统部署</t>
  </si>
  <si>
    <t>部署及调优</t>
  </si>
  <si>
    <t>系统培训</t>
  </si>
  <si>
    <t>培训材料编写、系统集中培训</t>
  </si>
  <si>
    <t>5大培训主题，每项不得低于1周</t>
  </si>
  <si>
    <t>运行维护</t>
  </si>
  <si>
    <t>试运行运维</t>
  </si>
  <si>
    <t>试运行4个月</t>
  </si>
  <si>
    <t>售后运维</t>
  </si>
  <si>
    <t>1年质保期</t>
  </si>
  <si>
    <t>项目管理</t>
  </si>
  <si>
    <t>项目周期约18个月</t>
  </si>
  <si>
    <t>卷包扫码采集器</t>
  </si>
  <si>
    <t>康耐视COGNEX固定式读码器套件</t>
  </si>
  <si>
    <t>软件</t>
  </si>
  <si>
    <t>数据治理平台</t>
  </si>
  <si>
    <t>租房</t>
  </si>
  <si>
    <t>玉溪租房</t>
  </si>
  <si>
    <t>合同结束</t>
    <phoneticPr fontId="3" type="noConversion"/>
  </si>
  <si>
    <t>预算毛利</t>
    <phoneticPr fontId="3" type="noConversion"/>
  </si>
  <si>
    <t>服务期满</t>
    <phoneticPr fontId="3" type="noConversion"/>
  </si>
  <si>
    <t>系统上线</t>
    <phoneticPr fontId="3" type="noConversion"/>
  </si>
  <si>
    <t>赵彤</t>
    <phoneticPr fontId="3" type="noConversion"/>
  </si>
  <si>
    <t>一体化检测平台</t>
    <phoneticPr fontId="3" type="noConversion"/>
  </si>
  <si>
    <t>RD202102</t>
    <phoneticPr fontId="3" type="noConversion"/>
  </si>
  <si>
    <t>韩雪超</t>
    <phoneticPr fontId="3" type="noConversion"/>
  </si>
  <si>
    <t>YC202106001</t>
    <phoneticPr fontId="3" type="noConversion"/>
  </si>
  <si>
    <t>许昌烟草基于自学习专家系统的制丝智能控制技术研究及应用</t>
    <phoneticPr fontId="3" type="noConversion"/>
  </si>
  <si>
    <t>李辉</t>
    <phoneticPr fontId="3" type="noConversion"/>
  </si>
  <si>
    <t>质保期1年</t>
    <phoneticPr fontId="3" type="noConversion"/>
  </si>
  <si>
    <t>项目完成</t>
    <phoneticPr fontId="3" type="noConversion"/>
  </si>
  <si>
    <t>外包费</t>
    <phoneticPr fontId="3" type="noConversion"/>
  </si>
  <si>
    <t>其他</t>
    <phoneticPr fontId="3" type="noConversion"/>
  </si>
  <si>
    <t>202106</t>
  </si>
  <si>
    <t>202104</t>
  </si>
  <si>
    <t>202105</t>
  </si>
  <si>
    <t>支付NYH202104001项目京东采购610米网线-JD-JS-SB-202104001_2021.05.07_-</t>
  </si>
  <si>
    <t>支付NYH202104001淘宝采购变压器-TB-JS-SB-202105002_2021.05.11_-</t>
  </si>
  <si>
    <t>支付NYH202104001淘宝采购激光刻字标牌TB-JS-SB-202105003_2021.05.21_-</t>
  </si>
  <si>
    <t>支付NYH202104001项目淘宝采购胶水-TB-JS-SB-202106001_2021.06.24_-</t>
  </si>
  <si>
    <t>支付NYH202104001采购温控开关-斯泰格_-</t>
  </si>
  <si>
    <t>支付NYH202104001采购传感器磁座-东莞市亿凯磁业_2021.05.11_-</t>
  </si>
  <si>
    <t>合同完结</t>
    <phoneticPr fontId="3" type="noConversion"/>
  </si>
  <si>
    <t>202107</t>
  </si>
  <si>
    <t>RD202103</t>
    <phoneticPr fontId="3" type="noConversion"/>
  </si>
  <si>
    <t>民用版无线振动传感器开发项目</t>
    <phoneticPr fontId="3" type="noConversion"/>
  </si>
  <si>
    <t>RD202104</t>
    <phoneticPr fontId="3" type="noConversion"/>
  </si>
  <si>
    <t>核电无线振动传感器V2版开发项目</t>
    <phoneticPr fontId="3" type="noConversion"/>
  </si>
  <si>
    <t>三通道无线数采开发项目</t>
    <phoneticPr fontId="3" type="noConversion"/>
  </si>
  <si>
    <t>RD202105</t>
    <phoneticPr fontId="3" type="noConversion"/>
  </si>
  <si>
    <t>RD202107</t>
    <phoneticPr fontId="3" type="noConversion"/>
  </si>
  <si>
    <t>陈光濠</t>
    <phoneticPr fontId="3" type="noConversion"/>
  </si>
  <si>
    <t>复杂电机系统测试平台</t>
    <phoneticPr fontId="3" type="noConversion"/>
  </si>
  <si>
    <t>202108</t>
  </si>
  <si>
    <t>支付NYH202104001采购电池-武汉孚安特_2021.08.20_-</t>
  </si>
  <si>
    <t>*支付NYH202104001采购智能无线振动（高频）监测装置-TB-JS-SB-202104001_2021.04.15_-</t>
  </si>
  <si>
    <t>*支付淘宝采购VGA长线/鼠标键盘套装/KVM切换器-TB-JS-SB-202104002/03/04_2021.04.23_-</t>
  </si>
  <si>
    <t>支付淘宝采购三门三期电器产品-TB-JS-SB-202105001_2021.05.07_-</t>
  </si>
  <si>
    <t>支付NYH202104001淘宝采购胶水2瓶-TB-JS-SB-202108001_2021.08.17_-</t>
  </si>
  <si>
    <t>支付NYH202104001淘宝采购爱普全新存储器-TB-JS-SB-202108004_2021.08.24_-</t>
  </si>
  <si>
    <t>支付RD201901采购倍福模块-毕孚自动化_2021.08.25_-</t>
  </si>
  <si>
    <t>*支付RD202104项目淘宝采购虎钳-TB-JS-SB-202109004_2021.09.16_-</t>
  </si>
  <si>
    <t>*支付RD202104采购ADS127L11芯片-TI官网_2021.09.24_-</t>
  </si>
  <si>
    <t>*支付RD202104项目采购物料-TB-JS-SB-202109009_2021.09.27_-</t>
  </si>
  <si>
    <t>202109</t>
  </si>
  <si>
    <t>*支付RD202105淘宝采购电器-TB-JS-SB-202109003_2021.09.14_-</t>
  </si>
  <si>
    <t>工时</t>
  </si>
  <si>
    <t>RD202106Y</t>
    <phoneticPr fontId="3" type="noConversion"/>
  </si>
  <si>
    <t>电池储能电站安全与健康在线监测系统</t>
    <phoneticPr fontId="3" type="noConversion"/>
  </si>
  <si>
    <t>202110</t>
  </si>
  <si>
    <t>*支付RD202103采购线路板_2021.10.27_-</t>
  </si>
  <si>
    <t>*支付RD202103SMT委托加工_2021.10.27_-</t>
  </si>
  <si>
    <t>*支付RD202103采购电子元器件_2021.10.25_-</t>
  </si>
  <si>
    <t>支付RD202104采购PCB贴片_2021.09.03_-</t>
  </si>
  <si>
    <t>支付RD202104采购线路板-深圳捷多邦_2021.04.02_-</t>
  </si>
  <si>
    <t>支付RD202104采购线路板_2021.09.15_-</t>
  </si>
  <si>
    <t>支付RD202104采购线路板-深圳捷多邦_2021.09.26_-</t>
  </si>
  <si>
    <t>*支付RD202104线路板采购款_2021.10.09_-</t>
  </si>
  <si>
    <t>*支付RD202104采购线路板_2021.10.14_-</t>
  </si>
  <si>
    <t>*支付RD202104采购线路板_2021.10.22_-</t>
  </si>
  <si>
    <t>支付RD202104采购PCB制版_2021.09.03_-</t>
  </si>
  <si>
    <t>支付RD202104采购SMT加工-深圳捷创电子科技有限公司_2021.09.24_-</t>
  </si>
  <si>
    <t>*支付RD202104SMT委托加工款_2021.10.08_-</t>
  </si>
  <si>
    <t>支付RD202104采购电子元器件-昴氏_2021.09.24_-</t>
  </si>
  <si>
    <t>支付RD202104采购STM32L431CCU6芯片-深圳市华夏新世纪科技有限公司_2021.09.24_-</t>
  </si>
  <si>
    <t>*支付RD202104采购灌封胶_2021.10.28_-</t>
  </si>
  <si>
    <t>*支付RD202104SMT委托加工_2021.10.22_-</t>
  </si>
  <si>
    <t>*支付RD202104采购组合式抽屉零件盒-20211011_2021.10.28_-</t>
  </si>
  <si>
    <t>*支付RD202104淘宝采购硫化硅橡胶-20211012_2021.10.29_-</t>
  </si>
  <si>
    <t>*支付RD202105采购电子元器件_2021.10.14_-</t>
  </si>
  <si>
    <t>支付RD202105采购电池-武汉孚安特_2021.09.18_-</t>
  </si>
  <si>
    <t>*支付RD202105采购刻板贴片_2021.10.22_-</t>
  </si>
  <si>
    <t>支付RD202105采购LabVIEW FPGA开发软件_2021.09.01_-</t>
  </si>
  <si>
    <t>*支付RD202105采购无线三通道数采开模样品加工_-</t>
  </si>
  <si>
    <t>*支付RD202105采购电子元器件_2021.10.22_-</t>
  </si>
  <si>
    <t>*支付RD202105采购WIFI通信板PCB制版_2021.10.29_-</t>
  </si>
  <si>
    <t>*支付RD202105采购电子元器件-深圳市立创_2021.10.14_-</t>
  </si>
  <si>
    <t>*支付RD202105淘宝采购物料-20211009_2021.10.28_-</t>
  </si>
  <si>
    <t>*支付RD202105淘宝采购航空接头-20211010_2021.10.28_-</t>
  </si>
  <si>
    <t>支付NYH202104001三门三期采购透平油在线监测装置预付款-广研检测_2021.03.26_-</t>
  </si>
  <si>
    <t>支付NYH202104001三门三期采购透平油在线监测装置进度款-广研检测_2021.03.26_-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</si>
</sst>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.00_);\(#,##0.00\)"/>
    <numFmt numFmtId="177" formatCode="0.00_ "/>
    <numFmt numFmtId="178" formatCode="_ * #,##0_ ;_ * \-#,##0_ ;_ * &quot;-&quot;??_ ;_ @_ "/>
    <numFmt numFmtId="179" formatCode="0.000_ "/>
    <numFmt numFmtId="180" formatCode="0.0%"/>
  </numFmts>
  <fonts count="5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10"/>
      <name val="Microsoft YaHei Light"/>
      <family val="2"/>
      <charset val="134"/>
    </font>
    <font>
      <sz val="10"/>
      <color theme="1"/>
      <name val="Microsoft YaHei Light"/>
      <family val="2"/>
      <charset val="134"/>
    </font>
    <font>
      <b/>
      <sz val="10"/>
      <color rgb="FFFF0000"/>
      <name val="Microsoft YaHei Light"/>
      <family val="2"/>
      <charset val="134"/>
    </font>
    <font>
      <b/>
      <sz val="10"/>
      <color theme="0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2"/>
      <color theme="1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rgb="FFFF0000"/>
      <name val="Microsoft YaHei Light"/>
      <family val="2"/>
      <charset val="134"/>
    </font>
    <font>
      <b/>
      <sz val="10"/>
      <color theme="1"/>
      <name val="Microsoft YaHei Light"/>
      <family val="2"/>
      <charset val="134"/>
    </font>
    <font>
      <b/>
      <sz val="12"/>
      <color rgb="FF0070C0"/>
      <name val="Microsoft YaHei Light"/>
      <family val="2"/>
      <charset val="134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Microsoft YaHei Light"/>
      <family val="2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等线"/>
      <family val="3"/>
      <charset val="134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u/>
      <sz val="12"/>
      <color rgb="FF000099"/>
      <name val="Arial"/>
      <family val="2"/>
    </font>
    <font>
      <b/>
      <u/>
      <sz val="11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Arial"/>
      <family val="2"/>
    </font>
    <font>
      <b/>
      <u/>
      <sz val="12"/>
      <color theme="1"/>
      <name val="黑体"/>
      <family val="3"/>
      <charset val="134"/>
    </font>
    <font>
      <sz val="1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8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sz val="8"/>
      <color rgb="FFFF0000"/>
      <name val="等线"/>
      <family val="3"/>
      <charset val="134"/>
      <scheme val="minor"/>
    </font>
    <font>
      <b/>
      <sz val="8"/>
      <color rgb="FFFF0000"/>
      <name val="等线"/>
      <family val="3"/>
      <charset val="134"/>
      <scheme val="minor"/>
    </font>
    <font>
      <sz val="8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8" tint="-0.249977111117893"/>
      <name val="微软雅黑"/>
      <family val="2"/>
      <charset val="134"/>
    </font>
    <font>
      <u/>
      <sz val="11"/>
      <color theme="1"/>
      <name val="等线"/>
      <family val="2"/>
      <charset val="134"/>
      <scheme val="minor"/>
    </font>
    <font>
      <u/>
      <sz val="11"/>
      <color theme="1"/>
      <name val="Microsoft YaHei Light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0"/>
      </bottom>
      <diagonal/>
    </border>
  </borders>
  <cellStyleXfs count="1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7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/>
    <xf numFmtId="44" fontId="2" fillId="0" borderId="0" applyFont="0" applyFill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6" fillId="0" borderId="0" xfId="2" applyFont="1" applyAlignment="1">
      <alignment horizontal="left" vertical="center"/>
    </xf>
    <xf numFmtId="0" fontId="5" fillId="0" borderId="0" xfId="2" applyAlignment="1"/>
    <xf numFmtId="0" fontId="9" fillId="0" borderId="0" xfId="2" applyFont="1" applyFill="1" applyBorder="1" applyAlignment="1"/>
    <xf numFmtId="0" fontId="5" fillId="0" borderId="0" xfId="2" applyFont="1" applyAlignment="1"/>
    <xf numFmtId="0" fontId="5" fillId="0" borderId="0" xfId="2" applyFont="1" applyFill="1" applyAlignment="1"/>
    <xf numFmtId="43" fontId="5" fillId="0" borderId="0" xfId="1" applyFont="1" applyAlignment="1"/>
    <xf numFmtId="0" fontId="10" fillId="0" borderId="0" xfId="2" applyFont="1" applyAlignment="1"/>
    <xf numFmtId="43" fontId="10" fillId="0" borderId="0" xfId="1" applyFont="1" applyAlignment="1"/>
    <xf numFmtId="0" fontId="21" fillId="0" borderId="0" xfId="2" applyFont="1" applyAlignment="1">
      <alignment horizontal="left" vertical="center"/>
    </xf>
    <xf numFmtId="0" fontId="22" fillId="0" borderId="2" xfId="2" applyFont="1" applyBorder="1" applyAlignment="1"/>
    <xf numFmtId="0" fontId="22" fillId="0" borderId="0" xfId="2" applyFont="1" applyAlignment="1"/>
    <xf numFmtId="0" fontId="23" fillId="0" borderId="0" xfId="2" applyFont="1" applyAlignment="1"/>
    <xf numFmtId="43" fontId="22" fillId="0" borderId="0" xfId="4" applyFont="1" applyAlignment="1"/>
    <xf numFmtId="0" fontId="25" fillId="0" borderId="0" xfId="2" applyFont="1" applyAlignment="1">
      <alignment horizontal="left" vertical="center"/>
    </xf>
    <xf numFmtId="57" fontId="19" fillId="4" borderId="7" xfId="2" applyNumberFormat="1" applyFont="1" applyFill="1" applyBorder="1" applyAlignment="1">
      <alignment horizontal="center"/>
    </xf>
    <xf numFmtId="43" fontId="19" fillId="4" borderId="7" xfId="1" applyFont="1" applyFill="1" applyBorder="1" applyAlignment="1">
      <alignment horizontal="center"/>
    </xf>
    <xf numFmtId="0" fontId="28" fillId="4" borderId="7" xfId="2" applyFont="1" applyFill="1" applyBorder="1" applyAlignment="1">
      <alignment horizontal="center"/>
    </xf>
    <xf numFmtId="43" fontId="27" fillId="4" borderId="7" xfId="1" applyFont="1" applyFill="1" applyBorder="1" applyAlignment="1"/>
    <xf numFmtId="0" fontId="29" fillId="0" borderId="0" xfId="2" applyFont="1" applyAlignment="1">
      <alignment horizontal="left" vertical="center"/>
    </xf>
    <xf numFmtId="176" fontId="29" fillId="0" borderId="2" xfId="2" applyNumberFormat="1" applyFont="1" applyBorder="1" applyAlignment="1">
      <alignment horizontal="center" vertical="center"/>
    </xf>
    <xf numFmtId="176" fontId="29" fillId="0" borderId="3" xfId="2" applyNumberFormat="1" applyFont="1" applyBorder="1" applyAlignment="1">
      <alignment horizontal="center" vertical="center"/>
    </xf>
    <xf numFmtId="0" fontId="19" fillId="4" borderId="7" xfId="3" applyFont="1" applyFill="1" applyBorder="1" applyAlignment="1">
      <alignment horizontal="center" vertical="center"/>
    </xf>
    <xf numFmtId="0" fontId="19" fillId="4" borderId="7" xfId="3" applyFont="1" applyFill="1" applyBorder="1" applyAlignment="1">
      <alignment horizontal="center" vertical="center" wrapText="1"/>
    </xf>
    <xf numFmtId="57" fontId="17" fillId="6" borderId="7" xfId="2" applyNumberFormat="1" applyFont="1" applyFill="1" applyBorder="1" applyAlignment="1">
      <alignment horizontal="center"/>
    </xf>
    <xf numFmtId="43" fontId="26" fillId="6" borderId="7" xfId="1" applyNumberFormat="1" applyFont="1" applyFill="1" applyBorder="1" applyAlignment="1"/>
    <xf numFmtId="57" fontId="17" fillId="5" borderId="7" xfId="2" applyNumberFormat="1" applyFont="1" applyFill="1" applyBorder="1" applyAlignment="1">
      <alignment horizontal="center"/>
    </xf>
    <xf numFmtId="43" fontId="26" fillId="5" borderId="7" xfId="1" applyNumberFormat="1" applyFont="1" applyFill="1" applyBorder="1" applyAlignment="1"/>
    <xf numFmtId="0" fontId="19" fillId="4" borderId="7" xfId="2" applyNumberFormat="1" applyFont="1" applyFill="1" applyBorder="1" applyAlignment="1">
      <alignment horizontal="center"/>
    </xf>
    <xf numFmtId="43" fontId="27" fillId="4" borderId="7" xfId="1" applyNumberFormat="1" applyFont="1" applyFill="1" applyBorder="1" applyAlignment="1"/>
    <xf numFmtId="57" fontId="17" fillId="0" borderId="5" xfId="2" applyNumberFormat="1" applyFont="1" applyFill="1" applyBorder="1" applyAlignment="1">
      <alignment horizontal="center"/>
    </xf>
    <xf numFmtId="43" fontId="26" fillId="0" borderId="5" xfId="1" applyFont="1" applyFill="1" applyBorder="1" applyAlignment="1"/>
    <xf numFmtId="0" fontId="8" fillId="0" borderId="0" xfId="0" applyFont="1">
      <alignment vertical="center"/>
    </xf>
    <xf numFmtId="0" fontId="35" fillId="0" borderId="0" xfId="0" applyFont="1">
      <alignment vertical="center"/>
    </xf>
    <xf numFmtId="57" fontId="24" fillId="5" borderId="7" xfId="2" applyNumberFormat="1" applyFont="1" applyFill="1" applyBorder="1" applyAlignment="1">
      <alignment horizontal="center"/>
    </xf>
    <xf numFmtId="57" fontId="24" fillId="6" borderId="7" xfId="2" applyNumberFormat="1" applyFont="1" applyFill="1" applyBorder="1" applyAlignment="1">
      <alignment horizontal="center"/>
    </xf>
    <xf numFmtId="43" fontId="32" fillId="5" borderId="7" xfId="1" applyNumberFormat="1" applyFont="1" applyFill="1" applyBorder="1" applyAlignment="1"/>
    <xf numFmtId="43" fontId="32" fillId="6" borderId="7" xfId="1" applyNumberFormat="1" applyFont="1" applyFill="1" applyBorder="1" applyAlignment="1"/>
    <xf numFmtId="9" fontId="32" fillId="6" borderId="7" xfId="5" applyFont="1" applyFill="1" applyBorder="1" applyAlignment="1"/>
    <xf numFmtId="178" fontId="32" fillId="5" borderId="7" xfId="1" applyNumberFormat="1" applyFont="1" applyFill="1" applyBorder="1" applyAlignment="1"/>
    <xf numFmtId="9" fontId="31" fillId="6" borderId="7" xfId="5" applyFont="1" applyFill="1" applyBorder="1" applyAlignment="1"/>
    <xf numFmtId="9" fontId="37" fillId="6" borderId="7" xfId="5" applyFont="1" applyFill="1" applyBorder="1" applyAlignment="1"/>
    <xf numFmtId="176" fontId="29" fillId="0" borderId="0" xfId="2" applyNumberFormat="1" applyFont="1" applyBorder="1" applyAlignment="1">
      <alignment horizontal="center" vertical="center"/>
    </xf>
    <xf numFmtId="0" fontId="22" fillId="0" borderId="0" xfId="2" applyFont="1" applyBorder="1" applyAlignment="1"/>
    <xf numFmtId="43" fontId="0" fillId="0" borderId="0" xfId="0" applyNumberFormat="1">
      <alignment vertical="center"/>
    </xf>
    <xf numFmtId="43" fontId="26" fillId="6" borderId="7" xfId="1" applyFont="1" applyFill="1" applyBorder="1" applyAlignment="1"/>
    <xf numFmtId="43" fontId="26" fillId="5" borderId="7" xfId="1" applyFont="1" applyFill="1" applyBorder="1" applyAlignment="1"/>
    <xf numFmtId="0" fontId="15" fillId="0" borderId="5" xfId="0" applyFont="1" applyBorder="1" applyAlignment="1"/>
    <xf numFmtId="43" fontId="15" fillId="0" borderId="5" xfId="1" applyFont="1" applyFill="1" applyBorder="1" applyAlignment="1"/>
    <xf numFmtId="57" fontId="19" fillId="4" borderId="13" xfId="2" applyNumberFormat="1" applyFont="1" applyFill="1" applyBorder="1" applyAlignment="1">
      <alignment horizontal="center"/>
    </xf>
    <xf numFmtId="43" fontId="19" fillId="4" borderId="13" xfId="1" applyFont="1" applyFill="1" applyBorder="1" applyAlignment="1">
      <alignment horizontal="center"/>
    </xf>
    <xf numFmtId="43" fontId="17" fillId="0" borderId="50" xfId="1" applyFont="1" applyFill="1" applyBorder="1" applyAlignment="1">
      <alignment horizontal="center"/>
    </xf>
    <xf numFmtId="0" fontId="15" fillId="0" borderId="5" xfId="0" applyNumberFormat="1" applyFont="1" applyBorder="1" applyAlignment="1">
      <alignment horizontal="center"/>
    </xf>
    <xf numFmtId="0" fontId="4" fillId="0" borderId="0" xfId="0" applyFont="1">
      <alignment vertical="center"/>
    </xf>
    <xf numFmtId="43" fontId="16" fillId="0" borderId="50" xfId="1" applyFont="1" applyFill="1" applyBorder="1" applyAlignment="1">
      <alignment horizontal="center"/>
    </xf>
    <xf numFmtId="57" fontId="18" fillId="6" borderId="7" xfId="2" applyNumberFormat="1" applyFont="1" applyFill="1" applyBorder="1" applyAlignment="1">
      <alignment horizontal="center"/>
    </xf>
    <xf numFmtId="0" fontId="42" fillId="0" borderId="0" xfId="2" applyFont="1" applyAlignment="1"/>
    <xf numFmtId="0" fontId="28" fillId="4" borderId="5" xfId="2" applyFont="1" applyFill="1" applyBorder="1" applyAlignment="1">
      <alignment horizontal="center"/>
    </xf>
    <xf numFmtId="43" fontId="27" fillId="4" borderId="5" xfId="1" applyFont="1" applyFill="1" applyBorder="1" applyAlignment="1"/>
    <xf numFmtId="0" fontId="15" fillId="0" borderId="5" xfId="0" applyFont="1" applyFill="1" applyBorder="1" applyAlignment="1"/>
    <xf numFmtId="43" fontId="10" fillId="0" borderId="5" xfId="1" applyFont="1" applyFill="1" applyBorder="1" applyAlignment="1"/>
    <xf numFmtId="0" fontId="10" fillId="0" borderId="5" xfId="0" applyFont="1" applyFill="1" applyBorder="1" applyAlignment="1">
      <alignment horizontal="center"/>
    </xf>
    <xf numFmtId="57" fontId="19" fillId="4" borderId="5" xfId="2" applyNumberFormat="1" applyFont="1" applyFill="1" applyBorder="1" applyAlignment="1">
      <alignment horizontal="center"/>
    </xf>
    <xf numFmtId="43" fontId="19" fillId="4" borderId="5" xfId="1" applyFont="1" applyFill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0" fillId="0" borderId="14" xfId="0" applyFont="1" applyFill="1" applyBorder="1" applyAlignment="1"/>
    <xf numFmtId="0" fontId="10" fillId="0" borderId="15" xfId="0" applyFont="1" applyFill="1" applyBorder="1" applyAlignment="1"/>
    <xf numFmtId="0" fontId="10" fillId="0" borderId="6" xfId="0" applyFont="1" applyFill="1" applyBorder="1" applyAlignment="1"/>
    <xf numFmtId="176" fontId="29" fillId="0" borderId="0" xfId="2" applyNumberFormat="1" applyFont="1" applyBorder="1" applyAlignment="1">
      <alignment horizontal="center" vertical="center"/>
    </xf>
    <xf numFmtId="0" fontId="43" fillId="7" borderId="25" xfId="0" applyFont="1" applyFill="1" applyBorder="1">
      <alignment vertical="center"/>
    </xf>
    <xf numFmtId="0" fontId="43" fillId="7" borderId="1" xfId="0" applyFont="1" applyFill="1" applyBorder="1">
      <alignment vertical="center"/>
    </xf>
    <xf numFmtId="0" fontId="43" fillId="7" borderId="1" xfId="0" applyFont="1" applyFill="1" applyBorder="1" applyAlignment="1">
      <alignment horizontal="left" vertical="center"/>
    </xf>
    <xf numFmtId="0" fontId="43" fillId="7" borderId="25" xfId="0" applyFont="1" applyFill="1" applyBorder="1" applyAlignment="1">
      <alignment horizontal="right" vertical="center"/>
    </xf>
    <xf numFmtId="0" fontId="44" fillId="3" borderId="27" xfId="0" applyFont="1" applyFill="1" applyBorder="1" applyAlignment="1">
      <alignment horizontal="left" vertical="center"/>
    </xf>
    <xf numFmtId="177" fontId="46" fillId="7" borderId="20" xfId="0" applyNumberFormat="1" applyFont="1" applyFill="1" applyBorder="1">
      <alignment vertical="center"/>
    </xf>
    <xf numFmtId="177" fontId="46" fillId="7" borderId="57" xfId="0" applyNumberFormat="1" applyFont="1" applyFill="1" applyBorder="1">
      <alignment vertical="center"/>
    </xf>
    <xf numFmtId="0" fontId="47" fillId="0" borderId="0" xfId="0" applyFont="1">
      <alignment vertical="center"/>
    </xf>
    <xf numFmtId="0" fontId="46" fillId="7" borderId="22" xfId="0" applyFont="1" applyFill="1" applyBorder="1">
      <alignment vertical="center"/>
    </xf>
    <xf numFmtId="0" fontId="43" fillId="7" borderId="1" xfId="0" applyFont="1" applyFill="1" applyBorder="1" applyAlignment="1">
      <alignment horizontal="center" vertical="center"/>
    </xf>
    <xf numFmtId="177" fontId="43" fillId="7" borderId="1" xfId="0" applyNumberFormat="1" applyFont="1" applyFill="1" applyBorder="1" applyAlignment="1">
      <alignment horizontal="center" vertical="center"/>
    </xf>
    <xf numFmtId="0" fontId="46" fillId="7" borderId="53" xfId="0" applyFont="1" applyFill="1" applyBorder="1">
      <alignment vertical="center"/>
    </xf>
    <xf numFmtId="177" fontId="43" fillId="7" borderId="1" xfId="0" applyNumberFormat="1" applyFont="1" applyFill="1" applyBorder="1">
      <alignment vertical="center"/>
    </xf>
    <xf numFmtId="177" fontId="43" fillId="7" borderId="4" xfId="0" applyNumberFormat="1" applyFont="1" applyFill="1" applyBorder="1">
      <alignment vertical="center"/>
    </xf>
    <xf numFmtId="179" fontId="43" fillId="7" borderId="1" xfId="0" applyNumberFormat="1" applyFont="1" applyFill="1" applyBorder="1">
      <alignment vertical="center"/>
    </xf>
    <xf numFmtId="0" fontId="43" fillId="7" borderId="17" xfId="0" applyFont="1" applyFill="1" applyBorder="1">
      <alignment vertical="center"/>
    </xf>
    <xf numFmtId="177" fontId="43" fillId="7" borderId="17" xfId="0" applyNumberFormat="1" applyFont="1" applyFill="1" applyBorder="1">
      <alignment vertical="center"/>
    </xf>
    <xf numFmtId="177" fontId="43" fillId="7" borderId="37" xfId="0" applyNumberFormat="1" applyFont="1" applyFill="1" applyBorder="1">
      <alignment vertical="center"/>
    </xf>
    <xf numFmtId="0" fontId="43" fillId="7" borderId="17" xfId="0" applyFont="1" applyFill="1" applyBorder="1" applyAlignment="1">
      <alignment horizontal="right" vertical="center"/>
    </xf>
    <xf numFmtId="177" fontId="43" fillId="7" borderId="17" xfId="0" applyNumberFormat="1" applyFont="1" applyFill="1" applyBorder="1" applyAlignment="1">
      <alignment horizontal="right" vertical="center"/>
    </xf>
    <xf numFmtId="177" fontId="43" fillId="7" borderId="17" xfId="0" applyNumberFormat="1" applyFont="1" applyFill="1" applyBorder="1" applyAlignment="1">
      <alignment horizontal="left" vertical="center"/>
    </xf>
    <xf numFmtId="0" fontId="45" fillId="7" borderId="22" xfId="0" applyFont="1" applyFill="1" applyBorder="1">
      <alignment vertical="center"/>
    </xf>
    <xf numFmtId="0" fontId="45" fillId="7" borderId="30" xfId="0" applyFont="1" applyFill="1" applyBorder="1">
      <alignment vertical="center"/>
    </xf>
    <xf numFmtId="177" fontId="44" fillId="7" borderId="56" xfId="0" applyNumberFormat="1" applyFont="1" applyFill="1" applyBorder="1" applyAlignment="1">
      <alignment horizontal="center" vertical="center" wrapText="1"/>
    </xf>
    <xf numFmtId="177" fontId="44" fillId="7" borderId="56" xfId="0" applyNumberFormat="1" applyFont="1" applyFill="1" applyBorder="1">
      <alignment vertical="center"/>
    </xf>
    <xf numFmtId="177" fontId="44" fillId="7" borderId="45" xfId="0" applyNumberFormat="1" applyFont="1" applyFill="1" applyBorder="1">
      <alignment vertical="center"/>
    </xf>
    <xf numFmtId="177" fontId="47" fillId="7" borderId="46" xfId="0" applyNumberFormat="1" applyFont="1" applyFill="1" applyBorder="1" applyAlignment="1">
      <alignment horizontal="right" vertical="center"/>
    </xf>
    <xf numFmtId="180" fontId="47" fillId="7" borderId="1" xfId="0" applyNumberFormat="1" applyFont="1" applyFill="1" applyBorder="1" applyAlignment="1">
      <alignment horizontal="center" vertical="center"/>
    </xf>
    <xf numFmtId="177" fontId="47" fillId="7" borderId="38" xfId="0" applyNumberFormat="1" applyFont="1" applyFill="1" applyBorder="1" applyAlignment="1">
      <alignment horizontal="center" vertical="center"/>
    </xf>
    <xf numFmtId="177" fontId="47" fillId="7" borderId="40" xfId="0" applyNumberFormat="1" applyFont="1" applyFill="1" applyBorder="1" applyAlignment="1">
      <alignment horizontal="center" vertical="center"/>
    </xf>
    <xf numFmtId="180" fontId="47" fillId="3" borderId="1" xfId="0" applyNumberFormat="1" applyFont="1" applyFill="1" applyBorder="1" applyAlignment="1">
      <alignment horizontal="center" vertical="center"/>
    </xf>
    <xf numFmtId="177" fontId="47" fillId="3" borderId="40" xfId="0" applyNumberFormat="1" applyFont="1" applyFill="1" applyBorder="1" applyAlignment="1">
      <alignment horizontal="center" vertical="center"/>
    </xf>
    <xf numFmtId="177" fontId="49" fillId="7" borderId="32" xfId="0" applyNumberFormat="1" applyFont="1" applyFill="1" applyBorder="1" applyAlignment="1">
      <alignment horizontal="center" vertical="center"/>
    </xf>
    <xf numFmtId="177" fontId="49" fillId="7" borderId="33" xfId="0" applyNumberFormat="1" applyFont="1" applyFill="1" applyBorder="1">
      <alignment vertical="center"/>
    </xf>
    <xf numFmtId="177" fontId="49" fillId="7" borderId="54" xfId="0" applyNumberFormat="1" applyFont="1" applyFill="1" applyBorder="1">
      <alignment vertical="center"/>
    </xf>
    <xf numFmtId="177" fontId="49" fillId="7" borderId="54" xfId="0" applyNumberFormat="1" applyFont="1" applyFill="1" applyBorder="1" applyAlignment="1">
      <alignment horizontal="center" vertical="center"/>
    </xf>
    <xf numFmtId="177" fontId="45" fillId="7" borderId="46" xfId="0" applyNumberFormat="1" applyFont="1" applyFill="1" applyBorder="1" applyAlignment="1">
      <alignment horizontal="left" vertical="center"/>
    </xf>
    <xf numFmtId="0" fontId="47" fillId="7" borderId="1" xfId="0" applyFont="1" applyFill="1" applyBorder="1" applyAlignment="1">
      <alignment horizontal="center" vertical="center"/>
    </xf>
    <xf numFmtId="177" fontId="47" fillId="7" borderId="1" xfId="0" applyNumberFormat="1" applyFont="1" applyFill="1" applyBorder="1" applyAlignment="1">
      <alignment horizontal="center" vertical="center"/>
    </xf>
    <xf numFmtId="177" fontId="45" fillId="7" borderId="26" xfId="0" applyNumberFormat="1" applyFont="1" applyFill="1" applyBorder="1">
      <alignment vertical="center"/>
    </xf>
    <xf numFmtId="177" fontId="45" fillId="7" borderId="40" xfId="0" applyNumberFormat="1" applyFont="1" applyFill="1" applyBorder="1">
      <alignment vertical="center"/>
    </xf>
    <xf numFmtId="0" fontId="47" fillId="7" borderId="1" xfId="0" applyFont="1" applyFill="1" applyBorder="1">
      <alignment vertical="center"/>
    </xf>
    <xf numFmtId="177" fontId="47" fillId="7" borderId="1" xfId="0" applyNumberFormat="1" applyFont="1" applyFill="1" applyBorder="1">
      <alignment vertical="center"/>
    </xf>
    <xf numFmtId="177" fontId="47" fillId="7" borderId="26" xfId="0" applyNumberFormat="1" applyFont="1" applyFill="1" applyBorder="1">
      <alignment vertical="center"/>
    </xf>
    <xf numFmtId="177" fontId="47" fillId="7" borderId="40" xfId="0" applyNumberFormat="1" applyFont="1" applyFill="1" applyBorder="1">
      <alignment vertical="center"/>
    </xf>
    <xf numFmtId="0" fontId="47" fillId="7" borderId="32" xfId="0" applyFont="1" applyFill="1" applyBorder="1">
      <alignment vertical="center"/>
    </xf>
    <xf numFmtId="0" fontId="44" fillId="7" borderId="32" xfId="0" applyFont="1" applyFill="1" applyBorder="1">
      <alignment vertical="center"/>
    </xf>
    <xf numFmtId="177" fontId="47" fillId="7" borderId="32" xfId="0" applyNumberFormat="1" applyFont="1" applyFill="1" applyBorder="1">
      <alignment vertical="center"/>
    </xf>
    <xf numFmtId="177" fontId="47" fillId="7" borderId="33" xfId="0" applyNumberFormat="1" applyFont="1" applyFill="1" applyBorder="1">
      <alignment vertical="center"/>
    </xf>
    <xf numFmtId="177" fontId="45" fillId="7" borderId="33" xfId="0" applyNumberFormat="1" applyFont="1" applyFill="1" applyBorder="1">
      <alignment vertical="center"/>
    </xf>
    <xf numFmtId="177" fontId="45" fillId="7" borderId="54" xfId="0" applyNumberFormat="1" applyFont="1" applyFill="1" applyBorder="1">
      <alignment vertical="center"/>
    </xf>
    <xf numFmtId="0" fontId="46" fillId="7" borderId="21" xfId="0" applyFont="1" applyFill="1" applyBorder="1" applyAlignment="1">
      <alignment vertical="center" wrapText="1"/>
    </xf>
    <xf numFmtId="177" fontId="49" fillId="7" borderId="4" xfId="0" applyNumberFormat="1" applyFont="1" applyFill="1" applyBorder="1" applyAlignment="1">
      <alignment horizontal="center" vertical="center"/>
    </xf>
    <xf numFmtId="177" fontId="43" fillId="7" borderId="4" xfId="0" applyNumberFormat="1" applyFont="1" applyFill="1" applyBorder="1" applyAlignment="1">
      <alignment horizontal="left" vertical="center"/>
    </xf>
    <xf numFmtId="0" fontId="43" fillId="7" borderId="26" xfId="0" applyFont="1" applyFill="1" applyBorder="1" applyAlignment="1">
      <alignment horizontal="center" vertical="center" wrapText="1"/>
    </xf>
    <xf numFmtId="0" fontId="43" fillId="7" borderId="26" xfId="0" applyFont="1" applyFill="1" applyBorder="1" applyAlignment="1">
      <alignment vertical="center" wrapText="1"/>
    </xf>
    <xf numFmtId="0" fontId="43" fillId="7" borderId="1" xfId="0" applyFont="1" applyFill="1" applyBorder="1" applyAlignment="1">
      <alignment vertical="center" wrapText="1"/>
    </xf>
    <xf numFmtId="0" fontId="43" fillId="7" borderId="29" xfId="0" applyFont="1" applyFill="1" applyBorder="1" applyAlignment="1">
      <alignment vertical="center" wrapText="1"/>
    </xf>
    <xf numFmtId="177" fontId="48" fillId="7" borderId="1" xfId="0" applyNumberFormat="1" applyFont="1" applyFill="1" applyBorder="1">
      <alignment vertical="center"/>
    </xf>
    <xf numFmtId="177" fontId="48" fillId="7" borderId="37" xfId="0" applyNumberFormat="1" applyFont="1" applyFill="1" applyBorder="1">
      <alignment vertical="center"/>
    </xf>
    <xf numFmtId="0" fontId="43" fillId="7" borderId="17" xfId="0" applyFont="1" applyFill="1" applyBorder="1" applyAlignment="1">
      <alignment horizontal="left" vertical="center" wrapText="1"/>
    </xf>
    <xf numFmtId="177" fontId="43" fillId="7" borderId="1" xfId="0" applyNumberFormat="1" applyFont="1" applyFill="1" applyBorder="1" applyAlignment="1">
      <alignment horizontal="right" vertical="center"/>
    </xf>
    <xf numFmtId="0" fontId="43" fillId="7" borderId="59" xfId="0" applyFont="1" applyFill="1" applyBorder="1" applyAlignment="1">
      <alignment horizontal="left" vertical="center" wrapText="1"/>
    </xf>
    <xf numFmtId="0" fontId="50" fillId="9" borderId="54" xfId="0" applyFont="1" applyFill="1" applyBorder="1" applyAlignment="1">
      <alignment horizontal="left" vertical="center" wrapText="1"/>
    </xf>
    <xf numFmtId="177" fontId="46" fillId="7" borderId="32" xfId="0" applyNumberFormat="1" applyFont="1" applyFill="1" applyBorder="1">
      <alignment vertical="center"/>
    </xf>
    <xf numFmtId="177" fontId="49" fillId="7" borderId="43" xfId="0" applyNumberFormat="1" applyFont="1" applyFill="1" applyBorder="1">
      <alignment vertical="center"/>
    </xf>
    <xf numFmtId="0" fontId="47" fillId="7" borderId="34" xfId="0" applyFont="1" applyFill="1" applyBorder="1" applyAlignment="1">
      <alignment horizontal="center" vertical="center" wrapText="1"/>
    </xf>
    <xf numFmtId="177" fontId="47" fillId="7" borderId="26" xfId="0" applyNumberFormat="1" applyFont="1" applyFill="1" applyBorder="1" applyAlignment="1">
      <alignment horizontal="center" vertical="center"/>
    </xf>
    <xf numFmtId="0" fontId="47" fillId="3" borderId="16" xfId="0" applyFont="1" applyFill="1" applyBorder="1" applyAlignment="1">
      <alignment horizontal="left" vertical="center"/>
    </xf>
    <xf numFmtId="177" fontId="47" fillId="3" borderId="26" xfId="0" applyNumberFormat="1" applyFont="1" applyFill="1" applyBorder="1" applyAlignment="1">
      <alignment horizontal="center" vertical="center"/>
    </xf>
    <xf numFmtId="43" fontId="0" fillId="0" borderId="0" xfId="1" applyFont="1">
      <alignment vertical="center"/>
    </xf>
    <xf numFmtId="0" fontId="40" fillId="0" borderId="5" xfId="0" applyFont="1" applyBorder="1" applyAlignment="1"/>
    <xf numFmtId="0" fontId="15" fillId="0" borderId="0" xfId="0" applyFont="1" applyAlignment="1"/>
    <xf numFmtId="0" fontId="14" fillId="8" borderId="1" xfId="0" applyFont="1" applyFill="1" applyBorder="1" applyAlignment="1">
      <alignment vertical="center" wrapText="1"/>
    </xf>
    <xf numFmtId="0" fontId="14" fillId="12" borderId="1" xfId="0" applyFont="1" applyFill="1" applyBorder="1" applyAlignment="1">
      <alignment vertical="center" wrapText="1"/>
    </xf>
    <xf numFmtId="0" fontId="51" fillId="0" borderId="0" xfId="0" applyFont="1">
      <alignment vertical="center"/>
    </xf>
    <xf numFmtId="0" fontId="13" fillId="0" borderId="0" xfId="0" applyFont="1">
      <alignment vertical="center"/>
    </xf>
    <xf numFmtId="0" fontId="52" fillId="10" borderId="0" xfId="9" applyNumberFormat="1" applyFont="1" applyFill="1">
      <alignment vertical="center"/>
    </xf>
    <xf numFmtId="0" fontId="30" fillId="0" borderId="0" xfId="0" applyFont="1">
      <alignment vertical="center"/>
    </xf>
    <xf numFmtId="0" fontId="36" fillId="11" borderId="1" xfId="0" applyFont="1" applyFill="1" applyBorder="1" applyAlignment="1">
      <alignment horizontal="center" vertical="center"/>
    </xf>
    <xf numFmtId="0" fontId="13" fillId="8" borderId="1" xfId="0" applyFont="1" applyFill="1" applyBorder="1">
      <alignment vertical="center"/>
    </xf>
    <xf numFmtId="0" fontId="14" fillId="8" borderId="1" xfId="0" applyFont="1" applyFill="1" applyBorder="1">
      <alignment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>
      <alignment vertical="center"/>
    </xf>
    <xf numFmtId="0" fontId="51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51" fillId="8" borderId="1" xfId="0" applyFont="1" applyFill="1" applyBorder="1">
      <alignment vertical="center"/>
    </xf>
    <xf numFmtId="4" fontId="14" fillId="12" borderId="1" xfId="0" applyNumberFormat="1" applyFont="1" applyFill="1" applyBorder="1">
      <alignment vertical="center"/>
    </xf>
    <xf numFmtId="0" fontId="13" fillId="13" borderId="1" xfId="0" applyFont="1" applyFill="1" applyBorder="1">
      <alignment vertical="center"/>
    </xf>
    <xf numFmtId="0" fontId="14" fillId="13" borderId="1" xfId="0" applyFont="1" applyFill="1" applyBorder="1">
      <alignment vertical="center"/>
    </xf>
    <xf numFmtId="0" fontId="19" fillId="4" borderId="7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57" fontId="17" fillId="0" borderId="52" xfId="2" applyNumberFormat="1" applyFont="1" applyFill="1" applyBorder="1" applyAlignment="1">
      <alignment horizontal="left"/>
    </xf>
    <xf numFmtId="0" fontId="19" fillId="4" borderId="13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43" fontId="40" fillId="0" borderId="5" xfId="1" applyFont="1" applyFill="1" applyBorder="1" applyAlignment="1"/>
    <xf numFmtId="0" fontId="28" fillId="4" borderId="12" xfId="2" applyFont="1" applyFill="1" applyBorder="1" applyAlignment="1">
      <alignment horizontal="center"/>
    </xf>
    <xf numFmtId="43" fontId="27" fillId="4" borderId="12" xfId="1" applyFont="1" applyFill="1" applyBorder="1" applyAlignment="1"/>
    <xf numFmtId="43" fontId="16" fillId="0" borderId="5" xfId="1" applyFont="1" applyFill="1" applyBorder="1" applyAlignment="1">
      <alignment horizontal="center"/>
    </xf>
    <xf numFmtId="43" fontId="15" fillId="0" borderId="5" xfId="1" applyFont="1" applyBorder="1" applyAlignment="1"/>
    <xf numFmtId="43" fontId="51" fillId="0" borderId="5" xfId="1" applyFont="1" applyBorder="1">
      <alignment vertical="center"/>
    </xf>
    <xf numFmtId="176" fontId="33" fillId="0" borderId="0" xfId="2" applyNumberFormat="1" applyFont="1" applyFill="1" applyBorder="1" applyAlignment="1">
      <alignment horizontal="center" vertical="center"/>
    </xf>
    <xf numFmtId="176" fontId="34" fillId="0" borderId="0" xfId="2" applyNumberFormat="1" applyFont="1" applyBorder="1" applyAlignment="1">
      <alignment horizontal="center" vertical="center"/>
    </xf>
    <xf numFmtId="176" fontId="29" fillId="0" borderId="0" xfId="2" applyNumberFormat="1" applyFont="1" applyBorder="1" applyAlignment="1">
      <alignment vertical="center"/>
    </xf>
    <xf numFmtId="176" fontId="34" fillId="0" borderId="0" xfId="2" applyNumberFormat="1" applyFont="1" applyBorder="1" applyAlignment="1">
      <alignment vertical="center"/>
    </xf>
    <xf numFmtId="10" fontId="10" fillId="0" borderId="0" xfId="5" applyNumberFormat="1" applyFont="1" applyAlignment="1"/>
    <xf numFmtId="0" fontId="15" fillId="0" borderId="5" xfId="0" applyFont="1" applyBorder="1" applyAlignment="1">
      <alignment horizontal="left"/>
    </xf>
    <xf numFmtId="176" fontId="33" fillId="0" borderId="0" xfId="2" applyNumberFormat="1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176" fontId="33" fillId="0" borderId="0" xfId="2" applyNumberFormat="1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/>
    </xf>
    <xf numFmtId="176" fontId="29" fillId="0" borderId="0" xfId="2" applyNumberFormat="1" applyFont="1" applyBorder="1" applyAlignment="1">
      <alignment horizontal="center" vertical="center"/>
    </xf>
    <xf numFmtId="0" fontId="38" fillId="0" borderId="0" xfId="2" applyFont="1" applyAlignment="1">
      <alignment horizontal="left" vertical="center"/>
    </xf>
    <xf numFmtId="0" fontId="53" fillId="0" borderId="0" xfId="0" applyFont="1">
      <alignment vertical="center"/>
    </xf>
    <xf numFmtId="176" fontId="38" fillId="0" borderId="2" xfId="2" applyNumberFormat="1" applyFont="1" applyBorder="1" applyAlignment="1">
      <alignment horizontal="center" vertical="center"/>
    </xf>
    <xf numFmtId="0" fontId="54" fillId="0" borderId="0" xfId="2" applyFont="1" applyBorder="1" applyAlignment="1"/>
    <xf numFmtId="178" fontId="0" fillId="0" borderId="0" xfId="0" applyNumberFormat="1">
      <alignment vertical="center"/>
    </xf>
    <xf numFmtId="0" fontId="15" fillId="0" borderId="5" xfId="0" applyFont="1" applyBorder="1" applyAlignment="1">
      <alignment horizontal="left"/>
    </xf>
    <xf numFmtId="176" fontId="29" fillId="0" borderId="0" xfId="2" applyNumberFormat="1" applyFont="1" applyBorder="1" applyAlignment="1">
      <alignment horizontal="center" vertical="center"/>
    </xf>
    <xf numFmtId="176" fontId="33" fillId="0" borderId="0" xfId="2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left"/>
    </xf>
    <xf numFmtId="0" fontId="39" fillId="0" borderId="0" xfId="0" applyFont="1">
      <alignment vertical="center"/>
    </xf>
    <xf numFmtId="43" fontId="19" fillId="4" borderId="7" xfId="1" applyFont="1" applyFill="1" applyBorder="1" applyAlignment="1">
      <alignment horizontal="center" vertical="center" wrapText="1"/>
    </xf>
    <xf numFmtId="43" fontId="32" fillId="5" borderId="7" xfId="1" applyFont="1" applyFill="1" applyBorder="1" applyAlignment="1"/>
    <xf numFmtId="43" fontId="22" fillId="0" borderId="0" xfId="1" applyFont="1" applyAlignment="1"/>
    <xf numFmtId="10" fontId="32" fillId="6" borderId="7" xfId="5" applyNumberFormat="1" applyFont="1" applyFill="1" applyBorder="1" applyAlignment="1"/>
    <xf numFmtId="0" fontId="0" fillId="0" borderId="5" xfId="0" applyBorder="1">
      <alignment vertical="center"/>
    </xf>
    <xf numFmtId="0" fontId="5" fillId="0" borderId="5" xfId="2" applyBorder="1" applyAlignment="1"/>
    <xf numFmtId="0" fontId="19" fillId="4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9" fillId="4" borderId="7" xfId="0" applyFont="1" applyFill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57" fontId="17" fillId="0" borderId="51" xfId="2" applyNumberFormat="1" applyFont="1" applyFill="1" applyBorder="1" applyAlignment="1">
      <alignment horizontal="left"/>
    </xf>
    <xf numFmtId="57" fontId="17" fillId="0" borderId="52" xfId="2" applyNumberFormat="1" applyFont="1" applyFill="1" applyBorder="1" applyAlignment="1">
      <alignment horizontal="left"/>
    </xf>
    <xf numFmtId="0" fontId="19" fillId="4" borderId="13" xfId="0" applyFont="1" applyFill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176" fontId="38" fillId="0" borderId="0" xfId="2" applyNumberFormat="1" applyFont="1" applyBorder="1" applyAlignment="1">
      <alignment horizontal="center" vertical="center"/>
    </xf>
    <xf numFmtId="0" fontId="15" fillId="0" borderId="14" xfId="0" applyFont="1" applyFill="1" applyBorder="1" applyAlignment="1">
      <alignment horizontal="left"/>
    </xf>
    <xf numFmtId="0" fontId="15" fillId="0" borderId="15" xfId="0" applyFont="1" applyFill="1" applyBorder="1" applyAlignment="1">
      <alignment horizontal="left"/>
    </xf>
    <xf numFmtId="0" fontId="15" fillId="0" borderId="6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76" fontId="29" fillId="0" borderId="0" xfId="2" applyNumberFormat="1" applyFont="1" applyBorder="1" applyAlignment="1">
      <alignment horizontal="center" vertical="center"/>
    </xf>
    <xf numFmtId="0" fontId="19" fillId="4" borderId="8" xfId="0" applyFont="1" applyFill="1" applyBorder="1" applyAlignment="1">
      <alignment horizontal="center"/>
    </xf>
    <xf numFmtId="0" fontId="19" fillId="4" borderId="55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19" fillId="4" borderId="10" xfId="0" applyFont="1" applyFill="1" applyBorder="1" applyAlignment="1">
      <alignment horizontal="center"/>
    </xf>
    <xf numFmtId="0" fontId="19" fillId="4" borderId="61" xfId="0" applyFont="1" applyFill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left"/>
    </xf>
    <xf numFmtId="0" fontId="19" fillId="4" borderId="14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47" fillId="7" borderId="41" xfId="0" applyFont="1" applyFill="1" applyBorder="1" applyAlignment="1">
      <alignment horizontal="left" vertical="center"/>
    </xf>
    <xf numFmtId="0" fontId="47" fillId="7" borderId="42" xfId="0" applyFont="1" applyFill="1" applyBorder="1" applyAlignment="1">
      <alignment horizontal="left" vertical="center"/>
    </xf>
    <xf numFmtId="0" fontId="45" fillId="7" borderId="47" xfId="0" applyFont="1" applyFill="1" applyBorder="1" applyAlignment="1">
      <alignment horizontal="right" vertical="center"/>
    </xf>
    <xf numFmtId="0" fontId="45" fillId="7" borderId="48" xfId="0" applyFont="1" applyFill="1" applyBorder="1" applyAlignment="1">
      <alignment horizontal="right" vertical="center"/>
    </xf>
    <xf numFmtId="177" fontId="45" fillId="7" borderId="49" xfId="0" applyNumberFormat="1" applyFont="1" applyFill="1" applyBorder="1" applyAlignment="1">
      <alignment horizontal="right" vertical="center"/>
    </xf>
    <xf numFmtId="0" fontId="44" fillId="7" borderId="27" xfId="0" applyFont="1" applyFill="1" applyBorder="1" applyAlignment="1">
      <alignment horizontal="left" vertical="center"/>
    </xf>
    <xf numFmtId="0" fontId="44" fillId="7" borderId="16" xfId="0" applyFont="1" applyFill="1" applyBorder="1" applyAlignment="1">
      <alignment horizontal="left" vertical="center"/>
    </xf>
    <xf numFmtId="0" fontId="47" fillId="7" borderId="4" xfId="0" applyFont="1" applyFill="1" applyBorder="1" applyAlignment="1">
      <alignment horizontal="center" vertical="center"/>
    </xf>
    <xf numFmtId="0" fontId="47" fillId="7" borderId="16" xfId="0" applyFont="1" applyFill="1" applyBorder="1" applyAlignment="1">
      <alignment horizontal="center" vertical="center"/>
    </xf>
    <xf numFmtId="0" fontId="47" fillId="3" borderId="4" xfId="0" applyFont="1" applyFill="1" applyBorder="1" applyAlignment="1">
      <alignment horizontal="center" vertical="center"/>
    </xf>
    <xf numFmtId="0" fontId="47" fillId="3" borderId="16" xfId="0" applyFont="1" applyFill="1" applyBorder="1" applyAlignment="1">
      <alignment horizontal="center" vertical="center"/>
    </xf>
    <xf numFmtId="0" fontId="47" fillId="7" borderId="16" xfId="0" applyFont="1" applyFill="1" applyBorder="1" applyAlignment="1">
      <alignment horizontal="left" vertical="center"/>
    </xf>
    <xf numFmtId="0" fontId="45" fillId="7" borderId="34" xfId="0" applyFont="1" applyFill="1" applyBorder="1" applyAlignment="1">
      <alignment horizontal="center" vertical="center"/>
    </xf>
    <xf numFmtId="0" fontId="45" fillId="7" borderId="22" xfId="0" applyFont="1" applyFill="1" applyBorder="1" applyAlignment="1">
      <alignment horizontal="center" vertical="center"/>
    </xf>
    <xf numFmtId="0" fontId="45" fillId="7" borderId="30" xfId="0" applyFont="1" applyFill="1" applyBorder="1" applyAlignment="1">
      <alignment horizontal="center" vertical="center"/>
    </xf>
    <xf numFmtId="0" fontId="45" fillId="7" borderId="44" xfId="0" applyFont="1" applyFill="1" applyBorder="1" applyAlignment="1">
      <alignment horizontal="left" vertical="center"/>
    </xf>
    <xf numFmtId="0" fontId="45" fillId="7" borderId="45" xfId="0" applyFont="1" applyFill="1" applyBorder="1" applyAlignment="1">
      <alignment horizontal="left" vertical="center"/>
    </xf>
    <xf numFmtId="177" fontId="45" fillId="7" borderId="45" xfId="0" applyNumberFormat="1" applyFont="1" applyFill="1" applyBorder="1" applyAlignment="1">
      <alignment horizontal="left" vertical="center"/>
    </xf>
    <xf numFmtId="177" fontId="45" fillId="7" borderId="46" xfId="0" applyNumberFormat="1" applyFont="1" applyFill="1" applyBorder="1" applyAlignment="1">
      <alignment horizontal="left" vertical="center"/>
    </xf>
    <xf numFmtId="0" fontId="47" fillId="7" borderId="27" xfId="0" applyFont="1" applyFill="1" applyBorder="1" applyAlignment="1">
      <alignment horizontal="center" vertical="center"/>
    </xf>
    <xf numFmtId="0" fontId="47" fillId="7" borderId="27" xfId="0" applyFont="1" applyFill="1" applyBorder="1" applyAlignment="1">
      <alignment horizontal="left" vertical="center"/>
    </xf>
    <xf numFmtId="0" fontId="47" fillId="7" borderId="3" xfId="0" applyFont="1" applyFill="1" applyBorder="1" applyAlignment="1">
      <alignment horizontal="left" vertical="center"/>
    </xf>
    <xf numFmtId="0" fontId="45" fillId="7" borderId="41" xfId="0" applyFont="1" applyFill="1" applyBorder="1" applyAlignment="1">
      <alignment horizontal="center" vertical="center"/>
    </xf>
    <xf numFmtId="0" fontId="45" fillId="7" borderId="42" xfId="0" applyFont="1" applyFill="1" applyBorder="1" applyAlignment="1">
      <alignment horizontal="center" vertical="center"/>
    </xf>
    <xf numFmtId="0" fontId="45" fillId="7" borderId="43" xfId="0" applyFont="1" applyFill="1" applyBorder="1" applyAlignment="1">
      <alignment horizontal="center" vertical="center"/>
    </xf>
    <xf numFmtId="0" fontId="44" fillId="3" borderId="27" xfId="0" applyFont="1" applyFill="1" applyBorder="1" applyAlignment="1">
      <alignment horizontal="left" vertical="center"/>
    </xf>
    <xf numFmtId="0" fontId="44" fillId="3" borderId="16" xfId="0" applyFont="1" applyFill="1" applyBorder="1" applyAlignment="1">
      <alignment horizontal="left" vertical="center"/>
    </xf>
    <xf numFmtId="0" fontId="45" fillId="7" borderId="31" xfId="0" applyFont="1" applyFill="1" applyBorder="1" applyAlignment="1">
      <alignment horizontal="right" vertical="center"/>
    </xf>
    <xf numFmtId="0" fontId="45" fillId="7" borderId="32" xfId="0" applyFont="1" applyFill="1" applyBorder="1" applyAlignment="1">
      <alignment horizontal="right" vertical="center"/>
    </xf>
    <xf numFmtId="177" fontId="45" fillId="7" borderId="32" xfId="0" applyNumberFormat="1" applyFont="1" applyFill="1" applyBorder="1" applyAlignment="1">
      <alignment horizontal="right" vertical="center"/>
    </xf>
    <xf numFmtId="0" fontId="46" fillId="7" borderId="19" xfId="0" applyFont="1" applyFill="1" applyBorder="1" applyAlignment="1">
      <alignment horizontal="center" vertical="center"/>
    </xf>
    <xf numFmtId="0" fontId="46" fillId="7" borderId="20" xfId="0" applyFont="1" applyFill="1" applyBorder="1" applyAlignment="1">
      <alignment horizontal="center" vertical="center"/>
    </xf>
    <xf numFmtId="177" fontId="46" fillId="7" borderId="20" xfId="0" applyNumberFormat="1" applyFont="1" applyFill="1" applyBorder="1" applyAlignment="1">
      <alignment horizontal="center" vertical="center"/>
    </xf>
    <xf numFmtId="0" fontId="46" fillId="7" borderId="23" xfId="0" applyFont="1" applyFill="1" applyBorder="1" applyAlignment="1">
      <alignment horizontal="left" vertical="center"/>
    </xf>
    <xf numFmtId="0" fontId="46" fillId="7" borderId="18" xfId="0" applyFont="1" applyFill="1" applyBorder="1" applyAlignment="1">
      <alignment horizontal="left" vertical="center"/>
    </xf>
    <xf numFmtId="177" fontId="46" fillId="7" borderId="18" xfId="0" applyNumberFormat="1" applyFont="1" applyFill="1" applyBorder="1" applyAlignment="1">
      <alignment horizontal="left" vertical="center"/>
    </xf>
    <xf numFmtId="177" fontId="46" fillId="7" borderId="58" xfId="0" applyNumberFormat="1" applyFont="1" applyFill="1" applyBorder="1" applyAlignment="1">
      <alignment horizontal="left" vertical="center"/>
    </xf>
    <xf numFmtId="0" fontId="46" fillId="7" borderId="24" xfId="0" applyFont="1" applyFill="1" applyBorder="1" applyAlignment="1">
      <alignment horizontal="left" vertical="center"/>
    </xf>
    <xf numFmtId="0" fontId="43" fillId="7" borderId="4" xfId="0" applyFont="1" applyFill="1" applyBorder="1" applyAlignment="1">
      <alignment horizontal="center" vertical="center"/>
    </xf>
    <xf numFmtId="0" fontId="43" fillId="7" borderId="16" xfId="0" applyFont="1" applyFill="1" applyBorder="1" applyAlignment="1">
      <alignment horizontal="center" vertical="center"/>
    </xf>
    <xf numFmtId="0" fontId="43" fillId="7" borderId="27" xfId="0" applyFont="1" applyFill="1" applyBorder="1" applyAlignment="1">
      <alignment horizontal="left" vertical="center"/>
    </xf>
    <xf numFmtId="0" fontId="43" fillId="7" borderId="16" xfId="0" applyFont="1" applyFill="1" applyBorder="1" applyAlignment="1">
      <alignment horizontal="left" vertical="center"/>
    </xf>
    <xf numFmtId="0" fontId="43" fillId="7" borderId="3" xfId="0" applyFont="1" applyFill="1" applyBorder="1" applyAlignment="1">
      <alignment horizontal="left" vertical="center"/>
    </xf>
    <xf numFmtId="177" fontId="43" fillId="7" borderId="3" xfId="0" applyNumberFormat="1" applyFont="1" applyFill="1" applyBorder="1" applyAlignment="1">
      <alignment horizontal="left" vertical="center"/>
    </xf>
    <xf numFmtId="0" fontId="43" fillId="7" borderId="28" xfId="0" applyFont="1" applyFill="1" applyBorder="1" applyAlignment="1">
      <alignment horizontal="left" vertical="center"/>
    </xf>
    <xf numFmtId="0" fontId="44" fillId="7" borderId="3" xfId="0" applyFont="1" applyFill="1" applyBorder="1" applyAlignment="1">
      <alignment horizontal="center" vertical="center"/>
    </xf>
    <xf numFmtId="0" fontId="44" fillId="7" borderId="4" xfId="0" applyFont="1" applyFill="1" applyBorder="1" applyAlignment="1">
      <alignment horizontal="center" vertical="center"/>
    </xf>
    <xf numFmtId="0" fontId="44" fillId="7" borderId="16" xfId="0" applyFont="1" applyFill="1" applyBorder="1" applyAlignment="1">
      <alignment horizontal="center" vertical="center"/>
    </xf>
    <xf numFmtId="0" fontId="44" fillId="7" borderId="27" xfId="0" applyFont="1" applyFill="1" applyBorder="1" applyAlignment="1">
      <alignment horizontal="center" vertical="center"/>
    </xf>
    <xf numFmtId="177" fontId="43" fillId="7" borderId="17" xfId="0" applyNumberFormat="1" applyFont="1" applyFill="1" applyBorder="1" applyAlignment="1">
      <alignment horizontal="left" vertical="center"/>
    </xf>
    <xf numFmtId="177" fontId="43" fillId="7" borderId="18" xfId="0" applyNumberFormat="1" applyFont="1" applyFill="1" applyBorder="1" applyAlignment="1">
      <alignment horizontal="left" vertical="center"/>
    </xf>
    <xf numFmtId="0" fontId="43" fillId="7" borderId="27" xfId="0" applyFont="1" applyFill="1" applyBorder="1" applyAlignment="1">
      <alignment horizontal="center" vertical="center"/>
    </xf>
    <xf numFmtId="0" fontId="43" fillId="7" borderId="27" xfId="0" applyFont="1" applyFill="1" applyBorder="1" applyAlignment="1">
      <alignment horizontal="left" vertical="center" wrapText="1"/>
    </xf>
    <xf numFmtId="0" fontId="43" fillId="7" borderId="16" xfId="0" applyFont="1" applyFill="1" applyBorder="1" applyAlignment="1">
      <alignment horizontal="left" vertical="center" wrapText="1"/>
    </xf>
    <xf numFmtId="177" fontId="46" fillId="7" borderId="43" xfId="0" applyNumberFormat="1" applyFont="1" applyFill="1" applyBorder="1" applyAlignment="1">
      <alignment horizontal="center" vertical="center"/>
    </xf>
    <xf numFmtId="177" fontId="46" fillId="7" borderId="60" xfId="0" applyNumberFormat="1" applyFont="1" applyFill="1" applyBorder="1" applyAlignment="1">
      <alignment horizontal="center" vertical="center"/>
    </xf>
    <xf numFmtId="0" fontId="44" fillId="7" borderId="35" xfId="0" applyFont="1" applyFill="1" applyBorder="1" applyAlignment="1">
      <alignment horizontal="center" vertical="center"/>
    </xf>
    <xf numFmtId="0" fontId="44" fillId="7" borderId="36" xfId="0" applyFont="1" applyFill="1" applyBorder="1" applyAlignment="1">
      <alignment horizontal="center" vertical="center"/>
    </xf>
    <xf numFmtId="0" fontId="45" fillId="7" borderId="39" xfId="0" applyFont="1" applyFill="1" applyBorder="1" applyAlignment="1">
      <alignment horizontal="center" wrapText="1"/>
    </xf>
    <xf numFmtId="0" fontId="45" fillId="7" borderId="22" xfId="0" applyFont="1" applyFill="1" applyBorder="1" applyAlignment="1">
      <alignment horizontal="center" wrapText="1"/>
    </xf>
    <xf numFmtId="0" fontId="45" fillId="7" borderId="30" xfId="0" applyFont="1" applyFill="1" applyBorder="1" applyAlignment="1">
      <alignment horizontal="center" wrapText="1"/>
    </xf>
  </cellXfs>
  <cellStyles count="10">
    <cellStyle name="百分比" xfId="5" builtinId="5"/>
    <cellStyle name="常规" xfId="0" builtinId="0"/>
    <cellStyle name="常规 2" xfId="2" xr:uid="{DF257AC1-9112-414B-803D-8FA976D45584}"/>
    <cellStyle name="常规 3" xfId="6" xr:uid="{97049B7F-D585-4800-A727-6D156A194905}"/>
    <cellStyle name="超链接 3" xfId="8" xr:uid="{B3ECE0F5-F97C-41B3-B454-5F1A1E8E9CE8}"/>
    <cellStyle name="货币" xfId="9" builtinId="4"/>
    <cellStyle name="千位分隔" xfId="1" builtinId="3"/>
    <cellStyle name="千位分隔 2" xfId="4" xr:uid="{7C208CE5-9946-4B4F-99FB-DDC249B306C7}"/>
    <cellStyle name="千位分隔 3" xfId="7" xr:uid="{8FECE37F-85BB-4D17-B79B-4C55C98F73DE}"/>
    <cellStyle name="着色 1 2" xfId="3" xr:uid="{FE04E5C1-7741-4685-BA41-F7D3CA97C8E7}"/>
  </cellStyles>
  <dxfs count="0"/>
  <tableStyles count="0" defaultTableStyle="TableStyleMedium2" defaultPivotStyle="PivotStyleLight16"/>
  <colors>
    <mruColors>
      <color rgb="FFCC99FF"/>
      <color rgb="FFFFFFCC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533400</xdr:colOff>
      <xdr:row>1</xdr:row>
      <xdr:rowOff>95250</xdr:rowOff>
    </xdr:from>
    <xdr:to>
      <xdr:col>20</xdr:col>
      <xdr:colOff>304229</xdr:colOff>
      <xdr:row>27</xdr:row>
      <xdr:rowOff>37302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4117266-70B0-42E6-8421-3E75A01F8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2250" y="342900"/>
          <a:ext cx="4571429" cy="6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42</xdr:row>
      <xdr:rowOff>0</xdr:rowOff>
    </xdr:from>
    <xdr:to>
      <xdr:col>16</xdr:col>
      <xdr:colOff>389790</xdr:colOff>
      <xdr:row>45</xdr:row>
      <xdr:rowOff>142782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3AC34CB-B8D8-4247-BB06-21BB6F3E4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7000875"/>
          <a:ext cx="5876190" cy="7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333375</xdr:colOff>
      <xdr:row>34</xdr:row>
      <xdr:rowOff>104775</xdr:rowOff>
    </xdr:from>
    <xdr:to>
      <xdr:col>17</xdr:col>
      <xdr:colOff>418262</xdr:colOff>
      <xdr:row>63</xdr:row>
      <xdr:rowOff>94496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F067160-83C5-4733-B4DA-106AE8A6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8058150"/>
          <a:ext cx="6704762" cy="6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161925</xdr:colOff>
      <xdr:row>1</xdr:row>
      <xdr:rowOff>104775</xdr:rowOff>
    </xdr:from>
    <xdr:to>
      <xdr:col>19</xdr:col>
      <xdr:colOff>1484909</xdr:colOff>
      <xdr:row>19</xdr:row>
      <xdr:rowOff>218540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54F23BF-5091-44BF-B4AE-131324606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14325"/>
          <a:ext cx="7923809" cy="42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361950</xdr:colOff>
      <xdr:row>21</xdr:row>
      <xdr:rowOff>38100</xdr:rowOff>
    </xdr:from>
    <xdr:to>
      <xdr:col>17</xdr:col>
      <xdr:colOff>46968</xdr:colOff>
      <xdr:row>25</xdr:row>
      <xdr:rowOff>76081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1D5B807-1C36-4090-A517-1A35B9AB8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4867275"/>
          <a:ext cx="5257143" cy="9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438150</xdr:colOff>
      <xdr:row>0</xdr:row>
      <xdr:rowOff>114301</xdr:rowOff>
    </xdr:from>
    <xdr:to>
      <xdr:col>21</xdr:col>
      <xdr:colOff>266700</xdr:colOff>
      <xdr:row>3</xdr:row>
      <xdr:rowOff>123826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14E6A9-DB20-4707-8DFF-E6BA69BF1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49300" y="114301"/>
          <a:ext cx="1200150" cy="647700"/>
        </a:xfrm>
        <a:prstGeom prst="rect">
          <a:avLst/>
        </a:prstGeom>
      </xdr:spPr>
    </xdr:pic>
    <xdr:clientData/>
  </xdr:twoCellAnchor>
  <xdr:twoCellAnchor editAs="oneCell">
    <xdr:from>
      <xdr:col>19</xdr:col>
      <xdr:colOff>28575</xdr:colOff>
      <xdr:row>6</xdr:row>
      <xdr:rowOff>171450</xdr:rowOff>
    </xdr:from>
    <xdr:to>
      <xdr:col>25</xdr:col>
      <xdr:colOff>485204</xdr:colOff>
      <xdr:row>10</xdr:row>
      <xdr:rowOff>28489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32CDB2A-116D-4E9B-B9EB-0C8C94F78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0" y="1409700"/>
          <a:ext cx="4571429" cy="6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190500</xdr:colOff>
      <xdr:row>12</xdr:row>
      <xdr:rowOff>114300</xdr:rowOff>
    </xdr:from>
    <xdr:to>
      <xdr:col>28</xdr:col>
      <xdr:colOff>199252</xdr:colOff>
      <xdr:row>18</xdr:row>
      <xdr:rowOff>9367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385068E-0FCF-46BB-A2FE-957B46C86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77925" y="2695575"/>
          <a:ext cx="6180952" cy="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05E0-738A-4DA4-BAB0-5BA3772243B4}">
  <sheetPr>
    <tabColor theme="9" tint="0.79998168889431442"/>
    <pageSetUpPr fitToPage="1"/>
  </sheetPr>
  <dimension ref="A1:O49"/>
  <sheetViews>
    <sheetView showGridLines="0" topLeftCell="A13" workbookViewId="0">
      <selection activeCell="C16" sqref="C16"/>
    </sheetView>
  </sheetViews>
  <sheetFormatPr defaultRowHeight="14" x14ac:dyDescent="0.3"/>
  <cols>
    <col min="1" max="1" width="12" customWidth="1"/>
    <col min="2" max="2" width="9.58203125" bestFit="1" customWidth="1"/>
    <col min="3" max="3" width="12.08203125" bestFit="1" customWidth="1"/>
    <col min="4" max="4" width="14.08203125" customWidth="1"/>
    <col min="5" max="5" width="12" customWidth="1"/>
    <col min="6" max="6" width="12.08203125" bestFit="1" customWidth="1"/>
    <col min="7" max="7" width="10.83203125" customWidth="1"/>
  </cols>
  <sheetData>
    <row r="1" spans="1:15" ht="20.149999999999999" customHeight="1" x14ac:dyDescent="0.45">
      <c r="A1" s="19" t="s">
        <v>0</v>
      </c>
      <c r="B1" s="19"/>
      <c r="C1" s="19"/>
      <c r="D1" s="20" t="s">
        <v>58</v>
      </c>
      <c r="E1" s="10"/>
      <c r="H1" s="32" t="s">
        <v>18</v>
      </c>
      <c r="O1" s="32" t="s">
        <v>88</v>
      </c>
    </row>
    <row r="2" spans="1:15" ht="20.149999999999999" customHeight="1" x14ac:dyDescent="0.45">
      <c r="A2" s="19" t="s">
        <v>1</v>
      </c>
      <c r="B2" s="19"/>
      <c r="C2" s="19"/>
      <c r="D2" s="20" t="s">
        <v>21</v>
      </c>
      <c r="E2" s="11"/>
    </row>
    <row r="3" spans="1:15" ht="20.149999999999999" customHeight="1" x14ac:dyDescent="0.45">
      <c r="A3" s="19" t="s">
        <v>2</v>
      </c>
      <c r="B3" s="19"/>
      <c r="C3" s="19"/>
      <c r="D3" s="21" t="s">
        <v>56</v>
      </c>
      <c r="E3" s="11"/>
    </row>
    <row r="4" spans="1:15" ht="20.149999999999999" customHeight="1" x14ac:dyDescent="0.3"/>
    <row r="5" spans="1:15" ht="20.149999999999999" customHeight="1" x14ac:dyDescent="0.3">
      <c r="A5" s="9" t="s">
        <v>10</v>
      </c>
      <c r="B5" s="1"/>
      <c r="C5" s="1"/>
      <c r="D5" s="170">
        <v>2509888</v>
      </c>
      <c r="E5" s="4"/>
      <c r="F5" s="4"/>
    </row>
    <row r="6" spans="1:15" ht="20.149999999999999" customHeight="1" x14ac:dyDescent="0.3">
      <c r="A6" s="4"/>
      <c r="B6" s="4"/>
      <c r="C6" s="4"/>
      <c r="D6" s="4"/>
      <c r="E6" s="3"/>
      <c r="F6" s="4"/>
    </row>
    <row r="7" spans="1:15" ht="20.149999999999999" customHeight="1" x14ac:dyDescent="0.3">
      <c r="A7" s="22" t="s">
        <v>13</v>
      </c>
      <c r="B7" s="22" t="s">
        <v>271</v>
      </c>
      <c r="C7" s="22" t="s">
        <v>55</v>
      </c>
      <c r="D7" s="23" t="s">
        <v>4</v>
      </c>
      <c r="E7" s="22" t="s">
        <v>3</v>
      </c>
      <c r="F7" s="23" t="s">
        <v>12</v>
      </c>
    </row>
    <row r="8" spans="1:15" ht="20.149999999999999" customHeight="1" x14ac:dyDescent="0.4">
      <c r="A8" s="24">
        <v>43739</v>
      </c>
      <c r="B8" s="25"/>
      <c r="C8" s="25"/>
      <c r="D8" s="25"/>
      <c r="E8" s="25"/>
      <c r="F8" s="25">
        <f t="shared" ref="F8:F35" si="0">SUM(C8:E8)</f>
        <v>0</v>
      </c>
    </row>
    <row r="9" spans="1:15" ht="20.149999999999999" customHeight="1" x14ac:dyDescent="0.4">
      <c r="A9" s="26">
        <v>43770</v>
      </c>
      <c r="B9" s="27"/>
      <c r="C9" s="27"/>
      <c r="D9" s="27">
        <v>688</v>
      </c>
      <c r="E9" s="27">
        <v>0</v>
      </c>
      <c r="F9" s="27">
        <f t="shared" si="0"/>
        <v>688</v>
      </c>
    </row>
    <row r="10" spans="1:15" ht="20.149999999999999" customHeight="1" x14ac:dyDescent="0.4">
      <c r="A10" s="24">
        <v>43800</v>
      </c>
      <c r="B10" s="25"/>
      <c r="C10" s="25"/>
      <c r="D10" s="25">
        <v>0</v>
      </c>
      <c r="E10" s="25">
        <v>0</v>
      </c>
      <c r="F10" s="25">
        <f t="shared" si="0"/>
        <v>0</v>
      </c>
    </row>
    <row r="11" spans="1:15" ht="20.149999999999999" customHeight="1" x14ac:dyDescent="0.4">
      <c r="A11" s="26">
        <v>43831</v>
      </c>
      <c r="B11" s="27"/>
      <c r="C11" s="27"/>
      <c r="D11" s="27">
        <v>0</v>
      </c>
      <c r="E11" s="27">
        <v>3306.28</v>
      </c>
      <c r="F11" s="27">
        <f t="shared" si="0"/>
        <v>3306.28</v>
      </c>
      <c r="G11" s="44"/>
    </row>
    <row r="12" spans="1:15" ht="20.149999999999999" customHeight="1" x14ac:dyDescent="0.4">
      <c r="A12" s="24">
        <v>43862</v>
      </c>
      <c r="B12" s="25"/>
      <c r="C12" s="25"/>
      <c r="D12" s="25">
        <v>0</v>
      </c>
      <c r="E12" s="25">
        <v>0</v>
      </c>
      <c r="F12" s="25">
        <f t="shared" si="0"/>
        <v>0</v>
      </c>
      <c r="G12" s="44"/>
    </row>
    <row r="13" spans="1:15" ht="20.149999999999999" customHeight="1" x14ac:dyDescent="0.4">
      <c r="A13" s="26">
        <v>43891</v>
      </c>
      <c r="B13" s="27"/>
      <c r="C13" s="27"/>
      <c r="D13" s="27">
        <v>0</v>
      </c>
      <c r="E13" s="27">
        <v>0</v>
      </c>
      <c r="F13" s="27">
        <f t="shared" si="0"/>
        <v>0</v>
      </c>
      <c r="G13" s="44"/>
    </row>
    <row r="14" spans="1:15" ht="20.149999999999999" customHeight="1" x14ac:dyDescent="0.4">
      <c r="A14" s="24">
        <v>43922</v>
      </c>
      <c r="B14" s="25"/>
      <c r="C14" s="25"/>
      <c r="D14" s="25">
        <v>0</v>
      </c>
      <c r="E14" s="25">
        <v>0</v>
      </c>
      <c r="F14" s="25">
        <f t="shared" si="0"/>
        <v>0</v>
      </c>
      <c r="G14" s="44"/>
    </row>
    <row r="15" spans="1:15" ht="20.149999999999999" customHeight="1" x14ac:dyDescent="0.4">
      <c r="A15" s="26">
        <v>43952</v>
      </c>
      <c r="B15" s="27"/>
      <c r="C15" s="27"/>
      <c r="D15" s="27"/>
      <c r="E15" s="27"/>
      <c r="F15" s="27">
        <f t="shared" si="0"/>
        <v>0</v>
      </c>
      <c r="G15" s="44"/>
    </row>
    <row r="16" spans="1:15" ht="20.149999999999999" customHeight="1" x14ac:dyDescent="0.4">
      <c r="A16" s="24">
        <v>43983</v>
      </c>
      <c r="B16" s="25"/>
      <c r="C16" s="25"/>
      <c r="D16" s="25"/>
      <c r="E16" s="25"/>
      <c r="F16" s="25">
        <f t="shared" si="0"/>
        <v>0</v>
      </c>
    </row>
    <row r="17" spans="1:6" ht="20.149999999999999" customHeight="1" x14ac:dyDescent="0.4">
      <c r="A17" s="26">
        <v>44013</v>
      </c>
      <c r="B17" s="27"/>
      <c r="C17" s="27"/>
      <c r="D17" s="27"/>
      <c r="E17" s="27"/>
      <c r="F17" s="27">
        <f t="shared" si="0"/>
        <v>0</v>
      </c>
    </row>
    <row r="18" spans="1:6" ht="20.149999999999999" customHeight="1" x14ac:dyDescent="0.4">
      <c r="A18" s="24">
        <v>44044</v>
      </c>
      <c r="B18" s="25"/>
      <c r="C18" s="25"/>
      <c r="D18" s="25"/>
      <c r="E18" s="25"/>
      <c r="F18" s="25">
        <f t="shared" si="0"/>
        <v>0</v>
      </c>
    </row>
    <row r="19" spans="1:6" ht="20.149999999999999" customHeight="1" x14ac:dyDescent="0.4">
      <c r="A19" s="26">
        <v>44075</v>
      </c>
      <c r="B19" s="27"/>
      <c r="C19" s="27"/>
      <c r="D19" s="27"/>
      <c r="E19" s="27"/>
      <c r="F19" s="27">
        <f t="shared" si="0"/>
        <v>0</v>
      </c>
    </row>
    <row r="20" spans="1:6" ht="20.149999999999999" customHeight="1" x14ac:dyDescent="0.4">
      <c r="A20" s="24">
        <v>44105</v>
      </c>
      <c r="B20" s="25"/>
      <c r="C20" s="25"/>
      <c r="D20" s="25">
        <v>0</v>
      </c>
      <c r="E20" s="25">
        <v>0</v>
      </c>
      <c r="F20" s="25">
        <f t="shared" si="0"/>
        <v>0</v>
      </c>
    </row>
    <row r="21" spans="1:6" ht="20.149999999999999" customHeight="1" x14ac:dyDescent="0.4">
      <c r="A21" s="26">
        <v>44136</v>
      </c>
      <c r="B21" s="27"/>
      <c r="C21" s="27"/>
      <c r="D21" s="27">
        <v>15226.419999999998</v>
      </c>
      <c r="E21" s="27">
        <v>0</v>
      </c>
      <c r="F21" s="27">
        <f t="shared" si="0"/>
        <v>15226.419999999998</v>
      </c>
    </row>
    <row r="22" spans="1:6" ht="20.149999999999999" customHeight="1" x14ac:dyDescent="0.4">
      <c r="A22" s="24">
        <v>44166</v>
      </c>
      <c r="B22" s="25"/>
      <c r="C22" s="25"/>
      <c r="D22" s="25"/>
      <c r="E22" s="25"/>
      <c r="F22" s="25">
        <f t="shared" si="0"/>
        <v>0</v>
      </c>
    </row>
    <row r="23" spans="1:6" ht="20.149999999999999" customHeight="1" x14ac:dyDescent="0.4">
      <c r="A23" s="26">
        <v>44197</v>
      </c>
      <c r="B23" s="27"/>
      <c r="C23" s="27"/>
      <c r="D23" s="27">
        <v>0</v>
      </c>
      <c r="E23" s="27">
        <v>0</v>
      </c>
      <c r="F23" s="27">
        <f t="shared" si="0"/>
        <v>0</v>
      </c>
    </row>
    <row r="24" spans="1:6" ht="20.149999999999999" customHeight="1" x14ac:dyDescent="0.4">
      <c r="A24" s="24">
        <v>44228</v>
      </c>
      <c r="B24" s="25"/>
      <c r="C24" s="25"/>
      <c r="D24" s="25"/>
      <c r="E24" s="25"/>
      <c r="F24" s="25">
        <f t="shared" si="0"/>
        <v>0</v>
      </c>
    </row>
    <row r="25" spans="1:6" ht="20.149999999999999" customHeight="1" x14ac:dyDescent="0.4">
      <c r="A25" s="26">
        <v>44256</v>
      </c>
      <c r="B25" s="27"/>
      <c r="C25" s="27"/>
      <c r="D25" s="27">
        <v>806.71</v>
      </c>
      <c r="E25" s="27"/>
      <c r="F25" s="27">
        <f t="shared" si="0"/>
        <v>806.71</v>
      </c>
    </row>
    <row r="26" spans="1:6" ht="20.149999999999999" customHeight="1" x14ac:dyDescent="0.4">
      <c r="A26" s="24">
        <v>44287</v>
      </c>
      <c r="B26" s="25"/>
      <c r="C26" s="25"/>
      <c r="D26" s="25"/>
      <c r="E26" s="25"/>
      <c r="F26" s="25">
        <f t="shared" si="0"/>
        <v>0</v>
      </c>
    </row>
    <row r="27" spans="1:6" ht="20.149999999999999" customHeight="1" x14ac:dyDescent="0.4">
      <c r="A27" s="26">
        <v>44317</v>
      </c>
      <c r="B27" s="27"/>
      <c r="C27" s="27"/>
      <c r="D27" s="27">
        <v>0</v>
      </c>
      <c r="E27" s="27">
        <v>1060.55</v>
      </c>
      <c r="F27" s="27">
        <f t="shared" si="0"/>
        <v>1060.55</v>
      </c>
    </row>
    <row r="28" spans="1:6" ht="20.149999999999999" customHeight="1" x14ac:dyDescent="0.4">
      <c r="A28" s="24">
        <v>44348</v>
      </c>
      <c r="B28" s="25"/>
      <c r="C28" s="25"/>
      <c r="D28" s="25">
        <v>0</v>
      </c>
      <c r="E28" s="25">
        <v>26485.64</v>
      </c>
      <c r="F28" s="25">
        <f t="shared" si="0"/>
        <v>26485.64</v>
      </c>
    </row>
    <row r="29" spans="1:6" ht="20.149999999999999" customHeight="1" x14ac:dyDescent="0.4">
      <c r="A29" s="26">
        <v>44378</v>
      </c>
      <c r="B29" s="27"/>
      <c r="C29" s="27"/>
      <c r="D29" s="27">
        <v>0</v>
      </c>
      <c r="E29" s="27"/>
      <c r="F29" s="27">
        <f t="shared" si="0"/>
        <v>0</v>
      </c>
    </row>
    <row r="30" spans="1:6" ht="14.5" x14ac:dyDescent="0.4">
      <c r="A30" s="24">
        <v>44409</v>
      </c>
      <c r="B30" s="25"/>
      <c r="C30" s="25"/>
      <c r="D30" s="25"/>
      <c r="E30" s="25"/>
      <c r="F30" s="25">
        <f t="shared" si="0"/>
        <v>0</v>
      </c>
    </row>
    <row r="31" spans="1:6" ht="14.5" x14ac:dyDescent="0.4">
      <c r="A31" s="26">
        <v>44440</v>
      </c>
      <c r="B31" s="27"/>
      <c r="C31" s="27"/>
      <c r="D31" s="27"/>
      <c r="E31" s="27"/>
      <c r="F31" s="27">
        <f t="shared" si="0"/>
        <v>0</v>
      </c>
    </row>
    <row r="32" spans="1:6" ht="14.5" x14ac:dyDescent="0.4">
      <c r="A32" s="24">
        <v>44470</v>
      </c>
      <c r="B32" s="25"/>
      <c r="C32" s="25"/>
      <c r="D32" s="25"/>
      <c r="E32" s="25"/>
      <c r="F32" s="25">
        <f t="shared" si="0"/>
        <v>0</v>
      </c>
    </row>
    <row r="33" spans="1:6" ht="14.5" x14ac:dyDescent="0.4">
      <c r="A33" s="26">
        <v>44501</v>
      </c>
      <c r="B33" s="27"/>
      <c r="C33" s="27"/>
      <c r="D33" s="27"/>
      <c r="E33" s="27"/>
      <c r="F33" s="27">
        <f t="shared" si="0"/>
        <v>0</v>
      </c>
    </row>
    <row r="34" spans="1:6" ht="14.5" x14ac:dyDescent="0.4">
      <c r="A34" s="24">
        <v>44531</v>
      </c>
      <c r="B34" s="25"/>
      <c r="C34" s="25"/>
      <c r="D34" s="25"/>
      <c r="E34" s="25"/>
      <c r="F34" s="25">
        <f t="shared" si="0"/>
        <v>0</v>
      </c>
    </row>
    <row r="35" spans="1:6" ht="14.5" x14ac:dyDescent="0.4">
      <c r="A35" s="26">
        <v>44562</v>
      </c>
      <c r="B35" s="27"/>
      <c r="C35" s="27"/>
      <c r="D35" s="27"/>
      <c r="E35" s="27"/>
      <c r="F35" s="27">
        <f t="shared" si="0"/>
        <v>0</v>
      </c>
    </row>
    <row r="36" spans="1:6" ht="14.5" x14ac:dyDescent="0.4">
      <c r="A36" s="28" t="s">
        <v>43</v>
      </c>
      <c r="B36" s="29">
        <f>SUM(B8:B35)</f>
        <v>0</v>
      </c>
      <c r="C36" s="29">
        <f>SUM(C8:C35)</f>
        <v>0</v>
      </c>
      <c r="D36" s="29">
        <f>SUM(D8:D35)</f>
        <v>16721.129999999997</v>
      </c>
      <c r="E36" s="29">
        <f>SUM(E8:E35)</f>
        <v>30852.47</v>
      </c>
      <c r="F36" s="29">
        <f>SUM(F8:F35)</f>
        <v>47573.599999999991</v>
      </c>
    </row>
    <row r="37" spans="1:6" ht="14.5" x14ac:dyDescent="0.4">
      <c r="A37" s="34" t="s">
        <v>17</v>
      </c>
      <c r="B37" s="36"/>
      <c r="C37" s="36">
        <v>2503200</v>
      </c>
      <c r="D37" s="39">
        <v>6688</v>
      </c>
      <c r="E37" s="39">
        <v>0</v>
      </c>
      <c r="F37" s="39">
        <v>2509888</v>
      </c>
    </row>
    <row r="38" spans="1:6" ht="14.5" x14ac:dyDescent="0.4">
      <c r="A38" s="35" t="s">
        <v>60</v>
      </c>
      <c r="B38" s="37"/>
      <c r="C38" s="41">
        <f>C36/C37</f>
        <v>0</v>
      </c>
      <c r="D38" s="41">
        <f>D36/D37</f>
        <v>2.5001689593301433</v>
      </c>
      <c r="E38" s="41"/>
      <c r="F38" s="40">
        <f t="shared" ref="F38" si="1">F36/F37</f>
        <v>1.8954471275212277E-2</v>
      </c>
    </row>
    <row r="40" spans="1:6" ht="16.5" x14ac:dyDescent="0.45">
      <c r="A40" s="12" t="s">
        <v>14</v>
      </c>
      <c r="B40" s="11"/>
      <c r="C40" s="11"/>
      <c r="D40" s="11"/>
      <c r="E40" s="13"/>
      <c r="F40" s="13"/>
    </row>
    <row r="41" spans="1:6" ht="14.5" x14ac:dyDescent="0.4">
      <c r="A41" s="62" t="s">
        <v>22</v>
      </c>
      <c r="B41" s="199" t="s">
        <v>23</v>
      </c>
      <c r="C41" s="199"/>
      <c r="D41" s="199"/>
      <c r="E41" s="199"/>
      <c r="F41" s="63" t="s">
        <v>24</v>
      </c>
    </row>
    <row r="42" spans="1:6" x14ac:dyDescent="0.3">
      <c r="A42" s="141" t="s">
        <v>258</v>
      </c>
      <c r="B42" s="200" t="s">
        <v>265</v>
      </c>
      <c r="C42" s="200"/>
      <c r="D42" s="200"/>
      <c r="E42" s="200"/>
      <c r="F42" s="48">
        <v>2950</v>
      </c>
    </row>
    <row r="43" spans="1:6" x14ac:dyDescent="0.3">
      <c r="A43" s="59"/>
      <c r="B43" s="200"/>
      <c r="C43" s="200"/>
      <c r="D43" s="200"/>
      <c r="E43" s="200"/>
      <c r="F43" s="169"/>
    </row>
    <row r="44" spans="1:6" x14ac:dyDescent="0.3">
      <c r="A44" s="59"/>
      <c r="B44" s="200"/>
      <c r="C44" s="200"/>
      <c r="D44" s="200"/>
      <c r="E44" s="200"/>
      <c r="F44" s="169"/>
    </row>
    <row r="45" spans="1:6" x14ac:dyDescent="0.3">
      <c r="A45" s="59"/>
      <c r="B45" s="200"/>
      <c r="C45" s="200"/>
      <c r="D45" s="200"/>
      <c r="E45" s="200"/>
      <c r="F45" s="169"/>
    </row>
    <row r="46" spans="1:6" x14ac:dyDescent="0.3">
      <c r="A46" s="59"/>
      <c r="B46" s="200"/>
      <c r="C46" s="200"/>
      <c r="D46" s="200"/>
      <c r="E46" s="200"/>
      <c r="F46" s="169"/>
    </row>
    <row r="47" spans="1:6" x14ac:dyDescent="0.3">
      <c r="A47" s="59"/>
      <c r="B47" s="140"/>
      <c r="C47" s="140"/>
      <c r="D47" s="47"/>
      <c r="E47" s="47"/>
      <c r="F47" s="164"/>
    </row>
    <row r="48" spans="1:6" ht="14.5" x14ac:dyDescent="0.4">
      <c r="A48" s="30"/>
      <c r="B48" s="140"/>
      <c r="C48" s="140"/>
      <c r="D48" s="47"/>
      <c r="E48" s="47"/>
      <c r="F48" s="31"/>
    </row>
    <row r="49" spans="1:6" ht="14.5" x14ac:dyDescent="0.4">
      <c r="A49" s="57"/>
      <c r="B49" s="199" t="s">
        <v>9</v>
      </c>
      <c r="C49" s="199"/>
      <c r="D49" s="199"/>
      <c r="E49" s="199"/>
      <c r="F49" s="58">
        <f>SUM(F42:F48)</f>
        <v>2950</v>
      </c>
    </row>
  </sheetData>
  <mergeCells count="7">
    <mergeCell ref="B49:E49"/>
    <mergeCell ref="B41:E41"/>
    <mergeCell ref="B42:E42"/>
    <mergeCell ref="B43:E43"/>
    <mergeCell ref="B44:E44"/>
    <mergeCell ref="B45:E45"/>
    <mergeCell ref="B46:E46"/>
  </mergeCells>
  <phoneticPr fontId="3" type="noConversion"/>
  <printOptions horizontalCentered="1"/>
  <pageMargins left="0.11811023622047245" right="0.11811023622047245" top="0.74803149606299213" bottom="0.74803149606299213" header="0.31496062992125984" footer="0.31496062992125984"/>
  <pageSetup paperSize="9" scale="76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5F65-2368-4338-97B6-26F2008BFBE2}">
  <sheetPr>
    <tabColor theme="7" tint="0.59999389629810485"/>
  </sheetPr>
  <dimension ref="A1:T55"/>
  <sheetViews>
    <sheetView showGridLines="0" topLeftCell="A7" workbookViewId="0">
      <selection activeCell="L9" sqref="L9"/>
    </sheetView>
  </sheetViews>
  <sheetFormatPr defaultRowHeight="14" x14ac:dyDescent="0.3"/>
  <cols>
    <col min="1" max="1" width="11.08203125" customWidth="1"/>
    <col min="2" max="2" width="10.75" customWidth="1"/>
    <col min="3" max="3" width="13" bestFit="1" customWidth="1"/>
    <col min="4" max="4" width="12.08203125" customWidth="1"/>
    <col min="5" max="7" width="10.75" customWidth="1"/>
    <col min="8" max="8" width="12.83203125" customWidth="1"/>
    <col min="11" max="11" width="4.75" bestFit="1" customWidth="1"/>
    <col min="12" max="12" width="11.33203125" bestFit="1" customWidth="1"/>
    <col min="13" max="13" width="18.58203125" bestFit="1" customWidth="1"/>
    <col min="14" max="14" width="28.08203125" bestFit="1" customWidth="1"/>
    <col min="15" max="15" width="5.5" bestFit="1" customWidth="1"/>
    <col min="16" max="17" width="4.75" bestFit="1" customWidth="1"/>
    <col min="18" max="18" width="5.5" bestFit="1" customWidth="1"/>
    <col min="19" max="19" width="8" bestFit="1" customWidth="1"/>
    <col min="20" max="20" width="26.25" bestFit="1" customWidth="1"/>
  </cols>
  <sheetData>
    <row r="1" spans="1:20" ht="16.5" customHeight="1" x14ac:dyDescent="0.3">
      <c r="A1" s="19" t="s">
        <v>0</v>
      </c>
      <c r="B1" s="219" t="s">
        <v>159</v>
      </c>
      <c r="C1" s="219"/>
      <c r="D1" s="219"/>
      <c r="E1" s="219"/>
      <c r="F1" s="219"/>
      <c r="G1" s="219"/>
      <c r="H1" s="219"/>
      <c r="K1" s="218" t="s">
        <v>162</v>
      </c>
      <c r="L1" s="218"/>
      <c r="M1" s="218"/>
      <c r="N1" s="218"/>
      <c r="O1" s="218"/>
      <c r="P1" s="218"/>
      <c r="Q1" s="218"/>
      <c r="R1" s="218"/>
      <c r="S1" s="218"/>
      <c r="T1" s="144"/>
    </row>
    <row r="2" spans="1:20" ht="16.5" x14ac:dyDescent="0.45">
      <c r="A2" s="19" t="s">
        <v>1</v>
      </c>
      <c r="B2" s="19"/>
      <c r="C2" s="19"/>
      <c r="D2" s="20" t="s">
        <v>160</v>
      </c>
      <c r="E2" s="11"/>
      <c r="F2" s="11"/>
      <c r="G2" s="11"/>
      <c r="K2" s="145"/>
      <c r="L2" s="145"/>
      <c r="M2" s="145"/>
      <c r="N2" s="145"/>
      <c r="O2" s="145"/>
      <c r="P2" s="145"/>
      <c r="Q2" s="145"/>
      <c r="R2" s="145"/>
      <c r="S2" s="146">
        <f>S4+S26+S28+S32+S30</f>
        <v>253.38</v>
      </c>
      <c r="T2" s="147"/>
    </row>
    <row r="3" spans="1:20" ht="23.25" customHeight="1" x14ac:dyDescent="0.45">
      <c r="A3" s="19" t="s">
        <v>2</v>
      </c>
      <c r="B3" s="19"/>
      <c r="C3" s="19"/>
      <c r="D3" s="21" t="s">
        <v>161</v>
      </c>
      <c r="E3" s="11"/>
      <c r="F3" s="11"/>
      <c r="G3" s="11"/>
      <c r="K3" s="148" t="s">
        <v>163</v>
      </c>
      <c r="L3" s="148" t="s">
        <v>164</v>
      </c>
      <c r="M3" s="148" t="s">
        <v>165</v>
      </c>
      <c r="N3" s="148" t="s">
        <v>166</v>
      </c>
      <c r="O3" s="148" t="s">
        <v>89</v>
      </c>
      <c r="P3" s="148" t="s">
        <v>167</v>
      </c>
      <c r="Q3" s="148" t="s">
        <v>168</v>
      </c>
      <c r="R3" s="148" t="s">
        <v>27</v>
      </c>
      <c r="S3" s="148" t="s">
        <v>169</v>
      </c>
      <c r="T3" s="148" t="s">
        <v>15</v>
      </c>
    </row>
    <row r="4" spans="1:20" ht="18" customHeight="1" x14ac:dyDescent="0.3">
      <c r="K4" s="149" t="s">
        <v>170</v>
      </c>
      <c r="L4" s="149"/>
      <c r="M4" s="149"/>
      <c r="N4" s="149"/>
      <c r="O4" s="150" t="s">
        <v>171</v>
      </c>
      <c r="P4" s="150"/>
      <c r="Q4" s="150"/>
      <c r="R4" s="150" t="s">
        <v>172</v>
      </c>
      <c r="S4" s="149">
        <f>SUM(S5:S25)</f>
        <v>122.58</v>
      </c>
      <c r="T4" s="150"/>
    </row>
    <row r="5" spans="1:20" ht="18" customHeight="1" x14ac:dyDescent="0.3">
      <c r="A5" s="14" t="s">
        <v>8</v>
      </c>
      <c r="B5" s="5"/>
      <c r="C5" s="5"/>
      <c r="D5" s="173">
        <v>2403300</v>
      </c>
      <c r="E5" s="4"/>
      <c r="F5" s="4"/>
      <c r="G5" s="4"/>
      <c r="H5" s="4"/>
      <c r="K5" s="151">
        <v>1</v>
      </c>
      <c r="L5" s="143" t="s">
        <v>173</v>
      </c>
      <c r="M5" s="143" t="s">
        <v>173</v>
      </c>
      <c r="N5" s="152" t="s">
        <v>174</v>
      </c>
      <c r="O5" s="152">
        <v>0.18</v>
      </c>
      <c r="P5" s="152">
        <v>2</v>
      </c>
      <c r="Q5" s="152">
        <v>8</v>
      </c>
      <c r="R5" s="152">
        <f t="shared" ref="R5:R25" si="0">P5*Q5</f>
        <v>16</v>
      </c>
      <c r="S5" s="152">
        <f t="shared" ref="S5:S25" si="1">O5*R5</f>
        <v>2.88</v>
      </c>
      <c r="T5" s="153"/>
    </row>
    <row r="6" spans="1:20" ht="18" customHeight="1" x14ac:dyDescent="0.3">
      <c r="A6" s="14" t="s">
        <v>20</v>
      </c>
      <c r="B6" s="5"/>
      <c r="C6" s="5"/>
      <c r="D6" s="173">
        <f>S2*10000</f>
        <v>2533800</v>
      </c>
      <c r="E6" s="4" t="s">
        <v>97</v>
      </c>
      <c r="F6" s="8">
        <v>2200057.61</v>
      </c>
      <c r="G6" s="4"/>
      <c r="K6" s="151">
        <v>2</v>
      </c>
      <c r="L6" s="143"/>
      <c r="M6" s="143" t="s">
        <v>175</v>
      </c>
      <c r="N6" s="152" t="s">
        <v>176</v>
      </c>
      <c r="O6" s="152">
        <v>0.18</v>
      </c>
      <c r="P6" s="152">
        <v>2</v>
      </c>
      <c r="Q6" s="152">
        <v>15</v>
      </c>
      <c r="R6" s="152">
        <f t="shared" si="0"/>
        <v>30</v>
      </c>
      <c r="S6" s="152">
        <f t="shared" si="1"/>
        <v>5.3999999999999995</v>
      </c>
      <c r="T6" s="153"/>
    </row>
    <row r="7" spans="1:20" ht="18" customHeight="1" x14ac:dyDescent="0.3">
      <c r="A7" s="4"/>
      <c r="B7" s="4"/>
      <c r="C7" s="4"/>
      <c r="D7" s="4"/>
      <c r="E7" s="3"/>
      <c r="F7" s="3"/>
      <c r="G7" s="3"/>
      <c r="H7" s="4"/>
      <c r="K7" s="151">
        <v>3</v>
      </c>
      <c r="L7" s="143"/>
      <c r="M7" s="143" t="s">
        <v>177</v>
      </c>
      <c r="N7" s="152" t="s">
        <v>178</v>
      </c>
      <c r="O7" s="152">
        <v>0.18</v>
      </c>
      <c r="P7" s="152">
        <v>2</v>
      </c>
      <c r="Q7" s="152">
        <v>1</v>
      </c>
      <c r="R7" s="152">
        <f t="shared" si="0"/>
        <v>2</v>
      </c>
      <c r="S7" s="152">
        <f t="shared" si="1"/>
        <v>0.36</v>
      </c>
      <c r="T7" s="153"/>
    </row>
    <row r="8" spans="1:20" ht="18" customHeight="1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2" t="s">
        <v>3</v>
      </c>
      <c r="F8" s="22" t="s">
        <v>236</v>
      </c>
      <c r="G8" s="22" t="s">
        <v>237</v>
      </c>
      <c r="H8" s="23" t="s">
        <v>12</v>
      </c>
      <c r="K8" s="151">
        <v>4</v>
      </c>
      <c r="L8" s="143" t="s">
        <v>179</v>
      </c>
      <c r="M8" s="143" t="s">
        <v>180</v>
      </c>
      <c r="N8" s="143" t="s">
        <v>181</v>
      </c>
      <c r="O8" s="152">
        <v>0.18</v>
      </c>
      <c r="P8" s="152">
        <v>2</v>
      </c>
      <c r="Q8" s="152">
        <v>10</v>
      </c>
      <c r="R8" s="152">
        <f t="shared" si="0"/>
        <v>20</v>
      </c>
      <c r="S8" s="152">
        <f t="shared" si="1"/>
        <v>3.5999999999999996</v>
      </c>
      <c r="T8" s="153"/>
    </row>
    <row r="9" spans="1:20" ht="18" customHeight="1" x14ac:dyDescent="0.4">
      <c r="A9" s="24">
        <v>44287</v>
      </c>
      <c r="B9" s="25"/>
      <c r="C9" s="25"/>
      <c r="D9" s="25"/>
      <c r="E9" s="25"/>
      <c r="F9" s="25"/>
      <c r="G9" s="25"/>
      <c r="H9" s="25">
        <f>SUM(C9:G9)</f>
        <v>0</v>
      </c>
      <c r="K9" s="151">
        <v>5</v>
      </c>
      <c r="L9" s="143"/>
      <c r="M9" s="143" t="s">
        <v>182</v>
      </c>
      <c r="N9" s="152" t="s">
        <v>183</v>
      </c>
      <c r="O9" s="152">
        <v>0.18</v>
      </c>
      <c r="P9" s="152">
        <v>2</v>
      </c>
      <c r="Q9" s="152">
        <v>10</v>
      </c>
      <c r="R9" s="152">
        <f t="shared" si="0"/>
        <v>20</v>
      </c>
      <c r="S9" s="152">
        <f t="shared" si="1"/>
        <v>3.5999999999999996</v>
      </c>
      <c r="T9" s="153"/>
    </row>
    <row r="10" spans="1:20" ht="18" customHeight="1" x14ac:dyDescent="0.4">
      <c r="A10" s="26">
        <v>44317</v>
      </c>
      <c r="B10" s="27"/>
      <c r="C10" s="27"/>
      <c r="D10" s="27"/>
      <c r="E10" s="27"/>
      <c r="F10" s="27"/>
      <c r="G10" s="27"/>
      <c r="H10" s="27">
        <f t="shared" ref="H10:H34" si="2">SUM(C10:G10)</f>
        <v>0</v>
      </c>
      <c r="K10" s="151">
        <v>6</v>
      </c>
      <c r="L10" s="143"/>
      <c r="M10" s="143" t="s">
        <v>184</v>
      </c>
      <c r="N10" s="152" t="s">
        <v>185</v>
      </c>
      <c r="O10" s="152">
        <v>0.18</v>
      </c>
      <c r="P10" s="152">
        <v>1</v>
      </c>
      <c r="Q10" s="152">
        <v>20</v>
      </c>
      <c r="R10" s="152">
        <f t="shared" si="0"/>
        <v>20</v>
      </c>
      <c r="S10" s="152">
        <f t="shared" si="1"/>
        <v>3.5999999999999996</v>
      </c>
      <c r="T10" s="153"/>
    </row>
    <row r="11" spans="1:20" ht="18" customHeight="1" x14ac:dyDescent="0.4">
      <c r="A11" s="24">
        <v>44348</v>
      </c>
      <c r="B11" s="25"/>
      <c r="C11" s="25"/>
      <c r="D11" s="25"/>
      <c r="E11" s="25"/>
      <c r="F11" s="25"/>
      <c r="G11" s="25"/>
      <c r="H11" s="25">
        <f t="shared" si="2"/>
        <v>0</v>
      </c>
      <c r="K11" s="151">
        <v>7</v>
      </c>
      <c r="L11" s="143"/>
      <c r="M11" s="143" t="s">
        <v>186</v>
      </c>
      <c r="N11" s="152" t="s">
        <v>187</v>
      </c>
      <c r="O11" s="152">
        <v>0.18</v>
      </c>
      <c r="P11" s="152">
        <v>2</v>
      </c>
      <c r="Q11" s="152">
        <v>20</v>
      </c>
      <c r="R11" s="152">
        <f t="shared" si="0"/>
        <v>40</v>
      </c>
      <c r="S11" s="152">
        <f t="shared" si="1"/>
        <v>7.1999999999999993</v>
      </c>
      <c r="T11" s="153"/>
    </row>
    <row r="12" spans="1:20" ht="18" customHeight="1" x14ac:dyDescent="0.4">
      <c r="A12" s="26">
        <v>44378</v>
      </c>
      <c r="B12" s="27"/>
      <c r="C12" s="27"/>
      <c r="D12" s="27"/>
      <c r="E12" s="27"/>
      <c r="F12" s="27"/>
      <c r="G12" s="27"/>
      <c r="H12" s="27">
        <f t="shared" si="2"/>
        <v>0</v>
      </c>
      <c r="K12" s="151">
        <v>8</v>
      </c>
      <c r="L12" s="143"/>
      <c r="M12" s="143" t="s">
        <v>188</v>
      </c>
      <c r="N12" s="152" t="s">
        <v>189</v>
      </c>
      <c r="O12" s="152">
        <v>0.18</v>
      </c>
      <c r="P12" s="152">
        <v>2</v>
      </c>
      <c r="Q12" s="152">
        <v>1</v>
      </c>
      <c r="R12" s="152">
        <f t="shared" si="0"/>
        <v>2</v>
      </c>
      <c r="S12" s="152">
        <f t="shared" si="1"/>
        <v>0.36</v>
      </c>
      <c r="T12" s="153"/>
    </row>
    <row r="13" spans="1:20" ht="18" customHeight="1" x14ac:dyDescent="0.4">
      <c r="A13" s="24">
        <v>44409</v>
      </c>
      <c r="B13" s="25"/>
      <c r="C13" s="25"/>
      <c r="D13" s="25"/>
      <c r="E13" s="25"/>
      <c r="F13" s="25"/>
      <c r="G13" s="25"/>
      <c r="H13" s="25">
        <f t="shared" si="2"/>
        <v>0</v>
      </c>
      <c r="K13" s="151">
        <v>9</v>
      </c>
      <c r="L13" s="143" t="s">
        <v>190</v>
      </c>
      <c r="M13" s="143" t="s">
        <v>53</v>
      </c>
      <c r="N13" s="152" t="s">
        <v>191</v>
      </c>
      <c r="O13" s="152">
        <v>0.18</v>
      </c>
      <c r="P13" s="152">
        <v>2</v>
      </c>
      <c r="Q13" s="152">
        <v>40</v>
      </c>
      <c r="R13" s="152">
        <f t="shared" si="0"/>
        <v>80</v>
      </c>
      <c r="S13" s="152">
        <f t="shared" si="1"/>
        <v>14.399999999999999</v>
      </c>
      <c r="T13" s="153"/>
    </row>
    <row r="14" spans="1:20" ht="18" customHeight="1" x14ac:dyDescent="0.4">
      <c r="A14" s="26">
        <v>44440</v>
      </c>
      <c r="B14" s="27"/>
      <c r="C14" s="27"/>
      <c r="D14" s="27"/>
      <c r="E14" s="27"/>
      <c r="F14" s="27"/>
      <c r="G14" s="27"/>
      <c r="H14" s="27">
        <f t="shared" si="2"/>
        <v>0</v>
      </c>
      <c r="K14" s="151"/>
      <c r="L14" s="143"/>
      <c r="M14" s="143" t="s">
        <v>192</v>
      </c>
      <c r="N14" s="152" t="s">
        <v>193</v>
      </c>
      <c r="O14" s="152">
        <v>0.18</v>
      </c>
      <c r="P14" s="152">
        <v>1</v>
      </c>
      <c r="Q14" s="152">
        <v>30</v>
      </c>
      <c r="R14" s="152">
        <f t="shared" si="0"/>
        <v>30</v>
      </c>
      <c r="S14" s="152">
        <f t="shared" si="1"/>
        <v>5.3999999999999995</v>
      </c>
      <c r="T14" s="153"/>
    </row>
    <row r="15" spans="1:20" ht="18" customHeight="1" x14ac:dyDescent="0.4">
      <c r="A15" s="24">
        <v>44470</v>
      </c>
      <c r="B15" s="25"/>
      <c r="C15" s="25"/>
      <c r="D15" s="25"/>
      <c r="E15" s="25"/>
      <c r="F15" s="25"/>
      <c r="G15" s="25"/>
      <c r="H15" s="25">
        <f t="shared" si="2"/>
        <v>0</v>
      </c>
      <c r="K15" s="151">
        <v>10</v>
      </c>
      <c r="L15" s="143"/>
      <c r="M15" s="143" t="s">
        <v>194</v>
      </c>
      <c r="N15" s="152" t="s">
        <v>195</v>
      </c>
      <c r="O15" s="152">
        <v>0.18</v>
      </c>
      <c r="P15" s="152">
        <v>1</v>
      </c>
      <c r="Q15" s="152">
        <v>10</v>
      </c>
      <c r="R15" s="152">
        <f t="shared" si="0"/>
        <v>10</v>
      </c>
      <c r="S15" s="152">
        <f t="shared" si="1"/>
        <v>1.7999999999999998</v>
      </c>
      <c r="T15" s="153"/>
    </row>
    <row r="16" spans="1:20" ht="18" customHeight="1" x14ac:dyDescent="0.4">
      <c r="A16" s="26">
        <v>44501</v>
      </c>
      <c r="B16" s="27"/>
      <c r="C16" s="27"/>
      <c r="D16" s="27"/>
      <c r="E16" s="27"/>
      <c r="F16" s="27"/>
      <c r="G16" s="27"/>
      <c r="H16" s="27">
        <f t="shared" si="2"/>
        <v>0</v>
      </c>
      <c r="K16" s="151">
        <v>11</v>
      </c>
      <c r="L16" s="143" t="s">
        <v>196</v>
      </c>
      <c r="M16" s="143" t="s">
        <v>197</v>
      </c>
      <c r="N16" s="152" t="s">
        <v>198</v>
      </c>
      <c r="O16" s="152">
        <v>0.18</v>
      </c>
      <c r="P16" s="152">
        <v>2</v>
      </c>
      <c r="Q16" s="152">
        <v>10</v>
      </c>
      <c r="R16" s="152">
        <f t="shared" si="0"/>
        <v>20</v>
      </c>
      <c r="S16" s="152">
        <f t="shared" si="1"/>
        <v>3.5999999999999996</v>
      </c>
      <c r="T16" s="153"/>
    </row>
    <row r="17" spans="1:20" ht="18" customHeight="1" x14ac:dyDescent="0.4">
      <c r="A17" s="24">
        <v>44531</v>
      </c>
      <c r="B17" s="25"/>
      <c r="C17" s="25"/>
      <c r="D17" s="25"/>
      <c r="E17" s="25"/>
      <c r="F17" s="25"/>
      <c r="G17" s="25"/>
      <c r="H17" s="25">
        <f t="shared" si="2"/>
        <v>0</v>
      </c>
      <c r="K17" s="151">
        <v>12</v>
      </c>
      <c r="L17" s="143"/>
      <c r="M17" s="143" t="s">
        <v>199</v>
      </c>
      <c r="N17" s="152" t="s">
        <v>200</v>
      </c>
      <c r="O17" s="152">
        <v>0.18</v>
      </c>
      <c r="P17" s="152">
        <v>1</v>
      </c>
      <c r="Q17" s="152">
        <v>20</v>
      </c>
      <c r="R17" s="152">
        <f t="shared" si="0"/>
        <v>20</v>
      </c>
      <c r="S17" s="152">
        <f t="shared" si="1"/>
        <v>3.5999999999999996</v>
      </c>
      <c r="T17" s="153"/>
    </row>
    <row r="18" spans="1:20" ht="18" customHeight="1" x14ac:dyDescent="0.4">
      <c r="A18" s="26">
        <v>44562</v>
      </c>
      <c r="B18" s="27"/>
      <c r="C18" s="27"/>
      <c r="D18" s="27"/>
      <c r="E18" s="27"/>
      <c r="F18" s="27"/>
      <c r="G18" s="27"/>
      <c r="H18" s="27">
        <f t="shared" si="2"/>
        <v>0</v>
      </c>
      <c r="K18" s="151">
        <v>13</v>
      </c>
      <c r="L18" s="143" t="s">
        <v>54</v>
      </c>
      <c r="M18" s="143" t="s">
        <v>201</v>
      </c>
      <c r="N18" s="152"/>
      <c r="O18" s="152">
        <v>0.18</v>
      </c>
      <c r="P18" s="152">
        <v>2</v>
      </c>
      <c r="Q18" s="152">
        <v>10</v>
      </c>
      <c r="R18" s="152">
        <f t="shared" si="0"/>
        <v>20</v>
      </c>
      <c r="S18" s="152">
        <f t="shared" si="1"/>
        <v>3.5999999999999996</v>
      </c>
      <c r="T18" s="153"/>
    </row>
    <row r="19" spans="1:20" ht="18" customHeight="1" x14ac:dyDescent="0.4">
      <c r="A19" s="24">
        <v>44593</v>
      </c>
      <c r="B19" s="25"/>
      <c r="C19" s="25"/>
      <c r="D19" s="25"/>
      <c r="E19" s="25"/>
      <c r="F19" s="25"/>
      <c r="G19" s="25"/>
      <c r="H19" s="25">
        <f t="shared" si="2"/>
        <v>0</v>
      </c>
      <c r="K19" s="151">
        <v>14</v>
      </c>
      <c r="L19" s="143"/>
      <c r="M19" s="143" t="s">
        <v>202</v>
      </c>
      <c r="N19" s="152" t="s">
        <v>202</v>
      </c>
      <c r="O19" s="152">
        <v>0.18</v>
      </c>
      <c r="P19" s="152">
        <v>2</v>
      </c>
      <c r="Q19" s="152">
        <v>30</v>
      </c>
      <c r="R19" s="152">
        <f t="shared" si="0"/>
        <v>60</v>
      </c>
      <c r="S19" s="152">
        <f t="shared" si="1"/>
        <v>10.799999999999999</v>
      </c>
      <c r="T19" s="153"/>
    </row>
    <row r="20" spans="1:20" ht="18" customHeight="1" x14ac:dyDescent="0.4">
      <c r="A20" s="26">
        <v>44621</v>
      </c>
      <c r="B20" s="27"/>
      <c r="C20" s="27"/>
      <c r="D20" s="27"/>
      <c r="E20" s="27"/>
      <c r="F20" s="27"/>
      <c r="G20" s="27"/>
      <c r="H20" s="27">
        <f t="shared" si="2"/>
        <v>0</v>
      </c>
      <c r="K20" s="151">
        <v>15</v>
      </c>
      <c r="L20" s="143"/>
      <c r="M20" s="143" t="s">
        <v>203</v>
      </c>
      <c r="N20" s="152" t="s">
        <v>204</v>
      </c>
      <c r="O20" s="152">
        <v>0.18</v>
      </c>
      <c r="P20" s="152">
        <v>2</v>
      </c>
      <c r="Q20" s="152">
        <v>20</v>
      </c>
      <c r="R20" s="152">
        <f t="shared" si="0"/>
        <v>40</v>
      </c>
      <c r="S20" s="152">
        <f t="shared" si="1"/>
        <v>7.1999999999999993</v>
      </c>
      <c r="T20" s="153"/>
    </row>
    <row r="21" spans="1:20" ht="18" customHeight="1" x14ac:dyDescent="0.4">
      <c r="A21" s="24">
        <v>44652</v>
      </c>
      <c r="B21" s="25"/>
      <c r="C21" s="25"/>
      <c r="D21" s="25"/>
      <c r="E21" s="25"/>
      <c r="F21" s="25"/>
      <c r="G21" s="25"/>
      <c r="H21" s="25">
        <f t="shared" si="2"/>
        <v>0</v>
      </c>
      <c r="K21" s="151">
        <v>16</v>
      </c>
      <c r="L21" s="143"/>
      <c r="M21" s="143" t="s">
        <v>205</v>
      </c>
      <c r="N21" s="152" t="s">
        <v>206</v>
      </c>
      <c r="O21" s="152">
        <v>0.18</v>
      </c>
      <c r="P21" s="152">
        <v>1</v>
      </c>
      <c r="Q21" s="152">
        <v>1</v>
      </c>
      <c r="R21" s="152">
        <f t="shared" si="0"/>
        <v>1</v>
      </c>
      <c r="S21" s="152">
        <f t="shared" si="1"/>
        <v>0.18</v>
      </c>
      <c r="T21" s="153"/>
    </row>
    <row r="22" spans="1:20" ht="18" customHeight="1" x14ac:dyDescent="0.4">
      <c r="A22" s="26">
        <v>44682</v>
      </c>
      <c r="B22" s="27"/>
      <c r="C22" s="27"/>
      <c r="D22" s="27"/>
      <c r="E22" s="27"/>
      <c r="F22" s="27"/>
      <c r="G22" s="27"/>
      <c r="H22" s="27">
        <f t="shared" si="2"/>
        <v>0</v>
      </c>
      <c r="K22" s="151">
        <v>17</v>
      </c>
      <c r="L22" s="143"/>
      <c r="M22" s="143" t="s">
        <v>207</v>
      </c>
      <c r="N22" s="152" t="s">
        <v>208</v>
      </c>
      <c r="O22" s="152">
        <v>0.18</v>
      </c>
      <c r="P22" s="152">
        <v>1</v>
      </c>
      <c r="Q22" s="152">
        <v>20</v>
      </c>
      <c r="R22" s="152">
        <f t="shared" si="0"/>
        <v>20</v>
      </c>
      <c r="S22" s="152">
        <f t="shared" si="1"/>
        <v>3.5999999999999996</v>
      </c>
      <c r="T22" s="154" t="s">
        <v>209</v>
      </c>
    </row>
    <row r="23" spans="1:20" ht="18" customHeight="1" x14ac:dyDescent="0.4">
      <c r="A23" s="24">
        <v>44713</v>
      </c>
      <c r="B23" s="25"/>
      <c r="C23" s="25"/>
      <c r="D23" s="25"/>
      <c r="E23" s="25"/>
      <c r="F23" s="25"/>
      <c r="G23" s="25"/>
      <c r="H23" s="25">
        <f t="shared" si="2"/>
        <v>0</v>
      </c>
      <c r="K23" s="151">
        <v>18</v>
      </c>
      <c r="L23" s="143" t="s">
        <v>210</v>
      </c>
      <c r="M23" s="143" t="s">
        <v>211</v>
      </c>
      <c r="N23" s="152" t="s">
        <v>212</v>
      </c>
      <c r="O23" s="152">
        <v>0.18</v>
      </c>
      <c r="P23" s="152">
        <v>1</v>
      </c>
      <c r="Q23" s="152">
        <v>40</v>
      </c>
      <c r="R23" s="152">
        <f t="shared" si="0"/>
        <v>40</v>
      </c>
      <c r="S23" s="152">
        <f t="shared" si="1"/>
        <v>7.1999999999999993</v>
      </c>
      <c r="T23" s="154"/>
    </row>
    <row r="24" spans="1:20" ht="18" customHeight="1" x14ac:dyDescent="0.4">
      <c r="A24" s="26">
        <v>44743</v>
      </c>
      <c r="B24" s="27"/>
      <c r="C24" s="27"/>
      <c r="D24" s="27"/>
      <c r="E24" s="27"/>
      <c r="F24" s="27"/>
      <c r="G24" s="27"/>
      <c r="H24" s="27">
        <f t="shared" si="2"/>
        <v>0</v>
      </c>
      <c r="K24" s="151">
        <v>19</v>
      </c>
      <c r="L24" s="143"/>
      <c r="M24" s="143" t="s">
        <v>213</v>
      </c>
      <c r="N24" s="152" t="s">
        <v>214</v>
      </c>
      <c r="O24" s="152">
        <v>0.18</v>
      </c>
      <c r="P24" s="152">
        <v>1</v>
      </c>
      <c r="Q24" s="152">
        <v>90</v>
      </c>
      <c r="R24" s="152">
        <f t="shared" si="0"/>
        <v>90</v>
      </c>
      <c r="S24" s="152">
        <f t="shared" si="1"/>
        <v>16.2</v>
      </c>
      <c r="T24" s="153"/>
    </row>
    <row r="25" spans="1:20" ht="14.5" x14ac:dyDescent="0.4">
      <c r="A25" s="24">
        <v>44774</v>
      </c>
      <c r="B25" s="25"/>
      <c r="C25" s="25"/>
      <c r="D25" s="25"/>
      <c r="E25" s="25"/>
      <c r="F25" s="25"/>
      <c r="G25" s="25"/>
      <c r="H25" s="25">
        <f t="shared" si="2"/>
        <v>0</v>
      </c>
      <c r="K25" s="151">
        <v>20</v>
      </c>
      <c r="L25" s="143" t="s">
        <v>215</v>
      </c>
      <c r="M25" s="143" t="s">
        <v>215</v>
      </c>
      <c r="N25" s="152" t="s">
        <v>216</v>
      </c>
      <c r="O25" s="152">
        <v>0.18</v>
      </c>
      <c r="P25" s="152">
        <v>1</v>
      </c>
      <c r="Q25" s="152">
        <v>100</v>
      </c>
      <c r="R25" s="152">
        <f t="shared" si="0"/>
        <v>100</v>
      </c>
      <c r="S25" s="152">
        <f t="shared" si="1"/>
        <v>18</v>
      </c>
      <c r="T25" s="153"/>
    </row>
    <row r="26" spans="1:20" ht="14.5" x14ac:dyDescent="0.4">
      <c r="A26" s="26">
        <v>44805</v>
      </c>
      <c r="B26" s="27"/>
      <c r="C26" s="27"/>
      <c r="D26" s="27"/>
      <c r="E26" s="27"/>
      <c r="F26" s="27"/>
      <c r="G26" s="27"/>
      <c r="H26" s="27">
        <f t="shared" si="2"/>
        <v>0</v>
      </c>
      <c r="K26" s="149" t="s">
        <v>19</v>
      </c>
      <c r="L26" s="142"/>
      <c r="M26" s="142"/>
      <c r="N26" s="150"/>
      <c r="O26" s="150" t="s">
        <v>171</v>
      </c>
      <c r="P26" s="150"/>
      <c r="Q26" s="150"/>
      <c r="R26" s="150" t="s">
        <v>31</v>
      </c>
      <c r="S26" s="150">
        <f t="shared" ref="S26:S30" si="3">S27</f>
        <v>30.800000000000004</v>
      </c>
      <c r="T26" s="155"/>
    </row>
    <row r="27" spans="1:20" ht="21" customHeight="1" x14ac:dyDescent="0.4">
      <c r="A27" s="24">
        <v>44835</v>
      </c>
      <c r="B27" s="25"/>
      <c r="C27" s="25"/>
      <c r="D27" s="25"/>
      <c r="E27" s="25"/>
      <c r="F27" s="25"/>
      <c r="G27" s="25"/>
      <c r="H27" s="25">
        <f t="shared" si="2"/>
        <v>0</v>
      </c>
      <c r="K27" s="151">
        <v>1</v>
      </c>
      <c r="L27" s="143" t="s">
        <v>217</v>
      </c>
      <c r="M27" s="143"/>
      <c r="N27" s="152" t="s">
        <v>218</v>
      </c>
      <c r="O27" s="156">
        <v>2.2000000000000002</v>
      </c>
      <c r="P27" s="152"/>
      <c r="Q27" s="152"/>
      <c r="R27" s="152">
        <v>14</v>
      </c>
      <c r="S27" s="152">
        <f t="shared" ref="S27:S31" si="4">O27*R27</f>
        <v>30.800000000000004</v>
      </c>
      <c r="T27" s="153"/>
    </row>
    <row r="28" spans="1:20" ht="18" customHeight="1" x14ac:dyDescent="0.4">
      <c r="A28" s="26">
        <v>44866</v>
      </c>
      <c r="B28" s="27"/>
      <c r="C28" s="27"/>
      <c r="D28" s="27"/>
      <c r="E28" s="27"/>
      <c r="F28" s="27"/>
      <c r="G28" s="27"/>
      <c r="H28" s="27">
        <f t="shared" si="2"/>
        <v>0</v>
      </c>
      <c r="I28" t="s">
        <v>226</v>
      </c>
      <c r="K28" s="149" t="s">
        <v>219</v>
      </c>
      <c r="L28" s="149"/>
      <c r="M28" s="149"/>
      <c r="N28" s="149"/>
      <c r="O28" s="150" t="s">
        <v>171</v>
      </c>
      <c r="P28" s="150"/>
      <c r="Q28" s="150"/>
      <c r="R28" s="150" t="s">
        <v>31</v>
      </c>
      <c r="S28" s="149">
        <f t="shared" si="3"/>
        <v>70</v>
      </c>
      <c r="T28" s="150"/>
    </row>
    <row r="29" spans="1:20" ht="18" customHeight="1" x14ac:dyDescent="0.4">
      <c r="A29" s="24">
        <v>44896</v>
      </c>
      <c r="B29" s="25"/>
      <c r="C29" s="25"/>
      <c r="D29" s="25"/>
      <c r="E29" s="25"/>
      <c r="F29" s="25"/>
      <c r="G29" s="25"/>
      <c r="H29" s="25">
        <f t="shared" si="2"/>
        <v>0</v>
      </c>
      <c r="K29" s="151">
        <v>1</v>
      </c>
      <c r="L29" s="143" t="s">
        <v>220</v>
      </c>
      <c r="M29" s="143"/>
      <c r="N29" s="143"/>
      <c r="O29" s="152">
        <v>70</v>
      </c>
      <c r="P29" s="152"/>
      <c r="Q29" s="152"/>
      <c r="R29" s="152">
        <v>1</v>
      </c>
      <c r="S29" s="152">
        <f t="shared" si="4"/>
        <v>70</v>
      </c>
      <c r="T29" s="153"/>
    </row>
    <row r="30" spans="1:20" ht="18" customHeight="1" x14ac:dyDescent="0.4">
      <c r="A30" s="26">
        <v>44927</v>
      </c>
      <c r="B30" s="27"/>
      <c r="C30" s="27"/>
      <c r="D30" s="27"/>
      <c r="E30" s="27"/>
      <c r="F30" s="27"/>
      <c r="G30" s="27"/>
      <c r="H30" s="27">
        <f t="shared" si="2"/>
        <v>0</v>
      </c>
      <c r="K30" s="149" t="s">
        <v>221</v>
      </c>
      <c r="L30" s="149"/>
      <c r="M30" s="149"/>
      <c r="N30" s="149"/>
      <c r="O30" s="150" t="s">
        <v>171</v>
      </c>
      <c r="P30" s="150"/>
      <c r="Q30" s="150"/>
      <c r="R30" s="150" t="s">
        <v>31</v>
      </c>
      <c r="S30" s="149">
        <f t="shared" si="3"/>
        <v>9</v>
      </c>
      <c r="T30" s="150"/>
    </row>
    <row r="31" spans="1:20" ht="18" customHeight="1" x14ac:dyDescent="0.4">
      <c r="A31" s="24">
        <v>44958</v>
      </c>
      <c r="B31" s="25"/>
      <c r="C31" s="25"/>
      <c r="D31" s="25"/>
      <c r="E31" s="25"/>
      <c r="F31" s="25"/>
      <c r="G31" s="25"/>
      <c r="H31" s="25">
        <f t="shared" si="2"/>
        <v>0</v>
      </c>
      <c r="K31" s="151">
        <v>1</v>
      </c>
      <c r="L31" s="143" t="s">
        <v>222</v>
      </c>
      <c r="M31" s="143"/>
      <c r="N31" s="143"/>
      <c r="O31" s="152">
        <v>0.3</v>
      </c>
      <c r="P31" s="152"/>
      <c r="Q31" s="152"/>
      <c r="R31" s="152">
        <v>30</v>
      </c>
      <c r="S31" s="152">
        <f t="shared" si="4"/>
        <v>9</v>
      </c>
      <c r="T31" s="153"/>
    </row>
    <row r="32" spans="1:20" ht="18" customHeight="1" x14ac:dyDescent="0.4">
      <c r="A32" s="26">
        <v>44986</v>
      </c>
      <c r="B32" s="27"/>
      <c r="C32" s="27"/>
      <c r="D32" s="27"/>
      <c r="E32" s="27"/>
      <c r="F32" s="27"/>
      <c r="G32" s="27"/>
      <c r="H32" s="27">
        <f t="shared" si="2"/>
        <v>0</v>
      </c>
      <c r="I32" t="s">
        <v>225</v>
      </c>
      <c r="K32" s="157" t="s">
        <v>16</v>
      </c>
      <c r="L32" s="157"/>
      <c r="M32" s="157"/>
      <c r="N32" s="157"/>
      <c r="O32" s="158" t="s">
        <v>171</v>
      </c>
      <c r="P32" s="158"/>
      <c r="Q32" s="158"/>
      <c r="R32" s="158" t="s">
        <v>172</v>
      </c>
      <c r="S32" s="157">
        <f>SUM(S33:S33)</f>
        <v>21</v>
      </c>
      <c r="T32" s="150"/>
    </row>
    <row r="33" spans="1:20" ht="18" customHeight="1" x14ac:dyDescent="0.4">
      <c r="A33" s="28" t="s">
        <v>43</v>
      </c>
      <c r="B33" s="29">
        <f>SUM(B9:B32)</f>
        <v>0</v>
      </c>
      <c r="C33" s="29">
        <f t="shared" ref="C33:H33" si="5">SUM(C9:C32)</f>
        <v>0</v>
      </c>
      <c r="D33" s="29">
        <f t="shared" si="5"/>
        <v>0</v>
      </c>
      <c r="E33" s="29">
        <f t="shared" si="5"/>
        <v>0</v>
      </c>
      <c r="F33" s="29">
        <f t="shared" si="5"/>
        <v>0</v>
      </c>
      <c r="G33" s="29">
        <f t="shared" si="5"/>
        <v>0</v>
      </c>
      <c r="H33" s="29">
        <f t="shared" si="5"/>
        <v>0</v>
      </c>
      <c r="K33" s="151">
        <v>1</v>
      </c>
      <c r="L33" s="152" t="s">
        <v>16</v>
      </c>
      <c r="M33" s="152"/>
      <c r="N33" s="152" t="s">
        <v>3</v>
      </c>
      <c r="O33" s="152">
        <v>0.25</v>
      </c>
      <c r="P33" s="152"/>
      <c r="Q33" s="152"/>
      <c r="R33" s="152">
        <v>84</v>
      </c>
      <c r="S33" s="152">
        <f>O33*R33</f>
        <v>21</v>
      </c>
      <c r="T33" s="154"/>
    </row>
    <row r="34" spans="1:20" ht="18" customHeight="1" x14ac:dyDescent="0.4">
      <c r="A34" s="34" t="s">
        <v>17</v>
      </c>
      <c r="B34" s="36">
        <f>681*8</f>
        <v>5448</v>
      </c>
      <c r="C34" s="36">
        <f>1225800-108000</f>
        <v>1117800</v>
      </c>
      <c r="D34" s="39">
        <f>(S27/1.13+S29/1.06)*10000</f>
        <v>932943.73017198197</v>
      </c>
      <c r="E34" s="39">
        <f>S33*10000</f>
        <v>210000</v>
      </c>
      <c r="F34" s="39">
        <f>S19*10000</f>
        <v>107999.99999999999</v>
      </c>
      <c r="G34" s="39">
        <v>90000</v>
      </c>
      <c r="H34" s="36">
        <f t="shared" si="2"/>
        <v>2458743.7301719822</v>
      </c>
    </row>
    <row r="35" spans="1:20" ht="18" customHeight="1" x14ac:dyDescent="0.4">
      <c r="A35" s="35" t="s">
        <v>60</v>
      </c>
      <c r="B35" s="38">
        <f>B33/B34</f>
        <v>0</v>
      </c>
      <c r="C35" s="38">
        <f t="shared" ref="C35:D35" si="6">C33/C34</f>
        <v>0</v>
      </c>
      <c r="D35" s="38">
        <f t="shared" si="6"/>
        <v>0</v>
      </c>
      <c r="E35" s="38">
        <f t="shared" ref="E35:H35" si="7">E33/E34</f>
        <v>0</v>
      </c>
      <c r="F35" s="38">
        <f t="shared" si="7"/>
        <v>0</v>
      </c>
      <c r="G35" s="38">
        <f t="shared" si="7"/>
        <v>0</v>
      </c>
      <c r="H35" s="38">
        <f t="shared" si="7"/>
        <v>0</v>
      </c>
    </row>
    <row r="36" spans="1:20" ht="18" customHeight="1" x14ac:dyDescent="0.3"/>
    <row r="37" spans="1:20" ht="18" customHeight="1" x14ac:dyDescent="0.3"/>
    <row r="38" spans="1:20" ht="18" customHeight="1" x14ac:dyDescent="0.3"/>
    <row r="39" spans="1:20" ht="18" customHeight="1" x14ac:dyDescent="0.45">
      <c r="A39" s="12" t="s">
        <v>14</v>
      </c>
      <c r="B39" s="11"/>
      <c r="C39" s="11"/>
      <c r="D39" s="11"/>
      <c r="E39" s="13"/>
      <c r="F39" s="13"/>
      <c r="G39" s="13"/>
      <c r="H39" s="13"/>
    </row>
    <row r="40" spans="1:20" ht="18" customHeight="1" x14ac:dyDescent="0.4">
      <c r="A40" s="49" t="s">
        <v>22</v>
      </c>
      <c r="B40" s="207" t="s">
        <v>23</v>
      </c>
      <c r="C40" s="207"/>
      <c r="D40" s="207"/>
      <c r="E40" s="207"/>
      <c r="F40" s="162"/>
      <c r="G40" s="162"/>
      <c r="H40" s="50" t="s">
        <v>24</v>
      </c>
    </row>
    <row r="41" spans="1:20" ht="18" customHeight="1" x14ac:dyDescent="0.4">
      <c r="A41" s="52"/>
      <c r="B41" s="65"/>
      <c r="C41" s="66"/>
      <c r="D41" s="66"/>
      <c r="E41" s="67"/>
      <c r="F41" s="51"/>
      <c r="G41" s="51"/>
      <c r="H41" s="51"/>
    </row>
    <row r="42" spans="1:20" ht="18" customHeight="1" x14ac:dyDescent="0.4">
      <c r="A42" s="52"/>
      <c r="B42" s="215"/>
      <c r="C42" s="216"/>
      <c r="D42" s="216"/>
      <c r="E42" s="217"/>
      <c r="F42" s="51"/>
      <c r="G42" s="51"/>
      <c r="H42" s="51"/>
    </row>
    <row r="43" spans="1:20" ht="18" customHeight="1" x14ac:dyDescent="0.4">
      <c r="A43" s="52"/>
      <c r="B43" s="215"/>
      <c r="C43" s="216"/>
      <c r="D43" s="216"/>
      <c r="E43" s="217"/>
      <c r="F43" s="51"/>
      <c r="G43" s="51"/>
      <c r="H43" s="51"/>
    </row>
    <row r="44" spans="1:20" ht="18" customHeight="1" x14ac:dyDescent="0.4">
      <c r="A44" s="52"/>
      <c r="B44" s="215"/>
      <c r="C44" s="216"/>
      <c r="D44" s="216"/>
      <c r="E44" s="217"/>
      <c r="F44" s="51"/>
      <c r="G44" s="51"/>
      <c r="H44" s="51"/>
    </row>
    <row r="45" spans="1:20" ht="14.5" x14ac:dyDescent="0.4">
      <c r="A45" s="52"/>
      <c r="B45" s="215"/>
      <c r="C45" s="216"/>
      <c r="D45" s="216"/>
      <c r="E45" s="217"/>
      <c r="F45" s="51"/>
      <c r="G45" s="51"/>
      <c r="H45" s="51"/>
    </row>
    <row r="46" spans="1:20" ht="14.5" x14ac:dyDescent="0.4">
      <c r="A46" s="52"/>
      <c r="B46" s="215"/>
      <c r="C46" s="216"/>
      <c r="D46" s="216"/>
      <c r="E46" s="217"/>
      <c r="F46" s="51"/>
      <c r="G46" s="51"/>
      <c r="H46" s="51"/>
    </row>
    <row r="47" spans="1:20" ht="14.5" x14ac:dyDescent="0.4">
      <c r="A47" s="52"/>
      <c r="B47" s="215"/>
      <c r="C47" s="216"/>
      <c r="D47" s="216"/>
      <c r="E47" s="217"/>
      <c r="F47" s="51"/>
      <c r="G47" s="51"/>
      <c r="H47" s="51"/>
    </row>
    <row r="48" spans="1:20" ht="14.5" x14ac:dyDescent="0.4">
      <c r="A48" s="52"/>
      <c r="B48" s="215"/>
      <c r="C48" s="216"/>
      <c r="D48" s="216"/>
      <c r="E48" s="217"/>
      <c r="F48" s="51"/>
      <c r="G48" s="51"/>
      <c r="H48" s="51"/>
    </row>
    <row r="49" spans="1:8" ht="14.5" x14ac:dyDescent="0.4">
      <c r="A49" s="52"/>
      <c r="B49" s="215"/>
      <c r="C49" s="216"/>
      <c r="D49" s="216"/>
      <c r="E49" s="217"/>
      <c r="F49" s="51"/>
      <c r="G49" s="51"/>
      <c r="H49" s="51"/>
    </row>
    <row r="50" spans="1:8" ht="14.5" x14ac:dyDescent="0.4">
      <c r="A50" s="52"/>
      <c r="B50" s="215"/>
      <c r="C50" s="216"/>
      <c r="D50" s="216"/>
      <c r="E50" s="217"/>
      <c r="F50" s="51"/>
      <c r="G50" s="51"/>
      <c r="H50" s="51"/>
    </row>
    <row r="51" spans="1:8" ht="14.5" x14ac:dyDescent="0.4">
      <c r="A51" s="52"/>
      <c r="B51" s="215"/>
      <c r="C51" s="216"/>
      <c r="D51" s="216"/>
      <c r="E51" s="217"/>
      <c r="F51" s="51"/>
      <c r="G51" s="51"/>
      <c r="H51" s="51"/>
    </row>
    <row r="52" spans="1:8" ht="14.5" x14ac:dyDescent="0.4">
      <c r="A52" s="52"/>
      <c r="B52" s="212"/>
      <c r="C52" s="213"/>
      <c r="D52" s="213"/>
      <c r="E52" s="214"/>
      <c r="F52" s="51"/>
      <c r="G52" s="51"/>
      <c r="H52" s="51"/>
    </row>
    <row r="53" spans="1:8" ht="14.5" x14ac:dyDescent="0.4">
      <c r="A53" s="52"/>
      <c r="B53" s="202"/>
      <c r="C53" s="203"/>
      <c r="D53" s="203"/>
      <c r="E53" s="204"/>
      <c r="F53" s="51"/>
      <c r="G53" s="51"/>
      <c r="H53" s="51"/>
    </row>
    <row r="54" spans="1:8" ht="14.5" x14ac:dyDescent="0.4">
      <c r="A54" s="52"/>
      <c r="B54" s="205"/>
      <c r="C54" s="205"/>
      <c r="D54" s="205"/>
      <c r="E54" s="206"/>
      <c r="F54" s="161"/>
      <c r="G54" s="161"/>
      <c r="H54" s="51"/>
    </row>
    <row r="55" spans="1:8" ht="14.5" x14ac:dyDescent="0.4">
      <c r="A55" s="17"/>
      <c r="B55" s="201"/>
      <c r="C55" s="201"/>
      <c r="D55" s="201"/>
      <c r="E55" s="201"/>
      <c r="F55" s="159"/>
      <c r="G55" s="159"/>
      <c r="H55" s="18">
        <f>SUM(H41:H54)</f>
        <v>0</v>
      </c>
    </row>
  </sheetData>
  <mergeCells count="17">
    <mergeCell ref="K1:S1"/>
    <mergeCell ref="B46:E46"/>
    <mergeCell ref="B47:E47"/>
    <mergeCell ref="B48:E48"/>
    <mergeCell ref="B49:E49"/>
    <mergeCell ref="B40:E40"/>
    <mergeCell ref="B42:E42"/>
    <mergeCell ref="B43:E43"/>
    <mergeCell ref="B44:E44"/>
    <mergeCell ref="B45:E45"/>
    <mergeCell ref="B1:H1"/>
    <mergeCell ref="B52:E52"/>
    <mergeCell ref="B53:E53"/>
    <mergeCell ref="B54:E54"/>
    <mergeCell ref="B55:E55"/>
    <mergeCell ref="B50:E50"/>
    <mergeCell ref="B51:E5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E5D4-14B5-4256-B957-1C7E5D6D39CC}">
  <sheetPr>
    <tabColor theme="7" tint="0.59999389629810485"/>
  </sheetPr>
  <dimension ref="A1:M50"/>
  <sheetViews>
    <sheetView showGridLines="0" workbookViewId="0">
      <selection activeCell="F14" sqref="F14"/>
    </sheetView>
  </sheetViews>
  <sheetFormatPr defaultRowHeight="14" x14ac:dyDescent="0.3"/>
  <cols>
    <col min="1" max="1" width="11.08203125" customWidth="1"/>
    <col min="2" max="3" width="10.75" customWidth="1"/>
    <col min="4" max="5" width="12.08203125" customWidth="1"/>
    <col min="6" max="7" width="10.75" customWidth="1"/>
    <col min="8" max="8" width="12.83203125" customWidth="1"/>
    <col min="11" max="11" width="4.75" bestFit="1" customWidth="1"/>
    <col min="12" max="12" width="11.33203125" bestFit="1" customWidth="1"/>
    <col min="13" max="13" width="18.58203125" bestFit="1" customWidth="1"/>
    <col min="14" max="14" width="28.08203125" bestFit="1" customWidth="1"/>
    <col min="15" max="15" width="5.5" bestFit="1" customWidth="1"/>
    <col min="16" max="17" width="4.75" bestFit="1" customWidth="1"/>
    <col min="18" max="18" width="5.5" bestFit="1" customWidth="1"/>
    <col min="19" max="19" width="8" bestFit="1" customWidth="1"/>
    <col min="20" max="20" width="26.25" bestFit="1" customWidth="1"/>
  </cols>
  <sheetData>
    <row r="1" spans="1:10" ht="16.5" customHeight="1" x14ac:dyDescent="0.3">
      <c r="A1" s="19" t="s">
        <v>0</v>
      </c>
      <c r="D1" s="172" t="s">
        <v>232</v>
      </c>
      <c r="E1" s="172"/>
      <c r="F1" s="172"/>
      <c r="G1" s="172"/>
      <c r="H1" s="172"/>
    </row>
    <row r="2" spans="1:10" ht="16.5" x14ac:dyDescent="0.45">
      <c r="A2" s="19" t="s">
        <v>1</v>
      </c>
      <c r="B2" s="19"/>
      <c r="C2" s="19"/>
      <c r="D2" s="20" t="s">
        <v>231</v>
      </c>
      <c r="E2" s="182"/>
      <c r="F2" s="11"/>
      <c r="G2" s="11"/>
    </row>
    <row r="3" spans="1:10" ht="23.25" customHeight="1" x14ac:dyDescent="0.45">
      <c r="A3" s="19" t="s">
        <v>2</v>
      </c>
      <c r="B3" s="19"/>
      <c r="C3" s="19"/>
      <c r="D3" s="21" t="s">
        <v>233</v>
      </c>
      <c r="E3" s="182"/>
      <c r="F3" s="11"/>
      <c r="G3" s="11"/>
    </row>
    <row r="4" spans="1:10" ht="18" customHeight="1" x14ac:dyDescent="0.3"/>
    <row r="5" spans="1:10" ht="18" customHeight="1" x14ac:dyDescent="0.3">
      <c r="A5" s="14" t="s">
        <v>8</v>
      </c>
      <c r="B5" s="5"/>
      <c r="C5" s="5"/>
      <c r="D5" s="173">
        <v>705000</v>
      </c>
      <c r="E5" s="173"/>
      <c r="F5" s="4"/>
      <c r="G5" s="4"/>
      <c r="H5" s="4"/>
    </row>
    <row r="6" spans="1:10" ht="18" customHeight="1" x14ac:dyDescent="0.3">
      <c r="A6" s="14" t="s">
        <v>20</v>
      </c>
      <c r="B6" s="5"/>
      <c r="C6" s="5"/>
      <c r="D6" s="173">
        <v>534500</v>
      </c>
      <c r="E6" s="173"/>
      <c r="F6" s="4" t="s">
        <v>97</v>
      </c>
      <c r="G6" s="4"/>
      <c r="H6" s="6">
        <f>D5/1.06</f>
        <v>665094.33962264145</v>
      </c>
      <c r="J6" s="44">
        <f>D6/H6</f>
        <v>0.80364539007092206</v>
      </c>
    </row>
    <row r="7" spans="1:10" ht="18" customHeight="1" x14ac:dyDescent="0.3">
      <c r="A7" s="4"/>
      <c r="B7" s="4"/>
      <c r="C7" s="4"/>
      <c r="D7" s="4"/>
      <c r="E7" s="4"/>
      <c r="F7" s="3"/>
      <c r="G7" s="3"/>
      <c r="H7" s="4"/>
      <c r="J7" s="44">
        <f>1-J6</f>
        <v>0.19635460992907794</v>
      </c>
    </row>
    <row r="8" spans="1:10" ht="18" customHeight="1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3" t="s">
        <v>236</v>
      </c>
      <c r="F8" s="22" t="s">
        <v>3</v>
      </c>
      <c r="G8" s="22" t="s">
        <v>237</v>
      </c>
      <c r="H8" s="23" t="s">
        <v>12</v>
      </c>
    </row>
    <row r="9" spans="1:10" ht="18" customHeight="1" x14ac:dyDescent="0.4">
      <c r="A9" s="26">
        <v>44317</v>
      </c>
      <c r="B9" s="27"/>
      <c r="C9" s="27"/>
      <c r="D9" s="27"/>
      <c r="E9" s="27"/>
      <c r="F9" s="27"/>
      <c r="G9" s="27"/>
      <c r="H9" s="27">
        <f>SUM(C9:F9)</f>
        <v>0</v>
      </c>
    </row>
    <row r="10" spans="1:10" ht="18" customHeight="1" x14ac:dyDescent="0.4">
      <c r="A10" s="24">
        <v>44348</v>
      </c>
      <c r="B10" s="25"/>
      <c r="C10" s="25"/>
      <c r="D10" s="25"/>
      <c r="E10" s="25"/>
      <c r="F10" s="25"/>
      <c r="G10" s="25"/>
      <c r="H10" s="25">
        <f t="shared" ref="H10:H26" si="0">SUM(C10:F10)</f>
        <v>0</v>
      </c>
    </row>
    <row r="11" spans="1:10" ht="18" customHeight="1" x14ac:dyDescent="0.4">
      <c r="A11" s="26">
        <v>44378</v>
      </c>
      <c r="B11" s="27"/>
      <c r="C11" s="27"/>
      <c r="D11" s="27">
        <v>0</v>
      </c>
      <c r="E11" s="27"/>
      <c r="F11" s="27">
        <v>10398.290000000001</v>
      </c>
      <c r="G11" s="27"/>
      <c r="H11" s="27">
        <f t="shared" si="0"/>
        <v>10398.290000000001</v>
      </c>
    </row>
    <row r="12" spans="1:10" ht="18" customHeight="1" x14ac:dyDescent="0.4">
      <c r="A12" s="24">
        <v>44409</v>
      </c>
      <c r="B12" s="25"/>
      <c r="C12" s="25"/>
      <c r="D12" s="25"/>
      <c r="E12" s="25"/>
      <c r="F12" s="25"/>
      <c r="G12" s="25"/>
      <c r="H12" s="25">
        <f t="shared" si="0"/>
        <v>0</v>
      </c>
    </row>
    <row r="13" spans="1:10" ht="18" customHeight="1" x14ac:dyDescent="0.4">
      <c r="A13" s="26">
        <v>44440</v>
      </c>
      <c r="B13" s="27"/>
      <c r="C13" s="27"/>
      <c r="D13" s="27"/>
      <c r="E13" s="27"/>
      <c r="F13" s="27">
        <f>2325.48+2606.75</f>
        <v>4932.2299999999996</v>
      </c>
      <c r="G13" s="27"/>
      <c r="H13" s="27">
        <f t="shared" si="0"/>
        <v>4932.2299999999996</v>
      </c>
    </row>
    <row r="14" spans="1:10" ht="18" customHeight="1" x14ac:dyDescent="0.4">
      <c r="A14" s="24">
        <v>44470</v>
      </c>
      <c r="B14" s="25"/>
      <c r="C14" s="25"/>
      <c r="D14" s="25"/>
      <c r="E14" s="25"/>
      <c r="F14" s="25"/>
      <c r="G14" s="25"/>
      <c r="H14" s="25">
        <f t="shared" si="0"/>
        <v>0</v>
      </c>
    </row>
    <row r="15" spans="1:10" ht="18" customHeight="1" x14ac:dyDescent="0.4">
      <c r="A15" s="26">
        <v>44501</v>
      </c>
      <c r="B15" s="27"/>
      <c r="C15" s="27"/>
      <c r="D15" s="27"/>
      <c r="E15" s="27"/>
      <c r="F15" s="27"/>
      <c r="G15" s="27"/>
      <c r="H15" s="27">
        <f t="shared" si="0"/>
        <v>0</v>
      </c>
    </row>
    <row r="16" spans="1:10" ht="18" customHeight="1" x14ac:dyDescent="0.4">
      <c r="A16" s="24">
        <v>44531</v>
      </c>
      <c r="B16" s="25"/>
      <c r="C16" s="25"/>
      <c r="D16" s="25"/>
      <c r="E16" s="25"/>
      <c r="F16" s="25"/>
      <c r="G16" s="25"/>
      <c r="H16" s="25">
        <f t="shared" si="0"/>
        <v>0</v>
      </c>
    </row>
    <row r="17" spans="1:12" ht="18" customHeight="1" x14ac:dyDescent="0.4">
      <c r="A17" s="26">
        <v>44562</v>
      </c>
      <c r="B17" s="27"/>
      <c r="C17" s="27"/>
      <c r="D17" s="27"/>
      <c r="E17" s="27"/>
      <c r="F17" s="27"/>
      <c r="G17" s="27"/>
      <c r="H17" s="27">
        <f t="shared" si="0"/>
        <v>0</v>
      </c>
    </row>
    <row r="18" spans="1:12" ht="18" customHeight="1" x14ac:dyDescent="0.4">
      <c r="A18" s="24">
        <v>44593</v>
      </c>
      <c r="B18" s="25"/>
      <c r="C18" s="25"/>
      <c r="D18" s="25"/>
      <c r="E18" s="25"/>
      <c r="F18" s="25"/>
      <c r="G18" s="25"/>
      <c r="H18" s="25">
        <f t="shared" si="0"/>
        <v>0</v>
      </c>
    </row>
    <row r="19" spans="1:12" ht="18" customHeight="1" x14ac:dyDescent="0.4">
      <c r="A19" s="26">
        <v>44621</v>
      </c>
      <c r="B19" s="27"/>
      <c r="C19" s="27"/>
      <c r="D19" s="27"/>
      <c r="E19" s="27"/>
      <c r="F19" s="27"/>
      <c r="G19" s="27"/>
      <c r="H19" s="27">
        <f t="shared" si="0"/>
        <v>0</v>
      </c>
    </row>
    <row r="20" spans="1:12" ht="18" customHeight="1" x14ac:dyDescent="0.4">
      <c r="A20" s="24">
        <v>44652</v>
      </c>
      <c r="B20" s="25"/>
      <c r="C20" s="25"/>
      <c r="D20" s="25"/>
      <c r="E20" s="25"/>
      <c r="F20" s="25"/>
      <c r="G20" s="25"/>
      <c r="H20" s="25">
        <f t="shared" si="0"/>
        <v>0</v>
      </c>
    </row>
    <row r="21" spans="1:12" ht="18" customHeight="1" x14ac:dyDescent="0.4">
      <c r="A21" s="26">
        <v>44682</v>
      </c>
      <c r="B21" s="27"/>
      <c r="C21" s="27"/>
      <c r="D21" s="27"/>
      <c r="E21" s="27"/>
      <c r="F21" s="27"/>
      <c r="G21" s="27"/>
      <c r="H21" s="27">
        <f t="shared" si="0"/>
        <v>0</v>
      </c>
    </row>
    <row r="22" spans="1:12" ht="18" customHeight="1" x14ac:dyDescent="0.4">
      <c r="A22" s="24">
        <v>44713</v>
      </c>
      <c r="B22" s="25"/>
      <c r="C22" s="25"/>
      <c r="D22" s="25"/>
      <c r="E22" s="25"/>
      <c r="F22" s="25"/>
      <c r="G22" s="25"/>
      <c r="H22" s="25">
        <f t="shared" si="0"/>
        <v>0</v>
      </c>
    </row>
    <row r="23" spans="1:12" ht="18" customHeight="1" x14ac:dyDescent="0.4">
      <c r="A23" s="26">
        <v>44743</v>
      </c>
      <c r="B23" s="27"/>
      <c r="C23" s="27"/>
      <c r="D23" s="27"/>
      <c r="E23" s="27"/>
      <c r="F23" s="27"/>
      <c r="G23" s="27"/>
      <c r="H23" s="27">
        <f t="shared" si="0"/>
        <v>0</v>
      </c>
    </row>
    <row r="24" spans="1:12" ht="18" customHeight="1" x14ac:dyDescent="0.4">
      <c r="A24" s="24">
        <v>44774</v>
      </c>
      <c r="B24" s="25"/>
      <c r="C24" s="25"/>
      <c r="D24" s="25"/>
      <c r="E24" s="25"/>
      <c r="F24" s="25"/>
      <c r="G24" s="25"/>
      <c r="H24" s="25">
        <f t="shared" si="0"/>
        <v>0</v>
      </c>
      <c r="I24" t="s">
        <v>235</v>
      </c>
    </row>
    <row r="25" spans="1:12" ht="18" customHeight="1" x14ac:dyDescent="0.4">
      <c r="A25" s="26">
        <v>44805</v>
      </c>
      <c r="B25" s="27"/>
      <c r="C25" s="27"/>
      <c r="D25" s="27"/>
      <c r="E25" s="27"/>
      <c r="F25" s="27"/>
      <c r="G25" s="27"/>
      <c r="H25" s="27">
        <f t="shared" si="0"/>
        <v>0</v>
      </c>
    </row>
    <row r="26" spans="1:12" ht="18" customHeight="1" x14ac:dyDescent="0.4">
      <c r="A26" s="24">
        <v>44835</v>
      </c>
      <c r="B26" s="25"/>
      <c r="C26" s="25"/>
      <c r="D26" s="25"/>
      <c r="E26" s="25"/>
      <c r="F26" s="25"/>
      <c r="G26" s="25"/>
      <c r="H26" s="25">
        <f t="shared" si="0"/>
        <v>0</v>
      </c>
    </row>
    <row r="27" spans="1:12" ht="18" customHeight="1" x14ac:dyDescent="0.4">
      <c r="A27" s="28" t="s">
        <v>43</v>
      </c>
      <c r="B27" s="29">
        <f>SUM(B9:B26)</f>
        <v>0</v>
      </c>
      <c r="C27" s="29">
        <f t="shared" ref="C27:H27" si="1">SUM(C9:C26)</f>
        <v>0</v>
      </c>
      <c r="D27" s="29">
        <f t="shared" si="1"/>
        <v>0</v>
      </c>
      <c r="E27" s="29"/>
      <c r="F27" s="29">
        <f t="shared" si="1"/>
        <v>15330.52</v>
      </c>
      <c r="G27" s="29"/>
      <c r="H27" s="29">
        <f t="shared" si="1"/>
        <v>15330.52</v>
      </c>
    </row>
    <row r="28" spans="1:12" ht="18" customHeight="1" x14ac:dyDescent="0.4">
      <c r="A28" s="34" t="s">
        <v>17</v>
      </c>
      <c r="B28" s="36">
        <f>253*8</f>
        <v>2024</v>
      </c>
      <c r="C28" s="36">
        <v>307000</v>
      </c>
      <c r="D28" s="39">
        <v>4000</v>
      </c>
      <c r="E28" s="39">
        <v>35000</v>
      </c>
      <c r="F28" s="39">
        <v>75000</v>
      </c>
      <c r="G28" s="39">
        <v>56000</v>
      </c>
      <c r="H28" s="36">
        <f>SUM(C28:G28)</f>
        <v>477000</v>
      </c>
    </row>
    <row r="29" spans="1:12" ht="18" customHeight="1" x14ac:dyDescent="0.4">
      <c r="A29" s="35" t="s">
        <v>60</v>
      </c>
      <c r="B29" s="38">
        <f>B27/B28</f>
        <v>0</v>
      </c>
      <c r="C29" s="38">
        <f t="shared" ref="C29:H29" si="2">C27/C28</f>
        <v>0</v>
      </c>
      <c r="D29" s="38">
        <f t="shared" si="2"/>
        <v>0</v>
      </c>
      <c r="E29" s="38"/>
      <c r="F29" s="38">
        <f t="shared" si="2"/>
        <v>0.20440693333333335</v>
      </c>
      <c r="G29" s="38"/>
      <c r="H29" s="38">
        <f t="shared" si="2"/>
        <v>3.213945492662474E-2</v>
      </c>
      <c r="L29">
        <f>H28/H6</f>
        <v>0.71719148936170218</v>
      </c>
    </row>
    <row r="30" spans="1:12" ht="18" customHeight="1" x14ac:dyDescent="0.3">
      <c r="L30">
        <f>1-L29</f>
        <v>0.28280851063829782</v>
      </c>
    </row>
    <row r="31" spans="1:12" x14ac:dyDescent="0.3">
      <c r="F31" s="187"/>
      <c r="G31" s="187"/>
    </row>
    <row r="33" spans="1:13" ht="16.5" x14ac:dyDescent="0.45">
      <c r="A33" s="12" t="s">
        <v>14</v>
      </c>
      <c r="B33" s="11"/>
      <c r="C33" s="11"/>
      <c r="D33" s="11"/>
      <c r="E33" s="11"/>
      <c r="F33" s="13"/>
      <c r="G33" s="13"/>
      <c r="H33" s="13"/>
    </row>
    <row r="34" spans="1:13" ht="18" customHeight="1" x14ac:dyDescent="0.4">
      <c r="A34" s="49" t="s">
        <v>22</v>
      </c>
      <c r="B34" s="220" t="s">
        <v>23</v>
      </c>
      <c r="C34" s="221"/>
      <c r="D34" s="221"/>
      <c r="E34" s="221"/>
      <c r="F34" s="221"/>
      <c r="G34" s="222"/>
      <c r="H34" s="50" t="s">
        <v>24</v>
      </c>
    </row>
    <row r="35" spans="1:13" ht="18" customHeight="1" x14ac:dyDescent="0.4">
      <c r="A35" s="52"/>
      <c r="B35" s="215"/>
      <c r="C35" s="216"/>
      <c r="D35" s="216"/>
      <c r="E35" s="216"/>
      <c r="F35" s="217"/>
      <c r="G35" s="51"/>
      <c r="H35" s="51"/>
    </row>
    <row r="36" spans="1:13" ht="18" customHeight="1" x14ac:dyDescent="0.4">
      <c r="A36" s="52"/>
      <c r="B36" s="215"/>
      <c r="C36" s="216"/>
      <c r="D36" s="216"/>
      <c r="E36" s="216"/>
      <c r="F36" s="217"/>
      <c r="G36" s="51"/>
      <c r="H36" s="51"/>
      <c r="M36" t="s">
        <v>234</v>
      </c>
    </row>
    <row r="37" spans="1:13" ht="18" customHeight="1" x14ac:dyDescent="0.4">
      <c r="A37" s="52"/>
      <c r="B37" s="215"/>
      <c r="C37" s="216"/>
      <c r="D37" s="216"/>
      <c r="E37" s="216"/>
      <c r="F37" s="217"/>
      <c r="G37" s="51"/>
      <c r="H37" s="51"/>
    </row>
    <row r="38" spans="1:13" ht="18" customHeight="1" x14ac:dyDescent="0.4">
      <c r="A38" s="52"/>
      <c r="B38" s="215"/>
      <c r="C38" s="216"/>
      <c r="D38" s="216"/>
      <c r="E38" s="216"/>
      <c r="F38" s="217"/>
      <c r="G38" s="51"/>
      <c r="H38" s="51"/>
    </row>
    <row r="39" spans="1:13" ht="18" customHeight="1" x14ac:dyDescent="0.4">
      <c r="A39" s="52"/>
      <c r="B39" s="215"/>
      <c r="C39" s="216"/>
      <c r="D39" s="216"/>
      <c r="E39" s="216"/>
      <c r="F39" s="217"/>
      <c r="G39" s="51"/>
      <c r="H39" s="51"/>
    </row>
    <row r="40" spans="1:13" ht="18" customHeight="1" x14ac:dyDescent="0.4">
      <c r="A40" s="52"/>
      <c r="B40" s="215"/>
      <c r="C40" s="216"/>
      <c r="D40" s="216"/>
      <c r="E40" s="216"/>
      <c r="F40" s="217"/>
      <c r="G40" s="51"/>
      <c r="H40" s="51"/>
    </row>
    <row r="41" spans="1:13" ht="18" customHeight="1" x14ac:dyDescent="0.4">
      <c r="A41" s="52"/>
      <c r="B41" s="215"/>
      <c r="C41" s="216"/>
      <c r="D41" s="216"/>
      <c r="E41" s="216"/>
      <c r="F41" s="217"/>
      <c r="G41" s="51"/>
      <c r="H41" s="51"/>
    </row>
    <row r="42" spans="1:13" ht="18" customHeight="1" x14ac:dyDescent="0.4">
      <c r="A42" s="52"/>
      <c r="B42" s="215"/>
      <c r="C42" s="216"/>
      <c r="D42" s="216"/>
      <c r="E42" s="216"/>
      <c r="F42" s="217"/>
      <c r="G42" s="51"/>
      <c r="H42" s="51"/>
    </row>
    <row r="43" spans="1:13" ht="18" customHeight="1" x14ac:dyDescent="0.4">
      <c r="A43" s="52"/>
      <c r="B43" s="215"/>
      <c r="C43" s="216"/>
      <c r="D43" s="216"/>
      <c r="E43" s="216"/>
      <c r="F43" s="217"/>
      <c r="G43" s="51"/>
      <c r="H43" s="51"/>
    </row>
    <row r="44" spans="1:13" ht="18" customHeight="1" x14ac:dyDescent="0.4">
      <c r="A44" s="52"/>
      <c r="B44" s="215"/>
      <c r="C44" s="216"/>
      <c r="D44" s="216"/>
      <c r="E44" s="216"/>
      <c r="F44" s="217"/>
      <c r="G44" s="51"/>
      <c r="H44" s="51"/>
    </row>
    <row r="45" spans="1:13" ht="18" customHeight="1" x14ac:dyDescent="0.4">
      <c r="A45" s="52"/>
      <c r="B45" s="215"/>
      <c r="C45" s="216"/>
      <c r="D45" s="216"/>
      <c r="E45" s="216"/>
      <c r="F45" s="217"/>
      <c r="G45" s="51"/>
      <c r="H45" s="51"/>
    </row>
    <row r="46" spans="1:13" ht="18" customHeight="1" x14ac:dyDescent="0.4">
      <c r="A46" s="52"/>
      <c r="B46" s="212"/>
      <c r="C46" s="213"/>
      <c r="D46" s="213"/>
      <c r="E46" s="213"/>
      <c r="F46" s="214"/>
      <c r="G46" s="51"/>
      <c r="H46" s="51"/>
    </row>
    <row r="47" spans="1:13" ht="18" customHeight="1" x14ac:dyDescent="0.4">
      <c r="A47" s="52"/>
      <c r="B47" s="202"/>
      <c r="C47" s="203"/>
      <c r="D47" s="203"/>
      <c r="E47" s="203"/>
      <c r="F47" s="204"/>
      <c r="G47" s="51"/>
      <c r="H47" s="51"/>
    </row>
    <row r="48" spans="1:13" ht="18" customHeight="1" x14ac:dyDescent="0.4">
      <c r="A48" s="52"/>
      <c r="B48" s="205"/>
      <c r="C48" s="205"/>
      <c r="D48" s="205"/>
      <c r="E48" s="205"/>
      <c r="F48" s="206"/>
      <c r="G48" s="51"/>
      <c r="H48" s="51"/>
    </row>
    <row r="49" spans="1:8" ht="18" customHeight="1" x14ac:dyDescent="0.4">
      <c r="A49" s="17"/>
      <c r="B49" s="201"/>
      <c r="C49" s="201"/>
      <c r="D49" s="201"/>
      <c r="E49" s="201"/>
      <c r="F49" s="201"/>
      <c r="G49" s="181"/>
      <c r="H49" s="18">
        <f>SUM(H35:H48)</f>
        <v>0</v>
      </c>
    </row>
    <row r="50" spans="1:8" ht="18" customHeight="1" x14ac:dyDescent="0.3"/>
  </sheetData>
  <mergeCells count="16">
    <mergeCell ref="B34:G34"/>
    <mergeCell ref="B46:F46"/>
    <mergeCell ref="B47:F47"/>
    <mergeCell ref="B48:F48"/>
    <mergeCell ref="B49:F49"/>
    <mergeCell ref="B40:F40"/>
    <mergeCell ref="B41:F41"/>
    <mergeCell ref="B42:F42"/>
    <mergeCell ref="B43:F43"/>
    <mergeCell ref="B44:F44"/>
    <mergeCell ref="B45:F45"/>
    <mergeCell ref="B39:F39"/>
    <mergeCell ref="B35:F35"/>
    <mergeCell ref="B36:F36"/>
    <mergeCell ref="B37:F37"/>
    <mergeCell ref="B38:F38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B4B5-6CF4-45EA-B132-4784277B7F99}">
  <sheetPr>
    <tabColor theme="5" tint="0.79998168889431442"/>
  </sheetPr>
  <dimension ref="A1:M34"/>
  <sheetViews>
    <sheetView showGridLines="0" workbookViewId="0">
      <selection activeCell="E22" sqref="E22:F22"/>
    </sheetView>
  </sheetViews>
  <sheetFormatPr defaultRowHeight="14" x14ac:dyDescent="0.3"/>
  <cols>
    <col min="1" max="1" width="13.33203125" customWidth="1"/>
    <col min="2" max="2" width="10.75" customWidth="1"/>
    <col min="3" max="3" width="12.08203125" bestFit="1" customWidth="1"/>
    <col min="4" max="4" width="14.33203125" customWidth="1"/>
    <col min="5" max="5" width="10.75" customWidth="1"/>
    <col min="6" max="6" width="12.08203125" bestFit="1" customWidth="1"/>
    <col min="7" max="7" width="10.75" customWidth="1"/>
    <col min="8" max="8" width="12.83203125" customWidth="1"/>
    <col min="11" max="11" width="12.83203125" bestFit="1" customWidth="1"/>
  </cols>
  <sheetData>
    <row r="1" spans="1:8" ht="16.5" x14ac:dyDescent="0.45">
      <c r="A1" s="19" t="s">
        <v>0</v>
      </c>
      <c r="B1" s="19"/>
      <c r="C1" s="183"/>
      <c r="D1" s="184"/>
      <c r="E1" s="185" t="s">
        <v>96</v>
      </c>
      <c r="F1" s="186"/>
      <c r="G1" s="186"/>
    </row>
    <row r="2" spans="1:8" ht="16.5" x14ac:dyDescent="0.45">
      <c r="A2" s="19" t="s">
        <v>1</v>
      </c>
      <c r="B2" s="19"/>
      <c r="C2" s="19"/>
      <c r="D2" s="20" t="s">
        <v>94</v>
      </c>
      <c r="E2" s="11"/>
      <c r="F2" s="11"/>
      <c r="G2" s="11"/>
    </row>
    <row r="3" spans="1:8" ht="16.5" x14ac:dyDescent="0.45">
      <c r="A3" s="19" t="s">
        <v>2</v>
      </c>
      <c r="B3" s="19"/>
      <c r="C3" s="19"/>
      <c r="D3" s="21" t="s">
        <v>95</v>
      </c>
      <c r="E3" s="11"/>
      <c r="F3" s="11"/>
      <c r="G3" s="11"/>
    </row>
    <row r="4" spans="1:8" ht="16.5" x14ac:dyDescent="0.45">
      <c r="A4" s="19"/>
      <c r="B4" s="19"/>
      <c r="C4" s="19"/>
      <c r="D4" s="42"/>
      <c r="E4" s="11"/>
      <c r="F4" s="11"/>
      <c r="G4" s="11"/>
    </row>
    <row r="5" spans="1:8" ht="16.5" x14ac:dyDescent="0.3">
      <c r="A5" s="14" t="s">
        <v>8</v>
      </c>
      <c r="B5" s="5"/>
      <c r="C5" s="5"/>
      <c r="D5" s="173">
        <v>14500000</v>
      </c>
      <c r="E5" s="56"/>
      <c r="F5" s="56"/>
      <c r="G5" s="56"/>
      <c r="H5" s="4"/>
    </row>
    <row r="6" spans="1:8" ht="16.5" x14ac:dyDescent="0.3">
      <c r="A6" s="14" t="s">
        <v>20</v>
      </c>
      <c r="B6" s="5"/>
      <c r="C6" s="5"/>
      <c r="D6" s="173">
        <v>10132400</v>
      </c>
      <c r="E6" s="4" t="s">
        <v>97</v>
      </c>
      <c r="F6" s="4"/>
      <c r="G6" s="4"/>
      <c r="H6" s="6">
        <v>13468859.575889129</v>
      </c>
    </row>
    <row r="7" spans="1:8" x14ac:dyDescent="0.3">
      <c r="A7" s="4"/>
      <c r="B7" s="4"/>
      <c r="C7" s="4"/>
      <c r="D7" s="4"/>
      <c r="E7" s="3"/>
      <c r="F7" s="3"/>
      <c r="G7" s="3"/>
      <c r="H7" s="4"/>
    </row>
    <row r="8" spans="1:8" ht="14.5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2" t="s">
        <v>3</v>
      </c>
      <c r="F8" s="22" t="s">
        <v>236</v>
      </c>
      <c r="G8" s="22" t="s">
        <v>237</v>
      </c>
      <c r="H8" s="23" t="s">
        <v>12</v>
      </c>
    </row>
    <row r="9" spans="1:8" ht="14.5" x14ac:dyDescent="0.4">
      <c r="A9" s="24">
        <v>44075</v>
      </c>
      <c r="B9" s="25"/>
      <c r="C9" s="25"/>
      <c r="D9" s="25"/>
      <c r="E9" s="25"/>
      <c r="F9" s="25"/>
      <c r="G9" s="25"/>
      <c r="H9" s="25">
        <f>SUM(C9:G9)</f>
        <v>0</v>
      </c>
    </row>
    <row r="10" spans="1:8" ht="14.5" x14ac:dyDescent="0.4">
      <c r="A10" s="26">
        <v>44105</v>
      </c>
      <c r="B10" s="27"/>
      <c r="C10" s="27"/>
      <c r="D10" s="27"/>
      <c r="E10" s="27"/>
      <c r="F10" s="27"/>
      <c r="G10" s="27"/>
      <c r="H10" s="27">
        <f t="shared" ref="H10:H26" si="0">SUM(C10:G10)</f>
        <v>0</v>
      </c>
    </row>
    <row r="11" spans="1:8" ht="18" customHeight="1" x14ac:dyDescent="0.4">
      <c r="A11" s="24">
        <v>44136</v>
      </c>
      <c r="B11" s="25"/>
      <c r="C11" s="25"/>
      <c r="D11" s="25"/>
      <c r="E11" s="25"/>
      <c r="F11" s="25"/>
      <c r="G11" s="25"/>
      <c r="H11" s="25">
        <f t="shared" si="0"/>
        <v>0</v>
      </c>
    </row>
    <row r="12" spans="1:8" ht="18" customHeight="1" x14ac:dyDescent="0.4">
      <c r="A12" s="26">
        <v>44166</v>
      </c>
      <c r="B12" s="27"/>
      <c r="C12" s="27"/>
      <c r="D12" s="27"/>
      <c r="E12" s="27"/>
      <c r="F12" s="27"/>
      <c r="G12" s="27"/>
      <c r="H12" s="27">
        <f t="shared" si="0"/>
        <v>0</v>
      </c>
    </row>
    <row r="13" spans="1:8" ht="18" customHeight="1" x14ac:dyDescent="0.4">
      <c r="A13" s="24">
        <v>44197</v>
      </c>
      <c r="B13" s="25"/>
      <c r="C13" s="25"/>
      <c r="D13" s="25"/>
      <c r="E13" s="25"/>
      <c r="F13" s="25"/>
      <c r="G13" s="25"/>
      <c r="H13" s="25">
        <f t="shared" si="0"/>
        <v>0</v>
      </c>
    </row>
    <row r="14" spans="1:8" ht="18" customHeight="1" x14ac:dyDescent="0.4">
      <c r="A14" s="26">
        <v>44228</v>
      </c>
      <c r="B14" s="27"/>
      <c r="C14" s="27"/>
      <c r="D14" s="27"/>
      <c r="E14" s="27"/>
      <c r="F14" s="27"/>
      <c r="G14" s="27"/>
      <c r="H14" s="27">
        <f t="shared" si="0"/>
        <v>0</v>
      </c>
    </row>
    <row r="15" spans="1:8" ht="18" customHeight="1" x14ac:dyDescent="0.4">
      <c r="A15" s="24">
        <v>44256</v>
      </c>
      <c r="B15" s="25"/>
      <c r="C15" s="25"/>
      <c r="D15" s="25"/>
      <c r="E15" s="25"/>
      <c r="F15" s="25"/>
      <c r="G15" s="25"/>
      <c r="H15" s="25">
        <f t="shared" si="0"/>
        <v>0</v>
      </c>
    </row>
    <row r="16" spans="1:8" ht="18" customHeight="1" x14ac:dyDescent="0.4">
      <c r="A16" s="26">
        <v>44287</v>
      </c>
      <c r="B16" s="27"/>
      <c r="C16" s="27"/>
      <c r="D16" s="27"/>
      <c r="E16" s="27"/>
      <c r="F16" s="27"/>
      <c r="G16" s="27"/>
      <c r="H16" s="27">
        <f t="shared" si="0"/>
        <v>0</v>
      </c>
    </row>
    <row r="17" spans="1:13" ht="18" customHeight="1" x14ac:dyDescent="0.4">
      <c r="A17" s="24">
        <v>44317</v>
      </c>
      <c r="B17" s="25"/>
      <c r="C17" s="25"/>
      <c r="D17" s="25"/>
      <c r="E17" s="25"/>
      <c r="F17" s="25"/>
      <c r="G17" s="25"/>
      <c r="H17" s="25">
        <f t="shared" si="0"/>
        <v>0</v>
      </c>
    </row>
    <row r="18" spans="1:13" ht="18" customHeight="1" x14ac:dyDescent="0.4">
      <c r="A18" s="26">
        <v>44348</v>
      </c>
      <c r="B18" s="27"/>
      <c r="C18" s="27"/>
      <c r="D18" s="27"/>
      <c r="E18" s="27"/>
      <c r="F18" s="27"/>
      <c r="G18" s="27"/>
      <c r="H18" s="27">
        <f t="shared" si="0"/>
        <v>0</v>
      </c>
    </row>
    <row r="19" spans="1:13" ht="18" customHeight="1" x14ac:dyDescent="0.4">
      <c r="A19" s="24">
        <v>44378</v>
      </c>
      <c r="B19" s="25"/>
      <c r="C19" s="25"/>
      <c r="D19" s="25"/>
      <c r="E19" s="25"/>
      <c r="F19" s="25"/>
      <c r="G19" s="25"/>
      <c r="H19" s="25">
        <f t="shared" si="0"/>
        <v>0</v>
      </c>
    </row>
    <row r="20" spans="1:13" ht="18" customHeight="1" x14ac:dyDescent="0.4">
      <c r="A20" s="26">
        <v>44409</v>
      </c>
      <c r="B20" s="27"/>
      <c r="C20" s="27"/>
      <c r="D20" s="27"/>
      <c r="E20" s="27"/>
      <c r="F20" s="27"/>
      <c r="G20" s="27"/>
      <c r="H20" s="27">
        <f t="shared" si="0"/>
        <v>0</v>
      </c>
    </row>
    <row r="21" spans="1:13" ht="18" customHeight="1" x14ac:dyDescent="0.4">
      <c r="A21" s="24">
        <v>44440</v>
      </c>
      <c r="B21" s="25"/>
      <c r="C21" s="25"/>
      <c r="D21" s="25"/>
      <c r="E21" s="25"/>
      <c r="F21" s="25"/>
      <c r="G21" s="25"/>
      <c r="H21" s="25">
        <f t="shared" si="0"/>
        <v>0</v>
      </c>
    </row>
    <row r="22" spans="1:13" ht="18" customHeight="1" x14ac:dyDescent="0.4">
      <c r="A22" s="26">
        <v>44470</v>
      </c>
      <c r="B22" s="27"/>
      <c r="C22" s="27"/>
      <c r="D22" s="27"/>
      <c r="E22" s="27"/>
      <c r="F22" s="27"/>
      <c r="G22" s="27"/>
      <c r="H22" s="27">
        <f t="shared" si="0"/>
        <v>0</v>
      </c>
    </row>
    <row r="23" spans="1:13" ht="18" customHeight="1" x14ac:dyDescent="0.4">
      <c r="A23" s="24">
        <v>44501</v>
      </c>
      <c r="B23" s="25"/>
      <c r="C23" s="25"/>
      <c r="D23" s="25"/>
      <c r="E23" s="25"/>
      <c r="F23" s="25"/>
      <c r="G23" s="25"/>
      <c r="H23" s="25">
        <f t="shared" si="0"/>
        <v>0</v>
      </c>
      <c r="I23" t="s">
        <v>247</v>
      </c>
    </row>
    <row r="24" spans="1:13" ht="18" customHeight="1" x14ac:dyDescent="0.4">
      <c r="A24" s="26">
        <v>44531</v>
      </c>
      <c r="B24" s="27"/>
      <c r="C24" s="27"/>
      <c r="D24" s="27"/>
      <c r="E24" s="27"/>
      <c r="F24" s="27"/>
      <c r="G24" s="27"/>
      <c r="H24" s="27">
        <f t="shared" si="0"/>
        <v>0</v>
      </c>
    </row>
    <row r="25" spans="1:13" ht="14.5" x14ac:dyDescent="0.4">
      <c r="A25" s="28" t="s">
        <v>43</v>
      </c>
      <c r="B25" s="29">
        <f>SUM(B9:B24)</f>
        <v>0</v>
      </c>
      <c r="C25" s="29">
        <f t="shared" ref="C25:H25" si="1">SUM(C9:C24)</f>
        <v>0</v>
      </c>
      <c r="D25" s="29">
        <f t="shared" si="1"/>
        <v>0</v>
      </c>
      <c r="E25" s="29">
        <f t="shared" si="1"/>
        <v>0</v>
      </c>
      <c r="F25" s="29">
        <f t="shared" si="1"/>
        <v>0</v>
      </c>
      <c r="G25" s="29">
        <f t="shared" si="1"/>
        <v>0</v>
      </c>
      <c r="H25" s="29">
        <f t="shared" si="1"/>
        <v>0</v>
      </c>
    </row>
    <row r="26" spans="1:13" ht="14.5" x14ac:dyDescent="0.4">
      <c r="A26" s="34" t="s">
        <v>17</v>
      </c>
      <c r="B26" s="36">
        <f>(1400+350+32)*8</f>
        <v>14256</v>
      </c>
      <c r="C26" s="36">
        <f>3500000+980000</f>
        <v>4480000</v>
      </c>
      <c r="D26" s="39">
        <f>3205500/1.13+145000/1.06</f>
        <v>2973518.1165470034</v>
      </c>
      <c r="E26" s="39">
        <v>445900</v>
      </c>
      <c r="F26" s="39">
        <f>1856000/1.06</f>
        <v>1750943.3962264149</v>
      </c>
      <c r="G26" s="39"/>
      <c r="H26" s="36">
        <f t="shared" si="0"/>
        <v>9650361.5127734188</v>
      </c>
      <c r="K26" s="44"/>
    </row>
    <row r="27" spans="1:13" ht="14.5" x14ac:dyDescent="0.4">
      <c r="A27" s="35" t="s">
        <v>60</v>
      </c>
      <c r="B27" s="38">
        <f>B25/B26</f>
        <v>0</v>
      </c>
      <c r="C27" s="38">
        <f t="shared" ref="C27:F27" si="2">C25/C26</f>
        <v>0</v>
      </c>
      <c r="D27" s="38">
        <f t="shared" si="2"/>
        <v>0</v>
      </c>
      <c r="E27" s="38">
        <f t="shared" si="2"/>
        <v>0</v>
      </c>
      <c r="F27" s="38">
        <f t="shared" si="2"/>
        <v>0</v>
      </c>
      <c r="G27" s="38"/>
      <c r="H27" s="38">
        <f t="shared" ref="H27" si="3">H25/H26</f>
        <v>0</v>
      </c>
    </row>
    <row r="28" spans="1:13" s="2" customFormat="1" ht="18" customHeight="1" x14ac:dyDescent="0.3">
      <c r="A28"/>
      <c r="B28"/>
      <c r="C28"/>
      <c r="D28"/>
      <c r="E28"/>
      <c r="F28"/>
      <c r="G28"/>
      <c r="H28"/>
      <c r="M28" s="6"/>
    </row>
    <row r="29" spans="1:13" s="2" customFormat="1" ht="18" customHeight="1" x14ac:dyDescent="0.45">
      <c r="A29" s="12" t="s">
        <v>14</v>
      </c>
      <c r="B29" s="11"/>
      <c r="C29" s="11"/>
      <c r="D29" s="11"/>
      <c r="E29" s="13"/>
      <c r="F29" s="13"/>
      <c r="G29" s="13"/>
      <c r="H29" s="13"/>
      <c r="M29" s="6"/>
    </row>
    <row r="30" spans="1:13" s="2" customFormat="1" ht="18" customHeight="1" x14ac:dyDescent="0.4">
      <c r="A30" s="15" t="s">
        <v>22</v>
      </c>
      <c r="B30" s="201" t="s">
        <v>23</v>
      </c>
      <c r="C30" s="201"/>
      <c r="D30" s="201"/>
      <c r="E30" s="201"/>
      <c r="F30" s="159"/>
      <c r="G30" s="159"/>
      <c r="H30" s="16" t="s">
        <v>24</v>
      </c>
      <c r="M30" s="6"/>
    </row>
    <row r="31" spans="1:13" s="2" customFormat="1" ht="18" customHeight="1" x14ac:dyDescent="0.3">
      <c r="A31" s="141"/>
      <c r="B31" s="202"/>
      <c r="C31" s="203"/>
      <c r="D31" s="203"/>
      <c r="E31" s="204"/>
      <c r="F31" s="160"/>
      <c r="G31" s="160"/>
      <c r="H31" s="48"/>
      <c r="M31" s="6"/>
    </row>
    <row r="32" spans="1:13" s="2" customFormat="1" ht="18" customHeight="1" x14ac:dyDescent="0.3">
      <c r="A32" s="141"/>
      <c r="B32" s="202"/>
      <c r="C32" s="203"/>
      <c r="D32" s="203"/>
      <c r="E32" s="204"/>
      <c r="F32" s="160"/>
      <c r="G32" s="160"/>
      <c r="H32" s="48"/>
      <c r="M32" s="6"/>
    </row>
    <row r="33" spans="1:13" s="2" customFormat="1" ht="18" customHeight="1" x14ac:dyDescent="0.4">
      <c r="A33" s="52"/>
      <c r="B33" s="202"/>
      <c r="C33" s="203"/>
      <c r="D33" s="203"/>
      <c r="E33" s="204"/>
      <c r="F33" s="163"/>
      <c r="G33" s="163"/>
      <c r="H33" s="54"/>
      <c r="M33" s="6"/>
    </row>
    <row r="34" spans="1:13" ht="14.5" x14ac:dyDescent="0.4">
      <c r="A34" s="17"/>
      <c r="B34" s="201" t="s">
        <v>9</v>
      </c>
      <c r="C34" s="201"/>
      <c r="D34" s="201"/>
      <c r="E34" s="201"/>
      <c r="F34" s="159"/>
      <c r="G34" s="159"/>
      <c r="H34" s="18">
        <f>SUM(H31:H33)</f>
        <v>0</v>
      </c>
    </row>
  </sheetData>
  <mergeCells count="5">
    <mergeCell ref="B31:E31"/>
    <mergeCell ref="B32:E32"/>
    <mergeCell ref="B33:E33"/>
    <mergeCell ref="B34:E34"/>
    <mergeCell ref="B30:E30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4803-17B8-4CC8-AD37-B7DCCD4202D1}">
  <sheetPr>
    <tabColor theme="5" tint="0.79998168889431442"/>
  </sheetPr>
  <dimension ref="A1:T70"/>
  <sheetViews>
    <sheetView showGridLines="0" tabSelected="1" workbookViewId="0">
      <selection activeCell="K22" sqref="K22:L22"/>
    </sheetView>
  </sheetViews>
  <sheetFormatPr defaultRowHeight="14" x14ac:dyDescent="0.3"/>
  <cols>
    <col min="1" max="1" width="11.83203125" customWidth="1"/>
    <col min="2" max="2" width="10.75" customWidth="1"/>
    <col min="3" max="3" width="12.08203125" bestFit="1" customWidth="1"/>
    <col min="4" max="4" width="15.33203125" customWidth="1"/>
    <col min="5" max="7" width="10.75" customWidth="1"/>
    <col min="8" max="8" width="12.83203125" customWidth="1"/>
    <col min="10" max="14" width="9" style="76"/>
    <col min="17" max="18" width="0" hidden="1" customWidth="1"/>
    <col min="19" max="19" width="14.08203125" customWidth="1"/>
  </cols>
  <sheetData>
    <row r="1" spans="1:19" ht="17" thickBot="1" x14ac:dyDescent="0.5">
      <c r="A1" s="19" t="s">
        <v>0</v>
      </c>
      <c r="B1" s="19"/>
      <c r="C1" s="19"/>
      <c r="D1" s="20" t="s">
        <v>99</v>
      </c>
      <c r="E1" s="10"/>
      <c r="F1" s="43"/>
      <c r="G1" s="43"/>
      <c r="J1" s="260" t="s">
        <v>150</v>
      </c>
      <c r="K1" s="261"/>
      <c r="L1" s="261"/>
      <c r="M1" s="261"/>
      <c r="N1" s="261"/>
      <c r="O1" s="262"/>
      <c r="P1" s="74">
        <f>P33+P60+P65+P70</f>
        <v>764.81500000000005</v>
      </c>
      <c r="Q1" s="75"/>
      <c r="R1" s="75"/>
      <c r="S1" s="120" t="s">
        <v>25</v>
      </c>
    </row>
    <row r="2" spans="1:19" ht="16.5" x14ac:dyDescent="0.45">
      <c r="A2" s="19" t="s">
        <v>1</v>
      </c>
      <c r="B2" s="19"/>
      <c r="C2" s="19"/>
      <c r="D2" s="20" t="s">
        <v>98</v>
      </c>
      <c r="E2" s="11"/>
      <c r="F2" s="11"/>
      <c r="G2" s="11"/>
      <c r="J2" s="77">
        <v>1</v>
      </c>
      <c r="K2" s="263" t="s">
        <v>26</v>
      </c>
      <c r="L2" s="264"/>
      <c r="M2" s="264"/>
      <c r="N2" s="264"/>
      <c r="O2" s="265"/>
      <c r="P2" s="265"/>
      <c r="Q2" s="266"/>
      <c r="R2" s="266"/>
      <c r="S2" s="267"/>
    </row>
    <row r="3" spans="1:19" ht="16.5" x14ac:dyDescent="0.45">
      <c r="A3" s="19" t="s">
        <v>2</v>
      </c>
      <c r="B3" s="19"/>
      <c r="C3" s="19"/>
      <c r="D3" s="21" t="s">
        <v>5</v>
      </c>
      <c r="E3" s="11"/>
      <c r="F3" s="11"/>
      <c r="G3" s="11"/>
      <c r="J3" s="77"/>
      <c r="K3" s="69"/>
      <c r="L3" s="70"/>
      <c r="M3" s="78" t="s">
        <v>27</v>
      </c>
      <c r="N3" s="78" t="s">
        <v>28</v>
      </c>
      <c r="O3" s="79" t="s">
        <v>29</v>
      </c>
      <c r="P3" s="79" t="s">
        <v>151</v>
      </c>
      <c r="Q3" s="121" t="s">
        <v>152</v>
      </c>
      <c r="R3" s="122" t="s">
        <v>153</v>
      </c>
      <c r="S3" s="123" t="s">
        <v>30</v>
      </c>
    </row>
    <row r="4" spans="1:19" ht="12.75" customHeight="1" x14ac:dyDescent="0.45">
      <c r="A4" s="19"/>
      <c r="B4" s="19"/>
      <c r="C4" s="19"/>
      <c r="D4" s="68"/>
      <c r="E4" s="11"/>
      <c r="F4" s="11"/>
      <c r="G4" s="11"/>
      <c r="J4" s="80"/>
      <c r="K4" s="268" t="s">
        <v>61</v>
      </c>
      <c r="L4" s="269"/>
      <c r="M4" s="70">
        <v>150</v>
      </c>
      <c r="N4" s="70" t="s">
        <v>31</v>
      </c>
      <c r="O4" s="81">
        <v>0.2</v>
      </c>
      <c r="P4" s="81">
        <f t="shared" ref="P4:P15" si="0">M4*O4</f>
        <v>30</v>
      </c>
      <c r="Q4" s="82">
        <f>0.3*P4</f>
        <v>9</v>
      </c>
      <c r="R4" s="82" t="s">
        <v>154</v>
      </c>
      <c r="S4" s="124" t="s">
        <v>62</v>
      </c>
    </row>
    <row r="5" spans="1:19" ht="16.5" x14ac:dyDescent="0.3">
      <c r="A5" s="14" t="s">
        <v>8</v>
      </c>
      <c r="B5" s="5"/>
      <c r="C5" s="5"/>
      <c r="D5" s="173">
        <v>10500000</v>
      </c>
      <c r="E5" s="4" t="s">
        <v>97</v>
      </c>
      <c r="F5" s="8">
        <f>6543362.83+2930188.68</f>
        <v>9473551.5099999998</v>
      </c>
      <c r="G5" s="4"/>
      <c r="J5" s="80"/>
      <c r="K5" s="268" t="s">
        <v>63</v>
      </c>
      <c r="L5" s="269"/>
      <c r="M5" s="70">
        <v>37</v>
      </c>
      <c r="N5" s="70" t="s">
        <v>64</v>
      </c>
      <c r="O5" s="81">
        <v>0.44</v>
      </c>
      <c r="P5" s="81">
        <f t="shared" si="0"/>
        <v>16.28</v>
      </c>
      <c r="Q5" s="81">
        <f>0.3*P5</f>
        <v>4.8840000000000003</v>
      </c>
      <c r="R5" s="81" t="s">
        <v>100</v>
      </c>
      <c r="S5" s="125" t="s">
        <v>65</v>
      </c>
    </row>
    <row r="6" spans="1:19" ht="16.5" x14ac:dyDescent="0.3">
      <c r="A6" s="14" t="s">
        <v>20</v>
      </c>
      <c r="B6" s="5"/>
      <c r="C6" s="5"/>
      <c r="D6" s="173">
        <v>7088097.3451327439</v>
      </c>
      <c r="E6" s="4" t="s">
        <v>224</v>
      </c>
      <c r="F6" s="174">
        <f>(F5-D6)/F5</f>
        <v>0.2518014666779656</v>
      </c>
      <c r="G6" s="4"/>
      <c r="J6" s="80"/>
      <c r="K6" s="268" t="s">
        <v>66</v>
      </c>
      <c r="L6" s="269"/>
      <c r="M6" s="70">
        <v>37</v>
      </c>
      <c r="N6" s="70" t="s">
        <v>67</v>
      </c>
      <c r="O6" s="81">
        <v>0.1</v>
      </c>
      <c r="P6" s="81">
        <f t="shared" si="0"/>
        <v>3.7</v>
      </c>
      <c r="Q6" s="81">
        <f>0.3*P6</f>
        <v>1.1100000000000001</v>
      </c>
      <c r="R6" s="81" t="s">
        <v>100</v>
      </c>
      <c r="S6" s="125" t="s">
        <v>68</v>
      </c>
    </row>
    <row r="7" spans="1:19" x14ac:dyDescent="0.3">
      <c r="A7" s="4"/>
      <c r="B7" s="4"/>
      <c r="C7" s="4"/>
      <c r="D7" s="4"/>
      <c r="E7" s="3"/>
      <c r="F7" s="3"/>
      <c r="G7" s="3"/>
      <c r="H7" s="4"/>
      <c r="J7" s="80"/>
      <c r="K7" s="268" t="s">
        <v>69</v>
      </c>
      <c r="L7" s="269"/>
      <c r="M7" s="70">
        <v>5</v>
      </c>
      <c r="N7" s="70" t="s">
        <v>64</v>
      </c>
      <c r="O7" s="81">
        <v>5</v>
      </c>
      <c r="P7" s="81">
        <f t="shared" si="0"/>
        <v>25</v>
      </c>
      <c r="Q7" s="81">
        <f>0*P7</f>
        <v>0</v>
      </c>
      <c r="R7" s="81" t="s">
        <v>101</v>
      </c>
      <c r="S7" s="125" t="s">
        <v>70</v>
      </c>
    </row>
    <row r="8" spans="1:19" ht="14.5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2" t="s">
        <v>3</v>
      </c>
      <c r="F8" s="22" t="s">
        <v>236</v>
      </c>
      <c r="G8" s="22" t="s">
        <v>237</v>
      </c>
      <c r="H8" s="23" t="s">
        <v>12</v>
      </c>
      <c r="J8" s="80"/>
      <c r="K8" s="268" t="s">
        <v>102</v>
      </c>
      <c r="L8" s="269"/>
      <c r="M8" s="70">
        <v>16</v>
      </c>
      <c r="N8" s="70" t="s">
        <v>64</v>
      </c>
      <c r="O8" s="81">
        <v>1.6</v>
      </c>
      <c r="P8" s="81">
        <f t="shared" si="0"/>
        <v>25.6</v>
      </c>
      <c r="Q8" s="81">
        <f>0*P8</f>
        <v>0</v>
      </c>
      <c r="R8" s="81" t="s">
        <v>101</v>
      </c>
      <c r="S8" s="125" t="s">
        <v>71</v>
      </c>
    </row>
    <row r="9" spans="1:19" ht="14.5" x14ac:dyDescent="0.4">
      <c r="A9" s="55" t="s">
        <v>157</v>
      </c>
      <c r="B9" s="25"/>
      <c r="C9" s="25"/>
      <c r="D9" s="25"/>
      <c r="E9" s="25"/>
      <c r="F9" s="25"/>
      <c r="G9" s="25"/>
      <c r="H9" s="25">
        <f>SUM(C9:G9)</f>
        <v>0</v>
      </c>
      <c r="J9" s="80"/>
      <c r="K9" s="268" t="s">
        <v>103</v>
      </c>
      <c r="L9" s="269"/>
      <c r="M9" s="70">
        <v>2</v>
      </c>
      <c r="N9" s="70" t="s">
        <v>64</v>
      </c>
      <c r="O9" s="81">
        <v>0.4</v>
      </c>
      <c r="P9" s="81">
        <f t="shared" si="0"/>
        <v>0.8</v>
      </c>
      <c r="Q9" s="81">
        <f>P9*0</f>
        <v>0</v>
      </c>
      <c r="R9" s="81" t="s">
        <v>101</v>
      </c>
      <c r="S9" s="125" t="s">
        <v>104</v>
      </c>
    </row>
    <row r="10" spans="1:19" ht="18" customHeight="1" x14ac:dyDescent="0.4">
      <c r="A10" s="26">
        <v>44256</v>
      </c>
      <c r="B10" s="27"/>
      <c r="C10" s="27"/>
      <c r="D10" s="27"/>
      <c r="E10" s="27"/>
      <c r="F10" s="27"/>
      <c r="G10" s="27"/>
      <c r="H10" s="27">
        <f t="shared" ref="H10:H32" si="1">SUM(C10:G10)</f>
        <v>0</v>
      </c>
      <c r="J10" s="80"/>
      <c r="K10" s="268" t="s">
        <v>105</v>
      </c>
      <c r="L10" s="269"/>
      <c r="M10" s="70">
        <v>8</v>
      </c>
      <c r="N10" s="70" t="s">
        <v>79</v>
      </c>
      <c r="O10" s="81">
        <v>5</v>
      </c>
      <c r="P10" s="81">
        <f t="shared" si="0"/>
        <v>40</v>
      </c>
      <c r="Q10" s="81">
        <f>0.3*P10</f>
        <v>12</v>
      </c>
      <c r="R10" s="81" t="s">
        <v>100</v>
      </c>
      <c r="S10" s="125" t="s">
        <v>106</v>
      </c>
    </row>
    <row r="11" spans="1:19" ht="18" customHeight="1" x14ac:dyDescent="0.4">
      <c r="A11" s="24">
        <v>44287</v>
      </c>
      <c r="B11" s="25"/>
      <c r="C11" s="25"/>
      <c r="D11" s="25"/>
      <c r="E11" s="25"/>
      <c r="F11" s="25"/>
      <c r="G11" s="25"/>
      <c r="H11" s="25">
        <f t="shared" si="1"/>
        <v>0</v>
      </c>
      <c r="J11" s="80"/>
      <c r="K11" s="275" t="s">
        <v>107</v>
      </c>
      <c r="L11" s="238"/>
      <c r="M11" s="70">
        <v>4</v>
      </c>
      <c r="N11" s="70" t="s">
        <v>64</v>
      </c>
      <c r="O11" s="81">
        <v>0.5</v>
      </c>
      <c r="P11" s="81">
        <f t="shared" si="0"/>
        <v>2</v>
      </c>
      <c r="Q11" s="81">
        <f>0.3*P11</f>
        <v>0.6</v>
      </c>
      <c r="R11" s="81" t="s">
        <v>100</v>
      </c>
      <c r="S11" s="125"/>
    </row>
    <row r="12" spans="1:19" ht="18" customHeight="1" x14ac:dyDescent="0.4">
      <c r="A12" s="26">
        <v>44317</v>
      </c>
      <c r="B12" s="27"/>
      <c r="C12" s="27"/>
      <c r="D12" s="27"/>
      <c r="E12" s="27"/>
      <c r="F12" s="27"/>
      <c r="G12" s="27"/>
      <c r="H12" s="27">
        <f t="shared" si="1"/>
        <v>0</v>
      </c>
      <c r="J12" s="80"/>
      <c r="K12" s="268" t="s">
        <v>72</v>
      </c>
      <c r="L12" s="269"/>
      <c r="M12" s="70">
        <v>5</v>
      </c>
      <c r="N12" s="70" t="s">
        <v>64</v>
      </c>
      <c r="O12" s="81">
        <v>0.25</v>
      </c>
      <c r="P12" s="81">
        <f t="shared" si="0"/>
        <v>1.25</v>
      </c>
      <c r="Q12" s="81">
        <f>0*P12</f>
        <v>0</v>
      </c>
      <c r="R12" s="81" t="s">
        <v>101</v>
      </c>
      <c r="S12" s="125" t="s">
        <v>73</v>
      </c>
    </row>
    <row r="13" spans="1:19" ht="18" customHeight="1" x14ac:dyDescent="0.4">
      <c r="A13" s="24">
        <v>44348</v>
      </c>
      <c r="B13" s="25"/>
      <c r="C13" s="25"/>
      <c r="D13" s="25"/>
      <c r="E13" s="25"/>
      <c r="F13" s="25"/>
      <c r="G13" s="25"/>
      <c r="H13" s="25">
        <f t="shared" si="1"/>
        <v>0</v>
      </c>
      <c r="J13" s="80"/>
      <c r="K13" s="268" t="s">
        <v>74</v>
      </c>
      <c r="L13" s="269"/>
      <c r="M13" s="70">
        <v>5</v>
      </c>
      <c r="N13" s="70" t="s">
        <v>64</v>
      </c>
      <c r="O13" s="81">
        <v>0.3</v>
      </c>
      <c r="P13" s="81">
        <f t="shared" si="0"/>
        <v>1.5</v>
      </c>
      <c r="Q13" s="81">
        <f>0.3*P13</f>
        <v>0.44999999999999996</v>
      </c>
      <c r="R13" s="81" t="s">
        <v>101</v>
      </c>
      <c r="S13" s="125" t="s">
        <v>75</v>
      </c>
    </row>
    <row r="14" spans="1:19" ht="18" customHeight="1" x14ac:dyDescent="0.4">
      <c r="A14" s="26">
        <v>44378</v>
      </c>
      <c r="B14" s="27"/>
      <c r="C14" s="27"/>
      <c r="D14" s="27"/>
      <c r="E14" s="27"/>
      <c r="F14" s="27"/>
      <c r="G14" s="27"/>
      <c r="H14" s="27">
        <f t="shared" si="1"/>
        <v>0</v>
      </c>
      <c r="J14" s="80"/>
      <c r="K14" s="71" t="s">
        <v>32</v>
      </c>
      <c r="L14" s="70" t="s">
        <v>33</v>
      </c>
      <c r="M14" s="70">
        <v>2</v>
      </c>
      <c r="N14" s="70" t="s">
        <v>31</v>
      </c>
      <c r="O14" s="81">
        <v>2</v>
      </c>
      <c r="P14" s="81">
        <f t="shared" si="0"/>
        <v>4</v>
      </c>
      <c r="Q14" s="81">
        <f>0.3*P14</f>
        <v>1.2</v>
      </c>
      <c r="R14" s="81" t="s">
        <v>154</v>
      </c>
      <c r="S14" s="125" t="s">
        <v>108</v>
      </c>
    </row>
    <row r="15" spans="1:19" ht="18" customHeight="1" x14ac:dyDescent="0.4">
      <c r="A15" s="24">
        <v>44409</v>
      </c>
      <c r="B15" s="25"/>
      <c r="C15" s="25"/>
      <c r="D15" s="25"/>
      <c r="E15" s="25"/>
      <c r="F15" s="25"/>
      <c r="G15" s="25"/>
      <c r="H15" s="25">
        <f t="shared" si="1"/>
        <v>0</v>
      </c>
      <c r="J15" s="80"/>
      <c r="K15" s="268" t="s">
        <v>109</v>
      </c>
      <c r="L15" s="269"/>
      <c r="M15" s="70">
        <v>1</v>
      </c>
      <c r="N15" s="70" t="s">
        <v>79</v>
      </c>
      <c r="O15" s="83">
        <v>28</v>
      </c>
      <c r="P15" s="81">
        <f t="shared" si="0"/>
        <v>28</v>
      </c>
      <c r="Q15" s="81">
        <f>0.3*P15</f>
        <v>8.4</v>
      </c>
      <c r="R15" s="81" t="s">
        <v>100</v>
      </c>
      <c r="S15" s="125" t="s">
        <v>110</v>
      </c>
    </row>
    <row r="16" spans="1:19" ht="18" customHeight="1" x14ac:dyDescent="0.4">
      <c r="A16" s="26">
        <v>44440</v>
      </c>
      <c r="B16" s="27"/>
      <c r="C16" s="27"/>
      <c r="D16" s="27"/>
      <c r="E16" s="27"/>
      <c r="F16" s="27"/>
      <c r="G16" s="27"/>
      <c r="H16" s="27">
        <f t="shared" si="1"/>
        <v>0</v>
      </c>
      <c r="J16" s="77"/>
      <c r="K16" s="270" t="s">
        <v>34</v>
      </c>
      <c r="L16" s="272"/>
      <c r="M16" s="272"/>
      <c r="N16" s="272"/>
      <c r="O16" s="273"/>
      <c r="P16" s="273"/>
      <c r="Q16" s="273"/>
      <c r="R16" s="273"/>
      <c r="S16" s="274"/>
    </row>
    <row r="17" spans="1:19" ht="18" customHeight="1" x14ac:dyDescent="0.4">
      <c r="A17" s="24">
        <v>44470</v>
      </c>
      <c r="B17" s="25"/>
      <c r="C17" s="25"/>
      <c r="D17" s="25"/>
      <c r="E17" s="25"/>
      <c r="F17" s="25"/>
      <c r="G17" s="25"/>
      <c r="H17" s="25">
        <f t="shared" si="1"/>
        <v>0</v>
      </c>
      <c r="J17" s="77"/>
      <c r="K17" s="72" t="s">
        <v>76</v>
      </c>
      <c r="L17" s="71" t="s">
        <v>35</v>
      </c>
      <c r="M17" s="70">
        <v>1</v>
      </c>
      <c r="N17" s="70" t="s">
        <v>31</v>
      </c>
      <c r="O17" s="81">
        <v>4</v>
      </c>
      <c r="P17" s="81">
        <f>M17*O17</f>
        <v>4</v>
      </c>
      <c r="Q17" s="82">
        <f>0.3*P17</f>
        <v>1.2</v>
      </c>
      <c r="R17" s="82" t="s">
        <v>100</v>
      </c>
      <c r="S17" s="124" t="s">
        <v>36</v>
      </c>
    </row>
    <row r="18" spans="1:19" ht="18" customHeight="1" x14ac:dyDescent="0.4">
      <c r="A18" s="26">
        <v>44501</v>
      </c>
      <c r="B18" s="27"/>
      <c r="C18" s="27"/>
      <c r="D18" s="27"/>
      <c r="E18" s="27"/>
      <c r="F18" s="27"/>
      <c r="G18" s="27"/>
      <c r="H18" s="27">
        <f t="shared" si="1"/>
        <v>0</v>
      </c>
      <c r="J18" s="77"/>
      <c r="K18" s="72" t="s">
        <v>77</v>
      </c>
      <c r="L18" s="71" t="s">
        <v>37</v>
      </c>
      <c r="M18" s="70">
        <v>3</v>
      </c>
      <c r="N18" s="70" t="s">
        <v>31</v>
      </c>
      <c r="O18" s="81">
        <v>42</v>
      </c>
      <c r="P18" s="81">
        <f>M18*O18</f>
        <v>126</v>
      </c>
      <c r="Q18" s="82">
        <f>0.3*P18</f>
        <v>37.799999999999997</v>
      </c>
      <c r="R18" s="82" t="s">
        <v>100</v>
      </c>
      <c r="S18" s="124" t="s">
        <v>38</v>
      </c>
    </row>
    <row r="19" spans="1:19" ht="18" customHeight="1" x14ac:dyDescent="0.4">
      <c r="A19" s="24">
        <v>44531</v>
      </c>
      <c r="B19" s="25"/>
      <c r="C19" s="25"/>
      <c r="D19" s="25"/>
      <c r="E19" s="25"/>
      <c r="F19" s="25"/>
      <c r="G19" s="25"/>
      <c r="H19" s="25">
        <f t="shared" si="1"/>
        <v>0</v>
      </c>
      <c r="J19" s="77"/>
      <c r="K19" s="72" t="s">
        <v>77</v>
      </c>
      <c r="L19" s="71" t="s">
        <v>78</v>
      </c>
      <c r="M19" s="70">
        <v>1</v>
      </c>
      <c r="N19" s="70" t="s">
        <v>79</v>
      </c>
      <c r="O19" s="81">
        <v>2.5</v>
      </c>
      <c r="P19" s="81">
        <f>M19*O19</f>
        <v>2.5</v>
      </c>
      <c r="Q19" s="82">
        <f>0.3*P19</f>
        <v>0.75</v>
      </c>
      <c r="R19" s="82" t="s">
        <v>100</v>
      </c>
      <c r="S19" s="124"/>
    </row>
    <row r="20" spans="1:19" ht="18" customHeight="1" x14ac:dyDescent="0.4">
      <c r="A20" s="26">
        <v>44562</v>
      </c>
      <c r="B20" s="27"/>
      <c r="C20" s="27"/>
      <c r="D20" s="27"/>
      <c r="E20" s="27"/>
      <c r="F20" s="27"/>
      <c r="G20" s="27"/>
      <c r="H20" s="27">
        <f t="shared" si="1"/>
        <v>0</v>
      </c>
      <c r="J20" s="77"/>
      <c r="K20" s="72" t="s">
        <v>77</v>
      </c>
      <c r="L20" s="71" t="s">
        <v>80</v>
      </c>
      <c r="M20" s="70">
        <v>1</v>
      </c>
      <c r="N20" s="70" t="s">
        <v>31</v>
      </c>
      <c r="O20" s="81">
        <v>1</v>
      </c>
      <c r="P20" s="81">
        <f>M20*O20</f>
        <v>1</v>
      </c>
      <c r="Q20" s="82">
        <f>0.3*P20</f>
        <v>0.3</v>
      </c>
      <c r="R20" s="82" t="s">
        <v>100</v>
      </c>
      <c r="S20" s="124" t="s">
        <v>75</v>
      </c>
    </row>
    <row r="21" spans="1:19" ht="18" customHeight="1" x14ac:dyDescent="0.4">
      <c r="A21" s="24">
        <v>44593</v>
      </c>
      <c r="B21" s="25"/>
      <c r="C21" s="25"/>
      <c r="D21" s="25"/>
      <c r="E21" s="25"/>
      <c r="F21" s="25"/>
      <c r="G21" s="25"/>
      <c r="H21" s="25">
        <f t="shared" si="1"/>
        <v>0</v>
      </c>
      <c r="J21" s="77"/>
      <c r="K21" s="270" t="s">
        <v>111</v>
      </c>
      <c r="L21" s="272"/>
      <c r="M21" s="272"/>
      <c r="N21" s="272"/>
      <c r="O21" s="273"/>
      <c r="P21" s="273"/>
      <c r="Q21" s="273"/>
      <c r="R21" s="273"/>
      <c r="S21" s="274"/>
    </row>
    <row r="22" spans="1:19" ht="18" customHeight="1" x14ac:dyDescent="0.4">
      <c r="A22" s="26">
        <v>44621</v>
      </c>
      <c r="B22" s="27"/>
      <c r="C22" s="27"/>
      <c r="D22" s="27"/>
      <c r="E22" s="27"/>
      <c r="F22" s="27"/>
      <c r="G22" s="27"/>
      <c r="H22" s="27">
        <f t="shared" si="1"/>
        <v>0</v>
      </c>
      <c r="I22" s="33" t="s">
        <v>223</v>
      </c>
      <c r="J22" s="77"/>
      <c r="K22" s="270" t="s">
        <v>112</v>
      </c>
      <c r="L22" s="271"/>
      <c r="M22" s="84">
        <v>4</v>
      </c>
      <c r="N22" s="84" t="s">
        <v>39</v>
      </c>
      <c r="O22" s="85">
        <v>11.5</v>
      </c>
      <c r="P22" s="81">
        <f>M22*O22</f>
        <v>46</v>
      </c>
      <c r="Q22" s="86">
        <f>0.3*P22</f>
        <v>13.799999999999999</v>
      </c>
      <c r="R22" s="86" t="s">
        <v>113</v>
      </c>
      <c r="S22" s="126" t="s">
        <v>114</v>
      </c>
    </row>
    <row r="23" spans="1:19" ht="18" customHeight="1" x14ac:dyDescent="0.4">
      <c r="A23" s="24">
        <v>44652</v>
      </c>
      <c r="B23" s="25"/>
      <c r="C23" s="25"/>
      <c r="D23" s="25"/>
      <c r="E23" s="25"/>
      <c r="F23" s="25"/>
      <c r="G23" s="25"/>
      <c r="H23" s="25">
        <f t="shared" si="1"/>
        <v>0</v>
      </c>
      <c r="J23" s="77"/>
      <c r="K23" s="270" t="s">
        <v>115</v>
      </c>
      <c r="L23" s="271"/>
      <c r="M23" s="84">
        <v>2</v>
      </c>
      <c r="N23" s="84" t="s">
        <v>39</v>
      </c>
      <c r="O23" s="85">
        <v>22</v>
      </c>
      <c r="P23" s="81">
        <f>M23*O23</f>
        <v>44</v>
      </c>
      <c r="Q23" s="86">
        <f>0.3*P23</f>
        <v>13.2</v>
      </c>
      <c r="R23" s="86" t="s">
        <v>113</v>
      </c>
      <c r="S23" s="126" t="s">
        <v>116</v>
      </c>
    </row>
    <row r="24" spans="1:19" ht="18" customHeight="1" x14ac:dyDescent="0.4">
      <c r="A24" s="26">
        <v>44682</v>
      </c>
      <c r="B24" s="27"/>
      <c r="C24" s="27"/>
      <c r="D24" s="27"/>
      <c r="E24" s="27"/>
      <c r="F24" s="27"/>
      <c r="G24" s="27"/>
      <c r="H24" s="27">
        <f t="shared" si="1"/>
        <v>0</v>
      </c>
      <c r="J24" s="77"/>
      <c r="K24" s="270" t="s">
        <v>117</v>
      </c>
      <c r="L24" s="271"/>
      <c r="M24" s="84">
        <v>2</v>
      </c>
      <c r="N24" s="84" t="s">
        <v>39</v>
      </c>
      <c r="O24" s="85">
        <v>26.5</v>
      </c>
      <c r="P24" s="81">
        <f>M24*O24</f>
        <v>53</v>
      </c>
      <c r="Q24" s="86">
        <f>0.3*P24</f>
        <v>15.899999999999999</v>
      </c>
      <c r="R24" s="86" t="s">
        <v>113</v>
      </c>
      <c r="S24" s="126" t="s">
        <v>118</v>
      </c>
    </row>
    <row r="25" spans="1:19" ht="18" customHeight="1" x14ac:dyDescent="0.4">
      <c r="A25" s="24">
        <v>44713</v>
      </c>
      <c r="B25" s="25"/>
      <c r="C25" s="25"/>
      <c r="D25" s="25"/>
      <c r="E25" s="25"/>
      <c r="F25" s="25"/>
      <c r="G25" s="25"/>
      <c r="H25" s="25">
        <f t="shared" si="1"/>
        <v>0</v>
      </c>
      <c r="J25" s="77"/>
      <c r="K25" s="282" t="s">
        <v>119</v>
      </c>
      <c r="L25" s="283"/>
      <c r="M25" s="84">
        <v>2</v>
      </c>
      <c r="N25" s="84" t="s">
        <v>39</v>
      </c>
      <c r="O25" s="85">
        <v>1.6</v>
      </c>
      <c r="P25" s="81">
        <f>M25*O25</f>
        <v>3.2</v>
      </c>
      <c r="Q25" s="86">
        <f>0.3*P25</f>
        <v>0.96</v>
      </c>
      <c r="R25" s="86" t="s">
        <v>113</v>
      </c>
      <c r="S25" s="126" t="s">
        <v>120</v>
      </c>
    </row>
    <row r="26" spans="1:19" ht="18" customHeight="1" x14ac:dyDescent="0.4">
      <c r="A26" s="26">
        <v>44743</v>
      </c>
      <c r="B26" s="27"/>
      <c r="C26" s="27"/>
      <c r="D26" s="27"/>
      <c r="E26" s="27"/>
      <c r="F26" s="27"/>
      <c r="G26" s="27"/>
      <c r="H26" s="27">
        <f t="shared" si="1"/>
        <v>0</v>
      </c>
      <c r="J26" s="77"/>
      <c r="K26" s="270"/>
      <c r="L26" s="271"/>
      <c r="M26" s="84"/>
      <c r="N26" s="84"/>
      <c r="O26" s="85"/>
      <c r="P26" s="127"/>
      <c r="Q26" s="128"/>
      <c r="R26" s="86"/>
      <c r="S26" s="126"/>
    </row>
    <row r="27" spans="1:19" ht="18" customHeight="1" x14ac:dyDescent="0.4">
      <c r="A27" s="24">
        <v>44774</v>
      </c>
      <c r="B27" s="25"/>
      <c r="C27" s="25"/>
      <c r="D27" s="25"/>
      <c r="E27" s="25"/>
      <c r="F27" s="25"/>
      <c r="G27" s="25"/>
      <c r="H27" s="25">
        <f t="shared" si="1"/>
        <v>0</v>
      </c>
      <c r="J27" s="77"/>
      <c r="K27" s="270" t="s">
        <v>81</v>
      </c>
      <c r="L27" s="272"/>
      <c r="M27" s="272"/>
      <c r="N27" s="272"/>
      <c r="O27" s="273"/>
      <c r="P27" s="273"/>
      <c r="Q27" s="273"/>
      <c r="R27" s="273"/>
      <c r="S27" s="274"/>
    </row>
    <row r="28" spans="1:19" ht="18" customHeight="1" x14ac:dyDescent="0.4">
      <c r="A28" s="26">
        <v>44805</v>
      </c>
      <c r="B28" s="27"/>
      <c r="C28" s="27"/>
      <c r="D28" s="27"/>
      <c r="E28" s="27"/>
      <c r="F28" s="27"/>
      <c r="G28" s="27"/>
      <c r="H28" s="27">
        <f t="shared" si="1"/>
        <v>0</v>
      </c>
      <c r="J28" s="77"/>
      <c r="K28" s="270" t="s">
        <v>40</v>
      </c>
      <c r="L28" s="271"/>
      <c r="M28" s="87">
        <v>1</v>
      </c>
      <c r="N28" s="87" t="s">
        <v>39</v>
      </c>
      <c r="O28" s="88">
        <v>0.5</v>
      </c>
      <c r="P28" s="88">
        <f>M28*O28</f>
        <v>0.5</v>
      </c>
      <c r="Q28" s="88">
        <f>0.3*P28</f>
        <v>0.15</v>
      </c>
      <c r="R28" s="89" t="s">
        <v>113</v>
      </c>
      <c r="S28" s="129" t="s">
        <v>82</v>
      </c>
    </row>
    <row r="29" spans="1:19" ht="18" customHeight="1" x14ac:dyDescent="0.4">
      <c r="A29" s="24">
        <v>44835</v>
      </c>
      <c r="B29" s="25"/>
      <c r="C29" s="25"/>
      <c r="D29" s="25"/>
      <c r="E29" s="25"/>
      <c r="F29" s="25"/>
      <c r="G29" s="25"/>
      <c r="H29" s="25">
        <f t="shared" si="1"/>
        <v>0</v>
      </c>
      <c r="J29" s="77"/>
      <c r="K29" s="270" t="s">
        <v>41</v>
      </c>
      <c r="L29" s="271"/>
      <c r="M29" s="87">
        <v>4</v>
      </c>
      <c r="N29" s="87" t="s">
        <v>31</v>
      </c>
      <c r="O29" s="88">
        <v>0.45</v>
      </c>
      <c r="P29" s="88">
        <f>M29*O29</f>
        <v>1.8</v>
      </c>
      <c r="Q29" s="130">
        <f>0.3*P29</f>
        <v>0.54</v>
      </c>
      <c r="R29" s="279" t="s">
        <v>113</v>
      </c>
      <c r="S29" s="131" t="s">
        <v>42</v>
      </c>
    </row>
    <row r="30" spans="1:19" ht="18" customHeight="1" thickBot="1" x14ac:dyDescent="0.45">
      <c r="A30" s="26">
        <v>44866</v>
      </c>
      <c r="B30" s="27"/>
      <c r="C30" s="27"/>
      <c r="D30" s="27"/>
      <c r="E30" s="27"/>
      <c r="F30" s="27"/>
      <c r="G30" s="27"/>
      <c r="H30" s="27">
        <f t="shared" si="1"/>
        <v>0</v>
      </c>
      <c r="J30" s="77"/>
      <c r="K30" s="281" t="s">
        <v>83</v>
      </c>
      <c r="L30" s="269"/>
      <c r="M30" s="87">
        <v>7</v>
      </c>
      <c r="N30" s="87" t="s">
        <v>79</v>
      </c>
      <c r="O30" s="88">
        <v>1.9550000000000001</v>
      </c>
      <c r="P30" s="88">
        <f>M30*O30</f>
        <v>13.685</v>
      </c>
      <c r="Q30" s="130">
        <f>0.3*P30</f>
        <v>4.1055000000000001</v>
      </c>
      <c r="R30" s="280"/>
      <c r="S30" s="132" t="s">
        <v>84</v>
      </c>
    </row>
    <row r="31" spans="1:19" ht="18" customHeight="1" x14ac:dyDescent="0.4">
      <c r="A31" s="28" t="s">
        <v>43</v>
      </c>
      <c r="B31" s="29">
        <f>SUM(B9:B30)</f>
        <v>0</v>
      </c>
      <c r="C31" s="29">
        <f t="shared" ref="C31:G31" si="2">SUM(C9:C30)</f>
        <v>0</v>
      </c>
      <c r="D31" s="29">
        <f t="shared" si="2"/>
        <v>0</v>
      </c>
      <c r="E31" s="29">
        <f t="shared" si="2"/>
        <v>0</v>
      </c>
      <c r="F31" s="29">
        <f t="shared" si="2"/>
        <v>0</v>
      </c>
      <c r="G31" s="29">
        <f t="shared" si="2"/>
        <v>0</v>
      </c>
      <c r="H31" s="29">
        <f t="shared" ref="H31" si="3">SUM(D31:G31)</f>
        <v>0</v>
      </c>
      <c r="J31" s="90"/>
      <c r="K31" s="278" t="s">
        <v>85</v>
      </c>
      <c r="L31" s="238"/>
      <c r="M31" s="276" t="s">
        <v>86</v>
      </c>
      <c r="N31" s="275"/>
      <c r="O31" s="277"/>
      <c r="P31" s="85">
        <v>5</v>
      </c>
      <c r="Q31" s="86">
        <f>0*P31</f>
        <v>0</v>
      </c>
      <c r="R31" s="86" t="s">
        <v>121</v>
      </c>
      <c r="S31" s="126"/>
    </row>
    <row r="32" spans="1:19" ht="18" customHeight="1" x14ac:dyDescent="0.4">
      <c r="A32" s="34" t="s">
        <v>17</v>
      </c>
      <c r="B32" s="36">
        <f>M60*8</f>
        <v>11360</v>
      </c>
      <c r="C32" s="36">
        <f>(248-30)*10000</f>
        <v>2180000</v>
      </c>
      <c r="D32" s="39">
        <f>P33*10000/1.13</f>
        <v>4308097.3451327439</v>
      </c>
      <c r="E32" s="39">
        <f>P65*10000</f>
        <v>270000</v>
      </c>
      <c r="F32" s="39">
        <v>300000</v>
      </c>
      <c r="G32" s="39">
        <v>30000</v>
      </c>
      <c r="H32" s="36">
        <f t="shared" si="1"/>
        <v>7088097.3451327439</v>
      </c>
      <c r="J32" s="90"/>
      <c r="K32" s="278" t="s">
        <v>87</v>
      </c>
      <c r="L32" s="277"/>
      <c r="M32" s="276"/>
      <c r="N32" s="275"/>
      <c r="O32" s="277"/>
      <c r="P32" s="85">
        <v>8</v>
      </c>
      <c r="Q32" s="86">
        <f>0*P32</f>
        <v>0</v>
      </c>
      <c r="R32" s="86" t="s">
        <v>122</v>
      </c>
      <c r="S32" s="126"/>
    </row>
    <row r="33" spans="1:20" ht="18" customHeight="1" thickBot="1" x14ac:dyDescent="0.45">
      <c r="A33" s="35" t="s">
        <v>60</v>
      </c>
      <c r="B33" s="38">
        <f>B31/B32</f>
        <v>0</v>
      </c>
      <c r="C33" s="38">
        <f t="shared" ref="C33:G33" si="4">C31/C32</f>
        <v>0</v>
      </c>
      <c r="D33" s="38">
        <f t="shared" si="4"/>
        <v>0</v>
      </c>
      <c r="E33" s="38">
        <f t="shared" si="4"/>
        <v>0</v>
      </c>
      <c r="F33" s="38">
        <f t="shared" si="4"/>
        <v>0</v>
      </c>
      <c r="G33" s="38">
        <f t="shared" si="4"/>
        <v>0</v>
      </c>
      <c r="H33" s="38">
        <f t="shared" ref="H33" si="5">H31/H32</f>
        <v>0</v>
      </c>
      <c r="J33" s="91"/>
      <c r="K33" s="257" t="s">
        <v>43</v>
      </c>
      <c r="L33" s="258"/>
      <c r="M33" s="258"/>
      <c r="N33" s="258"/>
      <c r="O33" s="259"/>
      <c r="P33" s="133">
        <f>SUM(P4:P32)</f>
        <v>486.815</v>
      </c>
      <c r="Q33" s="134">
        <f>SUM(Q4:Q32)</f>
        <v>126.34950000000001</v>
      </c>
      <c r="R33" s="284" t="s">
        <v>155</v>
      </c>
      <c r="S33" s="285"/>
      <c r="T33">
        <f>P33/1.13</f>
        <v>430.80973451327435</v>
      </c>
    </row>
    <row r="34" spans="1:20" ht="18" customHeight="1" x14ac:dyDescent="0.3">
      <c r="J34" s="242">
        <v>2</v>
      </c>
      <c r="K34" s="250" t="s">
        <v>44</v>
      </c>
      <c r="L34" s="241"/>
      <c r="M34" s="286" t="s">
        <v>45</v>
      </c>
      <c r="N34" s="287"/>
      <c r="O34" s="92" t="s">
        <v>123</v>
      </c>
      <c r="P34" s="93" t="s">
        <v>46</v>
      </c>
      <c r="Q34" s="94"/>
      <c r="R34" s="95"/>
      <c r="S34" s="135" t="s">
        <v>15</v>
      </c>
    </row>
    <row r="35" spans="1:20" ht="16.5" x14ac:dyDescent="0.45">
      <c r="A35" s="12" t="s">
        <v>14</v>
      </c>
      <c r="B35" s="11"/>
      <c r="C35" s="11"/>
      <c r="D35" s="11"/>
      <c r="E35" s="13"/>
      <c r="F35" s="13"/>
      <c r="G35" s="13"/>
      <c r="H35" s="13"/>
      <c r="J35" s="243"/>
      <c r="K35" s="235" t="s">
        <v>124</v>
      </c>
      <c r="L35" s="241"/>
      <c r="M35" s="237">
        <f>200*O35</f>
        <v>120</v>
      </c>
      <c r="N35" s="238"/>
      <c r="O35" s="96">
        <v>0.6</v>
      </c>
      <c r="P35" s="136">
        <f>0.2*M35</f>
        <v>24</v>
      </c>
      <c r="Q35" s="97"/>
      <c r="R35" s="97"/>
      <c r="S35" s="288" t="s">
        <v>156</v>
      </c>
    </row>
    <row r="36" spans="1:20" ht="14.5" x14ac:dyDescent="0.4">
      <c r="A36" s="62" t="s">
        <v>22</v>
      </c>
      <c r="B36" s="227" t="s">
        <v>23</v>
      </c>
      <c r="C36" s="228"/>
      <c r="D36" s="228"/>
      <c r="E36" s="228"/>
      <c r="F36" s="228"/>
      <c r="G36" s="229"/>
      <c r="H36" s="63" t="s">
        <v>24</v>
      </c>
      <c r="J36" s="243"/>
      <c r="K36" s="235" t="s">
        <v>125</v>
      </c>
      <c r="L36" s="241"/>
      <c r="M36" s="237">
        <f t="shared" ref="M36:M48" si="6">200*O36</f>
        <v>60</v>
      </c>
      <c r="N36" s="238"/>
      <c r="O36" s="96">
        <v>0.3</v>
      </c>
      <c r="P36" s="136">
        <f>0.2*M36</f>
        <v>12</v>
      </c>
      <c r="Q36" s="98"/>
      <c r="R36" s="98"/>
      <c r="S36" s="289"/>
    </row>
    <row r="37" spans="1:20" x14ac:dyDescent="0.3">
      <c r="A37" s="52" t="s">
        <v>258</v>
      </c>
      <c r="B37" s="59" t="s">
        <v>259</v>
      </c>
      <c r="C37" s="197"/>
      <c r="D37" s="59"/>
      <c r="E37" s="59"/>
      <c r="F37" s="59"/>
      <c r="G37" s="59"/>
      <c r="H37" s="48">
        <v>700</v>
      </c>
      <c r="J37" s="243"/>
      <c r="K37" s="235" t="s">
        <v>126</v>
      </c>
      <c r="L37" s="236"/>
      <c r="M37" s="237">
        <f t="shared" si="6"/>
        <v>20</v>
      </c>
      <c r="N37" s="238"/>
      <c r="O37" s="96">
        <v>0.1</v>
      </c>
      <c r="P37" s="136">
        <f>0.2*M37</f>
        <v>4</v>
      </c>
      <c r="Q37" s="98"/>
      <c r="R37" s="98"/>
      <c r="S37" s="289"/>
    </row>
    <row r="38" spans="1:20" s="2" customFormat="1" ht="18" customHeight="1" x14ac:dyDescent="0.3">
      <c r="A38" s="52" t="s">
        <v>158</v>
      </c>
      <c r="B38" s="59" t="s">
        <v>304</v>
      </c>
      <c r="C38" s="198"/>
      <c r="D38" s="59"/>
      <c r="E38" s="59"/>
      <c r="F38" s="59"/>
      <c r="G38" s="59"/>
      <c r="H38" s="48">
        <v>42600</v>
      </c>
      <c r="J38" s="243"/>
      <c r="K38" s="235" t="s">
        <v>127</v>
      </c>
      <c r="L38" s="236"/>
      <c r="M38" s="237">
        <f t="shared" si="6"/>
        <v>100</v>
      </c>
      <c r="N38" s="238"/>
      <c r="O38" s="96">
        <v>0.5</v>
      </c>
      <c r="P38" s="136">
        <f>0.2*M38</f>
        <v>20</v>
      </c>
      <c r="Q38" s="98"/>
      <c r="R38" s="98"/>
      <c r="S38" s="289"/>
    </row>
    <row r="39" spans="1:20" s="2" customFormat="1" ht="18" customHeight="1" x14ac:dyDescent="0.3">
      <c r="A39" s="52" t="s">
        <v>248</v>
      </c>
      <c r="B39" s="59" t="s">
        <v>305</v>
      </c>
      <c r="C39" s="198"/>
      <c r="D39" s="59"/>
      <c r="E39" s="59"/>
      <c r="F39" s="59"/>
      <c r="G39" s="59"/>
      <c r="H39" s="48">
        <v>63900</v>
      </c>
      <c r="J39" s="243"/>
      <c r="K39" s="235" t="s">
        <v>128</v>
      </c>
      <c r="L39" s="241"/>
      <c r="M39" s="237">
        <f t="shared" si="6"/>
        <v>60</v>
      </c>
      <c r="N39" s="238"/>
      <c r="O39" s="96">
        <v>0.3</v>
      </c>
      <c r="P39" s="136">
        <f>M39*0.2</f>
        <v>12</v>
      </c>
      <c r="Q39" s="98"/>
      <c r="R39" s="98"/>
      <c r="S39" s="289"/>
    </row>
    <row r="40" spans="1:20" s="2" customFormat="1" ht="18" customHeight="1" x14ac:dyDescent="0.3">
      <c r="A40" s="52" t="s">
        <v>239</v>
      </c>
      <c r="B40" s="59" t="s">
        <v>245</v>
      </c>
      <c r="C40" s="198"/>
      <c r="D40" s="59"/>
      <c r="E40" s="59"/>
      <c r="F40" s="59"/>
      <c r="G40" s="59"/>
      <c r="H40" s="48">
        <v>500</v>
      </c>
      <c r="J40" s="243"/>
      <c r="K40" s="235" t="s">
        <v>129</v>
      </c>
      <c r="L40" s="241"/>
      <c r="M40" s="237">
        <f t="shared" si="6"/>
        <v>80</v>
      </c>
      <c r="N40" s="238"/>
      <c r="O40" s="96">
        <v>0.4</v>
      </c>
      <c r="P40" s="136">
        <f>0.15*M40</f>
        <v>12</v>
      </c>
      <c r="Q40" s="98"/>
      <c r="R40" s="98"/>
      <c r="S40" s="289"/>
    </row>
    <row r="41" spans="1:20" s="2" customFormat="1" ht="18" customHeight="1" x14ac:dyDescent="0.3">
      <c r="A41" s="52" t="s">
        <v>240</v>
      </c>
      <c r="B41" s="59" t="s">
        <v>246</v>
      </c>
      <c r="C41" s="198"/>
      <c r="D41" s="59"/>
      <c r="E41" s="59"/>
      <c r="F41" s="59"/>
      <c r="G41" s="59"/>
      <c r="H41" s="48">
        <v>1900</v>
      </c>
      <c r="J41" s="243"/>
      <c r="K41" s="235" t="s">
        <v>130</v>
      </c>
      <c r="L41" s="241"/>
      <c r="M41" s="237">
        <f t="shared" si="6"/>
        <v>80</v>
      </c>
      <c r="N41" s="238"/>
      <c r="O41" s="96">
        <v>0.4</v>
      </c>
      <c r="P41" s="136">
        <f>M41*0.2</f>
        <v>16</v>
      </c>
      <c r="Q41" s="98"/>
      <c r="R41" s="98"/>
      <c r="S41" s="289"/>
    </row>
    <row r="42" spans="1:20" s="2" customFormat="1" ht="18" customHeight="1" x14ac:dyDescent="0.3">
      <c r="A42" s="52" t="s">
        <v>239</v>
      </c>
      <c r="B42" s="59" t="s">
        <v>260</v>
      </c>
      <c r="C42" s="198"/>
      <c r="D42" s="59"/>
      <c r="E42" s="59"/>
      <c r="F42" s="59"/>
      <c r="G42" s="59"/>
      <c r="H42" s="48">
        <v>1650</v>
      </c>
      <c r="J42" s="243"/>
      <c r="K42" s="235" t="s">
        <v>131</v>
      </c>
      <c r="L42" s="241"/>
      <c r="M42" s="237">
        <f t="shared" si="6"/>
        <v>20</v>
      </c>
      <c r="N42" s="238"/>
      <c r="O42" s="96">
        <v>0.1</v>
      </c>
      <c r="P42" s="136">
        <f>0.2*M42</f>
        <v>4</v>
      </c>
      <c r="Q42" s="98"/>
      <c r="R42" s="98"/>
      <c r="S42" s="289"/>
    </row>
    <row r="43" spans="1:20" s="2" customFormat="1" ht="18" customHeight="1" x14ac:dyDescent="0.3">
      <c r="A43" s="52" t="s">
        <v>239</v>
      </c>
      <c r="B43" s="59" t="s">
        <v>261</v>
      </c>
      <c r="C43" s="198"/>
      <c r="D43" s="59"/>
      <c r="E43" s="59"/>
      <c r="F43" s="59"/>
      <c r="G43" s="59"/>
      <c r="H43" s="48">
        <v>452.9</v>
      </c>
      <c r="J43" s="243"/>
      <c r="K43" s="235" t="s">
        <v>132</v>
      </c>
      <c r="L43" s="241"/>
      <c r="M43" s="237">
        <f t="shared" si="6"/>
        <v>50</v>
      </c>
      <c r="N43" s="238"/>
      <c r="O43" s="96">
        <v>0.25</v>
      </c>
      <c r="P43" s="136">
        <f>0.15*M43</f>
        <v>7.5</v>
      </c>
      <c r="Q43" s="98"/>
      <c r="R43" s="98"/>
      <c r="S43" s="289"/>
    </row>
    <row r="44" spans="1:20" x14ac:dyDescent="0.3">
      <c r="A44" s="52" t="s">
        <v>240</v>
      </c>
      <c r="B44" s="59" t="s">
        <v>241</v>
      </c>
      <c r="C44" s="197"/>
      <c r="D44" s="59"/>
      <c r="E44" s="59"/>
      <c r="F44" s="59"/>
      <c r="G44" s="59"/>
      <c r="H44" s="48">
        <v>1398</v>
      </c>
      <c r="J44" s="243"/>
      <c r="K44" s="73" t="s">
        <v>133</v>
      </c>
      <c r="L44" s="137"/>
      <c r="M44" s="239">
        <f>200*O44</f>
        <v>80</v>
      </c>
      <c r="N44" s="240"/>
      <c r="O44" s="99">
        <v>0.4</v>
      </c>
      <c r="P44" s="138">
        <f>0.15*M44</f>
        <v>12</v>
      </c>
      <c r="Q44" s="100"/>
      <c r="R44" s="98"/>
      <c r="S44" s="289"/>
    </row>
    <row r="45" spans="1:20" x14ac:dyDescent="0.3">
      <c r="A45" s="52" t="s">
        <v>240</v>
      </c>
      <c r="B45" s="59" t="s">
        <v>262</v>
      </c>
      <c r="C45" s="197"/>
      <c r="D45" s="59"/>
      <c r="E45" s="59"/>
      <c r="F45" s="59"/>
      <c r="G45" s="59"/>
      <c r="H45" s="48">
        <v>693.67</v>
      </c>
      <c r="J45" s="243"/>
      <c r="K45" s="255" t="s">
        <v>134</v>
      </c>
      <c r="L45" s="256"/>
      <c r="M45" s="239">
        <f t="shared" si="6"/>
        <v>30</v>
      </c>
      <c r="N45" s="240"/>
      <c r="O45" s="99">
        <v>0.15</v>
      </c>
      <c r="P45" s="138">
        <f>0.2*M45</f>
        <v>6</v>
      </c>
      <c r="Q45" s="100"/>
      <c r="R45" s="98"/>
      <c r="S45" s="289"/>
    </row>
    <row r="46" spans="1:20" x14ac:dyDescent="0.3">
      <c r="A46" s="52" t="s">
        <v>240</v>
      </c>
      <c r="B46" s="59" t="s">
        <v>242</v>
      </c>
      <c r="C46" s="197"/>
      <c r="D46" s="59"/>
      <c r="E46" s="59"/>
      <c r="F46" s="59"/>
      <c r="G46" s="59"/>
      <c r="H46" s="48">
        <v>260</v>
      </c>
      <c r="J46" s="243"/>
      <c r="K46" s="235" t="s">
        <v>135</v>
      </c>
      <c r="L46" s="241"/>
      <c r="M46" s="237">
        <f t="shared" si="6"/>
        <v>40</v>
      </c>
      <c r="N46" s="238"/>
      <c r="O46" s="96">
        <v>0.2</v>
      </c>
      <c r="P46" s="136">
        <f>0.2*M46</f>
        <v>8</v>
      </c>
      <c r="Q46" s="98"/>
      <c r="R46" s="98"/>
      <c r="S46" s="289"/>
    </row>
    <row r="47" spans="1:20" x14ac:dyDescent="0.3">
      <c r="A47" s="52" t="s">
        <v>240</v>
      </c>
      <c r="B47" s="59" t="s">
        <v>243</v>
      </c>
      <c r="C47" s="197"/>
      <c r="D47" s="59"/>
      <c r="E47" s="59"/>
      <c r="F47" s="59"/>
      <c r="G47" s="59"/>
      <c r="H47" s="48">
        <v>2800</v>
      </c>
      <c r="J47" s="243"/>
      <c r="K47" s="235" t="s">
        <v>136</v>
      </c>
      <c r="L47" s="241"/>
      <c r="M47" s="237">
        <f t="shared" si="6"/>
        <v>20</v>
      </c>
      <c r="N47" s="238"/>
      <c r="O47" s="96">
        <v>0.1</v>
      </c>
      <c r="P47" s="136">
        <f>0.2*M47</f>
        <v>4</v>
      </c>
      <c r="Q47" s="98"/>
      <c r="R47" s="98"/>
      <c r="S47" s="289"/>
    </row>
    <row r="48" spans="1:20" x14ac:dyDescent="0.3">
      <c r="A48" s="52" t="s">
        <v>238</v>
      </c>
      <c r="B48" s="59" t="s">
        <v>244</v>
      </c>
      <c r="C48" s="197"/>
      <c r="D48" s="59"/>
      <c r="E48" s="59"/>
      <c r="F48" s="59"/>
      <c r="G48" s="59"/>
      <c r="H48" s="48">
        <v>356</v>
      </c>
      <c r="J48" s="243"/>
      <c r="K48" s="255" t="s">
        <v>137</v>
      </c>
      <c r="L48" s="256"/>
      <c r="M48" s="239">
        <f t="shared" si="6"/>
        <v>30</v>
      </c>
      <c r="N48" s="240"/>
      <c r="O48" s="99">
        <v>0.15</v>
      </c>
      <c r="P48" s="138">
        <f>0.15*M48</f>
        <v>4.5</v>
      </c>
      <c r="Q48" s="100"/>
      <c r="R48" s="98"/>
      <c r="S48" s="289"/>
    </row>
    <row r="49" spans="1:19" x14ac:dyDescent="0.3">
      <c r="A49" s="52" t="s">
        <v>258</v>
      </c>
      <c r="B49" s="59" t="s">
        <v>263</v>
      </c>
      <c r="C49" s="197"/>
      <c r="D49" s="59"/>
      <c r="E49" s="59"/>
      <c r="F49" s="59"/>
      <c r="G49" s="59"/>
      <c r="H49" s="48">
        <v>370</v>
      </c>
      <c r="J49" s="243"/>
      <c r="K49" s="235" t="s">
        <v>138</v>
      </c>
      <c r="L49" s="236"/>
      <c r="M49" s="237">
        <f>200*O49</f>
        <v>30</v>
      </c>
      <c r="N49" s="238"/>
      <c r="O49" s="96">
        <v>0.15</v>
      </c>
      <c r="P49" s="136">
        <f>0.2*M49</f>
        <v>6</v>
      </c>
      <c r="Q49" s="98"/>
      <c r="R49" s="98"/>
      <c r="S49" s="289"/>
    </row>
    <row r="50" spans="1:19" x14ac:dyDescent="0.3">
      <c r="A50" s="52" t="s">
        <v>258</v>
      </c>
      <c r="B50" s="59" t="s">
        <v>264</v>
      </c>
      <c r="C50" s="197"/>
      <c r="D50" s="59"/>
      <c r="E50" s="59"/>
      <c r="F50" s="59"/>
      <c r="G50" s="59"/>
      <c r="H50" s="48">
        <v>75</v>
      </c>
      <c r="J50" s="243"/>
      <c r="K50" s="235" t="s">
        <v>139</v>
      </c>
      <c r="L50" s="241"/>
      <c r="M50" s="237">
        <f t="shared" ref="M50:M59" si="7">200*O50</f>
        <v>60</v>
      </c>
      <c r="N50" s="238"/>
      <c r="O50" s="96">
        <v>0.3</v>
      </c>
      <c r="P50" s="136">
        <f>M50*0.2</f>
        <v>12</v>
      </c>
      <c r="Q50" s="98"/>
      <c r="R50" s="98"/>
      <c r="S50" s="289"/>
    </row>
    <row r="51" spans="1:19" x14ac:dyDescent="0.3">
      <c r="A51" s="52"/>
      <c r="B51" s="226"/>
      <c r="C51" s="226"/>
      <c r="D51" s="226"/>
      <c r="E51" s="226"/>
      <c r="F51" s="226"/>
      <c r="G51" s="226"/>
      <c r="H51" s="168"/>
      <c r="J51" s="243"/>
      <c r="K51" s="235" t="s">
        <v>140</v>
      </c>
      <c r="L51" s="241"/>
      <c r="M51" s="237">
        <f t="shared" si="7"/>
        <v>40</v>
      </c>
      <c r="N51" s="238"/>
      <c r="O51" s="96">
        <v>0.2</v>
      </c>
      <c r="P51" s="136">
        <f>0.2*M51</f>
        <v>8</v>
      </c>
      <c r="Q51" s="98"/>
      <c r="R51" s="98"/>
      <c r="S51" s="289"/>
    </row>
    <row r="52" spans="1:19" x14ac:dyDescent="0.3">
      <c r="A52" s="52"/>
      <c r="B52" s="226"/>
      <c r="C52" s="226"/>
      <c r="D52" s="226"/>
      <c r="E52" s="226"/>
      <c r="F52" s="226"/>
      <c r="G52" s="226"/>
      <c r="H52" s="168"/>
      <c r="J52" s="243"/>
      <c r="K52" s="235" t="s">
        <v>141</v>
      </c>
      <c r="L52" s="236"/>
      <c r="M52" s="237">
        <f t="shared" si="7"/>
        <v>100</v>
      </c>
      <c r="N52" s="238"/>
      <c r="O52" s="96">
        <v>0.5</v>
      </c>
      <c r="P52" s="136">
        <f>M52*0.2</f>
        <v>20</v>
      </c>
      <c r="Q52" s="98"/>
      <c r="R52" s="98"/>
      <c r="S52" s="289"/>
    </row>
    <row r="53" spans="1:19" x14ac:dyDescent="0.3">
      <c r="A53" s="52"/>
      <c r="B53" s="200"/>
      <c r="C53" s="200"/>
      <c r="D53" s="200"/>
      <c r="E53" s="200"/>
      <c r="F53" s="200"/>
      <c r="G53" s="200"/>
      <c r="H53" s="168"/>
      <c r="J53" s="243"/>
      <c r="K53" s="235" t="s">
        <v>142</v>
      </c>
      <c r="L53" s="241"/>
      <c r="M53" s="237">
        <f t="shared" si="7"/>
        <v>100</v>
      </c>
      <c r="N53" s="238"/>
      <c r="O53" s="96">
        <v>0.5</v>
      </c>
      <c r="P53" s="136">
        <f>M53*0.15</f>
        <v>15</v>
      </c>
      <c r="Q53" s="98"/>
      <c r="R53" s="98"/>
      <c r="S53" s="289"/>
    </row>
    <row r="54" spans="1:19" x14ac:dyDescent="0.3">
      <c r="A54" s="52"/>
      <c r="B54" s="200"/>
      <c r="C54" s="200"/>
      <c r="D54" s="200"/>
      <c r="E54" s="200"/>
      <c r="F54" s="200"/>
      <c r="G54" s="200"/>
      <c r="H54" s="168"/>
      <c r="J54" s="243"/>
      <c r="K54" s="235" t="s">
        <v>143</v>
      </c>
      <c r="L54" s="236"/>
      <c r="M54" s="237">
        <f t="shared" si="7"/>
        <v>100</v>
      </c>
      <c r="N54" s="238"/>
      <c r="O54" s="96">
        <v>0.5</v>
      </c>
      <c r="P54" s="136">
        <f>0.15*M54</f>
        <v>15</v>
      </c>
      <c r="Q54" s="98"/>
      <c r="R54" s="98"/>
      <c r="S54" s="289"/>
    </row>
    <row r="55" spans="1:19" x14ac:dyDescent="0.3">
      <c r="A55" s="52"/>
      <c r="B55" s="200"/>
      <c r="C55" s="200"/>
      <c r="D55" s="200"/>
      <c r="E55" s="200"/>
      <c r="F55" s="200"/>
      <c r="G55" s="200"/>
      <c r="H55" s="168"/>
      <c r="J55" s="243"/>
      <c r="K55" s="235" t="s">
        <v>144</v>
      </c>
      <c r="L55" s="236"/>
      <c r="M55" s="237">
        <f t="shared" si="7"/>
        <v>100</v>
      </c>
      <c r="N55" s="238"/>
      <c r="O55" s="96">
        <v>0.5</v>
      </c>
      <c r="P55" s="136">
        <f>0.15*M55</f>
        <v>15</v>
      </c>
      <c r="Q55" s="98"/>
      <c r="R55" s="98"/>
      <c r="S55" s="289"/>
    </row>
    <row r="56" spans="1:19" x14ac:dyDescent="0.3">
      <c r="A56" s="52"/>
      <c r="B56" s="200"/>
      <c r="C56" s="200"/>
      <c r="D56" s="200"/>
      <c r="E56" s="200"/>
      <c r="F56" s="200"/>
      <c r="G56" s="200"/>
      <c r="H56" s="168"/>
      <c r="J56" s="243"/>
      <c r="K56" s="235" t="s">
        <v>145</v>
      </c>
      <c r="L56" s="241"/>
      <c r="M56" s="237">
        <f t="shared" si="7"/>
        <v>40</v>
      </c>
      <c r="N56" s="238"/>
      <c r="O56" s="96">
        <v>0.2</v>
      </c>
      <c r="P56" s="136">
        <f>0.15*M56</f>
        <v>6</v>
      </c>
      <c r="Q56" s="98"/>
      <c r="R56" s="98"/>
      <c r="S56" s="289"/>
    </row>
    <row r="57" spans="1:19" ht="14.5" x14ac:dyDescent="0.4">
      <c r="A57" s="52"/>
      <c r="B57" s="200"/>
      <c r="C57" s="200"/>
      <c r="D57" s="200"/>
      <c r="E57" s="200"/>
      <c r="F57" s="200"/>
      <c r="G57" s="200"/>
      <c r="H57" s="167"/>
      <c r="J57" s="243"/>
      <c r="K57" s="235" t="s">
        <v>146</v>
      </c>
      <c r="L57" s="241"/>
      <c r="M57" s="237">
        <f t="shared" si="7"/>
        <v>20</v>
      </c>
      <c r="N57" s="238"/>
      <c r="O57" s="96">
        <v>0.1</v>
      </c>
      <c r="P57" s="136">
        <f>M57*0.15</f>
        <v>3</v>
      </c>
      <c r="Q57" s="98"/>
      <c r="R57" s="98"/>
      <c r="S57" s="289"/>
    </row>
    <row r="58" spans="1:19" ht="14.5" x14ac:dyDescent="0.4">
      <c r="A58" s="52"/>
      <c r="B58" s="200"/>
      <c r="C58" s="200"/>
      <c r="D58" s="200"/>
      <c r="E58" s="200"/>
      <c r="F58" s="200"/>
      <c r="G58" s="200"/>
      <c r="H58" s="167"/>
      <c r="J58" s="243"/>
      <c r="K58" s="235" t="s">
        <v>147</v>
      </c>
      <c r="L58" s="241"/>
      <c r="M58" s="237">
        <f t="shared" si="7"/>
        <v>20</v>
      </c>
      <c r="N58" s="238"/>
      <c r="O58" s="96">
        <v>0.1</v>
      </c>
      <c r="P58" s="136">
        <f>0.15*M58</f>
        <v>3</v>
      </c>
      <c r="Q58" s="98"/>
      <c r="R58" s="98"/>
      <c r="S58" s="289"/>
    </row>
    <row r="59" spans="1:19" ht="14.5" x14ac:dyDescent="0.4">
      <c r="A59" s="165"/>
      <c r="B59" s="223" t="s">
        <v>9</v>
      </c>
      <c r="C59" s="224"/>
      <c r="D59" s="224"/>
      <c r="E59" s="224"/>
      <c r="F59" s="224"/>
      <c r="G59" s="225"/>
      <c r="H59" s="166">
        <f>SUM(H37:H58)</f>
        <v>117655.56999999999</v>
      </c>
      <c r="J59" s="243"/>
      <c r="K59" s="235" t="s">
        <v>148</v>
      </c>
      <c r="L59" s="236"/>
      <c r="M59" s="237">
        <f t="shared" si="7"/>
        <v>20</v>
      </c>
      <c r="N59" s="238"/>
      <c r="O59" s="96">
        <v>0.1</v>
      </c>
      <c r="P59" s="136">
        <f>M59*0.15</f>
        <v>3</v>
      </c>
      <c r="Q59" s="98"/>
      <c r="R59" s="98"/>
      <c r="S59" s="289"/>
    </row>
    <row r="60" spans="1:19" ht="14.5" thickBot="1" x14ac:dyDescent="0.35">
      <c r="J60" s="244"/>
      <c r="K60" s="252" t="s">
        <v>43</v>
      </c>
      <c r="L60" s="253"/>
      <c r="M60" s="254">
        <f>SUM(M35:N59)</f>
        <v>1420</v>
      </c>
      <c r="N60" s="253"/>
      <c r="O60" s="101">
        <f>SUM(O35:O59)</f>
        <v>7.1</v>
      </c>
      <c r="P60" s="102">
        <v>248</v>
      </c>
      <c r="Q60" s="103"/>
      <c r="R60" s="104"/>
      <c r="S60" s="289"/>
    </row>
    <row r="61" spans="1:19" x14ac:dyDescent="0.3">
      <c r="J61" s="242">
        <v>4</v>
      </c>
      <c r="K61" s="245" t="s">
        <v>47</v>
      </c>
      <c r="L61" s="246"/>
      <c r="M61" s="246"/>
      <c r="N61" s="246"/>
      <c r="O61" s="247"/>
      <c r="P61" s="248"/>
      <c r="Q61" s="105"/>
      <c r="R61" s="105"/>
      <c r="S61" s="289"/>
    </row>
    <row r="62" spans="1:19" x14ac:dyDescent="0.3">
      <c r="J62" s="243"/>
      <c r="K62" s="249"/>
      <c r="L62" s="238"/>
      <c r="M62" s="106" t="s">
        <v>48</v>
      </c>
      <c r="N62" s="106" t="s">
        <v>49</v>
      </c>
      <c r="O62" s="107" t="s">
        <v>50</v>
      </c>
      <c r="P62" s="108"/>
      <c r="Q62" s="109"/>
      <c r="R62" s="109"/>
      <c r="S62" s="289"/>
    </row>
    <row r="63" spans="1:19" x14ac:dyDescent="0.3">
      <c r="J63" s="243"/>
      <c r="K63" s="250" t="s">
        <v>51</v>
      </c>
      <c r="L63" s="241"/>
      <c r="M63" s="110">
        <v>3</v>
      </c>
      <c r="N63" s="110">
        <v>150</v>
      </c>
      <c r="O63" s="111">
        <v>0.01</v>
      </c>
      <c r="P63" s="112">
        <f>M63*N63*O63</f>
        <v>4.5</v>
      </c>
      <c r="Q63" s="113"/>
      <c r="R63" s="113"/>
      <c r="S63" s="289"/>
    </row>
    <row r="64" spans="1:19" ht="14.5" thickBot="1" x14ac:dyDescent="0.35">
      <c r="J64" s="243"/>
      <c r="K64" s="230" t="s">
        <v>52</v>
      </c>
      <c r="L64" s="231"/>
      <c r="M64" s="114">
        <v>3</v>
      </c>
      <c r="N64" s="115">
        <v>150</v>
      </c>
      <c r="O64" s="116">
        <v>0.05</v>
      </c>
      <c r="P64" s="117">
        <f>M64*N64*O64</f>
        <v>22.5</v>
      </c>
      <c r="Q64" s="113"/>
      <c r="R64" s="113"/>
      <c r="S64" s="289"/>
    </row>
    <row r="65" spans="10:20" ht="14.5" thickBot="1" x14ac:dyDescent="0.35">
      <c r="J65" s="244"/>
      <c r="K65" s="232" t="s">
        <v>43</v>
      </c>
      <c r="L65" s="233"/>
      <c r="M65" s="233"/>
      <c r="N65" s="233"/>
      <c r="O65" s="234"/>
      <c r="P65" s="118">
        <f>P63+P64</f>
        <v>27</v>
      </c>
      <c r="Q65" s="119"/>
      <c r="R65" s="119"/>
      <c r="S65" s="289"/>
    </row>
    <row r="66" spans="10:20" x14ac:dyDescent="0.3">
      <c r="J66" s="242">
        <v>5</v>
      </c>
      <c r="K66" s="245" t="s">
        <v>149</v>
      </c>
      <c r="L66" s="246"/>
      <c r="M66" s="246"/>
      <c r="N66" s="246"/>
      <c r="O66" s="247"/>
      <c r="P66" s="248"/>
      <c r="Q66" s="105"/>
      <c r="R66" s="105"/>
      <c r="S66" s="289"/>
    </row>
    <row r="67" spans="10:20" x14ac:dyDescent="0.3">
      <c r="J67" s="243"/>
      <c r="K67" s="249"/>
      <c r="L67" s="238"/>
      <c r="M67" s="106"/>
      <c r="N67" s="106"/>
      <c r="O67" s="107"/>
      <c r="P67" s="108"/>
      <c r="Q67" s="109"/>
      <c r="R67" s="109"/>
      <c r="S67" s="289"/>
    </row>
    <row r="68" spans="10:20" x14ac:dyDescent="0.3">
      <c r="J68" s="243"/>
      <c r="K68" s="250"/>
      <c r="L68" s="251"/>
      <c r="M68" s="241"/>
      <c r="N68" s="110"/>
      <c r="O68" s="111"/>
      <c r="P68" s="108">
        <v>3</v>
      </c>
      <c r="Q68" s="109"/>
      <c r="R68" s="109"/>
      <c r="S68" s="289"/>
    </row>
    <row r="69" spans="10:20" ht="14.5" thickBot="1" x14ac:dyDescent="0.35">
      <c r="J69" s="243"/>
      <c r="K69" s="230"/>
      <c r="L69" s="231"/>
      <c r="M69" s="114"/>
      <c r="N69" s="114"/>
      <c r="O69" s="116"/>
      <c r="P69" s="117"/>
      <c r="Q69" s="113"/>
      <c r="R69" s="113"/>
      <c r="S69" s="289"/>
    </row>
    <row r="70" spans="10:20" ht="14.5" thickBot="1" x14ac:dyDescent="0.35">
      <c r="J70" s="244"/>
      <c r="K70" s="232" t="s">
        <v>43</v>
      </c>
      <c r="L70" s="233"/>
      <c r="M70" s="233"/>
      <c r="N70" s="233"/>
      <c r="O70" s="234"/>
      <c r="P70" s="118">
        <f>P68+P69</f>
        <v>3</v>
      </c>
      <c r="Q70" s="119"/>
      <c r="R70" s="119"/>
      <c r="S70" s="290"/>
      <c r="T70">
        <f>332.7+T33</f>
        <v>763.50973451327434</v>
      </c>
    </row>
  </sheetData>
  <mergeCells count="108">
    <mergeCell ref="M31:O31"/>
    <mergeCell ref="K32:L32"/>
    <mergeCell ref="M32:O32"/>
    <mergeCell ref="K27:S27"/>
    <mergeCell ref="R29:R30"/>
    <mergeCell ref="K15:L15"/>
    <mergeCell ref="K37:L37"/>
    <mergeCell ref="M37:N37"/>
    <mergeCell ref="K26:L26"/>
    <mergeCell ref="K28:L28"/>
    <mergeCell ref="K29:L29"/>
    <mergeCell ref="K30:L30"/>
    <mergeCell ref="K25:L25"/>
    <mergeCell ref="K31:L31"/>
    <mergeCell ref="R33:S33"/>
    <mergeCell ref="K34:L34"/>
    <mergeCell ref="M34:N34"/>
    <mergeCell ref="S35:S70"/>
    <mergeCell ref="K45:L45"/>
    <mergeCell ref="K61:P61"/>
    <mergeCell ref="K62:L62"/>
    <mergeCell ref="K65:O65"/>
    <mergeCell ref="K52:L52"/>
    <mergeCell ref="M52:N52"/>
    <mergeCell ref="K33:O33"/>
    <mergeCell ref="K35:L35"/>
    <mergeCell ref="M35:N35"/>
    <mergeCell ref="K36:L36"/>
    <mergeCell ref="M36:N36"/>
    <mergeCell ref="K38:L38"/>
    <mergeCell ref="J1:O1"/>
    <mergeCell ref="K2:S2"/>
    <mergeCell ref="K4:L4"/>
    <mergeCell ref="K5:L5"/>
    <mergeCell ref="K6:L6"/>
    <mergeCell ref="K7:L7"/>
    <mergeCell ref="K22:L22"/>
    <mergeCell ref="K23:L23"/>
    <mergeCell ref="K24:L24"/>
    <mergeCell ref="K16:S16"/>
    <mergeCell ref="K21:S21"/>
    <mergeCell ref="K12:L12"/>
    <mergeCell ref="K13:L13"/>
    <mergeCell ref="K8:L8"/>
    <mergeCell ref="K9:L9"/>
    <mergeCell ref="K10:L10"/>
    <mergeCell ref="K11:L11"/>
    <mergeCell ref="M38:N38"/>
    <mergeCell ref="J66:J70"/>
    <mergeCell ref="K66:P66"/>
    <mergeCell ref="K67:L67"/>
    <mergeCell ref="K68:M68"/>
    <mergeCell ref="K63:L63"/>
    <mergeCell ref="K64:L64"/>
    <mergeCell ref="K58:L58"/>
    <mergeCell ref="M58:N58"/>
    <mergeCell ref="K59:L59"/>
    <mergeCell ref="M59:N59"/>
    <mergeCell ref="K60:L60"/>
    <mergeCell ref="M60:N60"/>
    <mergeCell ref="J34:J60"/>
    <mergeCell ref="J61:J65"/>
    <mergeCell ref="K50:L50"/>
    <mergeCell ref="M50:N50"/>
    <mergeCell ref="K51:L51"/>
    <mergeCell ref="M51:N51"/>
    <mergeCell ref="K48:L48"/>
    <mergeCell ref="K39:L39"/>
    <mergeCell ref="M39:N39"/>
    <mergeCell ref="K40:L40"/>
    <mergeCell ref="M40:N40"/>
    <mergeCell ref="K41:L41"/>
    <mergeCell ref="M41:N41"/>
    <mergeCell ref="K42:L42"/>
    <mergeCell ref="M42:N42"/>
    <mergeCell ref="K57:L57"/>
    <mergeCell ref="M57:N57"/>
    <mergeCell ref="M43:N43"/>
    <mergeCell ref="M44:N44"/>
    <mergeCell ref="K46:L46"/>
    <mergeCell ref="M46:N46"/>
    <mergeCell ref="K47:L47"/>
    <mergeCell ref="K69:L69"/>
    <mergeCell ref="K70:O70"/>
    <mergeCell ref="K55:L55"/>
    <mergeCell ref="M55:N55"/>
    <mergeCell ref="M48:N48"/>
    <mergeCell ref="K43:L43"/>
    <mergeCell ref="K56:L56"/>
    <mergeCell ref="M56:N56"/>
    <mergeCell ref="M47:N47"/>
    <mergeCell ref="K53:L53"/>
    <mergeCell ref="M53:N53"/>
    <mergeCell ref="K54:L54"/>
    <mergeCell ref="M54:N54"/>
    <mergeCell ref="K49:L49"/>
    <mergeCell ref="M49:N49"/>
    <mergeCell ref="M45:N45"/>
    <mergeCell ref="B59:G59"/>
    <mergeCell ref="B51:G51"/>
    <mergeCell ref="B52:G52"/>
    <mergeCell ref="B36:G36"/>
    <mergeCell ref="B53:G53"/>
    <mergeCell ref="B54:G54"/>
    <mergeCell ref="B55:G55"/>
    <mergeCell ref="B56:G56"/>
    <mergeCell ref="B57:G57"/>
    <mergeCell ref="B58:G58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B64A-3980-43E5-B281-190D924DD409}">
  <sheetPr>
    <tabColor theme="9" tint="0.79998168889431442"/>
  </sheetPr>
  <dimension ref="A1:I49"/>
  <sheetViews>
    <sheetView showGridLines="0" workbookViewId="0">
      <selection activeCell="D17" sqref="D17"/>
    </sheetView>
  </sheetViews>
  <sheetFormatPr defaultRowHeight="14" x14ac:dyDescent="0.3"/>
  <cols>
    <col min="1" max="1" width="10.33203125" customWidth="1"/>
    <col min="2" max="2" width="10.5" bestFit="1" customWidth="1"/>
    <col min="3" max="3" width="11.5" customWidth="1"/>
    <col min="4" max="4" width="16" customWidth="1"/>
    <col min="5" max="5" width="9.83203125" customWidth="1"/>
    <col min="6" max="6" width="11.58203125" bestFit="1" customWidth="1"/>
  </cols>
  <sheetData>
    <row r="1" spans="1:9" ht="20.149999999999999" customHeight="1" x14ac:dyDescent="0.45">
      <c r="A1" s="19" t="s">
        <v>0</v>
      </c>
      <c r="B1" s="19"/>
      <c r="C1" s="19"/>
      <c r="D1" s="20" t="s">
        <v>228</v>
      </c>
      <c r="E1" s="10"/>
      <c r="I1" s="32" t="s">
        <v>18</v>
      </c>
    </row>
    <row r="2" spans="1:9" ht="20.149999999999999" customHeight="1" x14ac:dyDescent="0.45">
      <c r="A2" s="19" t="s">
        <v>1</v>
      </c>
      <c r="B2" s="19"/>
      <c r="C2" s="19"/>
      <c r="D2" s="20" t="s">
        <v>229</v>
      </c>
      <c r="E2" s="11"/>
    </row>
    <row r="3" spans="1:9" ht="20.149999999999999" customHeight="1" x14ac:dyDescent="0.45">
      <c r="A3" s="19" t="s">
        <v>2</v>
      </c>
      <c r="B3" s="19"/>
      <c r="C3" s="19"/>
      <c r="D3" s="21" t="s">
        <v>230</v>
      </c>
      <c r="E3" s="11"/>
    </row>
    <row r="4" spans="1:9" ht="20.149999999999999" customHeight="1" x14ac:dyDescent="0.3"/>
    <row r="5" spans="1:9" ht="20.149999999999999" customHeight="1" x14ac:dyDescent="0.3">
      <c r="A5" s="9" t="s">
        <v>10</v>
      </c>
      <c r="B5" s="5"/>
      <c r="C5" s="5"/>
      <c r="D5" s="170">
        <v>4510000</v>
      </c>
      <c r="E5" s="4"/>
      <c r="F5" s="4"/>
    </row>
    <row r="6" spans="1:9" ht="20.149999999999999" customHeight="1" x14ac:dyDescent="0.3">
      <c r="A6" s="4"/>
      <c r="B6" s="4"/>
      <c r="C6" s="4"/>
      <c r="D6" s="4"/>
      <c r="E6" s="3"/>
      <c r="F6" s="4"/>
    </row>
    <row r="7" spans="1:9" ht="20.149999999999999" customHeight="1" x14ac:dyDescent="0.3">
      <c r="A7" s="22" t="s">
        <v>13</v>
      </c>
      <c r="B7" s="22" t="s">
        <v>271</v>
      </c>
      <c r="C7" s="22" t="s">
        <v>55</v>
      </c>
      <c r="D7" s="23" t="s">
        <v>4</v>
      </c>
      <c r="E7" s="22" t="s">
        <v>3</v>
      </c>
      <c r="F7" s="23" t="s">
        <v>12</v>
      </c>
    </row>
    <row r="8" spans="1:9" ht="20.149999999999999" customHeight="1" x14ac:dyDescent="0.4">
      <c r="A8" s="24">
        <v>44349</v>
      </c>
      <c r="B8" s="25"/>
      <c r="C8" s="25"/>
      <c r="D8" s="25"/>
      <c r="E8" s="25"/>
      <c r="F8" s="25">
        <f>SUM(C8:E8)</f>
        <v>0</v>
      </c>
    </row>
    <row r="9" spans="1:9" ht="20.149999999999999" customHeight="1" x14ac:dyDescent="0.4">
      <c r="A9" s="26">
        <v>44381</v>
      </c>
      <c r="B9" s="27"/>
      <c r="C9" s="27"/>
      <c r="D9" s="27">
        <v>0</v>
      </c>
      <c r="E9" s="27"/>
      <c r="F9" s="27">
        <f t="shared" ref="F9:F34" si="0">SUM(C9:E9)</f>
        <v>0</v>
      </c>
    </row>
    <row r="10" spans="1:9" ht="20.149999999999999" customHeight="1" x14ac:dyDescent="0.4">
      <c r="A10" s="24">
        <v>44413</v>
      </c>
      <c r="B10" s="25"/>
      <c r="C10" s="25"/>
      <c r="D10" s="25"/>
      <c r="E10" s="25">
        <v>948.36</v>
      </c>
      <c r="F10" s="25">
        <f t="shared" si="0"/>
        <v>948.36</v>
      </c>
    </row>
    <row r="11" spans="1:9" ht="20.149999999999999" customHeight="1" x14ac:dyDescent="0.4">
      <c r="A11" s="26">
        <v>44445</v>
      </c>
      <c r="B11" s="27"/>
      <c r="C11" s="27"/>
      <c r="D11" s="27"/>
      <c r="E11" s="27"/>
      <c r="F11" s="27">
        <f t="shared" si="0"/>
        <v>0</v>
      </c>
    </row>
    <row r="12" spans="1:9" ht="20.149999999999999" customHeight="1" x14ac:dyDescent="0.4">
      <c r="A12" s="24">
        <v>44477</v>
      </c>
      <c r="B12" s="25"/>
      <c r="C12" s="25"/>
      <c r="D12" s="25"/>
      <c r="E12" s="25"/>
      <c r="F12" s="25">
        <f t="shared" si="0"/>
        <v>0</v>
      </c>
    </row>
    <row r="13" spans="1:9" ht="20.149999999999999" customHeight="1" x14ac:dyDescent="0.4">
      <c r="A13" s="26">
        <v>44509</v>
      </c>
      <c r="B13" s="27"/>
      <c r="C13" s="27"/>
      <c r="D13" s="27"/>
      <c r="E13" s="27"/>
      <c r="F13" s="27">
        <f t="shared" si="0"/>
        <v>0</v>
      </c>
    </row>
    <row r="14" spans="1:9" ht="20.149999999999999" customHeight="1" x14ac:dyDescent="0.4">
      <c r="A14" s="24">
        <v>44541</v>
      </c>
      <c r="B14" s="25"/>
      <c r="C14" s="25"/>
      <c r="D14" s="25"/>
      <c r="E14" s="25"/>
      <c r="F14" s="25">
        <f t="shared" si="0"/>
        <v>0</v>
      </c>
    </row>
    <row r="15" spans="1:9" ht="20.149999999999999" customHeight="1" x14ac:dyDescent="0.4">
      <c r="A15" s="26">
        <v>44573</v>
      </c>
      <c r="B15" s="27"/>
      <c r="C15" s="27"/>
      <c r="D15" s="27"/>
      <c r="E15" s="27"/>
      <c r="F15" s="27">
        <f t="shared" si="0"/>
        <v>0</v>
      </c>
    </row>
    <row r="16" spans="1:9" ht="20.149999999999999" customHeight="1" x14ac:dyDescent="0.4">
      <c r="A16" s="24">
        <v>44605</v>
      </c>
      <c r="B16" s="25"/>
      <c r="C16" s="25"/>
      <c r="D16" s="25"/>
      <c r="E16" s="25"/>
      <c r="F16" s="25">
        <f t="shared" si="0"/>
        <v>0</v>
      </c>
    </row>
    <row r="17" spans="1:6" ht="20.149999999999999" customHeight="1" x14ac:dyDescent="0.4">
      <c r="A17" s="26">
        <v>44637</v>
      </c>
      <c r="B17" s="27"/>
      <c r="C17" s="27"/>
      <c r="D17" s="27"/>
      <c r="E17" s="27"/>
      <c r="F17" s="27">
        <f t="shared" si="0"/>
        <v>0</v>
      </c>
    </row>
    <row r="18" spans="1:6" ht="20.149999999999999" customHeight="1" x14ac:dyDescent="0.4">
      <c r="A18" s="24">
        <v>44669</v>
      </c>
      <c r="B18" s="25"/>
      <c r="C18" s="25"/>
      <c r="D18" s="25"/>
      <c r="E18" s="25"/>
      <c r="F18" s="25">
        <f t="shared" si="0"/>
        <v>0</v>
      </c>
    </row>
    <row r="19" spans="1:6" ht="20.149999999999999" customHeight="1" x14ac:dyDescent="0.4">
      <c r="A19" s="26">
        <v>44701</v>
      </c>
      <c r="B19" s="27"/>
      <c r="C19" s="27"/>
      <c r="D19" s="27"/>
      <c r="E19" s="27"/>
      <c r="F19" s="27">
        <f t="shared" si="0"/>
        <v>0</v>
      </c>
    </row>
    <row r="20" spans="1:6" ht="20.149999999999999" customHeight="1" x14ac:dyDescent="0.4">
      <c r="A20" s="24">
        <v>44733</v>
      </c>
      <c r="B20" s="25"/>
      <c r="C20" s="25"/>
      <c r="D20" s="25"/>
      <c r="E20" s="25"/>
      <c r="F20" s="25">
        <f t="shared" si="0"/>
        <v>0</v>
      </c>
    </row>
    <row r="21" spans="1:6" ht="20.149999999999999" customHeight="1" x14ac:dyDescent="0.4">
      <c r="A21" s="26">
        <v>44765</v>
      </c>
      <c r="B21" s="27"/>
      <c r="C21" s="27"/>
      <c r="D21" s="27"/>
      <c r="E21" s="27"/>
      <c r="F21" s="27">
        <f t="shared" si="0"/>
        <v>0</v>
      </c>
    </row>
    <row r="22" spans="1:6" ht="20.149999999999999" customHeight="1" x14ac:dyDescent="0.4">
      <c r="A22" s="24">
        <v>44797</v>
      </c>
      <c r="B22" s="25"/>
      <c r="C22" s="25"/>
      <c r="D22" s="25"/>
      <c r="E22" s="25"/>
      <c r="F22" s="25">
        <f t="shared" si="0"/>
        <v>0</v>
      </c>
    </row>
    <row r="23" spans="1:6" ht="14.5" x14ac:dyDescent="0.4">
      <c r="A23" s="26">
        <v>44829</v>
      </c>
      <c r="B23" s="27"/>
      <c r="C23" s="27"/>
      <c r="D23" s="27"/>
      <c r="E23" s="27"/>
      <c r="F23" s="27">
        <f t="shared" si="0"/>
        <v>0</v>
      </c>
    </row>
    <row r="24" spans="1:6" ht="14.5" x14ac:dyDescent="0.4">
      <c r="A24" s="24">
        <v>44861</v>
      </c>
      <c r="B24" s="25"/>
      <c r="C24" s="25"/>
      <c r="D24" s="25"/>
      <c r="E24" s="25"/>
      <c r="F24" s="25">
        <f t="shared" si="0"/>
        <v>0</v>
      </c>
    </row>
    <row r="25" spans="1:6" ht="14.5" x14ac:dyDescent="0.4">
      <c r="A25" s="26">
        <v>44893</v>
      </c>
      <c r="B25" s="27"/>
      <c r="C25" s="27"/>
      <c r="D25" s="27"/>
      <c r="E25" s="27"/>
      <c r="F25" s="27">
        <f t="shared" si="0"/>
        <v>0</v>
      </c>
    </row>
    <row r="26" spans="1:6" ht="14.5" x14ac:dyDescent="0.4">
      <c r="A26" s="24">
        <v>44925</v>
      </c>
      <c r="B26" s="25"/>
      <c r="C26" s="25"/>
      <c r="D26" s="25"/>
      <c r="E26" s="25"/>
      <c r="F26" s="25">
        <f t="shared" si="0"/>
        <v>0</v>
      </c>
    </row>
    <row r="27" spans="1:6" ht="14.5" x14ac:dyDescent="0.4">
      <c r="A27" s="26">
        <v>44957</v>
      </c>
      <c r="B27" s="27"/>
      <c r="C27" s="27"/>
      <c r="D27" s="27"/>
      <c r="E27" s="27"/>
      <c r="F27" s="27">
        <f t="shared" si="0"/>
        <v>0</v>
      </c>
    </row>
    <row r="28" spans="1:6" ht="14.5" x14ac:dyDescent="0.4">
      <c r="A28" s="24">
        <v>44989</v>
      </c>
      <c r="B28" s="25"/>
      <c r="C28" s="25"/>
      <c r="D28" s="25"/>
      <c r="E28" s="25"/>
      <c r="F28" s="25">
        <f t="shared" si="0"/>
        <v>0</v>
      </c>
    </row>
    <row r="29" spans="1:6" ht="14.5" x14ac:dyDescent="0.4">
      <c r="A29" s="26">
        <v>45021</v>
      </c>
      <c r="B29" s="27"/>
      <c r="C29" s="27"/>
      <c r="D29" s="27"/>
      <c r="E29" s="27"/>
      <c r="F29" s="27">
        <f t="shared" si="0"/>
        <v>0</v>
      </c>
    </row>
    <row r="30" spans="1:6" ht="14.5" x14ac:dyDescent="0.4">
      <c r="A30" s="24">
        <v>45053</v>
      </c>
      <c r="B30" s="25"/>
      <c r="C30" s="25"/>
      <c r="D30" s="25"/>
      <c r="E30" s="25"/>
      <c r="F30" s="25">
        <f t="shared" si="0"/>
        <v>0</v>
      </c>
    </row>
    <row r="31" spans="1:6" ht="14.5" x14ac:dyDescent="0.4">
      <c r="A31" s="26">
        <v>45085</v>
      </c>
      <c r="B31" s="27"/>
      <c r="C31" s="27"/>
      <c r="D31" s="27"/>
      <c r="E31" s="27"/>
      <c r="F31" s="27">
        <f t="shared" si="0"/>
        <v>0</v>
      </c>
    </row>
    <row r="32" spans="1:6" ht="14.5" x14ac:dyDescent="0.4">
      <c r="A32" s="24">
        <v>45117</v>
      </c>
      <c r="B32" s="25"/>
      <c r="C32" s="25"/>
      <c r="D32" s="25"/>
      <c r="E32" s="25"/>
      <c r="F32" s="25">
        <f t="shared" si="0"/>
        <v>0</v>
      </c>
    </row>
    <row r="33" spans="1:6" ht="14.5" x14ac:dyDescent="0.4">
      <c r="A33" s="28" t="s">
        <v>43</v>
      </c>
      <c r="B33" s="29">
        <f>SUM(B8:B32)</f>
        <v>0</v>
      </c>
      <c r="C33" s="29">
        <f t="shared" ref="C33:E33" si="1">SUM(C8:C32)</f>
        <v>0</v>
      </c>
      <c r="D33" s="29">
        <f t="shared" si="1"/>
        <v>0</v>
      </c>
      <c r="E33" s="29">
        <f t="shared" si="1"/>
        <v>948.36</v>
      </c>
      <c r="F33" s="29">
        <f t="shared" ref="F33" si="2">SUM(F8:F32)</f>
        <v>948.36</v>
      </c>
    </row>
    <row r="34" spans="1:6" ht="14.5" x14ac:dyDescent="0.4">
      <c r="A34" s="34" t="s">
        <v>17</v>
      </c>
      <c r="B34" s="36">
        <f>2205*8</f>
        <v>17640</v>
      </c>
      <c r="C34" s="36">
        <v>4410000</v>
      </c>
      <c r="D34" s="39">
        <v>100000</v>
      </c>
      <c r="E34" s="39"/>
      <c r="F34" s="36">
        <f t="shared" si="0"/>
        <v>4510000</v>
      </c>
    </row>
    <row r="35" spans="1:6" ht="14.5" x14ac:dyDescent="0.4">
      <c r="A35" s="35" t="s">
        <v>60</v>
      </c>
      <c r="B35" s="41">
        <f>B33/B34</f>
        <v>0</v>
      </c>
      <c r="C35" s="41">
        <f>C33/C34</f>
        <v>0</v>
      </c>
      <c r="D35" s="38">
        <f t="shared" ref="D35:F35" si="3">D33/D34</f>
        <v>0</v>
      </c>
      <c r="E35" s="38" t="e">
        <f t="shared" si="3"/>
        <v>#DIV/0!</v>
      </c>
      <c r="F35" s="38">
        <f t="shared" si="3"/>
        <v>2.1027937915742793E-4</v>
      </c>
    </row>
    <row r="37" spans="1:6" ht="16.5" x14ac:dyDescent="0.45">
      <c r="A37" s="12" t="s">
        <v>14</v>
      </c>
      <c r="B37" s="11"/>
      <c r="C37" s="11"/>
      <c r="D37" s="11"/>
      <c r="E37" s="13"/>
      <c r="F37" s="13"/>
    </row>
    <row r="38" spans="1:6" ht="14.5" x14ac:dyDescent="0.4">
      <c r="A38" s="62" t="s">
        <v>22</v>
      </c>
      <c r="B38" s="199" t="s">
        <v>23</v>
      </c>
      <c r="C38" s="199"/>
      <c r="D38" s="199"/>
      <c r="E38" s="199"/>
      <c r="F38" s="63" t="s">
        <v>24</v>
      </c>
    </row>
    <row r="39" spans="1:6" x14ac:dyDescent="0.3">
      <c r="A39" s="59"/>
      <c r="B39" s="140"/>
      <c r="C39" s="140"/>
      <c r="D39" s="64"/>
      <c r="E39" s="64"/>
      <c r="F39" s="48"/>
    </row>
    <row r="40" spans="1:6" x14ac:dyDescent="0.3">
      <c r="A40" s="59"/>
      <c r="B40" s="140"/>
      <c r="C40" s="140"/>
      <c r="D40" s="47"/>
      <c r="E40" s="47"/>
      <c r="F40" s="48"/>
    </row>
    <row r="41" spans="1:6" x14ac:dyDescent="0.3">
      <c r="A41" s="59"/>
      <c r="B41" s="140"/>
      <c r="C41" s="140"/>
      <c r="D41" s="47"/>
      <c r="E41" s="47"/>
      <c r="F41" s="48"/>
    </row>
    <row r="42" spans="1:6" x14ac:dyDescent="0.3">
      <c r="A42" s="59"/>
      <c r="B42" s="140"/>
      <c r="C42" s="140"/>
      <c r="D42" s="47"/>
      <c r="E42" s="47"/>
      <c r="F42" s="48"/>
    </row>
    <row r="43" spans="1:6" x14ac:dyDescent="0.3">
      <c r="A43" s="59"/>
      <c r="B43" s="140"/>
      <c r="C43" s="140"/>
      <c r="D43" s="47"/>
      <c r="E43" s="47"/>
      <c r="F43" s="48"/>
    </row>
    <row r="44" spans="1:6" x14ac:dyDescent="0.3">
      <c r="A44" s="59"/>
      <c r="B44" s="140"/>
      <c r="C44" s="140"/>
      <c r="D44" s="47"/>
      <c r="E44" s="47"/>
      <c r="F44" s="48"/>
    </row>
    <row r="45" spans="1:6" x14ac:dyDescent="0.3">
      <c r="A45" s="59"/>
      <c r="B45" s="140"/>
      <c r="C45" s="140"/>
      <c r="D45" s="47"/>
      <c r="E45" s="47"/>
      <c r="F45" s="48"/>
    </row>
    <row r="46" spans="1:6" x14ac:dyDescent="0.3">
      <c r="A46" s="59"/>
      <c r="B46" s="140"/>
      <c r="C46" s="140"/>
      <c r="D46" s="61"/>
      <c r="E46" s="61"/>
      <c r="F46" s="60"/>
    </row>
    <row r="47" spans="1:6" x14ac:dyDescent="0.3">
      <c r="A47" s="59"/>
      <c r="B47" s="140"/>
      <c r="C47" s="140"/>
      <c r="D47" s="47"/>
      <c r="E47" s="47"/>
      <c r="F47" s="60"/>
    </row>
    <row r="48" spans="1:6" ht="14.5" x14ac:dyDescent="0.4">
      <c r="A48" s="30"/>
      <c r="B48" s="140"/>
      <c r="C48" s="140"/>
      <c r="D48" s="47"/>
      <c r="E48" s="47"/>
      <c r="F48" s="31"/>
    </row>
    <row r="49" spans="1:6" ht="14.5" x14ac:dyDescent="0.4">
      <c r="A49" s="57"/>
      <c r="B49" s="199" t="s">
        <v>9</v>
      </c>
      <c r="C49" s="199"/>
      <c r="D49" s="199"/>
      <c r="E49" s="199"/>
      <c r="F49" s="58">
        <f>SUM(F39:F48)</f>
        <v>0</v>
      </c>
    </row>
  </sheetData>
  <mergeCells count="2">
    <mergeCell ref="B38:E38"/>
    <mergeCell ref="B49:E4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C048-FB48-4BD6-8FDC-97C2CA04098B}">
  <sheetPr>
    <tabColor theme="9" tint="0.79998168889431442"/>
  </sheetPr>
  <dimension ref="A1:J41"/>
  <sheetViews>
    <sheetView showGridLines="0" workbookViewId="0">
      <selection activeCell="J1" sqref="J1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4" width="13" customWidth="1"/>
    <col min="5" max="5" width="8.83203125" customWidth="1"/>
    <col min="6" max="6" width="9.58203125" bestFit="1" customWidth="1"/>
    <col min="7" max="7" width="11.58203125" style="139" bestFit="1" customWidth="1"/>
  </cols>
  <sheetData>
    <row r="1" spans="1:10" ht="20.149999999999999" customHeight="1" x14ac:dyDescent="0.45">
      <c r="A1" s="19" t="s">
        <v>0</v>
      </c>
      <c r="B1" s="19"/>
      <c r="C1" s="19"/>
      <c r="D1" s="20" t="s">
        <v>250</v>
      </c>
      <c r="E1" s="10"/>
      <c r="F1" s="43"/>
      <c r="J1" s="32" t="s">
        <v>18</v>
      </c>
    </row>
    <row r="2" spans="1:10" ht="20.149999999999999" customHeight="1" x14ac:dyDescent="0.45">
      <c r="A2" s="19" t="s">
        <v>1</v>
      </c>
      <c r="B2" s="19"/>
      <c r="C2" s="19"/>
      <c r="D2" s="20" t="s">
        <v>249</v>
      </c>
      <c r="E2" s="11"/>
      <c r="F2" s="11"/>
    </row>
    <row r="3" spans="1:10" ht="20.149999999999999" customHeight="1" x14ac:dyDescent="0.45">
      <c r="A3" s="19" t="s">
        <v>2</v>
      </c>
      <c r="B3" s="19"/>
      <c r="C3" s="19"/>
      <c r="D3" s="21" t="s">
        <v>6</v>
      </c>
      <c r="E3" s="11"/>
      <c r="F3" s="11"/>
    </row>
    <row r="4" spans="1:10" ht="20.149999999999999" customHeight="1" x14ac:dyDescent="0.3"/>
    <row r="5" spans="1:10" ht="20.149999999999999" customHeight="1" x14ac:dyDescent="0.3">
      <c r="A5" s="9" t="s">
        <v>10</v>
      </c>
      <c r="B5" s="5"/>
      <c r="C5" s="5"/>
      <c r="D5" s="176">
        <v>320000</v>
      </c>
      <c r="E5" s="4"/>
      <c r="F5" s="4"/>
      <c r="G5" s="6"/>
    </row>
    <row r="6" spans="1:10" ht="20.149999999999999" customHeight="1" x14ac:dyDescent="0.3">
      <c r="A6" s="4"/>
      <c r="B6" s="4"/>
      <c r="C6" s="4"/>
      <c r="D6" s="4"/>
      <c r="E6" s="3"/>
      <c r="F6" s="3"/>
      <c r="G6" s="6"/>
    </row>
    <row r="7" spans="1:10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2" t="s">
        <v>3</v>
      </c>
      <c r="F7" s="22" t="s">
        <v>236</v>
      </c>
      <c r="G7" s="193" t="s">
        <v>12</v>
      </c>
    </row>
    <row r="8" spans="1:10" ht="20.149999999999999" customHeight="1" x14ac:dyDescent="0.4">
      <c r="A8" s="24">
        <v>44410</v>
      </c>
      <c r="B8" s="25"/>
      <c r="C8" s="25"/>
      <c r="D8" s="25"/>
      <c r="E8" s="25"/>
      <c r="F8" s="25">
        <v>1062</v>
      </c>
      <c r="G8" s="45">
        <f>SUM(C8:F8)</f>
        <v>1062</v>
      </c>
    </row>
    <row r="9" spans="1:10" ht="20.149999999999999" customHeight="1" x14ac:dyDescent="0.4">
      <c r="A9" s="26">
        <v>44443</v>
      </c>
      <c r="B9" s="27"/>
      <c r="C9" s="27"/>
      <c r="D9" s="27"/>
      <c r="E9" s="27"/>
      <c r="F9" s="27">
        <v>4822.75</v>
      </c>
      <c r="G9" s="46">
        <f t="shared" ref="G9:G24" si="0">SUM(C9:F9)</f>
        <v>4822.75</v>
      </c>
    </row>
    <row r="10" spans="1:10" ht="20.149999999999999" customHeight="1" x14ac:dyDescent="0.4">
      <c r="A10" s="24">
        <v>44476</v>
      </c>
      <c r="B10" s="25"/>
      <c r="C10" s="25"/>
      <c r="D10" s="25"/>
      <c r="E10" s="25"/>
      <c r="F10" s="25"/>
      <c r="G10" s="45">
        <f t="shared" si="0"/>
        <v>0</v>
      </c>
    </row>
    <row r="11" spans="1:10" ht="20.149999999999999" customHeight="1" x14ac:dyDescent="0.4">
      <c r="A11" s="26">
        <v>44509</v>
      </c>
      <c r="B11" s="27"/>
      <c r="C11" s="27"/>
      <c r="D11" s="27"/>
      <c r="E11" s="27"/>
      <c r="F11" s="27"/>
      <c r="G11" s="46">
        <f t="shared" si="0"/>
        <v>0</v>
      </c>
    </row>
    <row r="12" spans="1:10" ht="20.149999999999999" customHeight="1" x14ac:dyDescent="0.4">
      <c r="A12" s="24">
        <v>44542</v>
      </c>
      <c r="B12" s="25"/>
      <c r="C12" s="25"/>
      <c r="D12" s="25"/>
      <c r="E12" s="25"/>
      <c r="F12" s="25"/>
      <c r="G12" s="45">
        <f t="shared" si="0"/>
        <v>0</v>
      </c>
    </row>
    <row r="13" spans="1:10" ht="20.149999999999999" customHeight="1" x14ac:dyDescent="0.4">
      <c r="A13" s="26">
        <v>44575</v>
      </c>
      <c r="B13" s="27"/>
      <c r="C13" s="27"/>
      <c r="D13" s="27"/>
      <c r="E13" s="27"/>
      <c r="F13" s="27"/>
      <c r="G13" s="46">
        <f t="shared" si="0"/>
        <v>0</v>
      </c>
    </row>
    <row r="14" spans="1:10" ht="20.149999999999999" customHeight="1" x14ac:dyDescent="0.4">
      <c r="A14" s="24">
        <v>44608</v>
      </c>
      <c r="B14" s="25"/>
      <c r="C14" s="25"/>
      <c r="D14" s="25"/>
      <c r="E14" s="25"/>
      <c r="F14" s="25"/>
      <c r="G14" s="45">
        <f t="shared" si="0"/>
        <v>0</v>
      </c>
    </row>
    <row r="15" spans="1:10" ht="20.149999999999999" customHeight="1" x14ac:dyDescent="0.4">
      <c r="A15" s="26">
        <v>44641</v>
      </c>
      <c r="B15" s="27"/>
      <c r="C15" s="27"/>
      <c r="D15" s="27"/>
      <c r="E15" s="27"/>
      <c r="F15" s="27"/>
      <c r="G15" s="46">
        <f t="shared" si="0"/>
        <v>0</v>
      </c>
    </row>
    <row r="16" spans="1:10" ht="20.149999999999999" customHeight="1" x14ac:dyDescent="0.4">
      <c r="A16" s="24">
        <v>44674</v>
      </c>
      <c r="B16" s="25"/>
      <c r="C16" s="25"/>
      <c r="D16" s="25"/>
      <c r="E16" s="25"/>
      <c r="F16" s="25"/>
      <c r="G16" s="45">
        <f t="shared" si="0"/>
        <v>0</v>
      </c>
    </row>
    <row r="17" spans="1:7" ht="20.149999999999999" customHeight="1" x14ac:dyDescent="0.4">
      <c r="A17" s="26">
        <v>44707</v>
      </c>
      <c r="B17" s="27"/>
      <c r="C17" s="27"/>
      <c r="D17" s="27"/>
      <c r="E17" s="27"/>
      <c r="F17" s="27"/>
      <c r="G17" s="46">
        <f t="shared" si="0"/>
        <v>0</v>
      </c>
    </row>
    <row r="18" spans="1:7" ht="20.149999999999999" customHeight="1" x14ac:dyDescent="0.4">
      <c r="A18" s="24">
        <v>44740</v>
      </c>
      <c r="B18" s="25"/>
      <c r="C18" s="25"/>
      <c r="D18" s="25"/>
      <c r="E18" s="25"/>
      <c r="F18" s="25"/>
      <c r="G18" s="45">
        <f t="shared" si="0"/>
        <v>0</v>
      </c>
    </row>
    <row r="19" spans="1:7" ht="20.149999999999999" customHeight="1" x14ac:dyDescent="0.4">
      <c r="A19" s="26">
        <v>44773</v>
      </c>
      <c r="B19" s="27"/>
      <c r="C19" s="27"/>
      <c r="D19" s="27"/>
      <c r="E19" s="27"/>
      <c r="F19" s="27"/>
      <c r="G19" s="46">
        <f t="shared" si="0"/>
        <v>0</v>
      </c>
    </row>
    <row r="20" spans="1:7" ht="20.149999999999999" customHeight="1" x14ac:dyDescent="0.4">
      <c r="A20" s="24">
        <v>44806</v>
      </c>
      <c r="B20" s="25"/>
      <c r="C20" s="25"/>
      <c r="D20" s="25"/>
      <c r="E20" s="25"/>
      <c r="F20" s="25"/>
      <c r="G20" s="45">
        <f t="shared" si="0"/>
        <v>0</v>
      </c>
    </row>
    <row r="21" spans="1:7" ht="20.149999999999999" customHeight="1" x14ac:dyDescent="0.4">
      <c r="A21" s="26">
        <v>44839</v>
      </c>
      <c r="B21" s="27"/>
      <c r="C21" s="27"/>
      <c r="D21" s="27"/>
      <c r="E21" s="27"/>
      <c r="F21" s="27"/>
      <c r="G21" s="46">
        <f t="shared" si="0"/>
        <v>0</v>
      </c>
    </row>
    <row r="22" spans="1:7" ht="20.149999999999999" customHeight="1" x14ac:dyDescent="0.4">
      <c r="A22" s="24">
        <v>44872</v>
      </c>
      <c r="B22" s="25"/>
      <c r="C22" s="25"/>
      <c r="D22" s="25"/>
      <c r="E22" s="25"/>
      <c r="F22" s="25"/>
      <c r="G22" s="45">
        <f t="shared" si="0"/>
        <v>0</v>
      </c>
    </row>
    <row r="23" spans="1:7" ht="14.5" x14ac:dyDescent="0.4">
      <c r="A23" s="26">
        <v>44905</v>
      </c>
      <c r="B23" s="27"/>
      <c r="C23" s="27"/>
      <c r="D23" s="27"/>
      <c r="E23" s="27"/>
      <c r="F23" s="27"/>
      <c r="G23" s="46">
        <f t="shared" si="0"/>
        <v>0</v>
      </c>
    </row>
    <row r="24" spans="1:7" ht="14.5" x14ac:dyDescent="0.4">
      <c r="A24" s="24">
        <v>44938</v>
      </c>
      <c r="B24" s="25"/>
      <c r="C24" s="25"/>
      <c r="D24" s="25"/>
      <c r="E24" s="25"/>
      <c r="F24" s="25"/>
      <c r="G24" s="45">
        <f t="shared" si="0"/>
        <v>0</v>
      </c>
    </row>
    <row r="25" spans="1:7" ht="14.5" x14ac:dyDescent="0.4">
      <c r="A25" s="28" t="s">
        <v>43</v>
      </c>
      <c r="B25" s="29">
        <f>SUM(B8:B24)</f>
        <v>0</v>
      </c>
      <c r="C25" s="29">
        <f t="shared" ref="C25:E25" si="1">SUM(C8:C24)</f>
        <v>0</v>
      </c>
      <c r="D25" s="29">
        <f t="shared" si="1"/>
        <v>0</v>
      </c>
      <c r="E25" s="29">
        <f t="shared" si="1"/>
        <v>0</v>
      </c>
      <c r="F25" s="29">
        <f>SUM(F8:F24)</f>
        <v>5884.75</v>
      </c>
      <c r="G25" s="18">
        <f>SUM(G8:G24)</f>
        <v>5884.75</v>
      </c>
    </row>
    <row r="26" spans="1:7" ht="14.5" x14ac:dyDescent="0.4">
      <c r="A26" s="34" t="s">
        <v>17</v>
      </c>
      <c r="B26" s="36">
        <f>80*8</f>
        <v>640</v>
      </c>
      <c r="C26" s="36">
        <v>120000</v>
      </c>
      <c r="D26" s="39">
        <f>130000+60000</f>
        <v>190000</v>
      </c>
      <c r="E26" s="39">
        <v>10000</v>
      </c>
      <c r="F26" s="39"/>
      <c r="G26" s="194">
        <f>SUM(D26:F26)</f>
        <v>200000</v>
      </c>
    </row>
    <row r="27" spans="1:7" ht="14.5" x14ac:dyDescent="0.4">
      <c r="A27" s="35" t="s">
        <v>60</v>
      </c>
      <c r="B27" s="41">
        <f>B25/B26</f>
        <v>0</v>
      </c>
      <c r="C27" s="41">
        <f t="shared" ref="C27:E27" si="2">C25/C26</f>
        <v>0</v>
      </c>
      <c r="D27" s="41">
        <f t="shared" si="2"/>
        <v>0</v>
      </c>
      <c r="E27" s="41">
        <f t="shared" si="2"/>
        <v>0</v>
      </c>
      <c r="F27" s="38"/>
      <c r="G27" s="196">
        <f t="shared" ref="G27" si="3">G25/G26</f>
        <v>2.9423749999999999E-2</v>
      </c>
    </row>
    <row r="29" spans="1:7" ht="16.5" x14ac:dyDescent="0.45">
      <c r="A29" s="12" t="s">
        <v>14</v>
      </c>
      <c r="B29" s="11"/>
      <c r="C29" s="11"/>
      <c r="D29" s="11"/>
      <c r="E29" s="13"/>
      <c r="F29" s="13"/>
      <c r="G29" s="195"/>
    </row>
    <row r="30" spans="1:7" ht="14.5" x14ac:dyDescent="0.4">
      <c r="A30" s="62" t="s">
        <v>22</v>
      </c>
      <c r="B30" s="199" t="s">
        <v>23</v>
      </c>
      <c r="C30" s="199"/>
      <c r="D30" s="199"/>
      <c r="E30" s="199"/>
      <c r="F30" s="177"/>
      <c r="G30" s="63" t="s">
        <v>24</v>
      </c>
    </row>
    <row r="31" spans="1:7" x14ac:dyDescent="0.3">
      <c r="A31" s="59" t="s">
        <v>274</v>
      </c>
      <c r="B31" s="47" t="s">
        <v>275</v>
      </c>
      <c r="C31" s="192"/>
      <c r="D31" s="191"/>
      <c r="E31" s="191"/>
      <c r="F31" s="191"/>
      <c r="G31" s="168">
        <v>619</v>
      </c>
    </row>
    <row r="32" spans="1:7" x14ac:dyDescent="0.3">
      <c r="A32" s="59" t="s">
        <v>274</v>
      </c>
      <c r="B32" s="47" t="s">
        <v>276</v>
      </c>
      <c r="C32" s="192"/>
      <c r="D32" s="47"/>
      <c r="E32" s="47"/>
      <c r="F32" s="47"/>
      <c r="G32" s="168">
        <v>2196</v>
      </c>
    </row>
    <row r="33" spans="1:7" x14ac:dyDescent="0.3">
      <c r="A33" s="59" t="s">
        <v>274</v>
      </c>
      <c r="B33" s="47" t="s">
        <v>277</v>
      </c>
      <c r="C33" s="192"/>
      <c r="D33" s="47"/>
      <c r="E33" s="47"/>
      <c r="F33" s="47"/>
      <c r="G33" s="168">
        <v>297.19</v>
      </c>
    </row>
    <row r="34" spans="1:7" x14ac:dyDescent="0.3">
      <c r="A34" s="59"/>
      <c r="B34" s="140"/>
      <c r="C34" s="140"/>
      <c r="D34" s="47"/>
      <c r="E34" s="47"/>
      <c r="F34" s="47"/>
      <c r="G34" s="48"/>
    </row>
    <row r="35" spans="1:7" x14ac:dyDescent="0.3">
      <c r="A35" s="59"/>
      <c r="B35" s="140"/>
      <c r="C35" s="140"/>
      <c r="D35" s="47"/>
      <c r="E35" s="47"/>
      <c r="F35" s="47"/>
      <c r="G35" s="48"/>
    </row>
    <row r="36" spans="1:7" x14ac:dyDescent="0.3">
      <c r="A36" s="59"/>
      <c r="B36" s="140"/>
      <c r="C36" s="140"/>
      <c r="D36" s="47"/>
      <c r="E36" s="47"/>
      <c r="F36" s="47"/>
      <c r="G36" s="48"/>
    </row>
    <row r="37" spans="1:7" x14ac:dyDescent="0.3">
      <c r="A37" s="59"/>
      <c r="B37" s="140"/>
      <c r="C37" s="140"/>
      <c r="D37" s="47"/>
      <c r="E37" s="47"/>
      <c r="F37" s="47"/>
      <c r="G37" s="48"/>
    </row>
    <row r="38" spans="1:7" x14ac:dyDescent="0.3">
      <c r="A38" s="59"/>
      <c r="B38" s="140"/>
      <c r="C38" s="140"/>
      <c r="D38" s="61"/>
      <c r="E38" s="61"/>
      <c r="F38" s="61"/>
      <c r="G38" s="60"/>
    </row>
    <row r="39" spans="1:7" x14ac:dyDescent="0.3">
      <c r="A39" s="59"/>
      <c r="B39" s="140"/>
      <c r="C39" s="140"/>
      <c r="D39" s="47"/>
      <c r="E39" s="47"/>
      <c r="F39" s="47"/>
      <c r="G39" s="60"/>
    </row>
    <row r="40" spans="1:7" ht="14.5" x14ac:dyDescent="0.4">
      <c r="A40" s="30"/>
      <c r="B40" s="140"/>
      <c r="C40" s="140"/>
      <c r="D40" s="47"/>
      <c r="E40" s="47"/>
      <c r="F40" s="47"/>
      <c r="G40" s="31"/>
    </row>
    <row r="41" spans="1:7" ht="14.5" x14ac:dyDescent="0.4">
      <c r="A41" s="57"/>
      <c r="B41" s="199" t="s">
        <v>9</v>
      </c>
      <c r="C41" s="199"/>
      <c r="D41" s="199"/>
      <c r="E41" s="199"/>
      <c r="F41" s="177"/>
      <c r="G41" s="58">
        <f>SUM(G31:G40)</f>
        <v>3112.19</v>
      </c>
    </row>
  </sheetData>
  <mergeCells count="2">
    <mergeCell ref="B30:E30"/>
    <mergeCell ref="B41:E41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464B-8152-4F18-A523-ED5008CAFB0C}">
  <sheetPr>
    <tabColor theme="9" tint="0.79998168889431442"/>
  </sheetPr>
  <dimension ref="A1:J54"/>
  <sheetViews>
    <sheetView showGridLines="0" workbookViewId="0">
      <selection activeCell="F10" sqref="F10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4" width="16" customWidth="1"/>
    <col min="5" max="5" width="8" bestFit="1" customWidth="1"/>
    <col min="6" max="6" width="12.75" customWidth="1"/>
    <col min="7" max="7" width="11.58203125" bestFit="1" customWidth="1"/>
  </cols>
  <sheetData>
    <row r="1" spans="1:10" ht="20.149999999999999" customHeight="1" x14ac:dyDescent="0.45">
      <c r="A1" s="19" t="s">
        <v>0</v>
      </c>
      <c r="B1" s="19"/>
      <c r="C1" s="19"/>
      <c r="D1" s="20" t="s">
        <v>252</v>
      </c>
      <c r="E1" s="10"/>
      <c r="F1" s="43"/>
      <c r="J1" s="32" t="s">
        <v>18</v>
      </c>
    </row>
    <row r="2" spans="1:10" ht="20.149999999999999" customHeight="1" x14ac:dyDescent="0.45">
      <c r="A2" s="19" t="s">
        <v>1</v>
      </c>
      <c r="B2" s="19"/>
      <c r="C2" s="19"/>
      <c r="D2" s="20" t="s">
        <v>251</v>
      </c>
      <c r="E2" s="11"/>
      <c r="F2" s="11"/>
    </row>
    <row r="3" spans="1:10" ht="20.149999999999999" customHeight="1" x14ac:dyDescent="0.45">
      <c r="A3" s="19" t="s">
        <v>2</v>
      </c>
      <c r="B3" s="19"/>
      <c r="C3" s="19"/>
      <c r="D3" s="21" t="s">
        <v>6</v>
      </c>
      <c r="E3" s="11"/>
      <c r="F3" s="11"/>
    </row>
    <row r="4" spans="1:10" ht="20.149999999999999" customHeight="1" x14ac:dyDescent="0.3"/>
    <row r="5" spans="1:10" ht="20.149999999999999" customHeight="1" x14ac:dyDescent="0.3">
      <c r="A5" s="9" t="s">
        <v>10</v>
      </c>
      <c r="B5" s="5"/>
      <c r="C5" s="5"/>
      <c r="D5" s="176">
        <v>460000</v>
      </c>
      <c r="E5" s="4"/>
      <c r="F5" s="4"/>
      <c r="G5" s="4"/>
    </row>
    <row r="6" spans="1:10" ht="20.149999999999999" customHeight="1" x14ac:dyDescent="0.3">
      <c r="A6" s="4"/>
      <c r="B6" s="4"/>
      <c r="C6" s="4"/>
      <c r="D6" s="4"/>
      <c r="E6" s="3"/>
      <c r="F6" s="3"/>
      <c r="G6" s="4"/>
    </row>
    <row r="7" spans="1:10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2" t="s">
        <v>3</v>
      </c>
      <c r="F7" s="22" t="s">
        <v>236</v>
      </c>
      <c r="G7" s="23" t="s">
        <v>12</v>
      </c>
    </row>
    <row r="8" spans="1:10" ht="20.149999999999999" customHeight="1" x14ac:dyDescent="0.4">
      <c r="A8" s="24">
        <v>44410</v>
      </c>
      <c r="B8" s="25"/>
      <c r="C8" s="25"/>
      <c r="D8" s="25"/>
      <c r="E8" s="25"/>
      <c r="F8" s="25">
        <v>849.6</v>
      </c>
      <c r="G8" s="25">
        <f>SUM(C8:F8)</f>
        <v>849.6</v>
      </c>
    </row>
    <row r="9" spans="1:10" ht="20.149999999999999" customHeight="1" x14ac:dyDescent="0.4">
      <c r="A9" s="26">
        <v>44443</v>
      </c>
      <c r="B9" s="27"/>
      <c r="C9" s="27"/>
      <c r="D9" s="27"/>
      <c r="E9" s="27"/>
      <c r="F9" s="27">
        <v>2531.94</v>
      </c>
      <c r="G9" s="27">
        <f t="shared" ref="G9:G25" si="0">SUM(C9:F9)</f>
        <v>2531.94</v>
      </c>
    </row>
    <row r="10" spans="1:10" ht="20.149999999999999" customHeight="1" x14ac:dyDescent="0.4">
      <c r="A10" s="24">
        <v>44476</v>
      </c>
      <c r="B10" s="25"/>
      <c r="C10" s="25"/>
      <c r="D10" s="25"/>
      <c r="E10" s="25"/>
      <c r="F10" s="25"/>
      <c r="G10" s="25">
        <f t="shared" si="0"/>
        <v>0</v>
      </c>
    </row>
    <row r="11" spans="1:10" ht="20.149999999999999" customHeight="1" x14ac:dyDescent="0.4">
      <c r="A11" s="26">
        <v>44509</v>
      </c>
      <c r="B11" s="27"/>
      <c r="C11" s="27"/>
      <c r="D11" s="27"/>
      <c r="E11" s="27"/>
      <c r="F11" s="27"/>
      <c r="G11" s="27">
        <f t="shared" si="0"/>
        <v>0</v>
      </c>
    </row>
    <row r="12" spans="1:10" ht="20.149999999999999" customHeight="1" x14ac:dyDescent="0.4">
      <c r="A12" s="24">
        <v>44542</v>
      </c>
      <c r="B12" s="25"/>
      <c r="C12" s="25"/>
      <c r="D12" s="25"/>
      <c r="E12" s="25"/>
      <c r="F12" s="25"/>
      <c r="G12" s="25">
        <f t="shared" si="0"/>
        <v>0</v>
      </c>
    </row>
    <row r="13" spans="1:10" ht="20.149999999999999" customHeight="1" x14ac:dyDescent="0.4">
      <c r="A13" s="26">
        <v>44575</v>
      </c>
      <c r="B13" s="27"/>
      <c r="C13" s="27"/>
      <c r="D13" s="27"/>
      <c r="E13" s="27"/>
      <c r="F13" s="27"/>
      <c r="G13" s="27">
        <f t="shared" si="0"/>
        <v>0</v>
      </c>
    </row>
    <row r="14" spans="1:10" ht="20.149999999999999" customHeight="1" x14ac:dyDescent="0.4">
      <c r="A14" s="24">
        <v>44608</v>
      </c>
      <c r="B14" s="25"/>
      <c r="C14" s="25"/>
      <c r="D14" s="25"/>
      <c r="E14" s="25"/>
      <c r="F14" s="25"/>
      <c r="G14" s="25">
        <f t="shared" si="0"/>
        <v>0</v>
      </c>
    </row>
    <row r="15" spans="1:10" ht="20.149999999999999" customHeight="1" x14ac:dyDescent="0.4">
      <c r="A15" s="26">
        <v>44641</v>
      </c>
      <c r="B15" s="27"/>
      <c r="C15" s="27"/>
      <c r="D15" s="27"/>
      <c r="E15" s="27"/>
      <c r="F15" s="27"/>
      <c r="G15" s="27">
        <f t="shared" si="0"/>
        <v>0</v>
      </c>
    </row>
    <row r="16" spans="1:10" ht="20.149999999999999" customHeight="1" x14ac:dyDescent="0.4">
      <c r="A16" s="24">
        <v>44674</v>
      </c>
      <c r="B16" s="25"/>
      <c r="C16" s="25"/>
      <c r="D16" s="25"/>
      <c r="E16" s="25"/>
      <c r="F16" s="25"/>
      <c r="G16" s="25">
        <f t="shared" si="0"/>
        <v>0</v>
      </c>
    </row>
    <row r="17" spans="1:7" ht="20.149999999999999" customHeight="1" x14ac:dyDescent="0.4">
      <c r="A17" s="26">
        <v>44707</v>
      </c>
      <c r="B17" s="27"/>
      <c r="C17" s="27"/>
      <c r="D17" s="27"/>
      <c r="E17" s="27"/>
      <c r="F17" s="27"/>
      <c r="G17" s="27">
        <f t="shared" si="0"/>
        <v>0</v>
      </c>
    </row>
    <row r="18" spans="1:7" ht="20.149999999999999" customHeight="1" x14ac:dyDescent="0.4">
      <c r="A18" s="24">
        <v>44740</v>
      </c>
      <c r="B18" s="25"/>
      <c r="C18" s="25"/>
      <c r="D18" s="25"/>
      <c r="E18" s="25"/>
      <c r="F18" s="25"/>
      <c r="G18" s="25">
        <f t="shared" si="0"/>
        <v>0</v>
      </c>
    </row>
    <row r="19" spans="1:7" ht="20.149999999999999" customHeight="1" x14ac:dyDescent="0.4">
      <c r="A19" s="26">
        <v>44773</v>
      </c>
      <c r="B19" s="27"/>
      <c r="C19" s="27"/>
      <c r="D19" s="27"/>
      <c r="E19" s="27"/>
      <c r="F19" s="27"/>
      <c r="G19" s="27">
        <f t="shared" si="0"/>
        <v>0</v>
      </c>
    </row>
    <row r="20" spans="1:7" ht="20.149999999999999" customHeight="1" x14ac:dyDescent="0.4">
      <c r="A20" s="24">
        <v>44806</v>
      </c>
      <c r="B20" s="25"/>
      <c r="C20" s="25"/>
      <c r="D20" s="25"/>
      <c r="E20" s="25"/>
      <c r="F20" s="25"/>
      <c r="G20" s="25">
        <f t="shared" si="0"/>
        <v>0</v>
      </c>
    </row>
    <row r="21" spans="1:7" ht="20.149999999999999" customHeight="1" x14ac:dyDescent="0.4">
      <c r="A21" s="26">
        <v>44839</v>
      </c>
      <c r="B21" s="27"/>
      <c r="C21" s="27"/>
      <c r="D21" s="27"/>
      <c r="E21" s="27"/>
      <c r="F21" s="27"/>
      <c r="G21" s="27">
        <f t="shared" si="0"/>
        <v>0</v>
      </c>
    </row>
    <row r="22" spans="1:7" ht="20.149999999999999" customHeight="1" x14ac:dyDescent="0.4">
      <c r="A22" s="24">
        <v>44872</v>
      </c>
      <c r="B22" s="25"/>
      <c r="C22" s="25"/>
      <c r="D22" s="25"/>
      <c r="E22" s="25"/>
      <c r="F22" s="25"/>
      <c r="G22" s="25">
        <f t="shared" si="0"/>
        <v>0</v>
      </c>
    </row>
    <row r="23" spans="1:7" ht="14.5" x14ac:dyDescent="0.4">
      <c r="A23" s="26">
        <v>44905</v>
      </c>
      <c r="B23" s="27"/>
      <c r="C23" s="27"/>
      <c r="D23" s="27"/>
      <c r="E23" s="27"/>
      <c r="F23" s="27"/>
      <c r="G23" s="27">
        <f t="shared" si="0"/>
        <v>0</v>
      </c>
    </row>
    <row r="24" spans="1:7" ht="14.5" x14ac:dyDescent="0.4">
      <c r="A24" s="28" t="s">
        <v>43</v>
      </c>
      <c r="B24" s="29">
        <f>SUM(B8:B23)</f>
        <v>0</v>
      </c>
      <c r="C24" s="29"/>
      <c r="D24" s="29">
        <f>SUM(D8:D23)</f>
        <v>0</v>
      </c>
      <c r="E24" s="29">
        <f>SUM(E8:E23)</f>
        <v>0</v>
      </c>
      <c r="F24" s="29">
        <f>SUM(F8:F23)</f>
        <v>3381.54</v>
      </c>
      <c r="G24" s="29">
        <f>SUM(G8:G23)</f>
        <v>3381.54</v>
      </c>
    </row>
    <row r="25" spans="1:7" ht="14.5" x14ac:dyDescent="0.4">
      <c r="A25" s="34" t="s">
        <v>17</v>
      </c>
      <c r="B25" s="36">
        <f>150*8</f>
        <v>1200</v>
      </c>
      <c r="C25" s="36">
        <v>225000</v>
      </c>
      <c r="D25" s="39">
        <f>150000+75000</f>
        <v>225000</v>
      </c>
      <c r="E25" s="39">
        <v>10000</v>
      </c>
      <c r="F25" s="39"/>
      <c r="G25" s="36">
        <f t="shared" si="0"/>
        <v>460000</v>
      </c>
    </row>
    <row r="26" spans="1:7" ht="14.5" x14ac:dyDescent="0.4">
      <c r="A26" s="35" t="s">
        <v>60</v>
      </c>
      <c r="B26" s="41">
        <f>B24/B25</f>
        <v>0</v>
      </c>
      <c r="C26" s="41">
        <f t="shared" ref="C26:E26" si="1">C24/C25</f>
        <v>0</v>
      </c>
      <c r="D26" s="41">
        <f t="shared" si="1"/>
        <v>0</v>
      </c>
      <c r="E26" s="41">
        <f t="shared" si="1"/>
        <v>0</v>
      </c>
      <c r="F26" s="41"/>
      <c r="G26" s="38">
        <f t="shared" ref="G26" si="2">G24/G25</f>
        <v>7.3511739130434784E-3</v>
      </c>
    </row>
    <row r="28" spans="1:7" ht="16.5" x14ac:dyDescent="0.45">
      <c r="A28" s="12" t="s">
        <v>14</v>
      </c>
      <c r="B28" s="11"/>
      <c r="C28" s="11"/>
      <c r="D28" s="11"/>
      <c r="E28" s="13"/>
      <c r="F28" s="13"/>
      <c r="G28" s="13"/>
    </row>
    <row r="29" spans="1:7" ht="14.5" x14ac:dyDescent="0.4">
      <c r="A29" s="62" t="s">
        <v>22</v>
      </c>
      <c r="B29" s="199" t="s">
        <v>23</v>
      </c>
      <c r="C29" s="199"/>
      <c r="D29" s="199"/>
      <c r="E29" s="199"/>
      <c r="F29" s="177"/>
      <c r="G29" s="63" t="s">
        <v>24</v>
      </c>
    </row>
    <row r="30" spans="1:7" x14ac:dyDescent="0.3">
      <c r="A30" s="59" t="s">
        <v>269</v>
      </c>
      <c r="B30" s="59" t="s">
        <v>278</v>
      </c>
      <c r="D30" s="178"/>
      <c r="E30" s="178"/>
      <c r="F30" s="178"/>
      <c r="G30" s="48">
        <v>575</v>
      </c>
    </row>
    <row r="31" spans="1:7" x14ac:dyDescent="0.3">
      <c r="A31" s="59" t="s">
        <v>269</v>
      </c>
      <c r="B31" s="59" t="s">
        <v>279</v>
      </c>
      <c r="D31" s="178"/>
      <c r="E31" s="178"/>
      <c r="F31" s="178"/>
      <c r="G31" s="48">
        <v>85</v>
      </c>
    </row>
    <row r="32" spans="1:7" x14ac:dyDescent="0.3">
      <c r="A32" s="59" t="s">
        <v>269</v>
      </c>
      <c r="B32" s="59" t="s">
        <v>280</v>
      </c>
      <c r="D32" s="178"/>
      <c r="E32" s="178"/>
      <c r="F32" s="178"/>
      <c r="G32" s="48">
        <v>77</v>
      </c>
    </row>
    <row r="33" spans="1:7" x14ac:dyDescent="0.3">
      <c r="A33" s="59" t="s">
        <v>269</v>
      </c>
      <c r="B33" s="59" t="s">
        <v>281</v>
      </c>
      <c r="D33" s="178"/>
      <c r="E33" s="178"/>
      <c r="F33" s="178"/>
      <c r="G33" s="48">
        <v>557</v>
      </c>
    </row>
    <row r="34" spans="1:7" x14ac:dyDescent="0.3">
      <c r="A34" s="59" t="s">
        <v>274</v>
      </c>
      <c r="B34" s="59" t="s">
        <v>282</v>
      </c>
      <c r="D34" s="178"/>
      <c r="E34" s="178"/>
      <c r="F34" s="178"/>
      <c r="G34" s="48">
        <v>468</v>
      </c>
    </row>
    <row r="35" spans="1:7" x14ac:dyDescent="0.3">
      <c r="A35" s="59" t="s">
        <v>274</v>
      </c>
      <c r="B35" s="59" t="s">
        <v>283</v>
      </c>
      <c r="D35" s="178"/>
      <c r="E35" s="178"/>
      <c r="F35" s="178"/>
      <c r="G35" s="48">
        <v>291</v>
      </c>
    </row>
    <row r="36" spans="1:7" x14ac:dyDescent="0.3">
      <c r="A36" s="59" t="s">
        <v>274</v>
      </c>
      <c r="B36" s="59" t="s">
        <v>284</v>
      </c>
      <c r="D36" s="178"/>
      <c r="E36" s="178"/>
      <c r="F36" s="178"/>
      <c r="G36" s="48">
        <v>240</v>
      </c>
    </row>
    <row r="37" spans="1:7" x14ac:dyDescent="0.3">
      <c r="A37" s="59" t="s">
        <v>269</v>
      </c>
      <c r="B37" s="59" t="s">
        <v>285</v>
      </c>
      <c r="D37" s="178"/>
      <c r="E37" s="178"/>
      <c r="F37" s="178"/>
      <c r="G37" s="48">
        <v>1220</v>
      </c>
    </row>
    <row r="38" spans="1:7" x14ac:dyDescent="0.3">
      <c r="A38" s="59" t="s">
        <v>269</v>
      </c>
      <c r="B38" s="59" t="s">
        <v>286</v>
      </c>
      <c r="D38" s="178"/>
      <c r="E38" s="178"/>
      <c r="F38" s="178"/>
      <c r="G38" s="48">
        <v>1243</v>
      </c>
    </row>
    <row r="39" spans="1:7" x14ac:dyDescent="0.3">
      <c r="A39" s="59" t="s">
        <v>274</v>
      </c>
      <c r="B39" s="59" t="s">
        <v>287</v>
      </c>
      <c r="D39" s="178"/>
      <c r="E39" s="178"/>
      <c r="F39" s="178"/>
      <c r="G39" s="48">
        <v>565</v>
      </c>
    </row>
    <row r="40" spans="1:7" x14ac:dyDescent="0.3">
      <c r="A40" s="59" t="s">
        <v>269</v>
      </c>
      <c r="B40" s="59" t="s">
        <v>288</v>
      </c>
      <c r="D40" s="178"/>
      <c r="E40" s="178"/>
      <c r="F40" s="178"/>
      <c r="G40" s="48">
        <v>498.11</v>
      </c>
    </row>
    <row r="41" spans="1:7" x14ac:dyDescent="0.3">
      <c r="A41" s="59" t="s">
        <v>269</v>
      </c>
      <c r="B41" s="59" t="s">
        <v>289</v>
      </c>
      <c r="D41" s="59"/>
      <c r="E41" s="59"/>
      <c r="F41" s="59"/>
      <c r="G41" s="48">
        <v>950</v>
      </c>
    </row>
    <row r="42" spans="1:7" x14ac:dyDescent="0.3">
      <c r="A42" s="59" t="s">
        <v>274</v>
      </c>
      <c r="B42" s="59" t="s">
        <v>290</v>
      </c>
      <c r="D42" s="59"/>
      <c r="E42" s="59"/>
      <c r="F42" s="59"/>
      <c r="G42" s="48">
        <v>156</v>
      </c>
    </row>
    <row r="43" spans="1:7" x14ac:dyDescent="0.3">
      <c r="A43" s="59" t="s">
        <v>274</v>
      </c>
      <c r="B43" s="59" t="s">
        <v>291</v>
      </c>
      <c r="D43" s="59"/>
      <c r="E43" s="59"/>
      <c r="F43" s="59"/>
      <c r="G43" s="48">
        <v>339</v>
      </c>
    </row>
    <row r="44" spans="1:7" x14ac:dyDescent="0.3">
      <c r="A44" s="59" t="s">
        <v>274</v>
      </c>
      <c r="B44" s="59" t="s">
        <v>292</v>
      </c>
      <c r="D44" s="59"/>
      <c r="E44" s="59"/>
      <c r="F44" s="59"/>
      <c r="G44" s="48">
        <v>414</v>
      </c>
    </row>
    <row r="45" spans="1:7" x14ac:dyDescent="0.3">
      <c r="A45" s="59" t="s">
        <v>274</v>
      </c>
      <c r="B45" s="59" t="s">
        <v>293</v>
      </c>
      <c r="D45" s="59"/>
      <c r="E45" s="59"/>
      <c r="F45" s="59"/>
      <c r="G45" s="48">
        <v>70</v>
      </c>
    </row>
    <row r="46" spans="1:7" x14ac:dyDescent="0.3">
      <c r="A46" s="59" t="s">
        <v>269</v>
      </c>
      <c r="B46" s="59" t="s">
        <v>266</v>
      </c>
      <c r="D46" s="59"/>
      <c r="E46" s="59"/>
      <c r="F46" s="59"/>
      <c r="G46" s="48">
        <v>511.9</v>
      </c>
    </row>
    <row r="47" spans="1:7" x14ac:dyDescent="0.3">
      <c r="A47" s="59" t="s">
        <v>269</v>
      </c>
      <c r="B47" s="59" t="s">
        <v>267</v>
      </c>
      <c r="D47" s="59"/>
      <c r="E47" s="59"/>
      <c r="F47" s="59"/>
      <c r="G47" s="48">
        <v>1448.21</v>
      </c>
    </row>
    <row r="48" spans="1:7" x14ac:dyDescent="0.3">
      <c r="A48" s="59" t="s">
        <v>269</v>
      </c>
      <c r="B48" s="59" t="s">
        <v>268</v>
      </c>
      <c r="D48" s="59"/>
      <c r="E48" s="59"/>
      <c r="F48" s="59"/>
      <c r="G48" s="48">
        <v>17.28</v>
      </c>
    </row>
    <row r="49" spans="1:7" x14ac:dyDescent="0.3">
      <c r="A49" s="59"/>
      <c r="B49" s="59"/>
      <c r="C49" s="59"/>
      <c r="D49" s="59"/>
      <c r="E49" s="59"/>
      <c r="F49" s="59"/>
      <c r="G49" s="48"/>
    </row>
    <row r="50" spans="1:7" x14ac:dyDescent="0.3">
      <c r="A50" s="59"/>
      <c r="B50" s="59"/>
      <c r="C50" s="59"/>
      <c r="D50" s="59"/>
      <c r="E50" s="59"/>
      <c r="F50" s="59"/>
      <c r="G50" s="48"/>
    </row>
    <row r="51" spans="1:7" x14ac:dyDescent="0.3">
      <c r="A51" s="59"/>
      <c r="B51" s="59"/>
      <c r="C51" s="59"/>
      <c r="D51" s="61"/>
      <c r="E51" s="61"/>
      <c r="F51" s="61"/>
      <c r="G51" s="60"/>
    </row>
    <row r="52" spans="1:7" x14ac:dyDescent="0.3">
      <c r="A52" s="59"/>
      <c r="B52" s="140"/>
      <c r="C52" s="140"/>
      <c r="D52" s="47"/>
      <c r="E52" s="47"/>
      <c r="F52" s="47"/>
      <c r="G52" s="60"/>
    </row>
    <row r="53" spans="1:7" ht="14.5" x14ac:dyDescent="0.4">
      <c r="A53" s="30"/>
      <c r="B53" s="140"/>
      <c r="C53" s="140"/>
      <c r="D53" s="47"/>
      <c r="E53" s="47"/>
      <c r="F53" s="47"/>
      <c r="G53" s="31"/>
    </row>
    <row r="54" spans="1:7" ht="14.5" x14ac:dyDescent="0.4">
      <c r="A54" s="57"/>
      <c r="B54" s="199" t="s">
        <v>9</v>
      </c>
      <c r="C54" s="199"/>
      <c r="D54" s="199"/>
      <c r="E54" s="199"/>
      <c r="F54" s="177"/>
      <c r="G54" s="58">
        <f>SUM(G30:G53)</f>
        <v>9725.5000000000018</v>
      </c>
    </row>
  </sheetData>
  <mergeCells count="2">
    <mergeCell ref="B29:E29"/>
    <mergeCell ref="B54:E54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0A11-6FBB-428D-A8F1-6E5EDADE2747}">
  <sheetPr>
    <tabColor theme="9" tint="0.79998168889431442"/>
  </sheetPr>
  <dimension ref="A1:J46"/>
  <sheetViews>
    <sheetView showGridLines="0" workbookViewId="0">
      <selection activeCell="E9" sqref="E9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5" width="16" customWidth="1"/>
    <col min="6" max="6" width="8" bestFit="1" customWidth="1"/>
    <col min="7" max="7" width="11.58203125" bestFit="1" customWidth="1"/>
  </cols>
  <sheetData>
    <row r="1" spans="1:10" ht="20.149999999999999" customHeight="1" x14ac:dyDescent="0.45">
      <c r="A1" s="19" t="s">
        <v>0</v>
      </c>
      <c r="B1" s="19"/>
      <c r="C1" s="19"/>
      <c r="D1" s="20" t="s">
        <v>253</v>
      </c>
      <c r="E1" s="20"/>
      <c r="F1" s="10"/>
      <c r="J1" s="32" t="s">
        <v>18</v>
      </c>
    </row>
    <row r="2" spans="1:10" ht="20.149999999999999" customHeight="1" x14ac:dyDescent="0.45">
      <c r="A2" s="19" t="s">
        <v>1</v>
      </c>
      <c r="B2" s="19"/>
      <c r="C2" s="19"/>
      <c r="D2" s="20" t="s">
        <v>254</v>
      </c>
      <c r="E2" s="189"/>
      <c r="F2" s="11"/>
    </row>
    <row r="3" spans="1:10" ht="20.149999999999999" customHeight="1" x14ac:dyDescent="0.45">
      <c r="A3" s="19" t="s">
        <v>2</v>
      </c>
      <c r="B3" s="19"/>
      <c r="C3" s="19"/>
      <c r="D3" s="21" t="s">
        <v>7</v>
      </c>
      <c r="E3" s="189"/>
      <c r="F3" s="11"/>
    </row>
    <row r="4" spans="1:10" ht="20.149999999999999" customHeight="1" x14ac:dyDescent="0.3"/>
    <row r="5" spans="1:10" ht="20.149999999999999" customHeight="1" x14ac:dyDescent="0.3">
      <c r="A5" s="9" t="s">
        <v>10</v>
      </c>
      <c r="B5" s="5"/>
      <c r="C5" s="5"/>
      <c r="D5" s="176">
        <v>630000</v>
      </c>
      <c r="E5" s="190"/>
      <c r="F5" s="4"/>
      <c r="G5" s="4"/>
    </row>
    <row r="6" spans="1:10" ht="20.149999999999999" customHeight="1" x14ac:dyDescent="0.3">
      <c r="A6" s="4"/>
      <c r="B6" s="4"/>
      <c r="C6" s="4"/>
      <c r="D6" s="4"/>
      <c r="E6" s="4"/>
      <c r="F6" s="3"/>
      <c r="G6" s="4"/>
    </row>
    <row r="7" spans="1:10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3" t="s">
        <v>236</v>
      </c>
      <c r="F7" s="22" t="s">
        <v>3</v>
      </c>
      <c r="G7" s="23" t="s">
        <v>12</v>
      </c>
    </row>
    <row r="8" spans="1:10" ht="20.149999999999999" customHeight="1" x14ac:dyDescent="0.4">
      <c r="A8" s="24">
        <v>44441</v>
      </c>
      <c r="B8" s="25"/>
      <c r="C8" s="25"/>
      <c r="D8" s="25"/>
      <c r="E8" s="25"/>
      <c r="F8" s="25"/>
      <c r="G8" s="25">
        <f>SUM(C8:F8)</f>
        <v>0</v>
      </c>
    </row>
    <row r="9" spans="1:10" ht="20.149999999999999" customHeight="1" x14ac:dyDescent="0.4">
      <c r="A9" s="26">
        <v>44473</v>
      </c>
      <c r="B9" s="27"/>
      <c r="C9" s="27"/>
      <c r="D9" s="27"/>
      <c r="E9" s="27"/>
      <c r="F9" s="27"/>
      <c r="G9" s="27">
        <f t="shared" ref="G9:G23" si="0">SUM(C9:F9)</f>
        <v>0</v>
      </c>
    </row>
    <row r="10" spans="1:10" ht="20.149999999999999" customHeight="1" x14ac:dyDescent="0.4">
      <c r="A10" s="24">
        <v>44505</v>
      </c>
      <c r="B10" s="25"/>
      <c r="C10" s="25"/>
      <c r="D10" s="25"/>
      <c r="E10" s="25"/>
      <c r="F10" s="25"/>
      <c r="G10" s="25">
        <f t="shared" si="0"/>
        <v>0</v>
      </c>
    </row>
    <row r="11" spans="1:10" ht="20.149999999999999" customHeight="1" x14ac:dyDescent="0.4">
      <c r="A11" s="26">
        <v>44537</v>
      </c>
      <c r="B11" s="27"/>
      <c r="C11" s="27"/>
      <c r="D11" s="27"/>
      <c r="E11" s="27"/>
      <c r="F11" s="27"/>
      <c r="G11" s="27">
        <f t="shared" si="0"/>
        <v>0</v>
      </c>
    </row>
    <row r="12" spans="1:10" ht="20.149999999999999" customHeight="1" x14ac:dyDescent="0.4">
      <c r="A12" s="24">
        <v>44569</v>
      </c>
      <c r="B12" s="25"/>
      <c r="C12" s="25"/>
      <c r="D12" s="25"/>
      <c r="E12" s="25"/>
      <c r="F12" s="25"/>
      <c r="G12" s="25">
        <f t="shared" si="0"/>
        <v>0</v>
      </c>
    </row>
    <row r="13" spans="1:10" ht="20.149999999999999" customHeight="1" x14ac:dyDescent="0.4">
      <c r="A13" s="26">
        <v>44601</v>
      </c>
      <c r="B13" s="27"/>
      <c r="C13" s="27"/>
      <c r="D13" s="27"/>
      <c r="E13" s="27"/>
      <c r="F13" s="27"/>
      <c r="G13" s="27">
        <f t="shared" si="0"/>
        <v>0</v>
      </c>
    </row>
    <row r="14" spans="1:10" ht="20.149999999999999" customHeight="1" x14ac:dyDescent="0.4">
      <c r="A14" s="24">
        <v>44633</v>
      </c>
      <c r="B14" s="25"/>
      <c r="C14" s="25"/>
      <c r="D14" s="25"/>
      <c r="E14" s="25"/>
      <c r="F14" s="25"/>
      <c r="G14" s="25">
        <f t="shared" si="0"/>
        <v>0</v>
      </c>
    </row>
    <row r="15" spans="1:10" ht="20.149999999999999" customHeight="1" x14ac:dyDescent="0.4">
      <c r="A15" s="26">
        <v>44665</v>
      </c>
      <c r="B15" s="27"/>
      <c r="C15" s="27"/>
      <c r="D15" s="27"/>
      <c r="E15" s="27"/>
      <c r="F15" s="27"/>
      <c r="G15" s="27">
        <f t="shared" si="0"/>
        <v>0</v>
      </c>
    </row>
    <row r="16" spans="1:10" ht="20.149999999999999" customHeight="1" x14ac:dyDescent="0.4">
      <c r="A16" s="24">
        <v>44697</v>
      </c>
      <c r="B16" s="25"/>
      <c r="C16" s="25"/>
      <c r="D16" s="25"/>
      <c r="E16" s="25"/>
      <c r="F16" s="25"/>
      <c r="G16" s="25">
        <f t="shared" si="0"/>
        <v>0</v>
      </c>
    </row>
    <row r="17" spans="1:7" ht="20.149999999999999" customHeight="1" x14ac:dyDescent="0.4">
      <c r="A17" s="26">
        <v>44729</v>
      </c>
      <c r="B17" s="27"/>
      <c r="C17" s="27"/>
      <c r="D17" s="27"/>
      <c r="E17" s="27"/>
      <c r="F17" s="27"/>
      <c r="G17" s="27">
        <f t="shared" si="0"/>
        <v>0</v>
      </c>
    </row>
    <row r="18" spans="1:7" ht="20.149999999999999" customHeight="1" x14ac:dyDescent="0.4">
      <c r="A18" s="24">
        <v>44761</v>
      </c>
      <c r="B18" s="25"/>
      <c r="C18" s="25"/>
      <c r="D18" s="25"/>
      <c r="E18" s="25"/>
      <c r="F18" s="25"/>
      <c r="G18" s="25">
        <f t="shared" si="0"/>
        <v>0</v>
      </c>
    </row>
    <row r="19" spans="1:7" ht="20.149999999999999" customHeight="1" x14ac:dyDescent="0.4">
      <c r="A19" s="26">
        <v>44793</v>
      </c>
      <c r="B19" s="27"/>
      <c r="C19" s="27"/>
      <c r="D19" s="27"/>
      <c r="E19" s="27"/>
      <c r="F19" s="27"/>
      <c r="G19" s="27">
        <f t="shared" si="0"/>
        <v>0</v>
      </c>
    </row>
    <row r="20" spans="1:7" ht="20.149999999999999" customHeight="1" x14ac:dyDescent="0.4">
      <c r="A20" s="24">
        <v>44825</v>
      </c>
      <c r="B20" s="25"/>
      <c r="C20" s="25"/>
      <c r="D20" s="25"/>
      <c r="E20" s="25"/>
      <c r="F20" s="25"/>
      <c r="G20" s="25">
        <f t="shared" si="0"/>
        <v>0</v>
      </c>
    </row>
    <row r="21" spans="1:7" ht="20.149999999999999" customHeight="1" x14ac:dyDescent="0.4">
      <c r="A21" s="26">
        <v>44857</v>
      </c>
      <c r="B21" s="27"/>
      <c r="C21" s="27"/>
      <c r="D21" s="27"/>
      <c r="E21" s="27"/>
      <c r="F21" s="27"/>
      <c r="G21" s="27">
        <f t="shared" si="0"/>
        <v>0</v>
      </c>
    </row>
    <row r="22" spans="1:7" ht="20.149999999999999" customHeight="1" x14ac:dyDescent="0.4">
      <c r="A22" s="24">
        <v>44889</v>
      </c>
      <c r="B22" s="25"/>
      <c r="C22" s="25"/>
      <c r="D22" s="25"/>
      <c r="E22" s="25"/>
      <c r="F22" s="25"/>
      <c r="G22" s="25">
        <f t="shared" si="0"/>
        <v>0</v>
      </c>
    </row>
    <row r="23" spans="1:7" ht="14.5" x14ac:dyDescent="0.4">
      <c r="A23" s="26">
        <v>44921</v>
      </c>
      <c r="B23" s="27"/>
      <c r="C23" s="27"/>
      <c r="D23" s="27"/>
      <c r="E23" s="27"/>
      <c r="F23" s="27"/>
      <c r="G23" s="27">
        <f t="shared" si="0"/>
        <v>0</v>
      </c>
    </row>
    <row r="24" spans="1:7" ht="14.5" x14ac:dyDescent="0.4">
      <c r="A24" s="28" t="s">
        <v>43</v>
      </c>
      <c r="B24" s="29">
        <f>SUM(B8:B23)</f>
        <v>0</v>
      </c>
      <c r="C24" s="29">
        <f t="shared" ref="C24:F24" si="1">SUM(C8:C23)</f>
        <v>0</v>
      </c>
      <c r="D24" s="29">
        <f t="shared" si="1"/>
        <v>0</v>
      </c>
      <c r="E24" s="29">
        <f t="shared" si="1"/>
        <v>0</v>
      </c>
      <c r="F24" s="29">
        <f t="shared" si="1"/>
        <v>0</v>
      </c>
      <c r="G24" s="29">
        <f>SUM(G8:G23)</f>
        <v>0</v>
      </c>
    </row>
    <row r="25" spans="1:7" ht="14.5" x14ac:dyDescent="0.4">
      <c r="A25" s="34" t="s">
        <v>17</v>
      </c>
      <c r="B25" s="36">
        <f>140*8</f>
        <v>1120</v>
      </c>
      <c r="C25" s="36">
        <v>210000</v>
      </c>
      <c r="D25" s="39">
        <f>300000+50000+60000</f>
        <v>410000</v>
      </c>
      <c r="E25" s="39"/>
      <c r="F25" s="39">
        <v>10000</v>
      </c>
      <c r="G25" s="36">
        <f>SUM(C25:F25)</f>
        <v>630000</v>
      </c>
    </row>
    <row r="26" spans="1:7" ht="14.5" x14ac:dyDescent="0.4">
      <c r="A26" s="35" t="s">
        <v>60</v>
      </c>
      <c r="B26" s="41">
        <f>B24/B25</f>
        <v>0</v>
      </c>
      <c r="C26" s="41">
        <f t="shared" ref="C26:D26" si="2">C24/C25</f>
        <v>0</v>
      </c>
      <c r="D26" s="41">
        <f t="shared" si="2"/>
        <v>0</v>
      </c>
      <c r="E26" s="41"/>
      <c r="F26" s="38">
        <f t="shared" ref="F26:G26" si="3">F24/F25</f>
        <v>0</v>
      </c>
      <c r="G26" s="38">
        <f t="shared" si="3"/>
        <v>0</v>
      </c>
    </row>
    <row r="28" spans="1:7" ht="16.5" x14ac:dyDescent="0.45">
      <c r="A28" s="12" t="s">
        <v>14</v>
      </c>
      <c r="B28" s="11"/>
      <c r="C28" s="11"/>
      <c r="D28" s="11"/>
      <c r="E28" s="11"/>
      <c r="F28" s="13"/>
      <c r="G28" s="13"/>
    </row>
    <row r="29" spans="1:7" ht="14.5" x14ac:dyDescent="0.4">
      <c r="A29" s="62" t="s">
        <v>22</v>
      </c>
      <c r="B29" s="199" t="s">
        <v>23</v>
      </c>
      <c r="C29" s="199"/>
      <c r="D29" s="199"/>
      <c r="E29" s="199"/>
      <c r="F29" s="199"/>
      <c r="G29" s="63" t="s">
        <v>24</v>
      </c>
    </row>
    <row r="30" spans="1:7" x14ac:dyDescent="0.3">
      <c r="A30" s="59" t="s">
        <v>274</v>
      </c>
      <c r="B30" s="47" t="s">
        <v>294</v>
      </c>
      <c r="C30" s="192"/>
      <c r="D30" s="191"/>
      <c r="E30" s="191"/>
      <c r="F30" s="191"/>
      <c r="G30" s="168">
        <v>848.53</v>
      </c>
    </row>
    <row r="31" spans="1:7" x14ac:dyDescent="0.3">
      <c r="A31" s="59" t="s">
        <v>269</v>
      </c>
      <c r="B31" s="47" t="s">
        <v>295</v>
      </c>
      <c r="C31" s="192"/>
      <c r="D31" s="191"/>
      <c r="E31" s="191"/>
      <c r="F31" s="191"/>
      <c r="G31" s="168">
        <v>1050</v>
      </c>
    </row>
    <row r="32" spans="1:7" x14ac:dyDescent="0.3">
      <c r="A32" s="59" t="s">
        <v>274</v>
      </c>
      <c r="B32" s="47" t="s">
        <v>296</v>
      </c>
      <c r="C32" s="192"/>
      <c r="D32" s="191"/>
      <c r="E32" s="191"/>
      <c r="F32" s="191"/>
      <c r="G32" s="168">
        <v>15590</v>
      </c>
    </row>
    <row r="33" spans="1:7" x14ac:dyDescent="0.3">
      <c r="A33" s="59" t="s">
        <v>269</v>
      </c>
      <c r="B33" s="47" t="s">
        <v>297</v>
      </c>
      <c r="C33" s="192"/>
      <c r="D33" s="191"/>
      <c r="E33" s="191"/>
      <c r="F33" s="191"/>
      <c r="G33" s="168">
        <v>13000</v>
      </c>
    </row>
    <row r="34" spans="1:7" x14ac:dyDescent="0.3">
      <c r="A34" s="59" t="s">
        <v>274</v>
      </c>
      <c r="B34" s="47" t="s">
        <v>298</v>
      </c>
      <c r="C34" s="192"/>
      <c r="D34" s="191"/>
      <c r="E34" s="191"/>
      <c r="F34" s="191"/>
      <c r="G34" s="168">
        <v>6631</v>
      </c>
    </row>
    <row r="35" spans="1:7" x14ac:dyDescent="0.3">
      <c r="A35" s="59" t="s">
        <v>274</v>
      </c>
      <c r="B35" s="47" t="s">
        <v>299</v>
      </c>
      <c r="C35" s="192"/>
      <c r="D35" s="191"/>
      <c r="E35" s="191"/>
      <c r="F35" s="191"/>
      <c r="G35" s="168">
        <v>13526.6</v>
      </c>
    </row>
    <row r="36" spans="1:7" x14ac:dyDescent="0.3">
      <c r="A36" s="59" t="s">
        <v>274</v>
      </c>
      <c r="B36" s="47" t="s">
        <v>300</v>
      </c>
      <c r="C36" s="192"/>
      <c r="D36" s="191"/>
      <c r="E36" s="191"/>
      <c r="F36" s="191"/>
      <c r="G36" s="168">
        <v>96.89</v>
      </c>
    </row>
    <row r="37" spans="1:7" x14ac:dyDescent="0.3">
      <c r="A37" s="59" t="s">
        <v>274</v>
      </c>
      <c r="B37" s="47" t="s">
        <v>301</v>
      </c>
      <c r="C37" s="192"/>
      <c r="D37" s="47"/>
      <c r="E37" s="47"/>
      <c r="F37" s="47"/>
      <c r="G37" s="168">
        <v>123.44</v>
      </c>
    </row>
    <row r="38" spans="1:7" x14ac:dyDescent="0.3">
      <c r="A38" s="59" t="s">
        <v>274</v>
      </c>
      <c r="B38" s="47" t="s">
        <v>302</v>
      </c>
      <c r="C38" s="192"/>
      <c r="D38" s="47"/>
      <c r="E38" s="47"/>
      <c r="F38" s="47"/>
      <c r="G38" s="168">
        <v>1820.06</v>
      </c>
    </row>
    <row r="39" spans="1:7" x14ac:dyDescent="0.3">
      <c r="A39" s="59" t="s">
        <v>274</v>
      </c>
      <c r="B39" s="47" t="s">
        <v>303</v>
      </c>
      <c r="C39" s="192"/>
      <c r="D39" s="47"/>
      <c r="E39" s="47"/>
      <c r="F39" s="47"/>
      <c r="G39" s="168">
        <v>615</v>
      </c>
    </row>
    <row r="40" spans="1:7" x14ac:dyDescent="0.3">
      <c r="A40" s="59" t="s">
        <v>269</v>
      </c>
      <c r="B40" s="47" t="s">
        <v>270</v>
      </c>
      <c r="C40" s="192"/>
      <c r="D40" s="47"/>
      <c r="E40" s="47"/>
      <c r="F40" s="47"/>
      <c r="G40" s="168">
        <v>249.91</v>
      </c>
    </row>
    <row r="41" spans="1:7" x14ac:dyDescent="0.3">
      <c r="A41" s="59"/>
      <c r="B41" s="140"/>
      <c r="C41" s="140"/>
      <c r="D41" s="47"/>
      <c r="E41" s="47"/>
      <c r="F41" s="47"/>
      <c r="G41" s="48"/>
    </row>
    <row r="42" spans="1:7" x14ac:dyDescent="0.3">
      <c r="A42" s="59"/>
      <c r="B42" s="140"/>
      <c r="C42" s="140"/>
      <c r="D42" s="47"/>
      <c r="E42" s="47"/>
      <c r="F42" s="47"/>
      <c r="G42" s="48"/>
    </row>
    <row r="43" spans="1:7" x14ac:dyDescent="0.3">
      <c r="A43" s="59"/>
      <c r="B43" s="140"/>
      <c r="C43" s="140"/>
      <c r="D43" s="61"/>
      <c r="E43" s="61"/>
      <c r="F43" s="61"/>
      <c r="G43" s="60"/>
    </row>
    <row r="44" spans="1:7" x14ac:dyDescent="0.3">
      <c r="A44" s="59"/>
      <c r="B44" s="140"/>
      <c r="C44" s="140"/>
      <c r="D44" s="47"/>
      <c r="E44" s="47"/>
      <c r="F44" s="47"/>
      <c r="G44" s="60"/>
    </row>
    <row r="45" spans="1:7" ht="14.5" x14ac:dyDescent="0.4">
      <c r="A45" s="30"/>
      <c r="B45" s="140"/>
      <c r="C45" s="140"/>
      <c r="D45" s="47"/>
      <c r="E45" s="47"/>
      <c r="F45" s="47"/>
      <c r="G45" s="31"/>
    </row>
    <row r="46" spans="1:7" ht="14.5" x14ac:dyDescent="0.4">
      <c r="A46" s="57"/>
      <c r="B46" s="199" t="s">
        <v>9</v>
      </c>
      <c r="C46" s="199"/>
      <c r="D46" s="199"/>
      <c r="E46" s="199"/>
      <c r="F46" s="199"/>
      <c r="G46" s="58">
        <f>SUM(G30:G45)</f>
        <v>53551.43</v>
      </c>
    </row>
  </sheetData>
  <mergeCells count="2">
    <mergeCell ref="B29:F29"/>
    <mergeCell ref="B46:F46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E5EC-DC7B-4EEA-8500-3C7031025A47}">
  <sheetPr>
    <tabColor theme="9" tint="0.79998168889431442"/>
  </sheetPr>
  <dimension ref="A1:I40"/>
  <sheetViews>
    <sheetView workbookViewId="0">
      <selection activeCell="B8" sqref="B8:C10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4" width="16" customWidth="1"/>
    <col min="5" max="5" width="8" bestFit="1" customWidth="1"/>
    <col min="6" max="6" width="12.08203125" bestFit="1" customWidth="1"/>
  </cols>
  <sheetData>
    <row r="1" spans="1:9" ht="20.149999999999999" customHeight="1" x14ac:dyDescent="0.45">
      <c r="A1" s="19" t="s">
        <v>0</v>
      </c>
      <c r="B1" s="19"/>
      <c r="C1" s="19"/>
      <c r="D1" s="20" t="s">
        <v>273</v>
      </c>
      <c r="E1" s="10"/>
      <c r="I1" s="32" t="s">
        <v>18</v>
      </c>
    </row>
    <row r="2" spans="1:9" ht="20.149999999999999" customHeight="1" x14ac:dyDescent="0.45">
      <c r="A2" s="19" t="s">
        <v>1</v>
      </c>
      <c r="B2" s="19"/>
      <c r="C2" s="19"/>
      <c r="D2" s="20" t="s">
        <v>272</v>
      </c>
      <c r="E2" s="11"/>
    </row>
    <row r="3" spans="1:9" ht="20.149999999999999" customHeight="1" x14ac:dyDescent="0.45">
      <c r="A3" s="19" t="s">
        <v>2</v>
      </c>
      <c r="B3" s="19"/>
      <c r="C3" s="19"/>
      <c r="D3" s="21" t="s">
        <v>227</v>
      </c>
      <c r="E3" s="11"/>
    </row>
    <row r="4" spans="1:9" ht="20.149999999999999" customHeight="1" x14ac:dyDescent="0.3"/>
    <row r="5" spans="1:9" ht="20.149999999999999" customHeight="1" x14ac:dyDescent="0.3">
      <c r="A5" s="9" t="s">
        <v>10</v>
      </c>
      <c r="B5" s="5"/>
      <c r="C5" s="5"/>
      <c r="D5" s="180"/>
      <c r="E5" s="4"/>
      <c r="F5" s="4"/>
    </row>
    <row r="6" spans="1:9" ht="20.149999999999999" customHeight="1" x14ac:dyDescent="0.3">
      <c r="A6" s="4"/>
      <c r="B6" s="4"/>
      <c r="C6" s="4"/>
      <c r="D6" s="4"/>
      <c r="E6" s="3"/>
      <c r="F6" s="4"/>
    </row>
    <row r="7" spans="1:9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2" t="s">
        <v>3</v>
      </c>
      <c r="F7" s="23" t="s">
        <v>12</v>
      </c>
    </row>
    <row r="8" spans="1:9" ht="20.149999999999999" customHeight="1" x14ac:dyDescent="0.4">
      <c r="A8" s="24">
        <v>44441</v>
      </c>
      <c r="B8" s="25"/>
      <c r="C8" s="25"/>
      <c r="D8" s="25"/>
      <c r="E8" s="25"/>
      <c r="F8" s="25">
        <f>SUM(C8:E8)</f>
        <v>0</v>
      </c>
    </row>
    <row r="9" spans="1:9" ht="20.149999999999999" customHeight="1" x14ac:dyDescent="0.4">
      <c r="A9" s="26">
        <v>44473</v>
      </c>
      <c r="B9" s="27"/>
      <c r="C9" s="27"/>
      <c r="D9" s="27"/>
      <c r="E9" s="27"/>
      <c r="F9" s="27">
        <f t="shared" ref="F9:F23" si="0">SUM(C9:E9)</f>
        <v>0</v>
      </c>
    </row>
    <row r="10" spans="1:9" ht="20.149999999999999" customHeight="1" x14ac:dyDescent="0.4">
      <c r="A10" s="24">
        <v>44505</v>
      </c>
      <c r="B10" s="25"/>
      <c r="C10" s="25"/>
      <c r="D10" s="25"/>
      <c r="E10" s="25"/>
      <c r="F10" s="25">
        <f t="shared" si="0"/>
        <v>0</v>
      </c>
    </row>
    <row r="11" spans="1:9" ht="20.149999999999999" customHeight="1" x14ac:dyDescent="0.4">
      <c r="A11" s="26">
        <v>44537</v>
      </c>
      <c r="B11" s="27"/>
      <c r="C11" s="27"/>
      <c r="D11" s="27"/>
      <c r="E11" s="27"/>
      <c r="F11" s="27">
        <f t="shared" si="0"/>
        <v>0</v>
      </c>
    </row>
    <row r="12" spans="1:9" ht="20.149999999999999" customHeight="1" x14ac:dyDescent="0.4">
      <c r="A12" s="24">
        <v>44569</v>
      </c>
      <c r="B12" s="25"/>
      <c r="C12" s="25"/>
      <c r="D12" s="25"/>
      <c r="E12" s="25"/>
      <c r="F12" s="25">
        <f t="shared" si="0"/>
        <v>0</v>
      </c>
    </row>
    <row r="13" spans="1:9" ht="20.149999999999999" customHeight="1" x14ac:dyDescent="0.4">
      <c r="A13" s="26">
        <v>44601</v>
      </c>
      <c r="B13" s="27"/>
      <c r="C13" s="27"/>
      <c r="D13" s="27"/>
      <c r="E13" s="27"/>
      <c r="F13" s="27">
        <f t="shared" si="0"/>
        <v>0</v>
      </c>
    </row>
    <row r="14" spans="1:9" ht="20.149999999999999" customHeight="1" x14ac:dyDescent="0.4">
      <c r="A14" s="24">
        <v>44633</v>
      </c>
      <c r="B14" s="25"/>
      <c r="C14" s="25"/>
      <c r="D14" s="25"/>
      <c r="E14" s="25"/>
      <c r="F14" s="25">
        <f t="shared" si="0"/>
        <v>0</v>
      </c>
    </row>
    <row r="15" spans="1:9" ht="20.149999999999999" customHeight="1" x14ac:dyDescent="0.4">
      <c r="A15" s="26">
        <v>44665</v>
      </c>
      <c r="B15" s="27"/>
      <c r="C15" s="27"/>
      <c r="D15" s="27"/>
      <c r="E15" s="27"/>
      <c r="F15" s="27">
        <f t="shared" si="0"/>
        <v>0</v>
      </c>
    </row>
    <row r="16" spans="1:9" ht="20.149999999999999" customHeight="1" x14ac:dyDescent="0.4">
      <c r="A16" s="24">
        <v>44697</v>
      </c>
      <c r="B16" s="25"/>
      <c r="C16" s="25"/>
      <c r="D16" s="25"/>
      <c r="E16" s="25"/>
      <c r="F16" s="25">
        <f t="shared" si="0"/>
        <v>0</v>
      </c>
    </row>
    <row r="17" spans="1:6" ht="20.149999999999999" customHeight="1" x14ac:dyDescent="0.4">
      <c r="A17" s="26">
        <v>44729</v>
      </c>
      <c r="B17" s="27"/>
      <c r="C17" s="27"/>
      <c r="D17" s="27"/>
      <c r="E17" s="27"/>
      <c r="F17" s="27">
        <f t="shared" si="0"/>
        <v>0</v>
      </c>
    </row>
    <row r="18" spans="1:6" ht="20.149999999999999" customHeight="1" x14ac:dyDescent="0.4">
      <c r="A18" s="24">
        <v>44761</v>
      </c>
      <c r="B18" s="25"/>
      <c r="C18" s="25"/>
      <c r="D18" s="25"/>
      <c r="E18" s="25"/>
      <c r="F18" s="25">
        <f t="shared" si="0"/>
        <v>0</v>
      </c>
    </row>
    <row r="19" spans="1:6" ht="20.149999999999999" customHeight="1" x14ac:dyDescent="0.4">
      <c r="A19" s="26">
        <v>44793</v>
      </c>
      <c r="B19" s="27"/>
      <c r="C19" s="27"/>
      <c r="D19" s="27"/>
      <c r="E19" s="27"/>
      <c r="F19" s="27">
        <f t="shared" si="0"/>
        <v>0</v>
      </c>
    </row>
    <row r="20" spans="1:6" ht="20.149999999999999" customHeight="1" x14ac:dyDescent="0.4">
      <c r="A20" s="24">
        <v>44825</v>
      </c>
      <c r="B20" s="25"/>
      <c r="C20" s="25"/>
      <c r="D20" s="25"/>
      <c r="E20" s="25"/>
      <c r="F20" s="25">
        <f t="shared" si="0"/>
        <v>0</v>
      </c>
    </row>
    <row r="21" spans="1:6" ht="20.149999999999999" customHeight="1" x14ac:dyDescent="0.4">
      <c r="A21" s="26">
        <v>44857</v>
      </c>
      <c r="B21" s="27"/>
      <c r="C21" s="27"/>
      <c r="D21" s="27"/>
      <c r="E21" s="27"/>
      <c r="F21" s="27">
        <f t="shared" si="0"/>
        <v>0</v>
      </c>
    </row>
    <row r="22" spans="1:6" ht="20.149999999999999" customHeight="1" x14ac:dyDescent="0.4">
      <c r="A22" s="24">
        <v>44889</v>
      </c>
      <c r="B22" s="25"/>
      <c r="C22" s="25"/>
      <c r="D22" s="25"/>
      <c r="E22" s="25"/>
      <c r="F22" s="25">
        <f t="shared" si="0"/>
        <v>0</v>
      </c>
    </row>
    <row r="23" spans="1:6" ht="14.5" x14ac:dyDescent="0.4">
      <c r="A23" s="26">
        <v>44921</v>
      </c>
      <c r="B23" s="27"/>
      <c r="C23" s="27"/>
      <c r="D23" s="27"/>
      <c r="E23" s="27"/>
      <c r="F23" s="27">
        <f t="shared" si="0"/>
        <v>0</v>
      </c>
    </row>
    <row r="24" spans="1:6" ht="14.5" x14ac:dyDescent="0.4">
      <c r="A24" s="28" t="s">
        <v>43</v>
      </c>
      <c r="B24" s="29">
        <f>SUM(B8:B23)</f>
        <v>0</v>
      </c>
      <c r="C24" s="29">
        <f t="shared" ref="C24:F24" si="1">SUM(C8:C23)</f>
        <v>0</v>
      </c>
      <c r="D24" s="29">
        <f t="shared" si="1"/>
        <v>0</v>
      </c>
      <c r="E24" s="29">
        <f t="shared" si="1"/>
        <v>0</v>
      </c>
      <c r="F24" s="29">
        <f t="shared" si="1"/>
        <v>0</v>
      </c>
    </row>
    <row r="25" spans="1:6" ht="14.5" x14ac:dyDescent="0.4">
      <c r="A25" s="34" t="s">
        <v>17</v>
      </c>
      <c r="B25" s="36">
        <f>490*8</f>
        <v>3920</v>
      </c>
      <c r="C25" s="36">
        <v>980000</v>
      </c>
      <c r="D25" s="39">
        <v>1150000</v>
      </c>
      <c r="E25" s="39"/>
      <c r="F25" s="36">
        <f>SUM(C25:E25)</f>
        <v>2130000</v>
      </c>
    </row>
    <row r="26" spans="1:6" ht="14.5" x14ac:dyDescent="0.4">
      <c r="A26" s="35" t="s">
        <v>60</v>
      </c>
      <c r="B26" s="41">
        <f>B24/B25</f>
        <v>0</v>
      </c>
      <c r="C26" s="41">
        <f t="shared" ref="C26:D26" si="2">C24/C25</f>
        <v>0</v>
      </c>
      <c r="D26" s="41">
        <f t="shared" si="2"/>
        <v>0</v>
      </c>
      <c r="E26" s="38"/>
      <c r="F26" s="38">
        <f t="shared" ref="F26" si="3">F24/F25</f>
        <v>0</v>
      </c>
    </row>
    <row r="28" spans="1:6" ht="16.5" x14ac:dyDescent="0.45">
      <c r="A28" s="12" t="s">
        <v>14</v>
      </c>
      <c r="B28" s="11"/>
      <c r="C28" s="11"/>
      <c r="D28" s="11"/>
      <c r="E28" s="13"/>
      <c r="F28" s="13"/>
    </row>
    <row r="29" spans="1:6" ht="14.5" x14ac:dyDescent="0.4">
      <c r="A29" s="62" t="s">
        <v>22</v>
      </c>
      <c r="B29" s="199" t="s">
        <v>23</v>
      </c>
      <c r="C29" s="199"/>
      <c r="D29" s="199"/>
      <c r="E29" s="199"/>
      <c r="F29" s="63" t="s">
        <v>24</v>
      </c>
    </row>
    <row r="30" spans="1:6" x14ac:dyDescent="0.3">
      <c r="A30" s="59"/>
      <c r="B30" s="140"/>
      <c r="C30" s="140"/>
      <c r="D30" s="179"/>
      <c r="E30" s="179"/>
      <c r="F30" s="48"/>
    </row>
    <row r="31" spans="1:6" x14ac:dyDescent="0.3">
      <c r="A31" s="59"/>
      <c r="B31" s="140"/>
      <c r="C31" s="140"/>
      <c r="D31" s="47"/>
      <c r="E31" s="47"/>
      <c r="F31" s="48"/>
    </row>
    <row r="32" spans="1:6" x14ac:dyDescent="0.3">
      <c r="A32" s="59"/>
      <c r="B32" s="140"/>
      <c r="C32" s="140"/>
      <c r="D32" s="47"/>
      <c r="E32" s="47"/>
      <c r="F32" s="48"/>
    </row>
    <row r="33" spans="1:6" x14ac:dyDescent="0.3">
      <c r="A33" s="59"/>
      <c r="B33" s="140"/>
      <c r="C33" s="140"/>
      <c r="D33" s="47"/>
      <c r="E33" s="47"/>
      <c r="F33" s="48"/>
    </row>
    <row r="34" spans="1:6" x14ac:dyDescent="0.3">
      <c r="A34" s="59"/>
      <c r="B34" s="140"/>
      <c r="C34" s="140"/>
      <c r="D34" s="47"/>
      <c r="E34" s="47"/>
      <c r="F34" s="48"/>
    </row>
    <row r="35" spans="1:6" x14ac:dyDescent="0.3">
      <c r="A35" s="59"/>
      <c r="B35" s="140"/>
      <c r="C35" s="140"/>
      <c r="D35" s="47"/>
      <c r="E35" s="47"/>
      <c r="F35" s="48"/>
    </row>
    <row r="36" spans="1:6" x14ac:dyDescent="0.3">
      <c r="A36" s="59"/>
      <c r="B36" s="140"/>
      <c r="C36" s="140"/>
      <c r="D36" s="47"/>
      <c r="E36" s="47"/>
      <c r="F36" s="48"/>
    </row>
    <row r="37" spans="1:6" x14ac:dyDescent="0.3">
      <c r="A37" s="59"/>
      <c r="B37" s="140"/>
      <c r="C37" s="140"/>
      <c r="D37" s="61"/>
      <c r="E37" s="61"/>
      <c r="F37" s="60"/>
    </row>
    <row r="38" spans="1:6" x14ac:dyDescent="0.3">
      <c r="A38" s="59"/>
      <c r="B38" s="140"/>
      <c r="C38" s="140"/>
      <c r="D38" s="47"/>
      <c r="E38" s="47"/>
      <c r="F38" s="60"/>
    </row>
    <row r="39" spans="1:6" ht="14.5" x14ac:dyDescent="0.4">
      <c r="A39" s="30"/>
      <c r="B39" s="140"/>
      <c r="C39" s="140"/>
      <c r="D39" s="47"/>
      <c r="E39" s="47"/>
      <c r="F39" s="31"/>
    </row>
    <row r="40" spans="1:6" ht="14.5" x14ac:dyDescent="0.4">
      <c r="A40" s="57"/>
      <c r="B40" s="199" t="s">
        <v>9</v>
      </c>
      <c r="C40" s="199"/>
      <c r="D40" s="199"/>
      <c r="E40" s="199"/>
      <c r="F40" s="58">
        <f>SUM(F30:F39)</f>
        <v>0</v>
      </c>
    </row>
  </sheetData>
  <mergeCells count="2">
    <mergeCell ref="B29:E29"/>
    <mergeCell ref="B40:E40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04A1-F8E2-47B8-A11F-16CB6660BE95}">
  <sheetPr>
    <tabColor theme="9" tint="0.79998168889431442"/>
  </sheetPr>
  <dimension ref="A1:J40"/>
  <sheetViews>
    <sheetView showGridLines="0" workbookViewId="0">
      <selection activeCell="E9" sqref="E9"/>
    </sheetView>
  </sheetViews>
  <sheetFormatPr defaultRowHeight="14" x14ac:dyDescent="0.3"/>
  <cols>
    <col min="1" max="1" width="10.33203125" customWidth="1"/>
    <col min="2" max="2" width="10.5" bestFit="1" customWidth="1"/>
    <col min="3" max="3" width="10.5" customWidth="1"/>
    <col min="4" max="5" width="16" customWidth="1"/>
    <col min="6" max="6" width="8" bestFit="1" customWidth="1"/>
    <col min="7" max="7" width="12.08203125" bestFit="1" customWidth="1"/>
  </cols>
  <sheetData>
    <row r="1" spans="1:10" ht="20.149999999999999" customHeight="1" x14ac:dyDescent="0.45">
      <c r="A1" s="19" t="s">
        <v>0</v>
      </c>
      <c r="B1" s="19"/>
      <c r="C1" s="19"/>
      <c r="D1" s="20" t="s">
        <v>257</v>
      </c>
      <c r="E1" s="20"/>
      <c r="F1" s="10"/>
      <c r="J1" s="32" t="s">
        <v>18</v>
      </c>
    </row>
    <row r="2" spans="1:10" ht="20.149999999999999" customHeight="1" x14ac:dyDescent="0.45">
      <c r="A2" s="19" t="s">
        <v>1</v>
      </c>
      <c r="B2" s="19"/>
      <c r="C2" s="19"/>
      <c r="D2" s="20" t="s">
        <v>255</v>
      </c>
      <c r="E2" s="189"/>
      <c r="F2" s="11"/>
    </row>
    <row r="3" spans="1:10" ht="20.149999999999999" customHeight="1" x14ac:dyDescent="0.45">
      <c r="A3" s="19" t="s">
        <v>2</v>
      </c>
      <c r="B3" s="19"/>
      <c r="C3" s="19"/>
      <c r="D3" s="21" t="s">
        <v>256</v>
      </c>
      <c r="E3" s="189"/>
      <c r="F3" s="11"/>
    </row>
    <row r="4" spans="1:10" ht="20.149999999999999" customHeight="1" x14ac:dyDescent="0.3"/>
    <row r="5" spans="1:10" ht="20.149999999999999" customHeight="1" x14ac:dyDescent="0.3">
      <c r="A5" s="9" t="s">
        <v>10</v>
      </c>
      <c r="B5" s="5"/>
      <c r="C5" s="5"/>
      <c r="D5" s="176">
        <v>2130000</v>
      </c>
      <c r="E5" s="190"/>
      <c r="F5" s="4"/>
      <c r="G5" s="4"/>
    </row>
    <row r="6" spans="1:10" ht="20.149999999999999" customHeight="1" x14ac:dyDescent="0.3">
      <c r="A6" s="4"/>
      <c r="B6" s="4"/>
      <c r="C6" s="4"/>
      <c r="D6" s="4"/>
      <c r="E6" s="4"/>
      <c r="F6" s="3"/>
      <c r="G6" s="4"/>
    </row>
    <row r="7" spans="1:10" ht="20.149999999999999" customHeight="1" x14ac:dyDescent="0.3">
      <c r="A7" s="22" t="s">
        <v>13</v>
      </c>
      <c r="B7" s="22" t="s">
        <v>11</v>
      </c>
      <c r="C7" s="22" t="s">
        <v>55</v>
      </c>
      <c r="D7" s="23" t="s">
        <v>4</v>
      </c>
      <c r="E7" s="23" t="s">
        <v>236</v>
      </c>
      <c r="F7" s="22" t="s">
        <v>3</v>
      </c>
      <c r="G7" s="23" t="s">
        <v>12</v>
      </c>
    </row>
    <row r="8" spans="1:10" ht="20.149999999999999" customHeight="1" x14ac:dyDescent="0.4">
      <c r="A8" s="24">
        <v>44441</v>
      </c>
      <c r="B8" s="25"/>
      <c r="C8" s="25"/>
      <c r="D8" s="25"/>
      <c r="E8" s="25"/>
      <c r="F8" s="25"/>
      <c r="G8" s="25">
        <f>SUM(C8:F8)</f>
        <v>0</v>
      </c>
    </row>
    <row r="9" spans="1:10" ht="20.149999999999999" customHeight="1" x14ac:dyDescent="0.4">
      <c r="A9" s="26">
        <v>44473</v>
      </c>
      <c r="B9" s="27"/>
      <c r="C9" s="27"/>
      <c r="D9" s="27"/>
      <c r="E9" s="27"/>
      <c r="F9" s="27"/>
      <c r="G9" s="27">
        <f t="shared" ref="G9:G23" si="0">SUM(C9:F9)</f>
        <v>0</v>
      </c>
    </row>
    <row r="10" spans="1:10" ht="20.149999999999999" customHeight="1" x14ac:dyDescent="0.4">
      <c r="A10" s="24">
        <v>44505</v>
      </c>
      <c r="B10" s="25"/>
      <c r="C10" s="25"/>
      <c r="D10" s="25"/>
      <c r="E10" s="25"/>
      <c r="F10" s="25"/>
      <c r="G10" s="25">
        <f t="shared" si="0"/>
        <v>0</v>
      </c>
    </row>
    <row r="11" spans="1:10" ht="20.149999999999999" customHeight="1" x14ac:dyDescent="0.4">
      <c r="A11" s="26">
        <v>44537</v>
      </c>
      <c r="B11" s="27"/>
      <c r="C11" s="27"/>
      <c r="D11" s="27"/>
      <c r="E11" s="27"/>
      <c r="F11" s="27"/>
      <c r="G11" s="27">
        <f t="shared" si="0"/>
        <v>0</v>
      </c>
    </row>
    <row r="12" spans="1:10" ht="20.149999999999999" customHeight="1" x14ac:dyDescent="0.4">
      <c r="A12" s="24">
        <v>44569</v>
      </c>
      <c r="B12" s="25"/>
      <c r="C12" s="25"/>
      <c r="D12" s="25"/>
      <c r="E12" s="25"/>
      <c r="F12" s="25"/>
      <c r="G12" s="25">
        <f t="shared" si="0"/>
        <v>0</v>
      </c>
    </row>
    <row r="13" spans="1:10" ht="20.149999999999999" customHeight="1" x14ac:dyDescent="0.4">
      <c r="A13" s="26">
        <v>44601</v>
      </c>
      <c r="B13" s="27"/>
      <c r="C13" s="27"/>
      <c r="D13" s="27"/>
      <c r="E13" s="27"/>
      <c r="F13" s="27"/>
      <c r="G13" s="27">
        <f t="shared" si="0"/>
        <v>0</v>
      </c>
    </row>
    <row r="14" spans="1:10" ht="20.149999999999999" customHeight="1" x14ac:dyDescent="0.4">
      <c r="A14" s="24">
        <v>44633</v>
      </c>
      <c r="B14" s="25"/>
      <c r="C14" s="25"/>
      <c r="D14" s="25"/>
      <c r="E14" s="25"/>
      <c r="F14" s="25"/>
      <c r="G14" s="25">
        <f t="shared" si="0"/>
        <v>0</v>
      </c>
    </row>
    <row r="15" spans="1:10" ht="20.149999999999999" customHeight="1" x14ac:dyDescent="0.4">
      <c r="A15" s="26">
        <v>44665</v>
      </c>
      <c r="B15" s="27"/>
      <c r="C15" s="27"/>
      <c r="D15" s="27"/>
      <c r="E15" s="27"/>
      <c r="F15" s="27"/>
      <c r="G15" s="27">
        <f t="shared" si="0"/>
        <v>0</v>
      </c>
    </row>
    <row r="16" spans="1:10" ht="20.149999999999999" customHeight="1" x14ac:dyDescent="0.4">
      <c r="A16" s="24">
        <v>44697</v>
      </c>
      <c r="B16" s="25"/>
      <c r="C16" s="25"/>
      <c r="D16" s="25"/>
      <c r="E16" s="25"/>
      <c r="F16" s="25"/>
      <c r="G16" s="25">
        <f t="shared" si="0"/>
        <v>0</v>
      </c>
    </row>
    <row r="17" spans="1:7" ht="20.149999999999999" customHeight="1" x14ac:dyDescent="0.4">
      <c r="A17" s="26">
        <v>44729</v>
      </c>
      <c r="B17" s="27"/>
      <c r="C17" s="27"/>
      <c r="D17" s="27"/>
      <c r="E17" s="27"/>
      <c r="F17" s="27"/>
      <c r="G17" s="27">
        <f t="shared" si="0"/>
        <v>0</v>
      </c>
    </row>
    <row r="18" spans="1:7" ht="20.149999999999999" customHeight="1" x14ac:dyDescent="0.4">
      <c r="A18" s="24">
        <v>44761</v>
      </c>
      <c r="B18" s="25"/>
      <c r="C18" s="25"/>
      <c r="D18" s="25"/>
      <c r="E18" s="25"/>
      <c r="F18" s="25"/>
      <c r="G18" s="25">
        <f t="shared" si="0"/>
        <v>0</v>
      </c>
    </row>
    <row r="19" spans="1:7" ht="20.149999999999999" customHeight="1" x14ac:dyDescent="0.4">
      <c r="A19" s="26">
        <v>44793</v>
      </c>
      <c r="B19" s="27"/>
      <c r="C19" s="27"/>
      <c r="D19" s="27"/>
      <c r="E19" s="27"/>
      <c r="F19" s="27"/>
      <c r="G19" s="27">
        <f t="shared" si="0"/>
        <v>0</v>
      </c>
    </row>
    <row r="20" spans="1:7" ht="20.149999999999999" customHeight="1" x14ac:dyDescent="0.4">
      <c r="A20" s="24">
        <v>44825</v>
      </c>
      <c r="B20" s="25"/>
      <c r="C20" s="25"/>
      <c r="D20" s="25"/>
      <c r="E20" s="25"/>
      <c r="F20" s="25"/>
      <c r="G20" s="25">
        <f t="shared" si="0"/>
        <v>0</v>
      </c>
    </row>
    <row r="21" spans="1:7" ht="20.149999999999999" customHeight="1" x14ac:dyDescent="0.4">
      <c r="A21" s="26">
        <v>44857</v>
      </c>
      <c r="B21" s="27"/>
      <c r="C21" s="27"/>
      <c r="D21" s="27"/>
      <c r="E21" s="27"/>
      <c r="F21" s="27"/>
      <c r="G21" s="27">
        <f t="shared" si="0"/>
        <v>0</v>
      </c>
    </row>
    <row r="22" spans="1:7" ht="20.149999999999999" customHeight="1" x14ac:dyDescent="0.4">
      <c r="A22" s="24">
        <v>44889</v>
      </c>
      <c r="B22" s="25"/>
      <c r="C22" s="25"/>
      <c r="D22" s="25"/>
      <c r="E22" s="25"/>
      <c r="F22" s="25"/>
      <c r="G22" s="25">
        <f t="shared" si="0"/>
        <v>0</v>
      </c>
    </row>
    <row r="23" spans="1:7" ht="14.5" x14ac:dyDescent="0.4">
      <c r="A23" s="26">
        <v>44921</v>
      </c>
      <c r="B23" s="27"/>
      <c r="C23" s="27"/>
      <c r="D23" s="27"/>
      <c r="E23" s="27"/>
      <c r="F23" s="27"/>
      <c r="G23" s="27">
        <f t="shared" si="0"/>
        <v>0</v>
      </c>
    </row>
    <row r="24" spans="1:7" ht="14.5" x14ac:dyDescent="0.4">
      <c r="A24" s="28" t="s">
        <v>43</v>
      </c>
      <c r="B24" s="29">
        <f>SUM(B8:B23)</f>
        <v>0</v>
      </c>
      <c r="C24" s="29">
        <f t="shared" ref="C24:G24" si="1">SUM(C8:C23)</f>
        <v>0</v>
      </c>
      <c r="D24" s="29">
        <f t="shared" si="1"/>
        <v>0</v>
      </c>
      <c r="E24" s="29">
        <f t="shared" si="1"/>
        <v>0</v>
      </c>
      <c r="F24" s="29">
        <f t="shared" si="1"/>
        <v>0</v>
      </c>
      <c r="G24" s="29">
        <f t="shared" si="1"/>
        <v>0</v>
      </c>
    </row>
    <row r="25" spans="1:7" ht="14.5" x14ac:dyDescent="0.4">
      <c r="A25" s="34" t="s">
        <v>17</v>
      </c>
      <c r="B25" s="36">
        <f>490*8</f>
        <v>3920</v>
      </c>
      <c r="C25" s="36">
        <v>980000</v>
      </c>
      <c r="D25" s="39">
        <v>1150000</v>
      </c>
      <c r="E25" s="39"/>
      <c r="F25" s="39"/>
      <c r="G25" s="36">
        <f>SUM(C25:F25)</f>
        <v>2130000</v>
      </c>
    </row>
    <row r="26" spans="1:7" ht="14.5" x14ac:dyDescent="0.4">
      <c r="A26" s="35" t="s">
        <v>60</v>
      </c>
      <c r="B26" s="41">
        <f>B24/B25</f>
        <v>0</v>
      </c>
      <c r="C26" s="41">
        <f t="shared" ref="C26:D26" si="2">C24/C25</f>
        <v>0</v>
      </c>
      <c r="D26" s="41">
        <f t="shared" si="2"/>
        <v>0</v>
      </c>
      <c r="E26" s="41"/>
      <c r="F26" s="38"/>
      <c r="G26" s="38">
        <f t="shared" ref="G26" si="3">G24/G25</f>
        <v>0</v>
      </c>
    </row>
    <row r="28" spans="1:7" ht="16.5" x14ac:dyDescent="0.45">
      <c r="A28" s="12" t="s">
        <v>14</v>
      </c>
      <c r="B28" s="11"/>
      <c r="C28" s="11"/>
      <c r="D28" s="11"/>
      <c r="E28" s="11"/>
      <c r="F28" s="13"/>
      <c r="G28" s="13"/>
    </row>
    <row r="29" spans="1:7" ht="14.5" x14ac:dyDescent="0.4">
      <c r="A29" s="62" t="s">
        <v>22</v>
      </c>
      <c r="B29" s="199" t="s">
        <v>23</v>
      </c>
      <c r="C29" s="199"/>
      <c r="D29" s="199"/>
      <c r="E29" s="199"/>
      <c r="F29" s="199"/>
      <c r="G29" s="63" t="s">
        <v>24</v>
      </c>
    </row>
    <row r="30" spans="1:7" x14ac:dyDescent="0.3">
      <c r="A30" s="59"/>
      <c r="B30" s="140"/>
      <c r="C30" s="140"/>
      <c r="D30" s="175"/>
      <c r="E30" s="188"/>
      <c r="F30" s="175"/>
      <c r="G30" s="48"/>
    </row>
    <row r="31" spans="1:7" x14ac:dyDescent="0.3">
      <c r="A31" s="59"/>
      <c r="B31" s="140"/>
      <c r="C31" s="140"/>
      <c r="D31" s="47"/>
      <c r="E31" s="47"/>
      <c r="F31" s="47"/>
      <c r="G31" s="48"/>
    </row>
    <row r="32" spans="1:7" x14ac:dyDescent="0.3">
      <c r="A32" s="59"/>
      <c r="B32" s="140"/>
      <c r="C32" s="140"/>
      <c r="D32" s="47"/>
      <c r="E32" s="47"/>
      <c r="F32" s="47"/>
      <c r="G32" s="48"/>
    </row>
    <row r="33" spans="1:7" x14ac:dyDescent="0.3">
      <c r="A33" s="59"/>
      <c r="B33" s="140"/>
      <c r="C33" s="140"/>
      <c r="D33" s="47"/>
      <c r="E33" s="47"/>
      <c r="F33" s="47"/>
      <c r="G33" s="48"/>
    </row>
    <row r="34" spans="1:7" x14ac:dyDescent="0.3">
      <c r="A34" s="59"/>
      <c r="B34" s="140"/>
      <c r="C34" s="140"/>
      <c r="D34" s="47"/>
      <c r="E34" s="47"/>
      <c r="F34" s="47"/>
      <c r="G34" s="48"/>
    </row>
    <row r="35" spans="1:7" x14ac:dyDescent="0.3">
      <c r="A35" s="59"/>
      <c r="B35" s="140"/>
      <c r="C35" s="140"/>
      <c r="D35" s="47"/>
      <c r="E35" s="47"/>
      <c r="F35" s="47"/>
      <c r="G35" s="48"/>
    </row>
    <row r="36" spans="1:7" x14ac:dyDescent="0.3">
      <c r="A36" s="59"/>
      <c r="B36" s="140"/>
      <c r="C36" s="140"/>
      <c r="D36" s="47"/>
      <c r="E36" s="47"/>
      <c r="F36" s="47"/>
      <c r="G36" s="48"/>
    </row>
    <row r="37" spans="1:7" x14ac:dyDescent="0.3">
      <c r="A37" s="59"/>
      <c r="B37" s="140"/>
      <c r="C37" s="140"/>
      <c r="D37" s="61"/>
      <c r="E37" s="61"/>
      <c r="F37" s="61"/>
      <c r="G37" s="60"/>
    </row>
    <row r="38" spans="1:7" x14ac:dyDescent="0.3">
      <c r="A38" s="59"/>
      <c r="B38" s="140"/>
      <c r="C38" s="140"/>
      <c r="D38" s="47"/>
      <c r="E38" s="47"/>
      <c r="F38" s="47"/>
      <c r="G38" s="60"/>
    </row>
    <row r="39" spans="1:7" ht="14.5" x14ac:dyDescent="0.4">
      <c r="A39" s="30"/>
      <c r="B39" s="140"/>
      <c r="C39" s="140"/>
      <c r="D39" s="47"/>
      <c r="E39" s="47"/>
      <c r="F39" s="47"/>
      <c r="G39" s="31"/>
    </row>
    <row r="40" spans="1:7" ht="14.5" x14ac:dyDescent="0.4">
      <c r="A40" s="57"/>
      <c r="B40" s="199" t="s">
        <v>9</v>
      </c>
      <c r="C40" s="199"/>
      <c r="D40" s="199"/>
      <c r="E40" s="199"/>
      <c r="F40" s="199"/>
      <c r="G40" s="58">
        <f>SUM(G30:G39)</f>
        <v>0</v>
      </c>
    </row>
  </sheetData>
  <mergeCells count="2">
    <mergeCell ref="B29:F29"/>
    <mergeCell ref="B40:F40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218F-1F02-40E8-A3E4-3F2A8BAED074}">
  <sheetPr>
    <tabColor theme="7" tint="0.59999389629810485"/>
  </sheetPr>
  <dimension ref="A1:O50"/>
  <sheetViews>
    <sheetView showGridLines="0" workbookViewId="0">
      <selection activeCell="E32" sqref="E32"/>
    </sheetView>
  </sheetViews>
  <sheetFormatPr defaultRowHeight="14" x14ac:dyDescent="0.3"/>
  <cols>
    <col min="1" max="1" width="11.08203125" customWidth="1"/>
    <col min="2" max="3" width="10.75" customWidth="1"/>
    <col min="4" max="4" width="13.08203125" customWidth="1"/>
    <col min="5" max="5" width="10.75" customWidth="1"/>
    <col min="6" max="6" width="12.83203125" customWidth="1"/>
  </cols>
  <sheetData>
    <row r="1" spans="1:15" ht="16.5" customHeight="1" x14ac:dyDescent="0.3">
      <c r="A1" s="19" t="s">
        <v>0</v>
      </c>
      <c r="B1" s="19"/>
      <c r="C1" s="19"/>
      <c r="D1" s="172" t="s">
        <v>59</v>
      </c>
      <c r="E1" s="172"/>
      <c r="F1" s="172"/>
      <c r="O1" s="53"/>
    </row>
    <row r="2" spans="1:15" ht="16.5" x14ac:dyDescent="0.45">
      <c r="A2" s="19" t="s">
        <v>1</v>
      </c>
      <c r="B2" s="19"/>
      <c r="C2" s="19"/>
      <c r="D2" s="20" t="s">
        <v>57</v>
      </c>
      <c r="E2" s="11"/>
    </row>
    <row r="3" spans="1:15" ht="16.5" x14ac:dyDescent="0.45">
      <c r="A3" s="19" t="s">
        <v>2</v>
      </c>
      <c r="B3" s="19"/>
      <c r="C3" s="19"/>
      <c r="D3" s="21" t="s">
        <v>90</v>
      </c>
      <c r="E3" s="11"/>
    </row>
    <row r="5" spans="1:15" ht="16.5" x14ac:dyDescent="0.3">
      <c r="A5" s="14" t="s">
        <v>8</v>
      </c>
      <c r="B5" s="5"/>
      <c r="C5" s="5"/>
      <c r="D5" s="171">
        <v>1686000</v>
      </c>
      <c r="E5" s="4"/>
      <c r="F5" s="4"/>
    </row>
    <row r="6" spans="1:15" ht="16.5" x14ac:dyDescent="0.3">
      <c r="A6" s="14" t="s">
        <v>20</v>
      </c>
      <c r="B6" s="5"/>
      <c r="C6" s="5"/>
      <c r="D6" s="171">
        <f>848368</f>
        <v>848368</v>
      </c>
      <c r="E6" s="4" t="s">
        <v>97</v>
      </c>
      <c r="F6" s="6">
        <v>1590566.0377358489</v>
      </c>
    </row>
    <row r="7" spans="1:15" x14ac:dyDescent="0.3">
      <c r="A7" s="4"/>
      <c r="B7" s="4"/>
      <c r="C7" s="4"/>
      <c r="D7" s="4"/>
      <c r="E7" s="3"/>
      <c r="F7" s="4"/>
    </row>
    <row r="8" spans="1:15" ht="14.5" x14ac:dyDescent="0.3">
      <c r="A8" s="22" t="s">
        <v>13</v>
      </c>
      <c r="B8" s="22" t="s">
        <v>271</v>
      </c>
      <c r="C8" s="22" t="s">
        <v>55</v>
      </c>
      <c r="D8" s="23" t="s">
        <v>4</v>
      </c>
      <c r="E8" s="22" t="s">
        <v>3</v>
      </c>
      <c r="F8" s="23" t="s">
        <v>12</v>
      </c>
    </row>
    <row r="9" spans="1:15" ht="14.5" x14ac:dyDescent="0.4">
      <c r="A9" s="24">
        <v>43770</v>
      </c>
      <c r="B9" s="25"/>
      <c r="C9" s="25"/>
      <c r="D9" s="25"/>
      <c r="E9" s="25"/>
      <c r="F9" s="25">
        <f>SUM(C9:E9)</f>
        <v>0</v>
      </c>
    </row>
    <row r="10" spans="1:15" ht="14.5" x14ac:dyDescent="0.4">
      <c r="A10" s="26">
        <v>43800</v>
      </c>
      <c r="B10" s="27"/>
      <c r="C10" s="27"/>
      <c r="D10" s="27"/>
      <c r="E10" s="27"/>
      <c r="F10" s="27"/>
    </row>
    <row r="11" spans="1:15" ht="18" customHeight="1" x14ac:dyDescent="0.4">
      <c r="A11" s="24">
        <v>43831</v>
      </c>
      <c r="B11" s="25"/>
      <c r="C11" s="25"/>
      <c r="D11" s="25"/>
      <c r="E11" s="25"/>
      <c r="F11" s="25"/>
    </row>
    <row r="12" spans="1:15" ht="18" customHeight="1" x14ac:dyDescent="0.4">
      <c r="A12" s="26">
        <v>43862</v>
      </c>
      <c r="B12" s="27"/>
      <c r="C12" s="27"/>
      <c r="D12" s="27"/>
      <c r="E12" s="27"/>
      <c r="F12" s="27"/>
    </row>
    <row r="13" spans="1:15" ht="18" customHeight="1" x14ac:dyDescent="0.4">
      <c r="A13" s="24">
        <v>43891</v>
      </c>
      <c r="B13" s="25"/>
      <c r="C13" s="25"/>
      <c r="D13" s="25"/>
      <c r="E13" s="25"/>
      <c r="F13" s="25"/>
    </row>
    <row r="14" spans="1:15" ht="18" customHeight="1" x14ac:dyDescent="0.4">
      <c r="A14" s="26">
        <v>43922</v>
      </c>
      <c r="B14" s="27"/>
      <c r="C14" s="27"/>
      <c r="D14" s="27"/>
      <c r="E14" s="27"/>
      <c r="F14" s="27"/>
    </row>
    <row r="15" spans="1:15" ht="18" customHeight="1" x14ac:dyDescent="0.4">
      <c r="A15" s="24">
        <v>43952</v>
      </c>
      <c r="B15" s="25"/>
      <c r="C15" s="25"/>
      <c r="D15" s="25"/>
      <c r="E15" s="25"/>
      <c r="F15" s="25"/>
    </row>
    <row r="16" spans="1:15" ht="18" customHeight="1" x14ac:dyDescent="0.4">
      <c r="A16" s="26">
        <v>43983</v>
      </c>
      <c r="B16" s="27"/>
      <c r="C16" s="27"/>
      <c r="D16" s="27"/>
      <c r="E16" s="27"/>
      <c r="F16" s="27"/>
    </row>
    <row r="17" spans="1:6" ht="18" customHeight="1" x14ac:dyDescent="0.4">
      <c r="A17" s="24">
        <v>44013</v>
      </c>
      <c r="B17" s="25"/>
      <c r="C17" s="25"/>
      <c r="D17" s="25"/>
      <c r="E17" s="25"/>
      <c r="F17" s="25"/>
    </row>
    <row r="18" spans="1:6" ht="18" customHeight="1" x14ac:dyDescent="0.4">
      <c r="A18" s="26">
        <v>44044</v>
      </c>
      <c r="B18" s="27"/>
      <c r="C18" s="27"/>
      <c r="D18" s="27"/>
      <c r="E18" s="27"/>
      <c r="F18" s="27"/>
    </row>
    <row r="19" spans="1:6" ht="18" customHeight="1" x14ac:dyDescent="0.4">
      <c r="A19" s="24">
        <v>44075</v>
      </c>
      <c r="B19" s="25"/>
      <c r="C19" s="25"/>
      <c r="D19" s="25"/>
      <c r="E19" s="25"/>
      <c r="F19" s="25"/>
    </row>
    <row r="20" spans="1:6" ht="18" customHeight="1" x14ac:dyDescent="0.4">
      <c r="A20" s="26">
        <v>44105</v>
      </c>
      <c r="B20" s="27"/>
      <c r="C20" s="27"/>
      <c r="D20" s="27"/>
      <c r="E20" s="27"/>
      <c r="F20" s="27"/>
    </row>
    <row r="21" spans="1:6" ht="18" customHeight="1" x14ac:dyDescent="0.4">
      <c r="A21" s="24">
        <v>44136</v>
      </c>
      <c r="B21" s="25"/>
      <c r="C21" s="25"/>
      <c r="D21" s="25"/>
      <c r="E21" s="25"/>
      <c r="F21" s="25"/>
    </row>
    <row r="22" spans="1:6" ht="18" customHeight="1" x14ac:dyDescent="0.4">
      <c r="A22" s="26">
        <v>44166</v>
      </c>
      <c r="B22" s="27"/>
      <c r="C22" s="27"/>
      <c r="D22" s="27"/>
      <c r="E22" s="27"/>
      <c r="F22" s="27"/>
    </row>
    <row r="23" spans="1:6" ht="18" customHeight="1" x14ac:dyDescent="0.4">
      <c r="A23" s="24">
        <v>44197</v>
      </c>
      <c r="B23" s="25"/>
      <c r="C23" s="25"/>
      <c r="D23" s="25"/>
      <c r="E23" s="25"/>
      <c r="F23" s="25"/>
    </row>
    <row r="24" spans="1:6" ht="18" customHeight="1" x14ac:dyDescent="0.4">
      <c r="A24" s="26">
        <v>44228</v>
      </c>
      <c r="B24" s="27"/>
      <c r="C24" s="27"/>
      <c r="D24" s="27"/>
      <c r="E24" s="27"/>
      <c r="F24" s="27"/>
    </row>
    <row r="25" spans="1:6" ht="18" customHeight="1" x14ac:dyDescent="0.4">
      <c r="A25" s="24">
        <v>44256</v>
      </c>
      <c r="B25" s="25"/>
      <c r="C25" s="25"/>
      <c r="D25" s="25"/>
      <c r="E25" s="25"/>
      <c r="F25" s="25"/>
    </row>
    <row r="26" spans="1:6" ht="18" customHeight="1" x14ac:dyDescent="0.4">
      <c r="A26" s="26">
        <v>44287</v>
      </c>
      <c r="B26" s="27"/>
      <c r="C26" s="27"/>
      <c r="D26" s="27"/>
      <c r="E26" s="27"/>
      <c r="F26" s="27"/>
    </row>
    <row r="27" spans="1:6" ht="18" customHeight="1" x14ac:dyDescent="0.4">
      <c r="A27" s="24">
        <v>44317</v>
      </c>
      <c r="B27" s="25"/>
      <c r="C27" s="25"/>
      <c r="D27" s="25">
        <v>0</v>
      </c>
      <c r="E27" s="25">
        <v>579.73</v>
      </c>
      <c r="F27" s="25">
        <f t="shared" ref="F27:F36" si="0">SUM(C27:E27)</f>
        <v>579.73</v>
      </c>
    </row>
    <row r="28" spans="1:6" ht="18" customHeight="1" x14ac:dyDescent="0.4">
      <c r="A28" s="26">
        <v>44348</v>
      </c>
      <c r="B28" s="27"/>
      <c r="C28" s="27"/>
      <c r="D28" s="27">
        <v>1330.98</v>
      </c>
      <c r="E28" s="27">
        <v>1103.04</v>
      </c>
      <c r="F28" s="27">
        <f t="shared" si="0"/>
        <v>2434.02</v>
      </c>
    </row>
    <row r="29" spans="1:6" ht="18" customHeight="1" x14ac:dyDescent="0.4">
      <c r="A29" s="24">
        <v>44378</v>
      </c>
      <c r="B29" s="25"/>
      <c r="C29" s="25"/>
      <c r="D29" s="25">
        <v>0</v>
      </c>
      <c r="E29" s="25"/>
      <c r="F29" s="25">
        <f t="shared" si="0"/>
        <v>0</v>
      </c>
    </row>
    <row r="30" spans="1:6" ht="18" customHeight="1" x14ac:dyDescent="0.4">
      <c r="A30" s="26">
        <v>44409</v>
      </c>
      <c r="B30" s="27"/>
      <c r="C30" s="27"/>
      <c r="D30" s="27"/>
      <c r="E30" s="27">
        <v>4166.33</v>
      </c>
      <c r="F30" s="27">
        <f t="shared" si="0"/>
        <v>4166.33</v>
      </c>
    </row>
    <row r="31" spans="1:6" ht="18" customHeight="1" x14ac:dyDescent="0.4">
      <c r="A31" s="24">
        <v>44440</v>
      </c>
      <c r="B31" s="25"/>
      <c r="C31" s="25"/>
      <c r="D31" s="25"/>
      <c r="E31" s="25">
        <f>60+2353.07</f>
        <v>2413.0700000000002</v>
      </c>
      <c r="F31" s="25">
        <f t="shared" si="0"/>
        <v>2413.0700000000002</v>
      </c>
    </row>
    <row r="32" spans="1:6" ht="18" customHeight="1" x14ac:dyDescent="0.4">
      <c r="A32" s="26">
        <v>44470</v>
      </c>
      <c r="B32" s="27"/>
      <c r="C32" s="27"/>
      <c r="D32" s="27"/>
      <c r="E32" s="27"/>
      <c r="F32" s="27">
        <f t="shared" si="0"/>
        <v>0</v>
      </c>
    </row>
    <row r="33" spans="1:6" ht="18" customHeight="1" x14ac:dyDescent="0.4">
      <c r="A33" s="24">
        <v>44501</v>
      </c>
      <c r="B33" s="25"/>
      <c r="C33" s="25"/>
      <c r="D33" s="25"/>
      <c r="E33" s="25"/>
      <c r="F33" s="25">
        <f t="shared" si="0"/>
        <v>0</v>
      </c>
    </row>
    <row r="34" spans="1:6" ht="18" customHeight="1" x14ac:dyDescent="0.4">
      <c r="A34" s="26">
        <v>44531</v>
      </c>
      <c r="B34" s="27"/>
      <c r="C34" s="27"/>
      <c r="D34" s="27"/>
      <c r="E34" s="27"/>
      <c r="F34" s="27">
        <f t="shared" si="0"/>
        <v>0</v>
      </c>
    </row>
    <row r="35" spans="1:6" ht="18" customHeight="1" x14ac:dyDescent="0.4">
      <c r="A35" s="28" t="s">
        <v>43</v>
      </c>
      <c r="B35" s="29">
        <f>SUM(B9:B34)</f>
        <v>0</v>
      </c>
      <c r="C35" s="29">
        <f>SUM(C9:C34)</f>
        <v>0</v>
      </c>
      <c r="D35" s="29">
        <f t="shared" ref="D35:F35" si="1">SUM(D9:D34)</f>
        <v>1330.98</v>
      </c>
      <c r="E35" s="29">
        <f t="shared" si="1"/>
        <v>8262.17</v>
      </c>
      <c r="F35" s="29">
        <f t="shared" si="1"/>
        <v>9593.15</v>
      </c>
    </row>
    <row r="36" spans="1:6" ht="18" customHeight="1" x14ac:dyDescent="0.4">
      <c r="A36" s="34" t="s">
        <v>17</v>
      </c>
      <c r="B36" s="36">
        <v>2880</v>
      </c>
      <c r="C36" s="36">
        <v>720000</v>
      </c>
      <c r="D36" s="39">
        <f>108368/1.13</f>
        <v>95900.884955752219</v>
      </c>
      <c r="E36" s="39">
        <v>20000</v>
      </c>
      <c r="F36" s="39">
        <f t="shared" si="0"/>
        <v>835900.88495575218</v>
      </c>
    </row>
    <row r="37" spans="1:6" ht="18" customHeight="1" x14ac:dyDescent="0.4">
      <c r="A37" s="35" t="s">
        <v>60</v>
      </c>
      <c r="B37" s="38">
        <f>B35/B36</f>
        <v>0</v>
      </c>
      <c r="C37" s="38">
        <f t="shared" ref="C37:E37" si="2">C35/C36</f>
        <v>0</v>
      </c>
      <c r="D37" s="38">
        <f t="shared" si="2"/>
        <v>1.3878704045474678E-2</v>
      </c>
      <c r="E37" s="38">
        <f t="shared" si="2"/>
        <v>0.41310849999999999</v>
      </c>
      <c r="F37" s="38">
        <f t="shared" ref="F37" si="3">F35/F36</f>
        <v>1.1476420437702738E-2</v>
      </c>
    </row>
    <row r="38" spans="1:6" ht="18" customHeight="1" x14ac:dyDescent="0.3"/>
    <row r="39" spans="1:6" x14ac:dyDescent="0.3">
      <c r="D39" s="44"/>
    </row>
    <row r="40" spans="1:6" ht="16.5" x14ac:dyDescent="0.45">
      <c r="A40" s="12" t="s">
        <v>14</v>
      </c>
      <c r="B40" s="11"/>
      <c r="C40" s="11"/>
      <c r="D40" s="11"/>
      <c r="E40" s="13"/>
      <c r="F40" s="13"/>
    </row>
    <row r="41" spans="1:6" ht="14.5" x14ac:dyDescent="0.4">
      <c r="A41" s="49" t="s">
        <v>22</v>
      </c>
      <c r="B41" s="207" t="s">
        <v>23</v>
      </c>
      <c r="C41" s="207"/>
      <c r="D41" s="207"/>
      <c r="E41" s="207"/>
      <c r="F41" s="50" t="s">
        <v>24</v>
      </c>
    </row>
    <row r="42" spans="1:6" ht="14.5" x14ac:dyDescent="0.4">
      <c r="A42" s="52"/>
      <c r="B42" s="208"/>
      <c r="C42" s="209"/>
      <c r="D42" s="209"/>
      <c r="E42" s="210"/>
      <c r="F42" s="51"/>
    </row>
    <row r="43" spans="1:6" ht="14.5" x14ac:dyDescent="0.4">
      <c r="A43" s="52"/>
      <c r="B43" s="202"/>
      <c r="C43" s="203"/>
      <c r="D43" s="203"/>
      <c r="E43" s="204"/>
      <c r="F43" s="51"/>
    </row>
    <row r="44" spans="1:6" ht="14.5" x14ac:dyDescent="0.4">
      <c r="A44" s="52"/>
      <c r="B44" s="205"/>
      <c r="C44" s="205"/>
      <c r="D44" s="205"/>
      <c r="E44" s="206"/>
      <c r="F44" s="51"/>
    </row>
    <row r="45" spans="1:6" ht="14.5" x14ac:dyDescent="0.4">
      <c r="A45" s="17"/>
      <c r="B45" s="201"/>
      <c r="C45" s="201"/>
      <c r="D45" s="201"/>
      <c r="E45" s="201"/>
      <c r="F45" s="18">
        <f>SUM(F42:F44)</f>
        <v>0</v>
      </c>
    </row>
    <row r="50" spans="4:4" x14ac:dyDescent="0.3">
      <c r="D50" s="44"/>
    </row>
  </sheetData>
  <mergeCells count="5">
    <mergeCell ref="B45:E45"/>
    <mergeCell ref="B43:E43"/>
    <mergeCell ref="B44:E44"/>
    <mergeCell ref="B41:E41"/>
    <mergeCell ref="B42:E42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7E8D-DCED-41E2-9BA8-DF0B9C05286D}">
  <sheetPr>
    <tabColor theme="7" tint="0.59999389629810485"/>
  </sheetPr>
  <dimension ref="A1:F44"/>
  <sheetViews>
    <sheetView showGridLines="0" workbookViewId="0">
      <selection activeCell="E24" sqref="E24"/>
    </sheetView>
  </sheetViews>
  <sheetFormatPr defaultRowHeight="14" x14ac:dyDescent="0.3"/>
  <cols>
    <col min="1" max="1" width="16.75" customWidth="1"/>
    <col min="2" max="2" width="8.75" bestFit="1" customWidth="1"/>
    <col min="3" max="3" width="10.5" bestFit="1" customWidth="1"/>
    <col min="4" max="4" width="11.25" bestFit="1" customWidth="1"/>
    <col min="5" max="5" width="8.75" bestFit="1" customWidth="1"/>
    <col min="6" max="6" width="11.58203125" customWidth="1"/>
  </cols>
  <sheetData>
    <row r="1" spans="1:6" ht="15" x14ac:dyDescent="0.3">
      <c r="A1" s="19" t="s">
        <v>0</v>
      </c>
      <c r="B1" s="211" t="s">
        <v>92</v>
      </c>
      <c r="C1" s="211"/>
      <c r="D1" s="211"/>
      <c r="E1" s="211"/>
      <c r="F1" s="211"/>
    </row>
    <row r="2" spans="1:6" ht="16.5" customHeight="1" x14ac:dyDescent="0.3">
      <c r="A2" s="19" t="s">
        <v>1</v>
      </c>
      <c r="B2" s="211" t="s">
        <v>91</v>
      </c>
      <c r="C2" s="211"/>
      <c r="D2" s="211"/>
      <c r="E2" s="211"/>
      <c r="F2" s="211"/>
    </row>
    <row r="3" spans="1:6" ht="16.5" customHeight="1" x14ac:dyDescent="0.3">
      <c r="A3" s="19" t="s">
        <v>2</v>
      </c>
      <c r="B3" s="211" t="s">
        <v>90</v>
      </c>
      <c r="C3" s="211"/>
      <c r="D3" s="211"/>
      <c r="E3" s="211"/>
      <c r="F3" s="211"/>
    </row>
    <row r="5" spans="1:6" ht="16.5" x14ac:dyDescent="0.3">
      <c r="A5" s="14" t="s">
        <v>8</v>
      </c>
      <c r="B5" s="5"/>
      <c r="C5" s="5"/>
      <c r="D5" s="171">
        <v>750000</v>
      </c>
      <c r="E5" s="4"/>
      <c r="F5" s="4"/>
    </row>
    <row r="6" spans="1:6" ht="16.5" x14ac:dyDescent="0.3">
      <c r="A6" s="14" t="s">
        <v>20</v>
      </c>
      <c r="B6" s="5"/>
      <c r="C6" s="5"/>
      <c r="D6" s="171">
        <f>523000</f>
        <v>523000</v>
      </c>
      <c r="E6" s="4"/>
      <c r="F6" s="4"/>
    </row>
    <row r="7" spans="1:6" x14ac:dyDescent="0.3">
      <c r="A7" s="7" t="s">
        <v>97</v>
      </c>
      <c r="D7" s="8">
        <f>D5/1.06</f>
        <v>707547.16981132072</v>
      </c>
      <c r="E7" s="4"/>
      <c r="F7" s="4"/>
    </row>
    <row r="8" spans="1:6" x14ac:dyDescent="0.3">
      <c r="A8" s="4"/>
      <c r="B8" s="4"/>
      <c r="C8" s="4"/>
      <c r="D8" s="4"/>
      <c r="E8" s="3"/>
      <c r="F8" s="4"/>
    </row>
    <row r="9" spans="1:6" ht="14.5" x14ac:dyDescent="0.3">
      <c r="A9" s="22" t="s">
        <v>13</v>
      </c>
      <c r="B9" s="22" t="s">
        <v>271</v>
      </c>
      <c r="C9" s="22" t="s">
        <v>55</v>
      </c>
      <c r="D9" s="23" t="s">
        <v>4</v>
      </c>
      <c r="E9" s="22" t="s">
        <v>3</v>
      </c>
      <c r="F9" s="23" t="s">
        <v>12</v>
      </c>
    </row>
    <row r="10" spans="1:6" ht="14.5" x14ac:dyDescent="0.4">
      <c r="A10" s="55" t="s">
        <v>93</v>
      </c>
      <c r="B10" s="25"/>
      <c r="C10" s="25"/>
      <c r="D10" s="25"/>
      <c r="E10" s="25"/>
      <c r="F10" s="25"/>
    </row>
    <row r="11" spans="1:6" ht="14.5" x14ac:dyDescent="0.4">
      <c r="A11" s="26">
        <v>44075</v>
      </c>
      <c r="B11" s="27"/>
      <c r="C11" s="27"/>
      <c r="D11" s="27"/>
      <c r="E11" s="27"/>
      <c r="F11" s="27"/>
    </row>
    <row r="12" spans="1:6" ht="14.5" x14ac:dyDescent="0.4">
      <c r="A12" s="24">
        <v>44105</v>
      </c>
      <c r="B12" s="25"/>
      <c r="C12" s="25"/>
      <c r="D12" s="25">
        <v>0</v>
      </c>
      <c r="E12" s="25"/>
      <c r="F12" s="25"/>
    </row>
    <row r="13" spans="1:6" ht="14.5" x14ac:dyDescent="0.4">
      <c r="A13" s="26">
        <v>44136</v>
      </c>
      <c r="B13" s="27"/>
      <c r="C13" s="27"/>
      <c r="D13" s="27">
        <v>0</v>
      </c>
      <c r="E13" s="27"/>
      <c r="F13" s="27"/>
    </row>
    <row r="14" spans="1:6" ht="14.5" x14ac:dyDescent="0.4">
      <c r="A14" s="24">
        <v>44166</v>
      </c>
      <c r="B14" s="25"/>
      <c r="C14" s="25"/>
      <c r="D14" s="25">
        <v>0</v>
      </c>
      <c r="E14" s="25"/>
      <c r="F14" s="25"/>
    </row>
    <row r="15" spans="1:6" ht="14.5" x14ac:dyDescent="0.4">
      <c r="A15" s="26">
        <v>44197</v>
      </c>
      <c r="B15" s="27"/>
      <c r="C15" s="27"/>
      <c r="D15" s="27"/>
      <c r="E15" s="27"/>
      <c r="F15" s="27"/>
    </row>
    <row r="16" spans="1:6" ht="14.5" x14ac:dyDescent="0.4">
      <c r="A16" s="24">
        <v>44228</v>
      </c>
      <c r="B16" s="25"/>
      <c r="C16" s="25"/>
      <c r="D16" s="25"/>
      <c r="E16" s="25"/>
      <c r="F16" s="25"/>
    </row>
    <row r="17" spans="1:6" ht="14.5" x14ac:dyDescent="0.4">
      <c r="A17" s="26">
        <v>44256</v>
      </c>
      <c r="B17" s="27"/>
      <c r="C17" s="27"/>
      <c r="D17" s="27">
        <v>0</v>
      </c>
      <c r="E17" s="27"/>
      <c r="F17" s="27"/>
    </row>
    <row r="18" spans="1:6" ht="14.5" x14ac:dyDescent="0.4">
      <c r="A18" s="24">
        <v>44287</v>
      </c>
      <c r="B18" s="25"/>
      <c r="C18" s="25"/>
      <c r="D18" s="25"/>
      <c r="E18" s="25"/>
      <c r="F18" s="25"/>
    </row>
    <row r="19" spans="1:6" ht="14.5" x14ac:dyDescent="0.4">
      <c r="A19" s="26">
        <v>44317</v>
      </c>
      <c r="B19" s="27"/>
      <c r="C19" s="27"/>
      <c r="D19" s="27">
        <v>0</v>
      </c>
      <c r="E19" s="27"/>
      <c r="F19" s="27"/>
    </row>
    <row r="20" spans="1:6" ht="14.5" x14ac:dyDescent="0.4">
      <c r="A20" s="24">
        <v>44348</v>
      </c>
      <c r="B20" s="25"/>
      <c r="C20" s="25"/>
      <c r="D20" s="25"/>
      <c r="E20" s="25"/>
      <c r="F20" s="25"/>
    </row>
    <row r="21" spans="1:6" ht="14.5" x14ac:dyDescent="0.4">
      <c r="A21" s="26">
        <v>44378</v>
      </c>
      <c r="B21" s="27"/>
      <c r="C21" s="27"/>
      <c r="D21" s="27">
        <v>0</v>
      </c>
      <c r="E21" s="27">
        <v>680.76</v>
      </c>
      <c r="F21" s="27">
        <f t="shared" ref="F21:F31" si="0">SUM(C21:E21)</f>
        <v>680.76</v>
      </c>
    </row>
    <row r="22" spans="1:6" ht="14.5" x14ac:dyDescent="0.4">
      <c r="A22" s="24">
        <v>44409</v>
      </c>
      <c r="B22" s="25"/>
      <c r="C22" s="25"/>
      <c r="D22" s="25"/>
      <c r="E22" s="25"/>
      <c r="F22" s="25">
        <f t="shared" si="0"/>
        <v>0</v>
      </c>
    </row>
    <row r="23" spans="1:6" ht="14.5" x14ac:dyDescent="0.4">
      <c r="A23" s="26">
        <v>44440</v>
      </c>
      <c r="B23" s="27"/>
      <c r="C23" s="27"/>
      <c r="D23" s="27"/>
      <c r="E23" s="27">
        <v>1508.21</v>
      </c>
      <c r="F23" s="27">
        <f t="shared" si="0"/>
        <v>1508.21</v>
      </c>
    </row>
    <row r="24" spans="1:6" ht="14.5" x14ac:dyDescent="0.4">
      <c r="A24" s="24">
        <v>44470</v>
      </c>
      <c r="B24" s="25"/>
      <c r="C24" s="25"/>
      <c r="D24" s="25"/>
      <c r="E24" s="25"/>
      <c r="F24" s="25">
        <f t="shared" si="0"/>
        <v>0</v>
      </c>
    </row>
    <row r="25" spans="1:6" ht="14.5" x14ac:dyDescent="0.4">
      <c r="A25" s="26">
        <v>44501</v>
      </c>
      <c r="B25" s="27"/>
      <c r="C25" s="27"/>
      <c r="D25" s="27"/>
      <c r="E25" s="27"/>
      <c r="F25" s="27">
        <f t="shared" si="0"/>
        <v>0</v>
      </c>
    </row>
    <row r="26" spans="1:6" ht="14.5" x14ac:dyDescent="0.4">
      <c r="A26" s="24">
        <v>44531</v>
      </c>
      <c r="B26" s="25"/>
      <c r="C26" s="25"/>
      <c r="D26" s="25"/>
      <c r="E26" s="25"/>
      <c r="F26" s="25">
        <f t="shared" si="0"/>
        <v>0</v>
      </c>
    </row>
    <row r="27" spans="1:6" ht="14.5" x14ac:dyDescent="0.4">
      <c r="A27" s="26">
        <v>44562</v>
      </c>
      <c r="B27" s="27"/>
      <c r="C27" s="27"/>
      <c r="D27" s="27"/>
      <c r="E27" s="27"/>
      <c r="F27" s="27">
        <f t="shared" si="0"/>
        <v>0</v>
      </c>
    </row>
    <row r="28" spans="1:6" ht="14.5" x14ac:dyDescent="0.4">
      <c r="A28" s="24">
        <v>44593</v>
      </c>
      <c r="B28" s="25"/>
      <c r="C28" s="25"/>
      <c r="D28" s="25"/>
      <c r="E28" s="25"/>
      <c r="F28" s="25">
        <f t="shared" si="0"/>
        <v>0</v>
      </c>
    </row>
    <row r="29" spans="1:6" ht="14.5" x14ac:dyDescent="0.4">
      <c r="A29" s="26">
        <v>44621</v>
      </c>
      <c r="B29" s="27"/>
      <c r="C29" s="27"/>
      <c r="D29" s="27"/>
      <c r="E29" s="27"/>
      <c r="F29" s="27">
        <f t="shared" si="0"/>
        <v>0</v>
      </c>
    </row>
    <row r="30" spans="1:6" ht="14.5" x14ac:dyDescent="0.4">
      <c r="A30" s="28" t="s">
        <v>43</v>
      </c>
      <c r="B30" s="29">
        <f>SUM(B10:B29)</f>
        <v>0</v>
      </c>
      <c r="C30" s="29">
        <f t="shared" ref="C30:E30" si="1">SUM(C10:C29)</f>
        <v>0</v>
      </c>
      <c r="D30" s="29">
        <f t="shared" si="1"/>
        <v>0</v>
      </c>
      <c r="E30" s="29">
        <f t="shared" si="1"/>
        <v>2188.9700000000003</v>
      </c>
      <c r="F30" s="29">
        <f t="shared" ref="F30" si="2">SUM(F10:F29)</f>
        <v>2188.9700000000003</v>
      </c>
    </row>
    <row r="31" spans="1:6" ht="14.5" x14ac:dyDescent="0.4">
      <c r="A31" s="34" t="s">
        <v>17</v>
      </c>
      <c r="B31" s="36">
        <f>254*8</f>
        <v>2032</v>
      </c>
      <c r="C31" s="36">
        <v>508000</v>
      </c>
      <c r="D31" s="39">
        <v>0</v>
      </c>
      <c r="E31" s="39">
        <v>15000</v>
      </c>
      <c r="F31" s="27">
        <f t="shared" si="0"/>
        <v>523000</v>
      </c>
    </row>
    <row r="32" spans="1:6" ht="14.5" x14ac:dyDescent="0.4">
      <c r="A32" s="35" t="s">
        <v>60</v>
      </c>
      <c r="B32" s="38">
        <f>B30/B31</f>
        <v>0</v>
      </c>
      <c r="C32" s="38">
        <f t="shared" ref="C32:E32" si="3">C30/C31</f>
        <v>0</v>
      </c>
      <c r="D32" s="38" t="e">
        <f t="shared" si="3"/>
        <v>#DIV/0!</v>
      </c>
      <c r="E32" s="38">
        <f t="shared" si="3"/>
        <v>0.14593133333333336</v>
      </c>
      <c r="F32" s="38">
        <f t="shared" ref="F32" si="4">F30/F31</f>
        <v>4.185411089866157E-3</v>
      </c>
    </row>
    <row r="36" spans="1:6" ht="16.5" x14ac:dyDescent="0.45">
      <c r="A36" s="12" t="s">
        <v>14</v>
      </c>
      <c r="B36" s="11"/>
      <c r="C36" s="11"/>
      <c r="D36" s="11"/>
      <c r="E36" s="13"/>
      <c r="F36" s="13"/>
    </row>
    <row r="37" spans="1:6" ht="14.5" x14ac:dyDescent="0.4">
      <c r="A37" s="49" t="s">
        <v>22</v>
      </c>
      <c r="B37" s="207" t="s">
        <v>23</v>
      </c>
      <c r="C37" s="207"/>
      <c r="D37" s="207"/>
      <c r="E37" s="207"/>
      <c r="F37" s="50" t="s">
        <v>24</v>
      </c>
    </row>
    <row r="38" spans="1:6" ht="14.5" x14ac:dyDescent="0.4">
      <c r="A38" s="52"/>
      <c r="B38" s="202"/>
      <c r="C38" s="203"/>
      <c r="D38" s="203"/>
      <c r="E38" s="204"/>
      <c r="F38" s="51"/>
    </row>
    <row r="39" spans="1:6" ht="14.5" x14ac:dyDescent="0.4">
      <c r="A39" s="52"/>
      <c r="B39" s="202"/>
      <c r="C39" s="203"/>
      <c r="D39" s="203"/>
      <c r="E39" s="204"/>
      <c r="F39" s="51"/>
    </row>
    <row r="40" spans="1:6" ht="14.5" x14ac:dyDescent="0.4">
      <c r="A40" s="52"/>
      <c r="B40" s="202"/>
      <c r="C40" s="203"/>
      <c r="D40" s="203"/>
      <c r="E40" s="204"/>
      <c r="F40" s="51"/>
    </row>
    <row r="41" spans="1:6" ht="14.5" x14ac:dyDescent="0.4">
      <c r="A41" s="52"/>
      <c r="B41" s="202"/>
      <c r="C41" s="203"/>
      <c r="D41" s="203"/>
      <c r="E41" s="204"/>
      <c r="F41" s="51"/>
    </row>
    <row r="42" spans="1:6" ht="14.5" x14ac:dyDescent="0.4">
      <c r="A42" s="52"/>
      <c r="B42" s="202"/>
      <c r="C42" s="203"/>
      <c r="D42" s="203"/>
      <c r="E42" s="204"/>
      <c r="F42" s="51"/>
    </row>
    <row r="43" spans="1:6" ht="14.5" x14ac:dyDescent="0.4">
      <c r="A43" s="52"/>
      <c r="B43" s="205"/>
      <c r="C43" s="205"/>
      <c r="D43" s="205"/>
      <c r="E43" s="206"/>
      <c r="F43" s="51"/>
    </row>
    <row r="44" spans="1:6" ht="14.5" x14ac:dyDescent="0.4">
      <c r="A44" s="17"/>
      <c r="B44" s="201"/>
      <c r="C44" s="201"/>
      <c r="D44" s="201"/>
      <c r="E44" s="201"/>
      <c r="F44" s="18">
        <f>SUM(F38:F43)</f>
        <v>0</v>
      </c>
    </row>
  </sheetData>
  <mergeCells count="11">
    <mergeCell ref="B44:E44"/>
    <mergeCell ref="B1:F1"/>
    <mergeCell ref="B39:E39"/>
    <mergeCell ref="B40:E40"/>
    <mergeCell ref="B37:E37"/>
    <mergeCell ref="B38:E38"/>
    <mergeCell ref="B3:F3"/>
    <mergeCell ref="B2:F2"/>
    <mergeCell ref="B41:E41"/>
    <mergeCell ref="B42:E42"/>
    <mergeCell ref="B43:E4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RD201901</vt:lpstr>
      <vt:lpstr>RD202102</vt:lpstr>
      <vt:lpstr>RD202103</vt:lpstr>
      <vt:lpstr>RD202104</vt:lpstr>
      <vt:lpstr>RD202105</vt:lpstr>
      <vt:lpstr>RD202106Y</vt:lpstr>
      <vt:lpstr>RD202107</vt:lpstr>
      <vt:lpstr>YC201912001</vt:lpstr>
      <vt:lpstr>YC202008001</vt:lpstr>
      <vt:lpstr>YC202104001</vt:lpstr>
      <vt:lpstr>YC202106001</vt:lpstr>
      <vt:lpstr>NYH202012001</vt:lpstr>
      <vt:lpstr>NYH202104001</vt:lpstr>
      <vt:lpstr>'RD201901'!Print_Area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AIMS</dc:creator>
  <cp:lastModifiedBy>沈健</cp:lastModifiedBy>
  <cp:lastPrinted>2020-07-10T04:35:05Z</cp:lastPrinted>
  <dcterms:created xsi:type="dcterms:W3CDTF">2019-06-21T05:05:17Z</dcterms:created>
  <dcterms:modified xsi:type="dcterms:W3CDTF">2021-11-19T04:42:06Z</dcterms:modified>
</cp:coreProperties>
</file>