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defaultThemeVersion="124226"/>
  <mc:AlternateContent xmlns:mc="http://schemas.openxmlformats.org/markup-compatibility/2006">
    <mc:Choice Requires="x15">
      <x15ac:absPath xmlns:x15ac="http://schemas.microsoft.com/office/spreadsheetml/2010/11/ac" url="C:\Users\Sam\Desktop\Discord Bots\13thAgeBot\"/>
    </mc:Choice>
  </mc:AlternateContent>
  <bookViews>
    <workbookView xWindow="0" yWindow="0" windowWidth="28800" windowHeight="14085" xr2:uid="{00000000-000D-0000-FFFF-FFFF00000000}"/>
    <workbookView xWindow="0" yWindow="0" windowWidth="28800" windowHeight="13875" xr2:uid="{00000000-000D-0000-FFFF-FFFF01000000}"/>
  </bookViews>
  <sheets>
    <sheet name="Character Sheet" sheetId="1" r:id="rId1"/>
    <sheet name="Power Cards" sheetId="3" r:id="rId2"/>
    <sheet name="Classes &amp; Stats" sheetId="2" r:id="rId3"/>
    <sheet name="Races" sheetId="4" state="hidden" r:id="rId4"/>
    <sheet name="Key Abilities" sheetId="5" state="hidden" r:id="rId5"/>
  </sheets>
  <calcPr calcId="171027"/>
</workbook>
</file>

<file path=xl/calcChain.xml><?xml version="1.0" encoding="utf-8"?>
<calcChain xmlns="http://schemas.openxmlformats.org/spreadsheetml/2006/main">
  <c r="T21" i="2" l="1"/>
  <c r="I49" i="2" l="1"/>
  <c r="F30" i="2" l="1"/>
  <c r="B53" i="1"/>
  <c r="B37" i="1"/>
  <c r="I16" i="1" l="1"/>
  <c r="I45" i="2" l="1"/>
  <c r="I42" i="2"/>
  <c r="I39" i="2"/>
  <c r="AH21" i="2"/>
  <c r="AH20" i="2"/>
  <c r="AH19" i="2"/>
  <c r="AH18" i="2"/>
  <c r="AH17" i="2"/>
  <c r="AH16" i="2"/>
  <c r="AH15" i="2"/>
  <c r="AH14" i="2"/>
  <c r="AH13" i="2"/>
  <c r="AH12" i="2"/>
  <c r="AH11" i="2"/>
  <c r="AH10" i="2"/>
  <c r="AH9" i="2"/>
  <c r="AH8" i="2"/>
  <c r="AH7" i="2"/>
  <c r="AH6" i="2"/>
  <c r="AH5" i="2"/>
  <c r="G12" i="2" l="1"/>
  <c r="S21" i="2" l="1"/>
  <c r="S20" i="2"/>
  <c r="S19" i="2"/>
  <c r="S18" i="2"/>
  <c r="S17" i="2"/>
  <c r="S16" i="2"/>
  <c r="S15" i="2"/>
  <c r="S14" i="2"/>
  <c r="S13" i="2"/>
  <c r="S12" i="2"/>
  <c r="S11" i="2"/>
  <c r="S10" i="2"/>
  <c r="S9" i="2"/>
  <c r="S8" i="2"/>
  <c r="S7" i="2"/>
  <c r="S6" i="2"/>
  <c r="S4" i="2"/>
  <c r="S3" i="2"/>
  <c r="S2" i="2"/>
  <c r="S5" i="2"/>
  <c r="AD4" i="2" l="1"/>
  <c r="AD8" i="2"/>
  <c r="AD7" i="2"/>
  <c r="AH2" i="2" l="1"/>
  <c r="AG2" i="2"/>
  <c r="AD2" i="2"/>
  <c r="AD20" i="2"/>
  <c r="AG10" i="2" l="1"/>
  <c r="AD10" i="2"/>
  <c r="B7" i="4"/>
  <c r="B2" i="4"/>
  <c r="B16" i="2" l="1"/>
  <c r="AD9" i="2"/>
  <c r="H30" i="2" l="1"/>
  <c r="I3" i="1" s="1"/>
  <c r="AH4" i="2" l="1"/>
  <c r="I48" i="2" s="1"/>
  <c r="H16" i="1" s="1"/>
  <c r="AH3" i="2"/>
  <c r="G7" i="2"/>
  <c r="G6" i="2"/>
  <c r="G5" i="2"/>
  <c r="G4" i="2"/>
  <c r="G3" i="2"/>
  <c r="G2" i="2"/>
  <c r="H2" i="2" s="1"/>
  <c r="AG18" i="2"/>
  <c r="AG17" i="2"/>
  <c r="AD19" i="2"/>
  <c r="AD18" i="2"/>
  <c r="AD17" i="2"/>
  <c r="AD16" i="2"/>
  <c r="AD11" i="2"/>
  <c r="AD6" i="2"/>
  <c r="AD13" i="2"/>
  <c r="AD3" i="2"/>
  <c r="H7" i="2" l="1"/>
  <c r="G21" i="2" s="1"/>
  <c r="H6" i="2"/>
  <c r="G26" i="2" s="1"/>
  <c r="H5" i="2"/>
  <c r="G24" i="2" s="1"/>
  <c r="H4" i="2"/>
  <c r="H3" i="2"/>
  <c r="G22" i="2" s="1"/>
  <c r="G23" i="2" l="1"/>
  <c r="G18" i="2" s="1"/>
  <c r="G25" i="2"/>
  <c r="G17" i="2" s="1"/>
  <c r="V14" i="2"/>
  <c r="V8" i="2"/>
  <c r="V15" i="2"/>
  <c r="V5" i="2"/>
  <c r="V7" i="2"/>
  <c r="U8" i="2"/>
  <c r="U15" i="2"/>
  <c r="T14" i="2"/>
  <c r="U14" i="2"/>
  <c r="T15" i="2"/>
  <c r="U7" i="2"/>
  <c r="T5" i="2"/>
  <c r="T7" i="2"/>
  <c r="T8" i="2"/>
  <c r="U5" i="2"/>
  <c r="V20" i="2"/>
  <c r="V2" i="2"/>
  <c r="T2" i="2"/>
  <c r="U20" i="2"/>
  <c r="U2" i="2"/>
  <c r="T20" i="2"/>
  <c r="U10" i="2"/>
  <c r="U12" i="2"/>
  <c r="V10" i="2"/>
  <c r="V12" i="2"/>
  <c r="T12" i="2"/>
  <c r="V9" i="2"/>
  <c r="T10" i="2"/>
  <c r="U9" i="2"/>
  <c r="T9" i="2"/>
  <c r="G8" i="1"/>
  <c r="H8" i="1" s="1"/>
  <c r="G7" i="1"/>
  <c r="H7" i="1" s="1"/>
  <c r="G6" i="1"/>
  <c r="H6" i="1" s="1"/>
  <c r="G5" i="1"/>
  <c r="H5" i="1" s="1"/>
  <c r="J5" i="1" s="1"/>
  <c r="G4" i="1"/>
  <c r="H4" i="1" s="1"/>
  <c r="G3" i="1"/>
  <c r="H3" i="1" s="1"/>
  <c r="V11" i="2"/>
  <c r="V3" i="2"/>
  <c r="V17" i="2"/>
  <c r="V21" i="2"/>
  <c r="V18" i="2"/>
  <c r="V16" i="2"/>
  <c r="V19" i="2"/>
  <c r="V6" i="2"/>
  <c r="V13" i="2"/>
  <c r="V4" i="2"/>
  <c r="U13" i="2"/>
  <c r="U11" i="2"/>
  <c r="U19" i="2"/>
  <c r="U16" i="2"/>
  <c r="U4" i="2"/>
  <c r="U18" i="2"/>
  <c r="U3" i="2"/>
  <c r="U21" i="2"/>
  <c r="U6" i="2"/>
  <c r="U17" i="2"/>
  <c r="T4" i="2"/>
  <c r="T3" i="2"/>
  <c r="T13" i="2"/>
  <c r="T18" i="2"/>
  <c r="T11" i="2"/>
  <c r="T16" i="2"/>
  <c r="T6" i="2"/>
  <c r="T17" i="2"/>
  <c r="T19" i="2"/>
  <c r="I41" i="2" l="1"/>
  <c r="I43" i="2" s="1"/>
  <c r="C9" i="1" s="1"/>
  <c r="I44" i="2"/>
  <c r="I46" i="2" s="1"/>
  <c r="C7" i="1" s="1"/>
  <c r="I38" i="2"/>
  <c r="I40" i="2" s="1"/>
  <c r="C8" i="1" s="1"/>
  <c r="G19" i="2"/>
  <c r="G15" i="2" s="1"/>
  <c r="AC13" i="2" s="1"/>
  <c r="G16" i="2"/>
  <c r="AF16" i="2" s="1"/>
  <c r="AF15" i="2" l="1"/>
  <c r="AF17" i="2"/>
  <c r="AF9" i="2"/>
  <c r="AF10" i="2"/>
  <c r="AF13" i="2"/>
  <c r="AF19" i="2"/>
  <c r="AC7" i="2"/>
  <c r="AF14" i="2"/>
  <c r="AC10" i="2"/>
  <c r="AC21" i="2"/>
  <c r="AC11" i="2"/>
  <c r="AF2" i="2"/>
  <c r="AC6" i="2"/>
  <c r="AF5" i="2"/>
  <c r="AC12" i="2"/>
  <c r="AC19" i="2"/>
  <c r="AC16" i="2"/>
  <c r="AC9" i="2"/>
  <c r="AC17" i="2"/>
  <c r="AF11" i="2"/>
  <c r="AC14" i="2"/>
  <c r="AC5" i="2"/>
  <c r="AF6" i="2"/>
  <c r="AC15" i="2"/>
  <c r="AC2" i="2"/>
  <c r="AF18" i="2"/>
  <c r="AE20" i="2"/>
  <c r="AE12" i="2"/>
  <c r="AE5" i="2"/>
  <c r="AB13" i="2"/>
  <c r="AE21" i="2"/>
  <c r="AE6" i="2"/>
  <c r="AE19" i="2"/>
  <c r="AE11" i="2"/>
  <c r="AE4" i="2"/>
  <c r="AE9" i="2"/>
  <c r="AB17" i="2"/>
  <c r="AE14" i="2"/>
  <c r="AB18" i="2"/>
  <c r="AE18" i="2"/>
  <c r="AE10" i="2"/>
  <c r="AE3" i="2"/>
  <c r="AE16" i="2"/>
  <c r="AB20" i="2"/>
  <c r="AE7" i="2"/>
  <c r="AE13" i="2"/>
  <c r="AB4" i="2"/>
  <c r="AE17" i="2"/>
  <c r="AE2" i="2"/>
  <c r="AE8" i="2"/>
  <c r="AB10" i="2"/>
  <c r="AB8" i="2"/>
  <c r="AE15" i="2"/>
  <c r="AC3" i="2"/>
  <c r="AB16" i="2"/>
  <c r="AB6" i="2"/>
  <c r="AB3" i="2"/>
  <c r="AB11" i="2"/>
  <c r="AB19" i="2"/>
  <c r="AB15" i="2"/>
  <c r="AB5" i="2"/>
  <c r="AB14" i="2"/>
  <c r="AB21" i="2"/>
  <c r="AB9" i="2"/>
  <c r="AB2" i="2"/>
  <c r="AB12" i="2"/>
  <c r="AB7" i="2"/>
  <c r="AC20" i="2"/>
  <c r="AF3" i="2"/>
  <c r="AF7" i="2"/>
  <c r="AF4" i="2"/>
  <c r="I13" i="1" s="1"/>
  <c r="AC18" i="2"/>
  <c r="AF8" i="2"/>
  <c r="AF20" i="2"/>
  <c r="AF21" i="2"/>
  <c r="AF12" i="2"/>
  <c r="AC4" i="2"/>
  <c r="AC8" i="2"/>
  <c r="J11" i="1"/>
  <c r="J13" i="1"/>
  <c r="C14" i="1"/>
  <c r="G13" i="2"/>
  <c r="G14" i="2" s="1"/>
  <c r="Q24" i="1" s="1"/>
  <c r="G11" i="2"/>
  <c r="X11" i="2" s="1"/>
  <c r="I11" i="1" l="1"/>
  <c r="H11" i="1"/>
  <c r="H13" i="1"/>
  <c r="AA17" i="2"/>
  <c r="AA11" i="2"/>
  <c r="AA12" i="2"/>
  <c r="AA7" i="2"/>
  <c r="AA21" i="2"/>
  <c r="AA14" i="2"/>
  <c r="AA5" i="2"/>
  <c r="AA9" i="2"/>
  <c r="AA15" i="2"/>
  <c r="AA3" i="2"/>
  <c r="AA6" i="2"/>
  <c r="AA16" i="2"/>
  <c r="AA2" i="2"/>
  <c r="AA10" i="2"/>
  <c r="AA19" i="2"/>
  <c r="AA20" i="2"/>
  <c r="AA8" i="2"/>
  <c r="AA18" i="2"/>
  <c r="AA13" i="2"/>
  <c r="AA4" i="2"/>
  <c r="X5" i="2"/>
  <c r="X19" i="2"/>
  <c r="X4" i="2"/>
  <c r="X14" i="2"/>
  <c r="X17" i="2"/>
  <c r="X21" i="2"/>
  <c r="C12" i="1" s="1"/>
  <c r="X18" i="2"/>
  <c r="X10" i="2"/>
  <c r="X6" i="2"/>
  <c r="X9" i="2"/>
  <c r="X8" i="2"/>
  <c r="X13" i="2"/>
  <c r="X12" i="2"/>
  <c r="X7" i="2"/>
  <c r="X2" i="2"/>
  <c r="X20" i="2"/>
  <c r="X15" i="2"/>
  <c r="X3" i="2"/>
  <c r="X16" i="2"/>
  <c r="C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 Patterson</author>
    <author>Windows User</author>
  </authors>
  <commentList>
    <comment ref="F2" authorId="0" shapeId="0" xr:uid="{00000000-0006-0000-0000-000001000000}">
      <text>
        <r>
          <rPr>
            <b/>
            <sz val="9"/>
            <color indexed="81"/>
            <rFont val="Tahoma"/>
            <family val="2"/>
          </rPr>
          <t>Remember: You cannot use your class' +2 ability score bonus on the same ability as your race's +2 ability score bonus. In other words, you can't get +4 to a single ability.</t>
        </r>
      </text>
    </comment>
    <comment ref="H2" authorId="0" shapeId="0" xr:uid="{00000000-0006-0000-0000-000002000000}">
      <text>
        <r>
          <rPr>
            <b/>
            <sz val="9"/>
            <color indexed="81"/>
            <rFont val="Tahoma"/>
            <family val="2"/>
          </rPr>
          <t>This value should be used for Skill Checks.</t>
        </r>
      </text>
    </comment>
    <comment ref="I2" authorId="0" shapeId="0" xr:uid="{00000000-0006-0000-0000-000003000000}">
      <text>
        <r>
          <rPr>
            <b/>
            <sz val="9"/>
            <color indexed="81"/>
            <rFont val="Tahoma"/>
            <family val="2"/>
          </rPr>
          <t>This comes from the Incremental Advance "Skills +1". This should be added to all skill checks.</t>
        </r>
      </text>
    </comment>
    <comment ref="Q9" authorId="0" shapeId="0" xr:uid="{00000000-0006-0000-0000-000004000000}">
      <text>
        <r>
          <rPr>
            <b/>
            <sz val="9"/>
            <color indexed="81"/>
            <rFont val="Tahoma"/>
            <family val="2"/>
          </rPr>
          <t xml:space="preserve">Include your bonuses from Feats, Magic Items, Powers, and Talents.
</t>
        </r>
      </text>
    </comment>
    <comment ref="Q10" authorId="0" shapeId="0" xr:uid="{00000000-0006-0000-0000-000005000000}">
      <text>
        <r>
          <rPr>
            <b/>
            <sz val="9"/>
            <color indexed="81"/>
            <rFont val="Tahoma"/>
            <family val="2"/>
          </rPr>
          <t xml:space="preserve">Enter in your weapon die as "d6" or "d8" for example. Or leave it as "[W]"
</t>
        </r>
      </text>
    </comment>
    <comment ref="Q11" authorId="0" shapeId="0" xr:uid="{00000000-0006-0000-0000-000006000000}">
      <text>
        <r>
          <rPr>
            <b/>
            <sz val="9"/>
            <color indexed="81"/>
            <rFont val="Tahoma"/>
            <family val="2"/>
          </rPr>
          <t xml:space="preserve">Enter in your weapon die as "d6" or "d8" for example. Or leave it as "[W]"
</t>
        </r>
      </text>
    </comment>
    <comment ref="L12" authorId="1" shapeId="0" xr:uid="{00000000-0006-0000-0000-000007000000}">
      <text>
        <r>
          <rPr>
            <b/>
            <sz val="9"/>
            <color indexed="81"/>
            <rFont val="Tahoma"/>
            <family val="2"/>
          </rPr>
          <t>This is only relevant to multiclassing characters.
The key modifier table is on page 107 of the 13 True Ways Book.</t>
        </r>
      </text>
    </comment>
    <comment ref="I15" authorId="0" shapeId="0" xr:uid="{00000000-0006-0000-0000-000008000000}">
      <text>
        <r>
          <rPr>
            <b/>
            <sz val="9"/>
            <color indexed="81"/>
            <rFont val="Tahoma"/>
            <family val="2"/>
          </rPr>
          <t>Ignore this if you are not a multiclass character.</t>
        </r>
      </text>
    </comment>
    <comment ref="E16" authorId="0" shapeId="0" xr:uid="{00000000-0006-0000-0000-000009000000}">
      <text>
        <r>
          <rPr>
            <b/>
            <sz val="9"/>
            <color indexed="81"/>
            <rFont val="Tahoma"/>
            <family val="2"/>
          </rPr>
          <t xml:space="preserve">Non-multiclass characters use the attack penalty listed in "1st Class."
Multiclass characters who use an ability arising from a specific class suffer the attack penalty for that class.  Example, a Fighter/Wizard would take the Wizard's attack penalty for any Wizard spells, and the Fighter's attack penalty for melee attacks.  See the second column of page 105 of the 13 True Ways book for more information.
This sheet displays the attack penalty for your first selected Class (C3) under "1st Class" and your second selected class (c6) under "2nd Class."
Multiclass characters need to keep these separate attack penalties in mind when using various abilities.
</t>
        </r>
      </text>
    </comment>
    <comment ref="Q24" authorId="0" shapeId="0" xr:uid="{00000000-0006-0000-0000-00000A000000}">
      <text>
        <r>
          <rPr>
            <b/>
            <sz val="9"/>
            <color indexed="81"/>
            <rFont val="Tahoma"/>
            <family val="2"/>
          </rPr>
          <t>Ex. Change this field to "d12". Once you do this, it will no longer automatically update for class changes.</t>
        </r>
      </text>
    </comment>
    <comment ref="Q25" authorId="0" shapeId="0" xr:uid="{00000000-0006-0000-0000-00000B000000}">
      <text>
        <r>
          <rPr>
            <b/>
            <sz val="9"/>
            <color indexed="81"/>
            <rFont val="Tahoma"/>
            <family val="2"/>
          </rPr>
          <t>Some talents remove the attack penalty for wearing heavy armor and shields. 
Set this to "Yes" if your heavy armor and shield penalties should be removed.</t>
        </r>
      </text>
    </comment>
    <comment ref="L31" authorId="0" shapeId="0" xr:uid="{00000000-0006-0000-0000-00000C000000}">
      <text>
        <r>
          <rPr>
            <b/>
            <sz val="9"/>
            <color indexed="81"/>
            <rFont val="Tahoma"/>
            <family val="2"/>
          </rPr>
          <t>Selecting your Armor Type changes your AC and Attack Penalty accordingly.</t>
        </r>
      </text>
    </comment>
    <comment ref="L32" authorId="0" shapeId="0" xr:uid="{00000000-0006-0000-0000-00000D000000}">
      <text>
        <r>
          <rPr>
            <b/>
            <sz val="9"/>
            <color indexed="81"/>
            <rFont val="Tahoma"/>
            <family val="2"/>
          </rPr>
          <t>Selecting whether you have a Shield will change your AC and Attack Penalty appropriately.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 Patterson</author>
  </authors>
  <commentList>
    <comment ref="B1" authorId="0" shapeId="0" xr:uid="{00000000-0006-0000-0100-000001000000}">
      <text>
        <r>
          <rPr>
            <b/>
            <sz val="9"/>
            <color indexed="81"/>
            <rFont val="Tahoma"/>
            <family val="2"/>
          </rPr>
          <t xml:space="preserve">To remove the automatic color coding based on power frequency:
1. Click on Review-&gt;Unprotect Sheet
2. Click on Home-&gt;Conditional Formatting-&gt;Clear Rules-&gt;Clear Rules from Entire Sheet
</t>
        </r>
      </text>
    </comment>
  </commentList>
</comments>
</file>

<file path=xl/sharedStrings.xml><?xml version="1.0" encoding="utf-8"?>
<sst xmlns="http://schemas.openxmlformats.org/spreadsheetml/2006/main" count="511" uniqueCount="291">
  <si>
    <t>Name:</t>
  </si>
  <si>
    <t>Race:</t>
  </si>
  <si>
    <t>Class:</t>
  </si>
  <si>
    <t>Level:</t>
  </si>
  <si>
    <t>Recovery Roll</t>
  </si>
  <si>
    <t>One Unique Thing</t>
  </si>
  <si>
    <t>Racial Power</t>
  </si>
  <si>
    <t>Attack</t>
  </si>
  <si>
    <t>Hit</t>
  </si>
  <si>
    <t>Miss</t>
  </si>
  <si>
    <t>Powers &amp; Spells</t>
  </si>
  <si>
    <t>Icon Relationships</t>
  </si>
  <si>
    <t>Equipment</t>
  </si>
  <si>
    <t>Backgrounds</t>
  </si>
  <si>
    <t>Magic Items</t>
  </si>
  <si>
    <t>Feats</t>
  </si>
  <si>
    <t>Class Features</t>
  </si>
  <si>
    <t>Talents</t>
  </si>
  <si>
    <t>Barbarian</t>
  </si>
  <si>
    <t>Bard</t>
  </si>
  <si>
    <t>Cleric</t>
  </si>
  <si>
    <t>Fighter</t>
  </si>
  <si>
    <t>Monk</t>
  </si>
  <si>
    <t>Paladin</t>
  </si>
  <si>
    <t>Ranger</t>
  </si>
  <si>
    <t>Rogue</t>
  </si>
  <si>
    <t>Sorcerer</t>
  </si>
  <si>
    <t>Wizard</t>
  </si>
  <si>
    <t>Human</t>
  </si>
  <si>
    <t>Dwarf</t>
  </si>
  <si>
    <t>Half-Orc</t>
  </si>
  <si>
    <t>Dark Elf</t>
  </si>
  <si>
    <t>High Elf</t>
  </si>
  <si>
    <t>Wood Elf</t>
  </si>
  <si>
    <t>Gnome</t>
  </si>
  <si>
    <t>Half-Elf</t>
  </si>
  <si>
    <t>Halfing</t>
  </si>
  <si>
    <t>Dragonic</t>
  </si>
  <si>
    <t>Holy One</t>
  </si>
  <si>
    <t>Forgeborn</t>
  </si>
  <si>
    <t>Tiefling</t>
  </si>
  <si>
    <t>Level</t>
  </si>
  <si>
    <t>AC</t>
  </si>
  <si>
    <t>Abilities</t>
  </si>
  <si>
    <t>Str</t>
  </si>
  <si>
    <t>Con</t>
  </si>
  <si>
    <t>Dex</t>
  </si>
  <si>
    <t>Int</t>
  </si>
  <si>
    <t>Wis</t>
  </si>
  <si>
    <t>Cha</t>
  </si>
  <si>
    <t>PD</t>
  </si>
  <si>
    <t>MD</t>
  </si>
  <si>
    <t>HP</t>
  </si>
  <si>
    <t>Recoveries</t>
  </si>
  <si>
    <t>Recovery Die</t>
  </si>
  <si>
    <t>Melee Atk</t>
  </si>
  <si>
    <t>Melee Hit</t>
  </si>
  <si>
    <t>Melee Miss</t>
  </si>
  <si>
    <t>Ranged Atk</t>
  </si>
  <si>
    <t>Race</t>
  </si>
  <si>
    <t>Racial Ability</t>
  </si>
  <si>
    <t>Mod</t>
  </si>
  <si>
    <t>Armor</t>
  </si>
  <si>
    <t>None</t>
  </si>
  <si>
    <t>Light</t>
  </si>
  <si>
    <t>Heavy</t>
  </si>
  <si>
    <t>Yes</t>
  </si>
  <si>
    <t>No</t>
  </si>
  <si>
    <t>Base None</t>
  </si>
  <si>
    <t>Base Light</t>
  </si>
  <si>
    <t>Base Heavy</t>
  </si>
  <si>
    <t>Shield Mod</t>
  </si>
  <si>
    <t>Base AC</t>
  </si>
  <si>
    <t>Lvl</t>
  </si>
  <si>
    <t>HP multiplier</t>
  </si>
  <si>
    <t>Class HP Mod</t>
  </si>
  <si>
    <t>str</t>
  </si>
  <si>
    <t>con</t>
  </si>
  <si>
    <t>dex</t>
  </si>
  <si>
    <t>int</t>
  </si>
  <si>
    <t>wis</t>
  </si>
  <si>
    <t>cha</t>
  </si>
  <si>
    <t>Ranged Hit</t>
  </si>
  <si>
    <t>Ranged Miss</t>
  </si>
  <si>
    <t>Recov Modifier</t>
  </si>
  <si>
    <t>None Atk Penalty</t>
  </si>
  <si>
    <t>Light Atk Penalty</t>
  </si>
  <si>
    <t>Heavy Atk Penlaty</t>
  </si>
  <si>
    <t>Shield Atk Penalty</t>
  </si>
  <si>
    <t>Current HP:</t>
  </si>
  <si>
    <t>Save Bonus</t>
  </si>
  <si>
    <t>Max HP:</t>
  </si>
  <si>
    <t>Current Recov:</t>
  </si>
  <si>
    <t>Max Recov:</t>
  </si>
  <si>
    <t>Mod+Lvl</t>
  </si>
  <si>
    <t>Abil</t>
  </si>
  <si>
    <t>Recovery Roll:</t>
  </si>
  <si>
    <t>GP:</t>
  </si>
  <si>
    <t>Armor:</t>
  </si>
  <si>
    <t>Armor Type:</t>
  </si>
  <si>
    <t>Shield:</t>
  </si>
  <si>
    <t>Shield?:</t>
  </si>
  <si>
    <t>Incremental Advances</t>
  </si>
  <si>
    <t>Melee:</t>
  </si>
  <si>
    <t>Basic Attacks</t>
  </si>
  <si>
    <t xml:space="preserve">Ranged:  </t>
  </si>
  <si>
    <t>Attack Penalty Armor</t>
  </si>
  <si>
    <t>AC:</t>
  </si>
  <si>
    <t>PD:</t>
  </si>
  <si>
    <t>MD:</t>
  </si>
  <si>
    <t>Max Recoveries:</t>
  </si>
  <si>
    <t>Recovery Die:</t>
  </si>
  <si>
    <t>HP Incidental</t>
  </si>
  <si>
    <t>Skill Check Bonus</t>
  </si>
  <si>
    <t>Stat Bonuses</t>
  </si>
  <si>
    <t>Melee Weapon Attack:</t>
  </si>
  <si>
    <t>Melee Weapon Damage:</t>
  </si>
  <si>
    <t>Ranged Weapon Attack:</t>
  </si>
  <si>
    <t>Ranged Weapon Damage:</t>
  </si>
  <si>
    <t>NOTE: When printing, only print page 1. No sense printing this page.</t>
  </si>
  <si>
    <t>Quick to Fight: Roll Initiative Twice and choose result you want.
+2 to any ability score; Bonus Feat at 1st Level.</t>
  </si>
  <si>
    <t>That's Your Best Shot?: 1/battle free action after hit by attack can use recovery. If Esc &lt; 2 half recovery
+2 Con OR +2 Wis</t>
  </si>
  <si>
    <t>Lethal: 1/battle reroll melee attack and use roll you prefer as result
+2 Str OR +2 Dex</t>
  </si>
  <si>
    <t>Highblood Teleport: 1/battle as move action place self in a nearby location you can see.
+2 Int OR +2 Cha</t>
  </si>
  <si>
    <t>Surprising: 1/battle subtract one from natural result of one of your d20 rolls.
+2 Con OR +2 Cha</t>
  </si>
  <si>
    <t>Evasive: 1/battle force enemy that hits you with attack to reroll attack with -2 penalty
+2 Con OR +2 Dex              +2 AC vs Opp Attacks</t>
  </si>
  <si>
    <t>Breath Weapon: 1/battle close quarters breath weapon attack as quick action using highest ability score against one enemy's PD. On hit deal 1d6 dam per lvl of appropriate dam type.
+2 Str Or +2 Cha</t>
  </si>
  <si>
    <t>Halo: 1/battle as free action during turn gain +2 bonus to all defenses until hit by an attack or battle ends.
+2 Wis OR +2 Cha</t>
  </si>
  <si>
    <t>Never Say Die: Whenever drop below 0hp, roll normal save if you have recovery available. On 11+ stay on feet and use recovery. Add recovery to 0hp to determine result HP
+2 Str OR +2 Con</t>
  </si>
  <si>
    <t>Curse of Chaos: 1/battle as free action when nearby enemy rolls natural 1-5 on attack or save, turn roll into natural 1 and improvise a further curse.
+2 Str OR +2 Int</t>
  </si>
  <si>
    <t>Type</t>
  </si>
  <si>
    <t>Action</t>
  </si>
  <si>
    <t>Frequency</t>
  </si>
  <si>
    <t>Power:</t>
  </si>
  <si>
    <t>Type:</t>
  </si>
  <si>
    <t>Action:</t>
  </si>
  <si>
    <t>Frequency:</t>
  </si>
  <si>
    <t>Target:</t>
  </si>
  <si>
    <t>Attack:</t>
  </si>
  <si>
    <t>Hit:</t>
  </si>
  <si>
    <t>Miss:</t>
  </si>
  <si>
    <t>Notes:</t>
  </si>
  <si>
    <t>Power Cards</t>
  </si>
  <si>
    <t>Melee</t>
  </si>
  <si>
    <t>Ranged</t>
  </si>
  <si>
    <t>Close</t>
  </si>
  <si>
    <t>Interrupt</t>
  </si>
  <si>
    <t>Free</t>
  </si>
  <si>
    <t>Quick</t>
  </si>
  <si>
    <t>Move</t>
  </si>
  <si>
    <t>Standard</t>
  </si>
  <si>
    <t>At-Will</t>
  </si>
  <si>
    <t>Per Battle</t>
  </si>
  <si>
    <t>Recharge</t>
  </si>
  <si>
    <t>Daily</t>
  </si>
  <si>
    <t>Recharge Cond:</t>
  </si>
  <si>
    <t>Initiative:</t>
  </si>
  <si>
    <t>Initiative Bonus:</t>
  </si>
  <si>
    <t>Kobold</t>
  </si>
  <si>
    <t>Minotaur</t>
  </si>
  <si>
    <t>Wotan's Wisdom: Once per battle you may re-roll a natural even attack roll, or natural even skill check.
+2 Int OR +2 Wis</t>
  </si>
  <si>
    <t>Ravenfolk</t>
  </si>
  <si>
    <t>Set Trap: 1/battle as quick action: 1) prevent one creature from taking a move action, 2) give one creature a -2 to hit for one turn, OR 3) add 1d4 damage to ally's attack (hit or miss).
+2 Int OR +2 Dex</t>
  </si>
  <si>
    <t>Elven Grace: At start of each turn roll die. If result equal or lower than Esc Die receive extra standard action. Start with d6. Each success increase die size. d6-&gt;d8-&gt;d10-&gt;d12-&gt;d20-&gt;auto fail
+2 Dex OR +2 Wis</t>
  </si>
  <si>
    <t>Eldritch Knight</t>
  </si>
  <si>
    <t>Eliminate Attack Penalty?</t>
  </si>
  <si>
    <t>Access to Magic; Warrior's Skill; +2 Str OR +2 Dex OR +2 Int</t>
  </si>
  <si>
    <t>Barbarian Rage; +2 Str OR +2 Con</t>
  </si>
  <si>
    <t>Bardic Songs; Battle Cries; Spells; +2 Dex or +2 Cha</t>
  </si>
  <si>
    <t>Heal; Ritual Magic; +2 Str OR +2 Wis</t>
  </si>
  <si>
    <t>Extra Tough; Threatening; +2 Str OR +2 Con</t>
  </si>
  <si>
    <t>Smite Evil; +2 Str OR +2 Cha</t>
  </si>
  <si>
    <t>Momentum; Sneak Attack; Trap Sense; +2 Dex OR +2 Cha</t>
  </si>
  <si>
    <t>Access to Wizardry; Breath Weapon; Chain; Dancing Lights; Gather Power; Random Energy; +2 Con OR +2 Cha</t>
  </si>
  <si>
    <t>Cantrips (Alarm, Arcane Mark, Ghost Sound, Knock, Light, Mage Hand, Mending, Prestidigitation, Spark)
Cyclic Spells; Overworld Advantage; +2 Int OR +2 Wis</t>
  </si>
  <si>
    <t>Blood Frenzy: At-will you can sacrifice 1d6 hit points to gain a +4 melee attack bonus against a staggered enemy.
+2 Str or +2 Con</t>
  </si>
  <si>
    <t>Melee Weapon Die:</t>
  </si>
  <si>
    <t>Ranged Weapon Die:</t>
  </si>
  <si>
    <t>[W]</t>
  </si>
  <si>
    <t>Elementalist</t>
  </si>
  <si>
    <t>Elemental Bond; Elemental Manipulation; +2 Str, +2 Dex, or +2 Wis</t>
  </si>
  <si>
    <t>Mindweaver</t>
  </si>
  <si>
    <t>Serentiy; Mind Over Matter; +2 Cha OR +2 Wis</t>
  </si>
  <si>
    <t>Thief</t>
  </si>
  <si>
    <t>Steal; Ruse; Guile; Poison; Sneak Attack; Sneaky Bastard; 
+2 Dex OR +2 Int</t>
  </si>
  <si>
    <t>Alchemist</t>
  </si>
  <si>
    <t>Gnoll</t>
  </si>
  <si>
    <t>Cull the Weak: 1/battle when hit staggered enemy with natural odd roll, deal damage or other effects as a crit; 
+2 Con OR +2 Dex</t>
  </si>
  <si>
    <t>Goblin</t>
  </si>
  <si>
    <t>Shifty Bugger: +5 to disengage checks
Razormouth: Can bite for melee atk (d3 damage); Can survive on most organic matter.      +2 AC v Opp Atks
+2 Dex OR +2 Wis</t>
  </si>
  <si>
    <t>Goliath</t>
  </si>
  <si>
    <t>Stone Skin: 1/battle (free), resist 12+ all damage until hit. If hit can spend recovery to sustain next turn.
Destruct Force (Alternate): 1/battle after hit increase damage die one step for all damage.                  +2 Str OR +2 Con</t>
  </si>
  <si>
    <t>Formulae; Elemental Damage; Schooling; Path to Perfection; 
+2 Int OR +2 Dex</t>
  </si>
  <si>
    <t>Hobgoblin</t>
  </si>
  <si>
    <t>Disciplined: 1/battle, after faileed save, may reroll save with +5 bonus.
+2 Con OR +2 Cha</t>
  </si>
  <si>
    <t>Vanara</t>
  </si>
  <si>
    <t>Gifted Athlete: 2/day may re-roll background check involving climbing, jumping, or balancing and keep the best result.
+2 Int OR +2 Dex</t>
  </si>
  <si>
    <t>Melee Miss Damage:</t>
  </si>
  <si>
    <t>Ranged Miss Damage:</t>
  </si>
  <si>
    <t>Chaos Mage</t>
  </si>
  <si>
    <t>Commander</t>
  </si>
  <si>
    <t>Druid</t>
  </si>
  <si>
    <t>Necromancer</t>
  </si>
  <si>
    <t>Occultist</t>
  </si>
  <si>
    <t>Delayed Magical Healing; Rebuke; Focus ; +2 Int OR +2 Wis</t>
  </si>
  <si>
    <t>Death's Master; Summong; Wasting Away; +2 Int OR +2 Cha</t>
  </si>
  <si>
    <t>Backhand, Fist &amp; Kick Attacks; Forms; Ki; Seven Deadly Secrets; +2 Dex OR +2 Wis</t>
  </si>
  <si>
    <t>Druidic Summong; Initiate or Adept?; Nature Talking; Wilderness Survival; +2 Str, +2 Dex OR +2 Wis</t>
  </si>
  <si>
    <t>Command; Fight from the Front; Weigh the Odds; Tactics; +2 Str OR +2 Cha</t>
  </si>
  <si>
    <t>Magic Categories; High Weirdness; +2 Int OR +2 Cha</t>
  </si>
  <si>
    <t>Multiclass:</t>
  </si>
  <si>
    <t>Barbarian(M)</t>
  </si>
  <si>
    <t>Bard(M)</t>
  </si>
  <si>
    <t>Chaos Mage(M)</t>
  </si>
  <si>
    <t>Cleric(M)</t>
  </si>
  <si>
    <t>Commander(M)</t>
  </si>
  <si>
    <t>Druid(M)</t>
  </si>
  <si>
    <t>Fighter(M)</t>
  </si>
  <si>
    <t>Monk(M)</t>
  </si>
  <si>
    <t>Necromancer(M)</t>
  </si>
  <si>
    <t>Occultist(M)</t>
  </si>
  <si>
    <t>Paladin(M)</t>
  </si>
  <si>
    <t>Ranger(M)</t>
  </si>
  <si>
    <t>Rogue(M)</t>
  </si>
  <si>
    <t>Sorcerer(M)</t>
  </si>
  <si>
    <t>Wizard(M)</t>
  </si>
  <si>
    <t>Multiclass Bullshit</t>
  </si>
  <si>
    <t>HP Mod for Second Class</t>
  </si>
  <si>
    <t>Recovery Dice for Second Class</t>
  </si>
  <si>
    <t>Multiclass Recovery</t>
  </si>
  <si>
    <t>Final Die</t>
  </si>
  <si>
    <t>Key Ability 1</t>
  </si>
  <si>
    <t>Key Ability 2</t>
  </si>
  <si>
    <t>Key Modifier</t>
  </si>
  <si>
    <t>STR</t>
  </si>
  <si>
    <t>DEX</t>
  </si>
  <si>
    <t>Key Abilities</t>
  </si>
  <si>
    <t>First Ability</t>
  </si>
  <si>
    <t>Second Ability</t>
  </si>
  <si>
    <t>Multiclass Continued</t>
  </si>
  <si>
    <t>First PD</t>
  </si>
  <si>
    <t>Second PD</t>
  </si>
  <si>
    <t>First MD</t>
  </si>
  <si>
    <t>Second MD</t>
  </si>
  <si>
    <t>First AC</t>
  </si>
  <si>
    <t>Second AC</t>
  </si>
  <si>
    <t>First Class Attack Penalty</t>
  </si>
  <si>
    <t>Second Class Attack Penalty</t>
  </si>
  <si>
    <t>Armor Atk Penalty</t>
  </si>
  <si>
    <t>2nd Class</t>
  </si>
  <si>
    <t>1st Class</t>
  </si>
  <si>
    <t>Found the identity of The Prince of Shadows but mouth was bound as to not let anyone else find his true identity</t>
  </si>
  <si>
    <t>Negative - Prince of Shadows</t>
  </si>
  <si>
    <t>Disguise Self</t>
  </si>
  <si>
    <t>Self</t>
  </si>
  <si>
    <t>Magical Disguise lasting 10 minutes. Only affects general appearance. Using it to impersonate a specific creature make it less effective as a disguise</t>
  </si>
  <si>
    <t>Acid Arrow</t>
  </si>
  <si>
    <t>One nearby or far away creature</t>
  </si>
  <si>
    <t>4d10 acid + 5 ongoing acid</t>
  </si>
  <si>
    <t>Intelligence + Level vs. PD</t>
  </si>
  <si>
    <t>5 ongoing and regained in next quick rest</t>
  </si>
  <si>
    <t>Color Spray</t>
  </si>
  <si>
    <t>Cyclic (1/battle or at-will if ESC is even)</t>
  </si>
  <si>
    <t>1d4 nearby enemies in a group</t>
  </si>
  <si>
    <t>2d8 psychic+weakened if target hp &lt; 10 after</t>
  </si>
  <si>
    <t>Ray of Frost</t>
  </si>
  <si>
    <t>One nearby enemy</t>
  </si>
  <si>
    <t>intelligence + Level vs. PD</t>
  </si>
  <si>
    <t>3d6 Cold</t>
  </si>
  <si>
    <t>Damage equal to level</t>
  </si>
  <si>
    <t>Abjuration - +4 AC when a daily spell is cast until the end of next turn</t>
  </si>
  <si>
    <t>Evocation - 1/battle with a spell against PD, use quick action &amp; max damage dice, 1 = no damage</t>
  </si>
  <si>
    <t>d4</t>
  </si>
  <si>
    <t>Seakul Mineshadow</t>
  </si>
  <si>
    <t>Shield</t>
  </si>
  <si>
    <t>11+ after battle</t>
  </si>
  <si>
    <t>Attacker</t>
  </si>
  <si>
    <t>Must reroll attack</t>
  </si>
  <si>
    <t>Wizarding Apprentice of the tower of the shining ocean + 4</t>
  </si>
  <si>
    <t>Wizard's Familiar</t>
  </si>
  <si>
    <t>Wizard's Familiar - Poisonous, Scout, Talkative</t>
  </si>
  <si>
    <t>Wizard Fighter for the Imperial Army +2</t>
  </si>
  <si>
    <t>Dispell a curse +2</t>
  </si>
  <si>
    <t>Positive - Emporer</t>
  </si>
  <si>
    <t>Positive - Archmage</t>
  </si>
  <si>
    <t>Fur Top - +1 hp when using a recovery "Itchy Jeff"</t>
  </si>
  <si>
    <t>37 + SP: 50</t>
  </si>
  <si>
    <t>Intelligence + Level vs MD</t>
  </si>
  <si>
    <t>100g of Residuum</t>
  </si>
  <si>
    <t>Powdered Blood</t>
  </si>
  <si>
    <t>Scrolls and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</si>
</sst>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rgb="FF000000"/>
      <name val="Arial"/>
      <family val="2"/>
    </font>
    <font>
      <sz val="8"/>
      <color rgb="FF000000"/>
      <name val="Arial"/>
      <family val="2"/>
    </font>
    <font>
      <sz val="8"/>
      <color rgb="FF000000"/>
      <name val="Tahoma"/>
      <family val="2"/>
    </font>
    <font>
      <b/>
      <sz val="9"/>
      <color indexed="81"/>
      <name val="Tahoma"/>
      <family val="2"/>
    </font>
    <font>
      <sz val="6"/>
      <color rgb="FF000000"/>
      <name val="Arial"/>
      <family val="2"/>
    </font>
  </fonts>
  <fills count="20">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4">
    <xf numFmtId="0" fontId="0" fillId="0" borderId="0" xfId="0" applyAlignment="1">
      <alignment wrapText="1"/>
    </xf>
    <xf numFmtId="0" fontId="2" fillId="8" borderId="12" xfId="0" applyFont="1" applyFill="1" applyBorder="1" applyAlignment="1">
      <alignment horizontal="left" vertical="top" wrapText="1"/>
    </xf>
    <xf numFmtId="0" fontId="2" fillId="17" borderId="13" xfId="0" applyFont="1" applyFill="1" applyBorder="1" applyAlignment="1" applyProtection="1">
      <alignment horizontal="left" vertical="top" wrapText="1"/>
      <protection locked="0"/>
    </xf>
    <xf numFmtId="0" fontId="2" fillId="6" borderId="0" xfId="0" applyFont="1" applyFill="1" applyBorder="1" applyAlignment="1">
      <alignment horizontal="left" vertical="top" wrapText="1"/>
    </xf>
    <xf numFmtId="0" fontId="2" fillId="18" borderId="16" xfId="0" applyFont="1" applyFill="1" applyBorder="1" applyAlignment="1">
      <alignment horizontal="left" vertical="top" wrapText="1"/>
    </xf>
    <xf numFmtId="0" fontId="2" fillId="18" borderId="9" xfId="0" applyFont="1" applyFill="1" applyBorder="1" applyAlignment="1">
      <alignment horizontal="left" vertical="top" wrapText="1"/>
    </xf>
    <xf numFmtId="0" fontId="2" fillId="18" borderId="17" xfId="0" applyFont="1" applyFill="1" applyBorder="1" applyAlignment="1">
      <alignment horizontal="left" vertical="top" wrapText="1"/>
    </xf>
    <xf numFmtId="0" fontId="2" fillId="12" borderId="0" xfId="0" applyFont="1" applyFill="1" applyAlignment="1">
      <alignment horizontal="left" vertical="top" wrapText="1"/>
    </xf>
    <xf numFmtId="0" fontId="2" fillId="0" borderId="0" xfId="0" applyFont="1" applyAlignment="1">
      <alignment horizontal="left" vertical="top" wrapText="1"/>
    </xf>
    <xf numFmtId="0" fontId="2" fillId="8" borderId="11" xfId="0" applyFont="1" applyFill="1" applyBorder="1" applyAlignment="1">
      <alignment horizontal="left" vertical="top" wrapText="1"/>
    </xf>
    <xf numFmtId="0" fontId="2" fillId="18" borderId="12" xfId="0" applyFont="1" applyFill="1" applyBorder="1" applyAlignment="1">
      <alignment horizontal="left" vertical="top" wrapText="1"/>
    </xf>
    <xf numFmtId="0" fontId="2" fillId="19" borderId="13" xfId="0" applyFont="1" applyFill="1" applyBorder="1" applyAlignment="1" applyProtection="1">
      <alignment horizontal="left" vertical="top" wrapText="1"/>
      <protection locked="0"/>
    </xf>
    <xf numFmtId="0" fontId="2" fillId="18" borderId="13"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18" borderId="11" xfId="0" applyFont="1" applyFill="1" applyBorder="1" applyAlignment="1">
      <alignment horizontal="left" vertical="top" wrapText="1"/>
    </xf>
    <xf numFmtId="0" fontId="2" fillId="18" borderId="14" xfId="0" applyFont="1" applyFill="1" applyBorder="1" applyAlignment="1">
      <alignment horizontal="left" vertical="top" wrapText="1"/>
    </xf>
    <xf numFmtId="0" fontId="2" fillId="18" borderId="1" xfId="0" applyFont="1" applyFill="1" applyBorder="1" applyAlignment="1">
      <alignment horizontal="left" vertical="top" wrapText="1"/>
    </xf>
    <xf numFmtId="0" fontId="2" fillId="2" borderId="1" xfId="0" applyFont="1" applyFill="1" applyBorder="1" applyAlignment="1" applyProtection="1">
      <alignment horizontal="left" vertical="top" wrapText="1"/>
      <protection locked="0"/>
    </xf>
    <xf numFmtId="0" fontId="2" fillId="18" borderId="3"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12" borderId="9" xfId="0" applyFont="1" applyFill="1" applyBorder="1" applyAlignment="1">
      <alignment horizontal="left" vertical="top" wrapText="1"/>
    </xf>
    <xf numFmtId="0" fontId="2" fillId="18" borderId="5" xfId="0" applyFont="1" applyFill="1" applyBorder="1" applyAlignment="1">
      <alignment horizontal="left" vertical="top" wrapText="1"/>
    </xf>
    <xf numFmtId="0" fontId="2" fillId="7" borderId="0" xfId="0" applyFont="1" applyFill="1" applyBorder="1" applyAlignment="1">
      <alignment horizontal="left" vertical="top" wrapText="1"/>
    </xf>
    <xf numFmtId="0" fontId="2" fillId="10" borderId="14" xfId="0" applyFont="1" applyFill="1" applyBorder="1" applyAlignment="1">
      <alignment horizontal="left" vertical="top" wrapText="1"/>
    </xf>
    <xf numFmtId="0" fontId="2" fillId="12" borderId="0" xfId="0" applyFont="1" applyFill="1" applyBorder="1" applyAlignment="1">
      <alignment horizontal="left" vertical="top" wrapText="1"/>
    </xf>
    <xf numFmtId="0" fontId="2" fillId="12" borderId="10"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13" borderId="0" xfId="0" applyFont="1" applyFill="1" applyBorder="1" applyAlignment="1">
      <alignment horizontal="left" vertical="top" wrapText="1"/>
    </xf>
    <xf numFmtId="0" fontId="2" fillId="6" borderId="7" xfId="0" applyFont="1" applyFill="1" applyBorder="1" applyAlignment="1">
      <alignment horizontal="left" vertical="top" wrapText="1"/>
    </xf>
    <xf numFmtId="0" fontId="2" fillId="7" borderId="10" xfId="0" applyFont="1" applyFill="1" applyBorder="1" applyAlignment="1">
      <alignment horizontal="left" vertical="top" wrapText="1"/>
    </xf>
    <xf numFmtId="0" fontId="2" fillId="4" borderId="10" xfId="0" applyFont="1" applyFill="1" applyBorder="1" applyAlignment="1">
      <alignment horizontal="left" vertical="top" wrapText="1"/>
    </xf>
    <xf numFmtId="0" fontId="2" fillId="16" borderId="7" xfId="0" applyFont="1" applyFill="1" applyBorder="1" applyAlignment="1">
      <alignment horizontal="right" vertical="top" wrapText="1"/>
    </xf>
    <xf numFmtId="0" fontId="2" fillId="15" borderId="10" xfId="0" applyFont="1" applyFill="1" applyBorder="1" applyAlignment="1" applyProtection="1">
      <alignment horizontal="left" vertical="top" wrapText="1"/>
      <protection locked="0"/>
    </xf>
    <xf numFmtId="0" fontId="2" fillId="18" borderId="15" xfId="0" applyFont="1" applyFill="1" applyBorder="1" applyAlignment="1">
      <alignment horizontal="left" vertical="top" wrapText="1"/>
    </xf>
    <xf numFmtId="0" fontId="2" fillId="18" borderId="6" xfId="0" applyFont="1" applyFill="1" applyBorder="1" applyAlignment="1">
      <alignment horizontal="left" vertical="top" wrapText="1"/>
    </xf>
    <xf numFmtId="0" fontId="2" fillId="14" borderId="0" xfId="0" applyFont="1" applyFill="1" applyBorder="1" applyAlignment="1">
      <alignment horizontal="left" vertical="top" wrapText="1"/>
    </xf>
    <xf numFmtId="0" fontId="2" fillId="19" borderId="4" xfId="0" applyFont="1" applyFill="1" applyBorder="1" applyAlignment="1" applyProtection="1">
      <alignment horizontal="left" vertical="top" wrapText="1"/>
      <protection locked="0"/>
    </xf>
    <xf numFmtId="0" fontId="2" fillId="14" borderId="10" xfId="0" applyFont="1" applyFill="1" applyBorder="1" applyAlignment="1">
      <alignment horizontal="left" vertical="top" wrapText="1"/>
    </xf>
    <xf numFmtId="0" fontId="2" fillId="14" borderId="4" xfId="0" applyFont="1" applyFill="1" applyBorder="1" applyAlignment="1">
      <alignment horizontal="left" vertical="top" wrapText="1"/>
    </xf>
    <xf numFmtId="0" fontId="2" fillId="12" borderId="7" xfId="0" applyFont="1" applyFill="1" applyBorder="1" applyAlignment="1">
      <alignment horizontal="left" vertical="top" wrapText="1"/>
    </xf>
    <xf numFmtId="0" fontId="2" fillId="6" borderId="4" xfId="0" applyFont="1" applyFill="1" applyBorder="1" applyAlignment="1">
      <alignment horizontal="left" vertical="top" wrapText="1"/>
    </xf>
    <xf numFmtId="0" fontId="2" fillId="4" borderId="6" xfId="0" applyFont="1" applyFill="1" applyBorder="1" applyAlignment="1">
      <alignment horizontal="left" vertical="top" wrapText="1"/>
    </xf>
    <xf numFmtId="0" fontId="2" fillId="12" borderId="6" xfId="0" applyFont="1" applyFill="1" applyBorder="1" applyAlignment="1">
      <alignment horizontal="left" vertical="top" wrapText="1"/>
    </xf>
    <xf numFmtId="0" fontId="2" fillId="19" borderId="0" xfId="0" applyFont="1" applyFill="1" applyBorder="1" applyAlignment="1">
      <alignment horizontal="left" vertical="top" wrapText="1"/>
    </xf>
    <xf numFmtId="0" fontId="2" fillId="19" borderId="15" xfId="0" applyFont="1" applyFill="1" applyBorder="1" applyAlignment="1">
      <alignment horizontal="left" vertical="top" wrapText="1"/>
    </xf>
    <xf numFmtId="0" fontId="2" fillId="19" borderId="7" xfId="0" applyFont="1" applyFill="1" applyBorder="1" applyAlignment="1">
      <alignment horizontal="left" vertical="top" wrapText="1"/>
    </xf>
    <xf numFmtId="0" fontId="2" fillId="19" borderId="1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18" borderId="0" xfId="0" applyFont="1" applyFill="1" applyBorder="1" applyAlignment="1">
      <alignment horizontal="left" vertical="top" wrapText="1"/>
    </xf>
    <xf numFmtId="0" fontId="2" fillId="5" borderId="7"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8" borderId="8" xfId="0" applyFont="1" applyFill="1" applyBorder="1" applyAlignment="1">
      <alignment horizontal="right" vertical="top" wrapText="1"/>
    </xf>
    <xf numFmtId="0" fontId="2" fillId="18" borderId="15" xfId="0" applyFont="1" applyFill="1" applyBorder="1" applyAlignment="1">
      <alignment horizontal="right" vertical="top" wrapText="1"/>
    </xf>
    <xf numFmtId="0" fontId="2" fillId="19" borderId="5" xfId="0" applyFont="1" applyFill="1" applyBorder="1" applyAlignment="1" applyProtection="1">
      <alignment horizontal="left" vertical="top" wrapText="1"/>
      <protection locked="0"/>
    </xf>
    <xf numFmtId="0" fontId="2" fillId="4" borderId="0" xfId="0" applyFont="1" applyFill="1" applyBorder="1" applyAlignment="1">
      <alignment horizontal="left" vertical="top" wrapText="1"/>
    </xf>
    <xf numFmtId="0" fontId="2" fillId="19" borderId="3" xfId="0" applyFont="1" applyFill="1" applyBorder="1" applyAlignment="1">
      <alignment horizontal="left" vertical="top" wrapText="1"/>
    </xf>
    <xf numFmtId="0" fontId="2" fillId="19" borderId="4" xfId="0" applyFont="1" applyFill="1" applyBorder="1" applyAlignment="1">
      <alignment horizontal="left" vertical="top" wrapText="1"/>
    </xf>
    <xf numFmtId="0" fontId="2" fillId="19" borderId="5" xfId="0" applyFont="1" applyFill="1" applyBorder="1" applyAlignment="1">
      <alignment horizontal="left" vertical="top" wrapText="1"/>
    </xf>
    <xf numFmtId="0" fontId="2" fillId="19" borderId="3" xfId="0" applyFont="1" applyFill="1" applyBorder="1" applyAlignment="1" applyProtection="1">
      <alignment horizontal="left" vertical="top" wrapText="1"/>
      <protection locked="0"/>
    </xf>
    <xf numFmtId="0" fontId="2" fillId="18" borderId="13" xfId="0" applyFont="1" applyFill="1" applyBorder="1" applyAlignment="1">
      <alignment horizontal="right" vertical="top" wrapText="1"/>
    </xf>
    <xf numFmtId="0" fontId="2" fillId="19" borderId="12" xfId="0" applyFont="1" applyFill="1" applyBorder="1" applyAlignment="1" applyProtection="1">
      <alignment horizontal="left" vertical="top" wrapText="1"/>
      <protection locked="0"/>
    </xf>
    <xf numFmtId="0" fontId="2" fillId="18" borderId="7" xfId="0" applyFont="1" applyFill="1" applyBorder="1" applyAlignment="1">
      <alignment horizontal="left" vertical="top" wrapText="1"/>
    </xf>
    <xf numFmtId="0" fontId="2" fillId="18" borderId="0" xfId="0" applyFont="1" applyFill="1" applyAlignment="1">
      <alignment horizontal="right" vertical="top" wrapText="1"/>
    </xf>
    <xf numFmtId="0" fontId="2" fillId="19" borderId="13" xfId="0" applyFont="1" applyFill="1" applyBorder="1" applyAlignment="1" applyProtection="1">
      <alignment horizontal="left" vertical="top" wrapText="1"/>
      <protection locked="0"/>
    </xf>
    <xf numFmtId="0" fontId="2" fillId="18" borderId="0" xfId="0" applyFont="1" applyFill="1" applyAlignment="1">
      <alignment vertical="top" wrapText="1"/>
    </xf>
    <xf numFmtId="0" fontId="2" fillId="18" borderId="0" xfId="0" applyFont="1" applyFill="1" applyBorder="1" applyAlignment="1">
      <alignmen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Fill="1" applyAlignment="1">
      <alignment vertical="top" wrapText="1"/>
    </xf>
    <xf numFmtId="0" fontId="2" fillId="0" borderId="0" xfId="0" applyFont="1" applyAlignment="1">
      <alignment vertical="top" wrapText="1"/>
    </xf>
    <xf numFmtId="0" fontId="2" fillId="19" borderId="4" xfId="0" applyFont="1" applyFill="1" applyBorder="1" applyAlignment="1" applyProtection="1">
      <alignment horizontal="left" vertical="top" wrapText="1"/>
      <protection locked="0"/>
    </xf>
    <xf numFmtId="0" fontId="2" fillId="0" borderId="0" xfId="0" applyFont="1" applyFill="1" applyBorder="1" applyAlignment="1">
      <alignment horizontal="left" vertical="top" wrapText="1"/>
    </xf>
    <xf numFmtId="0" fontId="1" fillId="0" borderId="0" xfId="0" applyFont="1" applyAlignment="1">
      <alignment wrapText="1"/>
    </xf>
    <xf numFmtId="0" fontId="1" fillId="0" borderId="0" xfId="0" applyFont="1" applyFill="1" applyAlignment="1">
      <alignment wrapText="1"/>
    </xf>
    <xf numFmtId="0" fontId="2" fillId="4" borderId="0" xfId="0" applyFont="1" applyFill="1" applyBorder="1" applyAlignment="1">
      <alignment horizontal="left" vertical="top" wrapText="1"/>
    </xf>
    <xf numFmtId="0" fontId="2" fillId="19" borderId="13"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3" borderId="13" xfId="0" applyFont="1" applyFill="1" applyBorder="1" applyAlignment="1">
      <alignment horizontal="left" vertical="top" wrapText="1"/>
    </xf>
    <xf numFmtId="0" fontId="2" fillId="17" borderId="15" xfId="0" applyFont="1" applyFill="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2" fillId="17" borderId="7" xfId="0" applyFont="1" applyFill="1"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2" fillId="3" borderId="8" xfId="0" applyFont="1" applyFill="1" applyBorder="1" applyAlignment="1">
      <alignment horizontal="left" vertical="top" wrapText="1"/>
    </xf>
    <xf numFmtId="0" fontId="0" fillId="0" borderId="3" xfId="0" applyBorder="1" applyAlignment="1">
      <alignment horizontal="left" vertical="top" wrapText="1"/>
    </xf>
    <xf numFmtId="0" fontId="2" fillId="18" borderId="8" xfId="0" applyFont="1" applyFill="1" applyBorder="1" applyAlignment="1">
      <alignment horizontal="left" vertical="top" wrapText="1"/>
    </xf>
    <xf numFmtId="0" fontId="0" fillId="18" borderId="3" xfId="0" applyFill="1" applyBorder="1" applyAlignment="1">
      <alignment horizontal="left" vertical="top" wrapText="1"/>
    </xf>
    <xf numFmtId="0" fontId="2" fillId="19" borderId="15" xfId="0" applyFont="1" applyFill="1" applyBorder="1" applyAlignment="1" applyProtection="1">
      <alignment horizontal="left" vertical="top" wrapText="1"/>
      <protection locked="0"/>
    </xf>
    <xf numFmtId="0" fontId="0" fillId="19" borderId="0" xfId="0" applyFill="1" applyBorder="1" applyAlignment="1" applyProtection="1">
      <alignment horizontal="left" vertical="top" wrapText="1"/>
      <protection locked="0"/>
    </xf>
    <xf numFmtId="0" fontId="0" fillId="19" borderId="4" xfId="0" applyFill="1" applyBorder="1" applyAlignment="1" applyProtection="1">
      <alignment horizontal="left" vertical="top" wrapText="1"/>
      <protection locked="0"/>
    </xf>
    <xf numFmtId="0" fontId="0" fillId="19" borderId="15" xfId="0" applyFill="1" applyBorder="1" applyAlignment="1" applyProtection="1">
      <alignment horizontal="left" vertical="top" wrapText="1"/>
      <protection locked="0"/>
    </xf>
    <xf numFmtId="0" fontId="0" fillId="19" borderId="7" xfId="0" applyFill="1" applyBorder="1" applyAlignment="1" applyProtection="1">
      <alignment horizontal="left" vertical="top" wrapText="1"/>
      <protection locked="0"/>
    </xf>
    <xf numFmtId="0" fontId="0" fillId="19" borderId="10" xfId="0" applyFill="1" applyBorder="1" applyAlignment="1" applyProtection="1">
      <alignment horizontal="left" vertical="top" wrapText="1"/>
      <protection locked="0"/>
    </xf>
    <xf numFmtId="0" fontId="0" fillId="19" borderId="5" xfId="0" applyFill="1" applyBorder="1" applyAlignment="1" applyProtection="1">
      <alignment horizontal="left" vertical="top" wrapText="1"/>
      <protection locked="0"/>
    </xf>
    <xf numFmtId="0" fontId="2" fillId="18" borderId="16" xfId="0" applyFont="1" applyFill="1" applyBorder="1" applyAlignment="1">
      <alignment horizontal="left" vertical="top" wrapText="1"/>
    </xf>
    <xf numFmtId="0" fontId="0" fillId="18" borderId="17" xfId="0" applyFill="1" applyBorder="1" applyAlignment="1">
      <alignment horizontal="left" vertical="top" wrapText="1"/>
    </xf>
    <xf numFmtId="0" fontId="2" fillId="18" borderId="16" xfId="0" applyFont="1" applyFill="1" applyBorder="1" applyAlignment="1">
      <alignment horizontal="right" vertical="top" wrapText="1"/>
    </xf>
    <xf numFmtId="0" fontId="0" fillId="18" borderId="9" xfId="0" applyFill="1" applyBorder="1" applyAlignment="1">
      <alignment horizontal="right" vertical="top" wrapText="1"/>
    </xf>
    <xf numFmtId="0" fontId="0" fillId="18" borderId="17" xfId="0" applyFill="1" applyBorder="1" applyAlignment="1">
      <alignment horizontal="right" vertical="top" wrapText="1"/>
    </xf>
    <xf numFmtId="0" fontId="2" fillId="4" borderId="0" xfId="0" applyFont="1" applyFill="1"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7" xfId="0" applyBorder="1" applyAlignment="1">
      <alignment horizontal="left" vertical="top" wrapText="1"/>
    </xf>
    <xf numFmtId="0" fontId="0" fillId="0" borderId="7" xfId="0" applyBorder="1" applyAlignment="1" applyProtection="1">
      <alignment horizontal="left" vertical="top" wrapText="1"/>
      <protection locked="0"/>
    </xf>
    <xf numFmtId="0" fontId="2" fillId="11" borderId="8" xfId="0" applyFont="1" applyFill="1"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5" fillId="17" borderId="15" xfId="0" applyFont="1" applyFill="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0" fillId="0" borderId="6" xfId="0" applyBorder="1" applyAlignment="1">
      <alignment horizontal="left" vertical="top" wrapText="1"/>
    </xf>
    <xf numFmtId="0" fontId="0" fillId="0" borderId="0" xfId="0" applyAlignment="1" applyProtection="1">
      <alignment horizontal="left" vertical="top" wrapText="1"/>
      <protection locked="0"/>
    </xf>
    <xf numFmtId="0" fontId="0" fillId="0" borderId="0" xfId="0" applyAlignment="1">
      <alignment horizontal="left" vertical="top" wrapText="1"/>
    </xf>
    <xf numFmtId="0" fontId="2" fillId="19" borderId="7" xfId="0" applyFont="1" applyFill="1" applyBorder="1" applyAlignment="1" applyProtection="1">
      <alignment horizontal="left" vertical="top" wrapText="1"/>
      <protection locked="0"/>
    </xf>
    <xf numFmtId="0" fontId="0" fillId="0" borderId="10" xfId="0" applyBorder="1" applyAlignment="1">
      <alignment horizontal="left" vertical="top" wrapText="1"/>
    </xf>
    <xf numFmtId="0" fontId="2" fillId="9" borderId="7" xfId="0" applyFont="1" applyFill="1" applyBorder="1" applyAlignment="1" applyProtection="1">
      <alignment horizontal="left" vertical="top" wrapText="1"/>
      <protection locked="0"/>
    </xf>
    <xf numFmtId="0" fontId="2" fillId="19" borderId="15" xfId="0" applyFont="1" applyFill="1" applyBorder="1" applyAlignment="1">
      <alignment horizontal="left" vertical="top" wrapText="1"/>
    </xf>
    <xf numFmtId="0" fontId="5" fillId="0" borderId="15" xfId="0" applyFont="1" applyBorder="1" applyAlignment="1" applyProtection="1">
      <alignment horizontal="left" vertical="top" wrapText="1"/>
      <protection locked="0"/>
    </xf>
    <xf numFmtId="0" fontId="0" fillId="18" borderId="6" xfId="0" applyFill="1" applyBorder="1" applyAlignment="1">
      <alignment horizontal="left" vertical="top" wrapText="1"/>
    </xf>
    <xf numFmtId="0" fontId="2" fillId="18" borderId="12" xfId="0" applyFont="1" applyFill="1" applyBorder="1" applyAlignment="1">
      <alignment horizontal="left" vertical="top" wrapText="1"/>
    </xf>
    <xf numFmtId="0" fontId="0" fillId="18" borderId="11" xfId="0" applyFill="1" applyBorder="1" applyAlignment="1">
      <alignment horizontal="left" vertical="top" wrapText="1"/>
    </xf>
    <xf numFmtId="0" fontId="0" fillId="18" borderId="14" xfId="0" applyFill="1" applyBorder="1" applyAlignment="1">
      <alignment horizontal="left" vertical="top" wrapText="1"/>
    </xf>
    <xf numFmtId="0" fontId="2" fillId="19" borderId="10" xfId="0" applyFont="1" applyFill="1" applyBorder="1" applyAlignment="1" applyProtection="1">
      <alignment horizontal="left" vertical="top" wrapText="1"/>
      <protection locked="0"/>
    </xf>
    <xf numFmtId="0" fontId="2" fillId="19" borderId="0" xfId="0" applyFont="1" applyFill="1" applyBorder="1" applyAlignment="1" applyProtection="1">
      <alignment horizontal="left" vertical="top" wrapText="1"/>
      <protection locked="0"/>
    </xf>
    <xf numFmtId="0" fontId="2" fillId="19" borderId="8" xfId="0" applyFont="1" applyFill="1"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2" fillId="19" borderId="13" xfId="0" applyFont="1" applyFill="1"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2" fillId="19" borderId="16" xfId="0" applyFont="1" applyFill="1" applyBorder="1" applyAlignment="1" applyProtection="1">
      <alignment horizontal="left" vertical="top" wrapText="1"/>
      <protection locked="0"/>
    </xf>
    <xf numFmtId="0" fontId="2" fillId="19" borderId="9" xfId="0" applyFont="1" applyFill="1" applyBorder="1" applyAlignment="1" applyProtection="1">
      <alignment horizontal="left" vertical="top" wrapText="1"/>
      <protection locked="0"/>
    </xf>
    <xf numFmtId="0" fontId="2" fillId="19" borderId="17" xfId="0" applyFont="1" applyFill="1"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17" xfId="0" applyBorder="1" applyAlignment="1" applyProtection="1">
      <alignment horizontal="left" vertical="top" wrapText="1"/>
      <protection locked="0"/>
    </xf>
    <xf numFmtId="0" fontId="2" fillId="18" borderId="4" xfId="0" applyFont="1" applyFill="1" applyBorder="1" applyAlignment="1">
      <alignment vertical="top" wrapText="1"/>
    </xf>
    <xf numFmtId="0" fontId="2" fillId="19" borderId="6" xfId="0" applyFont="1" applyFill="1" applyBorder="1" applyAlignment="1" applyProtection="1">
      <alignment horizontal="left" vertical="top" wrapText="1"/>
      <protection locked="0"/>
    </xf>
    <xf numFmtId="0" fontId="2" fillId="19" borderId="3" xfId="0" applyFont="1" applyFill="1" applyBorder="1" applyAlignment="1" applyProtection="1">
      <alignment horizontal="left" vertical="top" wrapText="1"/>
      <protection locked="0"/>
    </xf>
    <xf numFmtId="0" fontId="2" fillId="19" borderId="4" xfId="0" applyFont="1" applyFill="1" applyBorder="1" applyAlignment="1" applyProtection="1">
      <alignment horizontal="left" vertical="top" wrapText="1"/>
      <protection locked="0"/>
    </xf>
    <xf numFmtId="0" fontId="2" fillId="19" borderId="5" xfId="0" applyFont="1" applyFill="1" applyBorder="1" applyAlignment="1" applyProtection="1">
      <alignment horizontal="left" vertical="top" wrapText="1"/>
      <protection locked="0"/>
    </xf>
  </cellXfs>
  <cellStyles count="1">
    <cellStyle name="Normal" xfId="0" builtinId="0"/>
  </cellStyles>
  <dxfs count="96">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
      <fill>
        <patternFill>
          <bgColor theme="6" tint="0.39994506668294322"/>
        </patternFill>
      </fill>
    </dxf>
    <dxf>
      <fill>
        <patternFill>
          <bgColor theme="5" tint="0.39994506668294322"/>
        </patternFill>
      </fill>
    </dxf>
    <dxf>
      <fill>
        <patternFill>
          <bgColor theme="4" tint="0.39994506668294322"/>
        </patternFill>
      </fill>
    </dxf>
    <dxf>
      <font>
        <color theme="0"/>
      </font>
      <fill>
        <patternFill>
          <bgColor theme="1"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Classes &amp; Stats'!$E$30" lockText="1" noThreeD="1"/>
</file>

<file path=xl/ctrlProps/ctrlProp4.xml><?xml version="1.0" encoding="utf-8"?>
<formControlPr xmlns="http://schemas.microsoft.com/office/spreadsheetml/2009/9/main" objectType="CheckBox" fmlaLink="'Classes &amp; Stats'!$G$30"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381000</xdr:colOff>
      <xdr:row>56</xdr:row>
      <xdr:rowOff>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7</xdr:col>
          <xdr:colOff>38100</xdr:colOff>
          <xdr:row>52</xdr:row>
          <xdr:rowOff>38100</xdr:rowOff>
        </xdr:from>
        <xdr:to>
          <xdr:col>11</xdr:col>
          <xdr:colOff>295275</xdr:colOff>
          <xdr:row>53</xdr:row>
          <xdr:rowOff>66675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Ability Score Bonus 4th/7th/10th Level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571500</xdr:colOff>
          <xdr:row>52</xdr:row>
          <xdr:rowOff>28575</xdr:rowOff>
        </xdr:from>
        <xdr:to>
          <xdr:col>11</xdr:col>
          <xdr:colOff>876300</xdr:colOff>
          <xdr:row>53</xdr:row>
          <xdr:rowOff>95250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Feat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990600</xdr:colOff>
          <xdr:row>52</xdr:row>
          <xdr:rowOff>28575</xdr:rowOff>
        </xdr:from>
        <xdr:to>
          <xdr:col>12</xdr:col>
          <xdr:colOff>600075</xdr:colOff>
          <xdr:row>53</xdr:row>
          <xdr:rowOff>104775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Hitpoints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53</xdr:row>
          <xdr:rowOff>38100</xdr:rowOff>
        </xdr:from>
        <xdr:to>
          <xdr:col>8</xdr:col>
          <xdr:colOff>28575</xdr:colOff>
          <xdr:row>54</xdr:row>
          <xdr:rowOff>104775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Skills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53</xdr:row>
          <xdr:rowOff>57150</xdr:rowOff>
        </xdr:from>
        <xdr:to>
          <xdr:col>10</xdr:col>
          <xdr:colOff>57150</xdr:colOff>
          <xdr:row>54</xdr:row>
          <xdr:rowOff>104775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Magic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180975</xdr:colOff>
          <xdr:row>53</xdr:row>
          <xdr:rowOff>76200</xdr:rowOff>
        </xdr:from>
        <xdr:to>
          <xdr:col>11</xdr:col>
          <xdr:colOff>485775</xdr:colOff>
          <xdr:row>54</xdr:row>
          <xdr:rowOff>123825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333375</xdr:colOff>
          <xdr:row>53</xdr:row>
          <xdr:rowOff>76200</xdr:rowOff>
        </xdr:from>
        <xdr:to>
          <xdr:col>11</xdr:col>
          <xdr:colOff>638175</xdr:colOff>
          <xdr:row>54</xdr:row>
          <xdr:rowOff>123825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495300</xdr:colOff>
          <xdr:row>53</xdr:row>
          <xdr:rowOff>76200</xdr:rowOff>
        </xdr:from>
        <xdr:to>
          <xdr:col>11</xdr:col>
          <xdr:colOff>800100</xdr:colOff>
          <xdr:row>54</xdr:row>
          <xdr:rowOff>123825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638175</xdr:colOff>
          <xdr:row>53</xdr:row>
          <xdr:rowOff>85725</xdr:rowOff>
        </xdr:from>
        <xdr:to>
          <xdr:col>14</xdr:col>
          <xdr:colOff>0</xdr:colOff>
          <xdr:row>54</xdr:row>
          <xdr:rowOff>114300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Power/Spell</a:t>
              </a:r>
            </a:p>
          </xdr:txBody>
        </xdr:sp>
        <xdr:clientData/>
      </xdr:twoCellAnchor>
    </mc:Choice>
    <mc:Fallback/>
  </mc:AlternateContent>
  <xdr:twoCellAnchor editAs="oneCell">
    <xdr:from>
      <xdr:col>10</xdr:col>
      <xdr:colOff>130858</xdr:colOff>
      <xdr:row>1</xdr:row>
      <xdr:rowOff>9940</xdr:rowOff>
    </xdr:from>
    <xdr:to>
      <xdr:col>12</xdr:col>
      <xdr:colOff>604624</xdr:colOff>
      <xdr:row>10</xdr:row>
      <xdr:rowOff>16112</xdr:rowOff>
    </xdr:to>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37815" y="76201"/>
          <a:ext cx="1625048" cy="1497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133350</xdr:colOff>
          <xdr:row>11</xdr:row>
          <xdr:rowOff>47625</xdr:rowOff>
        </xdr:from>
        <xdr:to>
          <xdr:col>1</xdr:col>
          <xdr:colOff>638175</xdr:colOff>
          <xdr:row>12</xdr:row>
          <xdr:rowOff>104775</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11</xdr:row>
          <xdr:rowOff>66675</xdr:rowOff>
        </xdr:from>
        <xdr:to>
          <xdr:col>6</xdr:col>
          <xdr:colOff>657225</xdr:colOff>
          <xdr:row>12</xdr:row>
          <xdr:rowOff>123825</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133350</xdr:colOff>
          <xdr:row>11</xdr:row>
          <xdr:rowOff>66675</xdr:rowOff>
        </xdr:from>
        <xdr:to>
          <xdr:col>12</xdr:col>
          <xdr:colOff>647700</xdr:colOff>
          <xdr:row>12</xdr:row>
          <xdr:rowOff>123825</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123825</xdr:colOff>
          <xdr:row>11</xdr:row>
          <xdr:rowOff>66675</xdr:rowOff>
        </xdr:from>
        <xdr:to>
          <xdr:col>17</xdr:col>
          <xdr:colOff>638175</xdr:colOff>
          <xdr:row>12</xdr:row>
          <xdr:rowOff>123825</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27</xdr:row>
          <xdr:rowOff>66675</xdr:rowOff>
        </xdr:from>
        <xdr:to>
          <xdr:col>1</xdr:col>
          <xdr:colOff>657225</xdr:colOff>
          <xdr:row>28</xdr:row>
          <xdr:rowOff>123825</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123825</xdr:colOff>
          <xdr:row>27</xdr:row>
          <xdr:rowOff>47625</xdr:rowOff>
        </xdr:from>
        <xdr:to>
          <xdr:col>6</xdr:col>
          <xdr:colOff>638175</xdr:colOff>
          <xdr:row>28</xdr:row>
          <xdr:rowOff>104775</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152400</xdr:colOff>
          <xdr:row>27</xdr:row>
          <xdr:rowOff>38100</xdr:rowOff>
        </xdr:from>
        <xdr:to>
          <xdr:col>12</xdr:col>
          <xdr:colOff>666750</xdr:colOff>
          <xdr:row>28</xdr:row>
          <xdr:rowOff>95250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133350</xdr:colOff>
          <xdr:row>27</xdr:row>
          <xdr:rowOff>47625</xdr:rowOff>
        </xdr:from>
        <xdr:to>
          <xdr:col>17</xdr:col>
          <xdr:colOff>647700</xdr:colOff>
          <xdr:row>28</xdr:row>
          <xdr:rowOff>104775</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43</xdr:row>
          <xdr:rowOff>76200</xdr:rowOff>
        </xdr:from>
        <xdr:to>
          <xdr:col>1</xdr:col>
          <xdr:colOff>647700</xdr:colOff>
          <xdr:row>44</xdr:row>
          <xdr:rowOff>133350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43</xdr:row>
          <xdr:rowOff>66675</xdr:rowOff>
        </xdr:from>
        <xdr:to>
          <xdr:col>6</xdr:col>
          <xdr:colOff>666750</xdr:colOff>
          <xdr:row>44</xdr:row>
          <xdr:rowOff>123825</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152400</xdr:colOff>
          <xdr:row>43</xdr:row>
          <xdr:rowOff>38100</xdr:rowOff>
        </xdr:from>
        <xdr:to>
          <xdr:col>12</xdr:col>
          <xdr:colOff>666750</xdr:colOff>
          <xdr:row>44</xdr:row>
          <xdr:rowOff>95250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161925</xdr:colOff>
          <xdr:row>43</xdr:row>
          <xdr:rowOff>47625</xdr:rowOff>
        </xdr:from>
        <xdr:to>
          <xdr:col>17</xdr:col>
          <xdr:colOff>676275</xdr:colOff>
          <xdr:row>44</xdr:row>
          <xdr:rowOff>104775</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Used?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3" Type="http://schemas.openxmlformats.org/officeDocument/2006/relationships/vmlDrawing" Target="../drawings/vmlDrawing2.vml"/><Relationship Id="rId7" Type="http://schemas.openxmlformats.org/officeDocument/2006/relationships/ctrlProp" Target="../ctrlProps/ctrlProp13.xml"/><Relationship Id="rId12" Type="http://schemas.openxmlformats.org/officeDocument/2006/relationships/ctrlProp" Target="../ctrlProps/ctrlProp18.xml"/><Relationship Id="rId2" Type="http://schemas.openxmlformats.org/officeDocument/2006/relationships/drawing" Target="../drawings/drawing2.xml"/><Relationship Id="rId16" Type="http://schemas.openxmlformats.org/officeDocument/2006/relationships/comments" Target="../comments2.xml"/><Relationship Id="rId1" Type="http://schemas.openxmlformats.org/officeDocument/2006/relationships/printerSettings" Target="../printerSettings/printerSettings2.bin"/><Relationship Id="rId6" Type="http://schemas.openxmlformats.org/officeDocument/2006/relationships/ctrlProp" Target="../ctrlProps/ctrlProp12.xml"/><Relationship Id="rId11" Type="http://schemas.openxmlformats.org/officeDocument/2006/relationships/ctrlProp" Target="../ctrlProps/ctrlProp17.xml"/><Relationship Id="rId5" Type="http://schemas.openxmlformats.org/officeDocument/2006/relationships/ctrlProp" Target="../ctrlProps/ctrlProp11.xml"/><Relationship Id="rId15" Type="http://schemas.openxmlformats.org/officeDocument/2006/relationships/ctrlProp" Target="../ctrlProps/ctrlProp21.xml"/><Relationship Id="rId10" Type="http://schemas.openxmlformats.org/officeDocument/2006/relationships/ctrlProp" Target="../ctrlProps/ctrlProp16.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1"/>
  <sheetViews>
    <sheetView tabSelected="1" topLeftCell="A4" zoomScaleNormal="100" workbookViewId="0">
      <selection activeCell="O26" sqref="O26"/>
    </sheetView>
    <sheetView tabSelected="1" zoomScaleNormal="100" workbookViewId="1">
      <selection activeCell="L38" sqref="L38:M38"/>
    </sheetView>
  </sheetViews>
  <sheetFormatPr defaultColWidth="17.140625" defaultRowHeight="12.75" customHeight="1" x14ac:dyDescent="0.2"/>
  <cols>
    <col min="1" max="1" width="1" style="8" customWidth="1"/>
    <col min="2" max="2" width="12.42578125" style="8" customWidth="1"/>
    <col min="3" max="3" width="12.140625" style="8" customWidth="1"/>
    <col min="4" max="4" width="2.28515625" style="8" customWidth="1"/>
    <col min="5" max="5" width="4.28515625" style="8" customWidth="1"/>
    <col min="6" max="6" width="3.7109375" style="8" customWidth="1"/>
    <col min="7" max="7" width="5.140625" style="8" customWidth="1"/>
    <col min="8" max="8" width="9.42578125" style="8" customWidth="1"/>
    <col min="9" max="9" width="9.28515625" style="8" customWidth="1"/>
    <col min="10" max="10" width="4.85546875" style="8" customWidth="1"/>
    <col min="11" max="11" width="2.140625" style="8" customWidth="1"/>
    <col min="12" max="12" width="15.140625" style="8" customWidth="1"/>
    <col min="13" max="13" width="9.140625" style="8" customWidth="1"/>
    <col min="14" max="14" width="1" style="8" customWidth="1"/>
    <col min="15" max="15" width="17.140625" style="8"/>
    <col min="16" max="16" width="19" style="8" customWidth="1"/>
    <col min="17" max="17" width="10.28515625" style="8" customWidth="1"/>
    <col min="18" max="16384" width="17.140625" style="8"/>
  </cols>
  <sheetData>
    <row r="1" spans="1:19" ht="5.25" customHeight="1" x14ac:dyDescent="0.2">
      <c r="A1" s="24"/>
      <c r="B1" s="24"/>
      <c r="C1" s="24"/>
      <c r="D1" s="48"/>
      <c r="E1" s="24"/>
      <c r="F1" s="24"/>
      <c r="G1" s="7"/>
      <c r="H1" s="24"/>
      <c r="I1" s="24"/>
      <c r="J1" s="48"/>
      <c r="K1" s="75"/>
      <c r="L1" s="24"/>
      <c r="M1" s="24"/>
      <c r="N1" s="24"/>
      <c r="O1" s="24"/>
      <c r="P1" s="24"/>
      <c r="Q1" s="48"/>
      <c r="R1" s="24"/>
      <c r="S1" s="24"/>
    </row>
    <row r="2" spans="1:19" ht="12.75" customHeight="1" x14ac:dyDescent="0.2">
      <c r="A2" s="24"/>
      <c r="B2" s="1" t="s">
        <v>0</v>
      </c>
      <c r="C2" s="2" t="s">
        <v>273</v>
      </c>
      <c r="D2" s="3"/>
      <c r="E2" s="3"/>
      <c r="F2" s="4" t="s">
        <v>95</v>
      </c>
      <c r="G2" s="5" t="s">
        <v>61</v>
      </c>
      <c r="H2" s="6" t="s">
        <v>94</v>
      </c>
      <c r="I2" s="96" t="s">
        <v>113</v>
      </c>
      <c r="J2" s="97"/>
      <c r="K2" s="75"/>
      <c r="L2" s="7"/>
      <c r="M2" s="7"/>
      <c r="N2" s="24"/>
      <c r="O2" s="24"/>
      <c r="P2" s="24"/>
      <c r="Q2" s="24"/>
      <c r="R2" s="24"/>
      <c r="S2" s="24"/>
    </row>
    <row r="3" spans="1:19" ht="12.75" customHeight="1" x14ac:dyDescent="0.2">
      <c r="A3" s="24"/>
      <c r="B3" s="9" t="s">
        <v>2</v>
      </c>
      <c r="C3" s="2" t="s">
        <v>225</v>
      </c>
      <c r="D3" s="3"/>
      <c r="E3" s="10" t="s">
        <v>44</v>
      </c>
      <c r="F3" s="11">
        <v>12</v>
      </c>
      <c r="G3" s="12">
        <f>'Classes &amp; Stats'!$H$2</f>
        <v>1</v>
      </c>
      <c r="H3" s="12">
        <f>G3+$C$5</f>
        <v>2</v>
      </c>
      <c r="I3" s="96">
        <f>'Classes &amp; Stats'!H30</f>
        <v>0</v>
      </c>
      <c r="J3" s="105"/>
      <c r="K3" s="75"/>
      <c r="L3" s="13"/>
      <c r="M3" s="7"/>
      <c r="N3" s="24"/>
      <c r="O3" s="24"/>
      <c r="P3" s="125" t="s">
        <v>119</v>
      </c>
      <c r="Q3" s="24"/>
      <c r="R3" s="24"/>
      <c r="S3" s="24"/>
    </row>
    <row r="4" spans="1:19" ht="12.75" customHeight="1" x14ac:dyDescent="0.2">
      <c r="A4" s="24"/>
      <c r="B4" s="9" t="s">
        <v>1</v>
      </c>
      <c r="C4" s="2" t="s">
        <v>29</v>
      </c>
      <c r="D4" s="3"/>
      <c r="E4" s="14" t="s">
        <v>45</v>
      </c>
      <c r="F4" s="11">
        <v>15</v>
      </c>
      <c r="G4" s="12">
        <f>'Classes &amp; Stats'!$H$3</f>
        <v>2</v>
      </c>
      <c r="H4" s="12">
        <f t="shared" ref="H4:H8" si="0">G4+$C$5</f>
        <v>3</v>
      </c>
      <c r="I4" s="3"/>
      <c r="J4" s="3"/>
      <c r="K4" s="75"/>
      <c r="L4" s="13"/>
      <c r="M4" s="7"/>
      <c r="N4" s="24"/>
      <c r="O4" s="24"/>
      <c r="P4" s="126"/>
      <c r="Q4" s="24"/>
      <c r="R4" s="24"/>
      <c r="S4" s="24"/>
    </row>
    <row r="5" spans="1:19" ht="12.75" customHeight="1" x14ac:dyDescent="0.2">
      <c r="A5" s="24"/>
      <c r="B5" s="14" t="s">
        <v>3</v>
      </c>
      <c r="C5" s="2">
        <v>1</v>
      </c>
      <c r="D5" s="3"/>
      <c r="E5" s="14" t="s">
        <v>46</v>
      </c>
      <c r="F5" s="11">
        <v>13</v>
      </c>
      <c r="G5" s="12">
        <f>'Classes &amp; Stats'!$H$4</f>
        <v>1</v>
      </c>
      <c r="H5" s="12">
        <f t="shared" si="0"/>
        <v>2</v>
      </c>
      <c r="I5" s="60" t="s">
        <v>156</v>
      </c>
      <c r="J5" s="12">
        <f>H5+Q23</f>
        <v>2</v>
      </c>
      <c r="K5" s="75"/>
      <c r="L5" s="13"/>
      <c r="M5" s="7"/>
      <c r="N5" s="24"/>
      <c r="O5" s="24"/>
      <c r="P5" s="127"/>
      <c r="Q5" s="24"/>
      <c r="R5" s="24"/>
      <c r="S5" s="24"/>
    </row>
    <row r="6" spans="1:19" ht="12.75" customHeight="1" x14ac:dyDescent="0.2">
      <c r="A6" s="24"/>
      <c r="B6" s="14" t="s">
        <v>210</v>
      </c>
      <c r="C6" s="76"/>
      <c r="D6" s="3"/>
      <c r="E6" s="14" t="s">
        <v>47</v>
      </c>
      <c r="F6" s="11">
        <v>18</v>
      </c>
      <c r="G6" s="12">
        <f>'Classes &amp; Stats'!$H$5</f>
        <v>4</v>
      </c>
      <c r="H6" s="12">
        <f t="shared" si="0"/>
        <v>5</v>
      </c>
      <c r="I6" s="3"/>
      <c r="J6" s="3"/>
      <c r="K6" s="3"/>
      <c r="L6" s="13"/>
      <c r="M6" s="7"/>
      <c r="N6" s="24"/>
      <c r="O6" s="24"/>
      <c r="P6" s="24"/>
      <c r="Q6" s="24"/>
      <c r="R6" s="24"/>
      <c r="S6" s="24"/>
    </row>
    <row r="7" spans="1:19" ht="12.75" customHeight="1" x14ac:dyDescent="0.2">
      <c r="A7" s="24"/>
      <c r="B7" s="14" t="s">
        <v>42</v>
      </c>
      <c r="C7" s="16">
        <f>'Classes &amp; Stats'!I46+Q18</f>
        <v>13</v>
      </c>
      <c r="D7" s="3"/>
      <c r="E7" s="14" t="s">
        <v>48</v>
      </c>
      <c r="F7" s="11">
        <v>13</v>
      </c>
      <c r="G7" s="12">
        <f>'Classes &amp; Stats'!$H$6</f>
        <v>1</v>
      </c>
      <c r="H7" s="12">
        <f t="shared" si="0"/>
        <v>2</v>
      </c>
      <c r="I7" s="3"/>
      <c r="J7" s="3"/>
      <c r="K7" s="3"/>
      <c r="L7" s="13"/>
      <c r="M7" s="7"/>
      <c r="N7" s="24"/>
      <c r="O7" s="24"/>
      <c r="P7" s="24"/>
      <c r="Q7" s="24"/>
      <c r="R7" s="24"/>
      <c r="S7" s="24"/>
    </row>
    <row r="8" spans="1:19" ht="12.75" customHeight="1" x14ac:dyDescent="0.2">
      <c r="A8" s="24"/>
      <c r="B8" s="14" t="s">
        <v>50</v>
      </c>
      <c r="C8" s="16">
        <f>'Classes &amp; Stats'!I40+Q19</f>
        <v>12</v>
      </c>
      <c r="D8" s="3"/>
      <c r="E8" s="15" t="s">
        <v>49</v>
      </c>
      <c r="F8" s="11">
        <v>13</v>
      </c>
      <c r="G8" s="12">
        <f>'Classes &amp; Stats'!$H$7</f>
        <v>1</v>
      </c>
      <c r="H8" s="12">
        <f t="shared" si="0"/>
        <v>2</v>
      </c>
      <c r="I8" s="3"/>
      <c r="J8" s="3"/>
      <c r="K8" s="3"/>
      <c r="L8" s="13"/>
      <c r="M8" s="7"/>
      <c r="N8" s="24"/>
      <c r="O8" s="51"/>
      <c r="P8" s="51"/>
      <c r="Q8" s="51"/>
      <c r="R8" s="51"/>
      <c r="S8" s="24"/>
    </row>
    <row r="9" spans="1:19" ht="12.75" customHeight="1" x14ac:dyDescent="0.2">
      <c r="A9" s="24"/>
      <c r="B9" s="14" t="s">
        <v>51</v>
      </c>
      <c r="C9" s="16">
        <f>'Classes &amp; Stats'!I43+Q20</f>
        <v>14</v>
      </c>
      <c r="D9" s="3"/>
      <c r="E9" s="3"/>
      <c r="F9" s="3"/>
      <c r="G9" s="3"/>
      <c r="H9" s="3"/>
      <c r="I9" s="3"/>
      <c r="J9" s="3"/>
      <c r="K9" s="3"/>
      <c r="L9" s="13"/>
      <c r="M9" s="7"/>
      <c r="N9" s="24"/>
      <c r="O9" s="24"/>
      <c r="P9" s="24"/>
      <c r="Q9" s="10" t="s">
        <v>114</v>
      </c>
      <c r="R9" s="24"/>
      <c r="S9" s="51"/>
    </row>
    <row r="10" spans="1:19" ht="12.75" customHeight="1" x14ac:dyDescent="0.2">
      <c r="A10" s="24"/>
      <c r="B10" s="14" t="s">
        <v>90</v>
      </c>
      <c r="C10" s="17"/>
      <c r="D10" s="3"/>
      <c r="E10" s="3"/>
      <c r="F10" s="3"/>
      <c r="G10" s="3"/>
      <c r="H10" s="96" t="s">
        <v>104</v>
      </c>
      <c r="I10" s="97"/>
      <c r="J10" s="7"/>
      <c r="K10" s="7"/>
      <c r="L10" s="13"/>
      <c r="M10" s="7"/>
      <c r="N10" s="24"/>
      <c r="O10" s="24"/>
      <c r="P10" s="52" t="s">
        <v>176</v>
      </c>
      <c r="Q10" s="37" t="s">
        <v>272</v>
      </c>
      <c r="R10" s="24"/>
      <c r="S10" s="24"/>
    </row>
    <row r="11" spans="1:19" ht="12.75" customHeight="1" x14ac:dyDescent="0.2">
      <c r="A11" s="24"/>
      <c r="B11" s="14" t="s">
        <v>89</v>
      </c>
      <c r="C11" s="11">
        <v>32</v>
      </c>
      <c r="D11" s="3"/>
      <c r="E11" s="98" t="s">
        <v>103</v>
      </c>
      <c r="F11" s="99"/>
      <c r="G11" s="100"/>
      <c r="H11" s="12" t="str">
        <f>"+"&amp;(VLOOKUP($C$3,'Classes &amp; Stats'!$J$2:$AG$50,19)+Q12)&amp;" vs AC"</f>
        <v>+2 vs AC</v>
      </c>
      <c r="I11" s="6" t="str">
        <f>VLOOKUP($C$3,'Classes &amp; Stats'!$J$2:$AG$50,20)</f>
        <v>1d4+1</v>
      </c>
      <c r="J11" s="18">
        <f>VLOOKUP($C$3,'Classes &amp; Stats'!$J$2:$AG$50,21)+Q14</f>
        <v>0</v>
      </c>
      <c r="K11" s="75"/>
      <c r="L11" s="13"/>
      <c r="M11" s="7"/>
      <c r="N11" s="24"/>
      <c r="O11" s="24"/>
      <c r="P11" s="53" t="s">
        <v>177</v>
      </c>
      <c r="Q11" s="37" t="s">
        <v>178</v>
      </c>
      <c r="R11" s="24"/>
      <c r="S11" s="24"/>
    </row>
    <row r="12" spans="1:19" ht="12.75" customHeight="1" x14ac:dyDescent="0.2">
      <c r="A12" s="24"/>
      <c r="B12" s="14" t="s">
        <v>91</v>
      </c>
      <c r="C12" s="12">
        <f>ROUNDDOWN(((VLOOKUP($C$3,'Classes &amp; Stats'!$J$2:$AG$50,15))+Q21),0)</f>
        <v>32</v>
      </c>
      <c r="D12" s="7"/>
      <c r="E12" s="101"/>
      <c r="F12" s="102"/>
      <c r="G12" s="102"/>
      <c r="H12" s="19" t="s">
        <v>7</v>
      </c>
      <c r="I12" s="7" t="s">
        <v>8</v>
      </c>
      <c r="J12" s="20" t="s">
        <v>9</v>
      </c>
      <c r="K12" s="24"/>
      <c r="L12" s="27" t="s">
        <v>236</v>
      </c>
      <c r="M12" s="7"/>
      <c r="N12" s="24"/>
      <c r="O12" s="24"/>
      <c r="P12" s="53" t="s">
        <v>115</v>
      </c>
      <c r="Q12" s="37">
        <v>0</v>
      </c>
      <c r="R12" s="24"/>
      <c r="S12" s="24"/>
    </row>
    <row r="13" spans="1:19" ht="12.75" customHeight="1" x14ac:dyDescent="0.2">
      <c r="A13" s="24"/>
      <c r="B13" s="14" t="s">
        <v>92</v>
      </c>
      <c r="C13" s="11">
        <v>3</v>
      </c>
      <c r="D13" s="7"/>
      <c r="E13" s="98" t="s">
        <v>105</v>
      </c>
      <c r="F13" s="99"/>
      <c r="G13" s="100"/>
      <c r="H13" s="12" t="str">
        <f>"+"&amp;(VLOOKUP($C$3,'Classes &amp; Stats'!$J$2:$AG$50,22)+Q15)&amp;" vs AC"</f>
        <v>+2 vs AC</v>
      </c>
      <c r="I13" s="6" t="str">
        <f>VLOOKUP($C$3,'Classes &amp; Stats'!$J$2:$AG$50,23)</f>
        <v>1[W]+1</v>
      </c>
      <c r="J13" s="21">
        <f>VLOOKUP($C$3,'Classes &amp; Stats'!$J$2:$AG$50,24)+Q17</f>
        <v>0</v>
      </c>
      <c r="K13" s="75"/>
      <c r="L13" s="27" t="s">
        <v>237</v>
      </c>
      <c r="M13" s="77"/>
      <c r="N13" s="24"/>
      <c r="O13" s="24"/>
      <c r="P13" s="53" t="s">
        <v>116</v>
      </c>
      <c r="Q13" s="37">
        <v>0</v>
      </c>
      <c r="R13" s="24"/>
      <c r="S13" s="24"/>
    </row>
    <row r="14" spans="1:19" ht="12.75" customHeight="1" x14ac:dyDescent="0.2">
      <c r="A14" s="24"/>
      <c r="B14" s="14" t="s">
        <v>93</v>
      </c>
      <c r="C14" s="12">
        <f>VLOOKUP($C$3,'Classes &amp; Stats'!$J$2:$AG$50,16)+Q22</f>
        <v>8</v>
      </c>
      <c r="D14" s="7"/>
      <c r="E14" s="3"/>
      <c r="F14" s="3"/>
      <c r="G14" s="3"/>
      <c r="H14" s="13"/>
      <c r="I14" s="7"/>
      <c r="J14" s="22"/>
      <c r="K14" s="22"/>
      <c r="L14" s="78" t="s">
        <v>238</v>
      </c>
      <c r="M14" s="77"/>
      <c r="N14" s="24"/>
      <c r="O14" s="24"/>
      <c r="P14" s="53" t="s">
        <v>197</v>
      </c>
      <c r="Q14" s="71">
        <v>0</v>
      </c>
      <c r="R14" s="24"/>
      <c r="S14" s="24"/>
    </row>
    <row r="15" spans="1:19" ht="12" customHeight="1" x14ac:dyDescent="0.2">
      <c r="A15" s="24"/>
      <c r="B15" s="23" t="s">
        <v>96</v>
      </c>
      <c r="C15" s="12" t="str">
        <f>VLOOKUP($C$3,'Classes &amp; Stats'!J2:AG50,18)</f>
        <v>1d6+2</v>
      </c>
      <c r="D15" s="7"/>
      <c r="E15" s="3"/>
      <c r="F15" s="3"/>
      <c r="G15" s="3"/>
      <c r="H15" s="12" t="s">
        <v>250</v>
      </c>
      <c r="I15" s="12" t="s">
        <v>249</v>
      </c>
      <c r="J15" s="22"/>
      <c r="K15" s="22"/>
      <c r="L15" s="7"/>
      <c r="M15" s="7"/>
      <c r="N15" s="24"/>
      <c r="O15" s="51"/>
      <c r="P15" s="53" t="s">
        <v>117</v>
      </c>
      <c r="Q15" s="37">
        <v>0</v>
      </c>
      <c r="R15" s="51"/>
      <c r="S15" s="24"/>
    </row>
    <row r="16" spans="1:19" ht="11.25" customHeight="1" x14ac:dyDescent="0.2">
      <c r="A16" s="24"/>
      <c r="B16" s="3"/>
      <c r="C16" s="3"/>
      <c r="D16" s="3"/>
      <c r="E16" s="96" t="s">
        <v>248</v>
      </c>
      <c r="F16" s="104"/>
      <c r="G16" s="105"/>
      <c r="H16" s="5">
        <f>'Classes &amp; Stats'!I48</f>
        <v>0</v>
      </c>
      <c r="I16" s="12">
        <f>IF(C6=FALSE,0,'Classes &amp; Stats'!I49)</f>
        <v>0</v>
      </c>
      <c r="J16" s="24"/>
      <c r="K16" s="24"/>
      <c r="L16" s="7"/>
      <c r="M16" s="7"/>
      <c r="N16" s="24"/>
      <c r="O16" s="24"/>
      <c r="P16" s="53" t="s">
        <v>118</v>
      </c>
      <c r="Q16" s="37">
        <v>0</v>
      </c>
      <c r="R16" s="24"/>
      <c r="S16" s="51"/>
    </row>
    <row r="17" spans="1:19" ht="12.75" customHeight="1" x14ac:dyDescent="0.2">
      <c r="A17" s="24"/>
      <c r="B17" s="87" t="s">
        <v>5</v>
      </c>
      <c r="C17" s="88"/>
      <c r="D17" s="25"/>
      <c r="E17" s="26"/>
      <c r="F17" s="25"/>
      <c r="G17" s="7"/>
      <c r="H17" s="3"/>
      <c r="I17" s="3"/>
      <c r="J17" s="24"/>
      <c r="K17" s="24"/>
      <c r="L17" s="27" t="s">
        <v>15</v>
      </c>
      <c r="M17" s="50"/>
      <c r="N17" s="51"/>
      <c r="O17" s="24"/>
      <c r="P17" s="53" t="s">
        <v>198</v>
      </c>
      <c r="Q17" s="71">
        <v>0</v>
      </c>
      <c r="R17" s="24"/>
      <c r="S17" s="24"/>
    </row>
    <row r="18" spans="1:19" ht="12.75" customHeight="1" x14ac:dyDescent="0.2">
      <c r="A18" s="24"/>
      <c r="B18" s="89" t="s">
        <v>251</v>
      </c>
      <c r="C18" s="90"/>
      <c r="D18" s="90"/>
      <c r="E18" s="90"/>
      <c r="F18" s="91"/>
      <c r="G18" s="7"/>
      <c r="H18" s="85" t="s">
        <v>10</v>
      </c>
      <c r="I18" s="86"/>
      <c r="J18" s="7"/>
      <c r="K18" s="7"/>
      <c r="L18" s="79" t="s">
        <v>279</v>
      </c>
      <c r="M18" s="81"/>
      <c r="N18" s="24"/>
      <c r="O18" s="24"/>
      <c r="P18" s="53" t="s">
        <v>107</v>
      </c>
      <c r="Q18" s="37">
        <v>1</v>
      </c>
      <c r="R18" s="24"/>
      <c r="S18" s="24"/>
    </row>
    <row r="19" spans="1:19" ht="12.75" customHeight="1" x14ac:dyDescent="0.2">
      <c r="A19" s="24"/>
      <c r="B19" s="92"/>
      <c r="C19" s="90"/>
      <c r="D19" s="90"/>
      <c r="E19" s="90"/>
      <c r="F19" s="91"/>
      <c r="G19" s="28"/>
      <c r="H19" s="79" t="s">
        <v>274</v>
      </c>
      <c r="I19" s="103"/>
      <c r="J19" s="7"/>
      <c r="K19" s="7"/>
      <c r="L19" s="79"/>
      <c r="M19" s="81"/>
      <c r="N19" s="24"/>
      <c r="O19" s="24"/>
      <c r="P19" s="53" t="s">
        <v>108</v>
      </c>
      <c r="Q19" s="37">
        <v>0</v>
      </c>
      <c r="R19" s="24"/>
      <c r="S19" s="24"/>
    </row>
    <row r="20" spans="1:19" ht="12.75" customHeight="1" x14ac:dyDescent="0.2">
      <c r="A20" s="24"/>
      <c r="B20" s="92"/>
      <c r="C20" s="90"/>
      <c r="D20" s="90"/>
      <c r="E20" s="90"/>
      <c r="F20" s="91"/>
      <c r="G20" s="28"/>
      <c r="H20" s="79" t="s">
        <v>265</v>
      </c>
      <c r="I20" s="103"/>
      <c r="J20" s="7"/>
      <c r="K20" s="7"/>
      <c r="L20" s="79"/>
      <c r="M20" s="81"/>
      <c r="N20" s="24"/>
      <c r="O20" s="24"/>
      <c r="P20" s="53" t="s">
        <v>109</v>
      </c>
      <c r="Q20" s="37">
        <v>0</v>
      </c>
      <c r="R20" s="24"/>
      <c r="S20" s="24"/>
    </row>
    <row r="21" spans="1:19" ht="12.75" customHeight="1" x14ac:dyDescent="0.2">
      <c r="A21" s="24"/>
      <c r="B21" s="92"/>
      <c r="C21" s="90"/>
      <c r="D21" s="90"/>
      <c r="E21" s="90"/>
      <c r="F21" s="91"/>
      <c r="G21" s="3"/>
      <c r="H21" s="79" t="s">
        <v>261</v>
      </c>
      <c r="I21" s="103"/>
      <c r="J21" s="7"/>
      <c r="K21" s="7"/>
      <c r="L21" s="79"/>
      <c r="M21" s="81"/>
      <c r="N21" s="24"/>
      <c r="O21" s="24"/>
      <c r="P21" s="53" t="s">
        <v>91</v>
      </c>
      <c r="Q21" s="37">
        <v>0</v>
      </c>
      <c r="R21" s="24"/>
      <c r="S21" s="24"/>
    </row>
    <row r="22" spans="1:19" ht="12.75" customHeight="1" x14ac:dyDescent="0.2">
      <c r="A22" s="24"/>
      <c r="B22" s="93"/>
      <c r="C22" s="94"/>
      <c r="D22" s="94"/>
      <c r="E22" s="94"/>
      <c r="F22" s="95"/>
      <c r="G22" s="7"/>
      <c r="H22" s="79" t="s">
        <v>256</v>
      </c>
      <c r="I22" s="103"/>
      <c r="J22" s="7"/>
      <c r="K22" s="7"/>
      <c r="L22" s="79"/>
      <c r="M22" s="81"/>
      <c r="N22" s="24"/>
      <c r="O22" s="51"/>
      <c r="P22" s="53" t="s">
        <v>110</v>
      </c>
      <c r="Q22" s="37">
        <v>0</v>
      </c>
      <c r="R22" s="51"/>
      <c r="S22" s="51"/>
    </row>
    <row r="23" spans="1:19" ht="12.75" customHeight="1" x14ac:dyDescent="0.2">
      <c r="A23" s="24"/>
      <c r="B23" s="7"/>
      <c r="C23" s="7"/>
      <c r="D23" s="7"/>
      <c r="E23" s="24"/>
      <c r="F23" s="7"/>
      <c r="G23" s="7"/>
      <c r="H23" s="79" t="s">
        <v>253</v>
      </c>
      <c r="I23" s="103"/>
      <c r="J23" s="7"/>
      <c r="K23" s="7"/>
      <c r="L23" s="79"/>
      <c r="M23" s="81"/>
      <c r="N23" s="24"/>
      <c r="O23" s="24"/>
      <c r="P23" s="53" t="s">
        <v>157</v>
      </c>
      <c r="Q23" s="37"/>
      <c r="R23" s="24"/>
      <c r="S23" s="24"/>
    </row>
    <row r="24" spans="1:19" ht="12.75" customHeight="1" x14ac:dyDescent="0.2">
      <c r="A24" s="24"/>
      <c r="B24" s="85" t="s">
        <v>11</v>
      </c>
      <c r="C24" s="86"/>
      <c r="D24" s="29"/>
      <c r="E24" s="30"/>
      <c r="F24" s="25"/>
      <c r="G24" s="7"/>
      <c r="H24" s="79"/>
      <c r="I24" s="103"/>
      <c r="J24" s="7"/>
      <c r="K24" s="7"/>
      <c r="L24" s="79"/>
      <c r="M24" s="81"/>
      <c r="N24" s="24"/>
      <c r="O24" s="24"/>
      <c r="P24" s="53" t="s">
        <v>111</v>
      </c>
      <c r="Q24" s="37" t="str">
        <f>"d"&amp;'Classes &amp; Stats'!G14</f>
        <v>d6</v>
      </c>
      <c r="R24" s="24"/>
      <c r="S24" s="24"/>
    </row>
    <row r="25" spans="1:19" ht="12.75" customHeight="1" x14ac:dyDescent="0.2">
      <c r="A25" s="24"/>
      <c r="B25" s="79" t="s">
        <v>252</v>
      </c>
      <c r="C25" s="80"/>
      <c r="D25" s="80"/>
      <c r="E25" s="80"/>
      <c r="F25" s="81"/>
      <c r="G25" s="13"/>
      <c r="H25" s="79"/>
      <c r="I25" s="103"/>
      <c r="J25" s="7"/>
      <c r="K25" s="7"/>
      <c r="L25" s="79"/>
      <c r="M25" s="81"/>
      <c r="N25" s="24"/>
      <c r="O25" s="24"/>
      <c r="P25" s="62" t="s">
        <v>165</v>
      </c>
      <c r="Q25" s="54" t="s">
        <v>67</v>
      </c>
      <c r="R25" s="24"/>
      <c r="S25" s="24"/>
    </row>
    <row r="26" spans="1:19" ht="12.75" customHeight="1" x14ac:dyDescent="0.2">
      <c r="A26" s="24"/>
      <c r="B26" s="79" t="s">
        <v>284</v>
      </c>
      <c r="C26" s="80"/>
      <c r="D26" s="80"/>
      <c r="E26" s="80"/>
      <c r="F26" s="81"/>
      <c r="G26" s="13"/>
      <c r="H26" s="79"/>
      <c r="I26" s="103"/>
      <c r="J26" s="7"/>
      <c r="K26" s="7"/>
      <c r="L26" s="79"/>
      <c r="M26" s="81"/>
      <c r="N26" s="24"/>
      <c r="O26" s="24"/>
      <c r="P26" s="24"/>
      <c r="Q26" s="24"/>
      <c r="R26" s="24"/>
      <c r="S26" s="24"/>
    </row>
    <row r="27" spans="1:19" ht="12.75" customHeight="1" x14ac:dyDescent="0.2">
      <c r="A27" s="24"/>
      <c r="B27" s="82" t="s">
        <v>283</v>
      </c>
      <c r="C27" s="83"/>
      <c r="D27" s="83"/>
      <c r="E27" s="83"/>
      <c r="F27" s="84"/>
      <c r="G27" s="7"/>
      <c r="H27" s="79"/>
      <c r="I27" s="103"/>
      <c r="J27" s="7"/>
      <c r="K27" s="7"/>
      <c r="L27" s="79"/>
      <c r="M27" s="81"/>
      <c r="N27" s="24"/>
      <c r="O27" s="24"/>
      <c r="P27" s="24"/>
      <c r="Q27" s="24"/>
      <c r="R27" s="24"/>
      <c r="S27" s="24"/>
    </row>
    <row r="28" spans="1:19" ht="12.75" customHeight="1" x14ac:dyDescent="0.2">
      <c r="A28" s="24"/>
      <c r="B28" s="24"/>
      <c r="C28" s="24"/>
      <c r="D28" s="7"/>
      <c r="E28" s="3"/>
      <c r="F28" s="3"/>
      <c r="G28" s="7"/>
      <c r="H28" s="79"/>
      <c r="I28" s="103"/>
      <c r="J28" s="7"/>
      <c r="K28" s="7"/>
      <c r="L28" s="121"/>
      <c r="M28" s="84"/>
      <c r="N28" s="24"/>
      <c r="O28" s="24"/>
      <c r="P28" s="24"/>
      <c r="Q28" s="24"/>
      <c r="R28" s="24"/>
      <c r="S28" s="24"/>
    </row>
    <row r="29" spans="1:19" ht="12.75" customHeight="1" x14ac:dyDescent="0.2">
      <c r="A29" s="24"/>
      <c r="B29" s="85" t="s">
        <v>13</v>
      </c>
      <c r="C29" s="86"/>
      <c r="D29" s="31"/>
      <c r="E29" s="25"/>
      <c r="F29" s="25"/>
      <c r="G29" s="7"/>
      <c r="H29" s="7"/>
      <c r="I29" s="7"/>
      <c r="J29" s="7"/>
      <c r="K29" s="7"/>
      <c r="L29" s="7"/>
      <c r="M29" s="7"/>
      <c r="N29" s="24"/>
      <c r="O29" s="51"/>
      <c r="P29" s="51"/>
      <c r="Q29" s="51"/>
      <c r="R29" s="51"/>
      <c r="S29" s="51"/>
    </row>
    <row r="30" spans="1:19" ht="12.75" customHeight="1" x14ac:dyDescent="0.2">
      <c r="A30" s="24"/>
      <c r="B30" s="79" t="s">
        <v>278</v>
      </c>
      <c r="C30" s="80"/>
      <c r="D30" s="80"/>
      <c r="E30" s="80"/>
      <c r="F30" s="81"/>
      <c r="G30" s="13"/>
      <c r="H30" s="85" t="s">
        <v>12</v>
      </c>
      <c r="I30" s="116"/>
      <c r="J30" s="116"/>
      <c r="K30" s="86"/>
      <c r="L30" s="32" t="s">
        <v>97</v>
      </c>
      <c r="M30" s="33" t="s">
        <v>286</v>
      </c>
      <c r="N30" s="24"/>
      <c r="O30" s="24"/>
      <c r="P30" s="24"/>
      <c r="Q30" s="24"/>
      <c r="R30" s="24"/>
      <c r="S30" s="24"/>
    </row>
    <row r="31" spans="1:19" ht="12.75" customHeight="1" x14ac:dyDescent="0.2">
      <c r="A31" s="24"/>
      <c r="B31" s="79" t="s">
        <v>281</v>
      </c>
      <c r="C31" s="80"/>
      <c r="D31" s="80"/>
      <c r="E31" s="80"/>
      <c r="F31" s="81"/>
      <c r="G31" s="13"/>
      <c r="H31" s="34" t="s">
        <v>98</v>
      </c>
      <c r="I31" s="129"/>
      <c r="J31" s="117"/>
      <c r="K31" s="118"/>
      <c r="L31" s="35" t="s">
        <v>99</v>
      </c>
      <c r="M31" s="59" t="s">
        <v>63</v>
      </c>
      <c r="N31" s="24"/>
      <c r="O31" s="24"/>
      <c r="P31" s="24"/>
      <c r="Q31" s="24"/>
      <c r="R31" s="24"/>
      <c r="S31" s="24"/>
    </row>
    <row r="32" spans="1:19" ht="12.75" customHeight="1" x14ac:dyDescent="0.2">
      <c r="A32" s="24"/>
      <c r="B32" s="79" t="s">
        <v>282</v>
      </c>
      <c r="C32" s="80"/>
      <c r="D32" s="80"/>
      <c r="E32" s="80"/>
      <c r="F32" s="81"/>
      <c r="G32" s="36"/>
      <c r="H32" s="34" t="s">
        <v>100</v>
      </c>
      <c r="I32" s="129"/>
      <c r="J32" s="117"/>
      <c r="K32" s="118"/>
      <c r="L32" s="49" t="s">
        <v>101</v>
      </c>
      <c r="M32" s="37" t="s">
        <v>67</v>
      </c>
      <c r="N32" s="24"/>
      <c r="O32" s="24"/>
      <c r="P32" s="24"/>
      <c r="Q32" s="24"/>
      <c r="R32" s="24"/>
      <c r="S32" s="24"/>
    </row>
    <row r="33" spans="1:19" ht="12.75" customHeight="1" x14ac:dyDescent="0.2">
      <c r="A33" s="24"/>
      <c r="B33" s="79"/>
      <c r="C33" s="80"/>
      <c r="D33" s="80"/>
      <c r="E33" s="80"/>
      <c r="F33" s="81"/>
      <c r="G33" s="36"/>
      <c r="H33" s="89" t="s">
        <v>289</v>
      </c>
      <c r="I33" s="117"/>
      <c r="J33" s="117"/>
      <c r="K33" s="118"/>
      <c r="L33" s="129"/>
      <c r="M33" s="81"/>
      <c r="N33" s="24"/>
      <c r="O33" s="24"/>
      <c r="P33" s="24"/>
      <c r="Q33" s="24"/>
      <c r="R33" s="24"/>
      <c r="S33" s="24"/>
    </row>
    <row r="34" spans="1:19" ht="12.75" customHeight="1" x14ac:dyDescent="0.2">
      <c r="A34" s="24"/>
      <c r="B34" s="82"/>
      <c r="C34" s="83"/>
      <c r="D34" s="83"/>
      <c r="E34" s="83"/>
      <c r="F34" s="84"/>
      <c r="G34" s="36"/>
      <c r="H34" s="89" t="s">
        <v>288</v>
      </c>
      <c r="I34" s="117"/>
      <c r="J34" s="117"/>
      <c r="K34" s="118"/>
      <c r="L34" s="129"/>
      <c r="M34" s="81"/>
      <c r="N34" s="51"/>
      <c r="O34" s="24"/>
      <c r="P34" s="24"/>
      <c r="Q34" s="24"/>
      <c r="R34" s="24"/>
      <c r="S34" s="24"/>
    </row>
    <row r="35" spans="1:19" ht="12.75" customHeight="1" x14ac:dyDescent="0.2">
      <c r="A35" s="24"/>
      <c r="B35" s="28"/>
      <c r="C35" s="22"/>
      <c r="D35" s="3"/>
      <c r="E35" s="24"/>
      <c r="F35" s="24"/>
      <c r="G35" s="36"/>
      <c r="H35" s="89" t="s">
        <v>290</v>
      </c>
      <c r="I35" s="117"/>
      <c r="J35" s="117"/>
      <c r="K35" s="118"/>
      <c r="L35" s="129"/>
      <c r="M35" s="81"/>
      <c r="N35" s="24"/>
      <c r="O35" s="24"/>
      <c r="P35" s="24"/>
      <c r="Q35" s="24"/>
      <c r="R35" s="24"/>
      <c r="S35" s="24"/>
    </row>
    <row r="36" spans="1:19" ht="12.75" customHeight="1" x14ac:dyDescent="0.2">
      <c r="A36" s="24"/>
      <c r="B36" s="85" t="s">
        <v>16</v>
      </c>
      <c r="C36" s="86"/>
      <c r="D36" s="29"/>
      <c r="E36" s="25"/>
      <c r="F36" s="25"/>
      <c r="G36" s="36"/>
      <c r="H36" s="89"/>
      <c r="I36" s="117"/>
      <c r="J36" s="117"/>
      <c r="K36" s="118"/>
      <c r="L36" s="129"/>
      <c r="M36" s="81"/>
      <c r="N36" s="24"/>
      <c r="O36" s="51"/>
      <c r="P36" s="51"/>
      <c r="Q36" s="51"/>
      <c r="R36" s="51"/>
      <c r="S36" s="51"/>
    </row>
    <row r="37" spans="1:19" ht="12.75" customHeight="1" x14ac:dyDescent="0.2">
      <c r="A37" s="24"/>
      <c r="B37" s="110" t="str">
        <f>VLOOKUP(C3,'Classes &amp; Stats'!A1:B18,2)</f>
        <v>Access to Wizardry; Breath Weapon; Chain; Dancing Lights; Gather Power; Random Energy; +2 Con OR +2 Cha</v>
      </c>
      <c r="C37" s="111"/>
      <c r="D37" s="111"/>
      <c r="E37" s="111"/>
      <c r="F37" s="112"/>
      <c r="G37" s="36"/>
      <c r="H37" s="89"/>
      <c r="I37" s="117"/>
      <c r="J37" s="117"/>
      <c r="K37" s="118"/>
      <c r="L37" s="129"/>
      <c r="M37" s="81"/>
      <c r="N37" s="24"/>
      <c r="O37" s="24"/>
      <c r="P37" s="24"/>
      <c r="Q37" s="24"/>
      <c r="R37" s="24"/>
      <c r="S37" s="24"/>
    </row>
    <row r="38" spans="1:19" ht="12.75" customHeight="1" x14ac:dyDescent="0.2">
      <c r="A38" s="24"/>
      <c r="B38" s="113"/>
      <c r="C38" s="114"/>
      <c r="D38" s="114"/>
      <c r="E38" s="114"/>
      <c r="F38" s="115"/>
      <c r="G38" s="36"/>
      <c r="H38" s="119"/>
      <c r="I38" s="83"/>
      <c r="J38" s="83"/>
      <c r="K38" s="120"/>
      <c r="L38" s="128"/>
      <c r="M38" s="84"/>
      <c r="N38" s="24"/>
      <c r="O38" s="24"/>
      <c r="P38" s="24"/>
      <c r="Q38" s="24"/>
      <c r="R38" s="24"/>
      <c r="S38" s="24"/>
    </row>
    <row r="39" spans="1:19" ht="7.5" customHeight="1" x14ac:dyDescent="0.2">
      <c r="A39" s="24"/>
      <c r="B39" s="28"/>
      <c r="C39" s="7"/>
      <c r="D39" s="36"/>
      <c r="E39" s="24"/>
      <c r="F39" s="24"/>
      <c r="G39" s="13"/>
      <c r="H39" s="28"/>
      <c r="I39" s="22"/>
      <c r="J39" s="22"/>
      <c r="K39" s="22"/>
      <c r="L39" s="7"/>
      <c r="M39" s="7"/>
      <c r="N39" s="24"/>
      <c r="O39" s="24"/>
      <c r="P39" s="24"/>
      <c r="Q39" s="24"/>
      <c r="R39" s="24"/>
      <c r="S39" s="24"/>
    </row>
    <row r="40" spans="1:19" x14ac:dyDescent="0.2">
      <c r="A40" s="24"/>
      <c r="B40" s="85" t="s">
        <v>17</v>
      </c>
      <c r="C40" s="86"/>
      <c r="D40" s="38"/>
      <c r="E40" s="25"/>
      <c r="F40" s="25"/>
      <c r="G40" s="39"/>
      <c r="H40" s="85" t="s">
        <v>14</v>
      </c>
      <c r="I40" s="116"/>
      <c r="J40" s="116"/>
      <c r="K40" s="86"/>
      <c r="L40" s="40"/>
      <c r="M40" s="25"/>
      <c r="N40" s="24"/>
      <c r="O40" s="24"/>
      <c r="P40" s="24"/>
      <c r="Q40" s="24"/>
      <c r="R40" s="24"/>
      <c r="S40" s="24"/>
    </row>
    <row r="41" spans="1:19" x14ac:dyDescent="0.2">
      <c r="A41" s="24"/>
      <c r="B41" s="79" t="s">
        <v>270</v>
      </c>
      <c r="C41" s="80"/>
      <c r="D41" s="80"/>
      <c r="E41" s="80"/>
      <c r="F41" s="81"/>
      <c r="G41" s="41"/>
      <c r="H41" s="79" t="s">
        <v>285</v>
      </c>
      <c r="I41" s="80"/>
      <c r="J41" s="80"/>
      <c r="K41" s="80"/>
      <c r="L41" s="80"/>
      <c r="M41" s="81"/>
      <c r="N41" s="24"/>
      <c r="O41" s="24"/>
      <c r="P41" s="24"/>
      <c r="Q41" s="24"/>
      <c r="R41" s="24"/>
      <c r="S41" s="24"/>
    </row>
    <row r="42" spans="1:19" x14ac:dyDescent="0.2">
      <c r="A42" s="24"/>
      <c r="B42" s="106"/>
      <c r="C42" s="83"/>
      <c r="D42" s="83"/>
      <c r="E42" s="83"/>
      <c r="F42" s="84"/>
      <c r="G42" s="41"/>
      <c r="H42" s="79"/>
      <c r="I42" s="80"/>
      <c r="J42" s="80"/>
      <c r="K42" s="80"/>
      <c r="L42" s="80"/>
      <c r="M42" s="81"/>
      <c r="N42" s="24"/>
      <c r="O42" s="24"/>
      <c r="P42" s="24"/>
      <c r="Q42" s="24"/>
      <c r="R42" s="24"/>
      <c r="S42" s="24"/>
    </row>
    <row r="43" spans="1:19" x14ac:dyDescent="0.2">
      <c r="A43" s="24"/>
      <c r="B43" s="107" t="s">
        <v>280</v>
      </c>
      <c r="C43" s="108"/>
      <c r="D43" s="108"/>
      <c r="E43" s="108"/>
      <c r="F43" s="109"/>
      <c r="G43" s="39"/>
      <c r="H43" s="79"/>
      <c r="I43" s="80"/>
      <c r="J43" s="80"/>
      <c r="K43" s="80"/>
      <c r="L43" s="80"/>
      <c r="M43" s="81"/>
      <c r="N43" s="24"/>
      <c r="O43" s="51"/>
      <c r="P43" s="51"/>
      <c r="Q43" s="51"/>
      <c r="R43" s="51"/>
      <c r="S43" s="51"/>
    </row>
    <row r="44" spans="1:19" x14ac:dyDescent="0.2">
      <c r="A44" s="24"/>
      <c r="B44" s="106"/>
      <c r="C44" s="83"/>
      <c r="D44" s="83"/>
      <c r="E44" s="83"/>
      <c r="F44" s="84"/>
      <c r="G44" s="39"/>
      <c r="H44" s="79"/>
      <c r="I44" s="80"/>
      <c r="J44" s="80"/>
      <c r="K44" s="80"/>
      <c r="L44" s="80"/>
      <c r="M44" s="81"/>
      <c r="N44" s="24"/>
      <c r="O44" s="24"/>
      <c r="P44" s="24"/>
      <c r="Q44" s="24"/>
      <c r="R44" s="24"/>
      <c r="S44" s="24"/>
    </row>
    <row r="45" spans="1:19" x14ac:dyDescent="0.2">
      <c r="A45" s="24"/>
      <c r="B45" s="107" t="s">
        <v>271</v>
      </c>
      <c r="C45" s="108"/>
      <c r="D45" s="108"/>
      <c r="E45" s="108"/>
      <c r="F45" s="109"/>
      <c r="G45" s="39"/>
      <c r="H45" s="79"/>
      <c r="I45" s="80"/>
      <c r="J45" s="80"/>
      <c r="K45" s="80"/>
      <c r="L45" s="80"/>
      <c r="M45" s="81"/>
      <c r="N45" s="24"/>
      <c r="O45" s="24"/>
      <c r="P45" s="24"/>
      <c r="Q45" s="24"/>
      <c r="R45" s="24"/>
      <c r="S45" s="24"/>
    </row>
    <row r="46" spans="1:19" x14ac:dyDescent="0.2">
      <c r="A46" s="24"/>
      <c r="B46" s="106"/>
      <c r="C46" s="83"/>
      <c r="D46" s="83"/>
      <c r="E46" s="83"/>
      <c r="F46" s="84"/>
      <c r="G46" s="39"/>
      <c r="H46" s="79"/>
      <c r="I46" s="80"/>
      <c r="J46" s="80"/>
      <c r="K46" s="80"/>
      <c r="L46" s="80"/>
      <c r="M46" s="81"/>
      <c r="N46" s="24"/>
      <c r="O46" s="24"/>
      <c r="P46" s="24"/>
      <c r="Q46" s="24"/>
      <c r="R46" s="24"/>
      <c r="S46" s="24"/>
    </row>
    <row r="47" spans="1:19" x14ac:dyDescent="0.2">
      <c r="A47" s="24"/>
      <c r="B47" s="107"/>
      <c r="C47" s="108"/>
      <c r="D47" s="108"/>
      <c r="E47" s="108"/>
      <c r="F47" s="109"/>
      <c r="G47" s="39"/>
      <c r="H47" s="79"/>
      <c r="I47" s="80"/>
      <c r="J47" s="80"/>
      <c r="K47" s="80"/>
      <c r="L47" s="80"/>
      <c r="M47" s="81"/>
      <c r="N47" s="24"/>
      <c r="O47" s="24"/>
      <c r="P47" s="24"/>
      <c r="Q47" s="24"/>
      <c r="R47" s="24"/>
      <c r="S47" s="24"/>
    </row>
    <row r="48" spans="1:19" x14ac:dyDescent="0.2">
      <c r="A48" s="24"/>
      <c r="B48" s="106"/>
      <c r="C48" s="83"/>
      <c r="D48" s="83"/>
      <c r="E48" s="83"/>
      <c r="F48" s="84"/>
      <c r="G48" s="39"/>
      <c r="H48" s="79"/>
      <c r="I48" s="80"/>
      <c r="J48" s="80"/>
      <c r="K48" s="80"/>
      <c r="L48" s="80"/>
      <c r="M48" s="81"/>
      <c r="N48" s="24"/>
      <c r="O48" s="24"/>
      <c r="P48" s="24"/>
      <c r="Q48" s="24"/>
      <c r="R48" s="24"/>
      <c r="S48" s="24"/>
    </row>
    <row r="49" spans="1:19" x14ac:dyDescent="0.2">
      <c r="A49" s="24"/>
      <c r="B49" s="107"/>
      <c r="C49" s="108"/>
      <c r="D49" s="108"/>
      <c r="E49" s="108"/>
      <c r="F49" s="109"/>
      <c r="G49" s="39"/>
      <c r="H49" s="79"/>
      <c r="I49" s="80"/>
      <c r="J49" s="80"/>
      <c r="K49" s="80"/>
      <c r="L49" s="80"/>
      <c r="M49" s="81"/>
      <c r="N49" s="24"/>
      <c r="O49" s="24"/>
      <c r="P49" s="24"/>
      <c r="Q49" s="24"/>
      <c r="R49" s="24"/>
      <c r="S49" s="24"/>
    </row>
    <row r="50" spans="1:19" x14ac:dyDescent="0.2">
      <c r="A50" s="24"/>
      <c r="B50" s="106"/>
      <c r="C50" s="83"/>
      <c r="D50" s="83"/>
      <c r="E50" s="83"/>
      <c r="F50" s="84"/>
      <c r="G50" s="39"/>
      <c r="H50" s="82"/>
      <c r="I50" s="83"/>
      <c r="J50" s="83"/>
      <c r="K50" s="83"/>
      <c r="L50" s="83"/>
      <c r="M50" s="84"/>
      <c r="N50" s="24"/>
      <c r="O50" s="51"/>
      <c r="P50" s="51"/>
      <c r="Q50" s="51"/>
      <c r="R50" s="51"/>
      <c r="S50" s="51"/>
    </row>
    <row r="51" spans="1:19" ht="7.5" customHeight="1" x14ac:dyDescent="0.2">
      <c r="A51" s="24"/>
      <c r="B51" s="24"/>
      <c r="C51" s="24"/>
      <c r="D51" s="36"/>
      <c r="E51" s="24"/>
      <c r="F51" s="24"/>
      <c r="G51" s="36"/>
      <c r="H51" s="42"/>
      <c r="I51" s="43"/>
      <c r="J51" s="13"/>
      <c r="K51" s="75"/>
      <c r="L51" s="7"/>
      <c r="M51" s="7"/>
      <c r="N51" s="51"/>
      <c r="O51" s="24"/>
      <c r="P51" s="24"/>
      <c r="Q51" s="24"/>
      <c r="R51" s="24"/>
      <c r="S51" s="24"/>
    </row>
    <row r="52" spans="1:19" x14ac:dyDescent="0.2">
      <c r="A52" s="24"/>
      <c r="B52" s="85" t="s">
        <v>6</v>
      </c>
      <c r="C52" s="116"/>
      <c r="D52" s="40"/>
      <c r="E52" s="25"/>
      <c r="F52" s="25"/>
      <c r="G52" s="36"/>
      <c r="H52" s="87" t="s">
        <v>102</v>
      </c>
      <c r="I52" s="124"/>
      <c r="J52" s="124"/>
      <c r="K52" s="86"/>
      <c r="L52" s="25"/>
      <c r="M52" s="25"/>
      <c r="N52" s="24"/>
      <c r="O52" s="24"/>
      <c r="P52" s="24"/>
      <c r="Q52" s="24"/>
      <c r="R52" s="24"/>
      <c r="S52" s="24"/>
    </row>
    <row r="53" spans="1:19" x14ac:dyDescent="0.2">
      <c r="A53" s="24"/>
      <c r="B53" s="110" t="str">
        <f>VLOOKUP(C4,Races!A2:B30,2)</f>
        <v>That's Your Best Shot?: 1/battle free action after hit by attack can use recovery. If Esc &lt; 2 half recovery
+2 Con OR +2 Wis</v>
      </c>
      <c r="C53" s="111"/>
      <c r="D53" s="111"/>
      <c r="E53" s="111"/>
      <c r="F53" s="112"/>
      <c r="G53" s="13"/>
      <c r="H53" s="122"/>
      <c r="I53" s="102"/>
      <c r="J53" s="44"/>
      <c r="K53" s="44"/>
      <c r="L53" s="44"/>
      <c r="M53" s="56"/>
      <c r="N53" s="24"/>
      <c r="O53" s="24"/>
      <c r="P53" s="24"/>
      <c r="Q53" s="24"/>
      <c r="R53" s="24"/>
      <c r="S53" s="24"/>
    </row>
    <row r="54" spans="1:19" ht="11.25" x14ac:dyDescent="0.2">
      <c r="A54" s="24"/>
      <c r="B54" s="123"/>
      <c r="C54" s="111"/>
      <c r="D54" s="111"/>
      <c r="E54" s="111"/>
      <c r="F54" s="112"/>
      <c r="G54" s="7"/>
      <c r="H54" s="45"/>
      <c r="I54" s="44"/>
      <c r="J54" s="44"/>
      <c r="K54" s="44"/>
      <c r="L54" s="44"/>
      <c r="M54" s="57"/>
      <c r="N54" s="51"/>
      <c r="O54" s="24"/>
      <c r="P54" s="24"/>
      <c r="Q54" s="24"/>
      <c r="R54" s="24"/>
      <c r="S54" s="24"/>
    </row>
    <row r="55" spans="1:19" ht="11.25" x14ac:dyDescent="0.2">
      <c r="A55" s="24"/>
      <c r="B55" s="113"/>
      <c r="C55" s="114"/>
      <c r="D55" s="114"/>
      <c r="E55" s="114"/>
      <c r="F55" s="115"/>
      <c r="G55" s="7"/>
      <c r="H55" s="46"/>
      <c r="I55" s="47"/>
      <c r="J55" s="47"/>
      <c r="K55" s="47"/>
      <c r="L55" s="47"/>
      <c r="M55" s="58"/>
      <c r="N55" s="24"/>
      <c r="O55" s="24"/>
      <c r="P55" s="24"/>
      <c r="Q55" s="24"/>
      <c r="R55" s="24"/>
      <c r="S55" s="24"/>
    </row>
    <row r="56" spans="1:19" ht="9" customHeight="1" x14ac:dyDescent="0.2">
      <c r="A56" s="24"/>
      <c r="B56" s="24"/>
      <c r="C56" s="24"/>
      <c r="D56" s="13"/>
      <c r="E56" s="24"/>
      <c r="F56" s="24"/>
      <c r="G56" s="7"/>
      <c r="H56" s="24"/>
      <c r="I56" s="24"/>
      <c r="J56" s="13"/>
      <c r="K56" s="75"/>
      <c r="L56" s="24"/>
      <c r="M56" s="24"/>
      <c r="N56" s="24"/>
      <c r="O56" s="24"/>
      <c r="P56" s="24"/>
      <c r="Q56" s="24"/>
      <c r="R56" s="24"/>
      <c r="S56" s="24"/>
    </row>
    <row r="57" spans="1:19" ht="12.75" customHeight="1" x14ac:dyDescent="0.2">
      <c r="A57" s="24"/>
      <c r="B57" s="24"/>
      <c r="C57" s="24"/>
      <c r="D57" s="48"/>
      <c r="E57" s="24"/>
      <c r="F57" s="24"/>
      <c r="G57" s="7"/>
      <c r="H57" s="24"/>
      <c r="I57" s="24"/>
      <c r="J57" s="48"/>
      <c r="K57" s="75"/>
      <c r="L57" s="24"/>
      <c r="M57" s="24"/>
      <c r="N57" s="24"/>
      <c r="O57" s="24"/>
      <c r="P57" s="51"/>
      <c r="Q57" s="51"/>
      <c r="R57" s="24"/>
      <c r="S57" s="24"/>
    </row>
    <row r="58" spans="1:19" ht="12.75" customHeight="1" x14ac:dyDescent="0.2">
      <c r="P58" s="72"/>
      <c r="Q58" s="72"/>
    </row>
    <row r="59" spans="1:19" ht="12.75" customHeight="1" x14ac:dyDescent="0.2">
      <c r="P59" s="72"/>
      <c r="Q59" s="72"/>
    </row>
    <row r="60" spans="1:19" ht="12.75" customHeight="1" x14ac:dyDescent="0.2">
      <c r="P60" s="72"/>
      <c r="Q60" s="72"/>
    </row>
    <row r="61" spans="1:19" ht="12.75" customHeight="1" x14ac:dyDescent="0.2">
      <c r="P61" s="72"/>
      <c r="Q61" s="72"/>
    </row>
  </sheetData>
  <mergeCells count="80">
    <mergeCell ref="I2:J2"/>
    <mergeCell ref="I3:J3"/>
    <mergeCell ref="P3:P5"/>
    <mergeCell ref="H50:M50"/>
    <mergeCell ref="H42:M42"/>
    <mergeCell ref="H43:M43"/>
    <mergeCell ref="L38:M38"/>
    <mergeCell ref="L33:M33"/>
    <mergeCell ref="L34:M34"/>
    <mergeCell ref="L35:M35"/>
    <mergeCell ref="L36:M36"/>
    <mergeCell ref="L37:M37"/>
    <mergeCell ref="I31:K31"/>
    <mergeCell ref="I32:K32"/>
    <mergeCell ref="H33:K33"/>
    <mergeCell ref="H41:M41"/>
    <mergeCell ref="H53:I53"/>
    <mergeCell ref="B53:F55"/>
    <mergeCell ref="H44:M44"/>
    <mergeCell ref="H45:M45"/>
    <mergeCell ref="H46:M46"/>
    <mergeCell ref="H47:M47"/>
    <mergeCell ref="H48:M48"/>
    <mergeCell ref="H49:M49"/>
    <mergeCell ref="B49:F50"/>
    <mergeCell ref="B52:C52"/>
    <mergeCell ref="B45:F46"/>
    <mergeCell ref="B47:F48"/>
    <mergeCell ref="H52:K52"/>
    <mergeCell ref="L27:M27"/>
    <mergeCell ref="L28:M28"/>
    <mergeCell ref="H27:I27"/>
    <mergeCell ref="H28:I28"/>
    <mergeCell ref="H30:K30"/>
    <mergeCell ref="L23:M23"/>
    <mergeCell ref="L24:M24"/>
    <mergeCell ref="L25:M25"/>
    <mergeCell ref="L26:M26"/>
    <mergeCell ref="L18:M18"/>
    <mergeCell ref="L19:M19"/>
    <mergeCell ref="L20:M20"/>
    <mergeCell ref="L21:M21"/>
    <mergeCell ref="L22:M22"/>
    <mergeCell ref="H40:K40"/>
    <mergeCell ref="H34:K34"/>
    <mergeCell ref="H18:I18"/>
    <mergeCell ref="H19:I19"/>
    <mergeCell ref="H20:I20"/>
    <mergeCell ref="H21:I21"/>
    <mergeCell ref="H35:K35"/>
    <mergeCell ref="H36:K36"/>
    <mergeCell ref="H37:K37"/>
    <mergeCell ref="H38:K38"/>
    <mergeCell ref="H26:I26"/>
    <mergeCell ref="B40:C40"/>
    <mergeCell ref="B41:F42"/>
    <mergeCell ref="B43:F44"/>
    <mergeCell ref="B33:F33"/>
    <mergeCell ref="B34:F34"/>
    <mergeCell ref="B36:C36"/>
    <mergeCell ref="B37:F38"/>
    <mergeCell ref="B17:C17"/>
    <mergeCell ref="B18:F22"/>
    <mergeCell ref="B24:C24"/>
    <mergeCell ref="B25:F25"/>
    <mergeCell ref="H10:I10"/>
    <mergeCell ref="E11:G11"/>
    <mergeCell ref="E13:G13"/>
    <mergeCell ref="E12:G12"/>
    <mergeCell ref="H22:I22"/>
    <mergeCell ref="H23:I23"/>
    <mergeCell ref="H24:I24"/>
    <mergeCell ref="H25:I25"/>
    <mergeCell ref="E16:G16"/>
    <mergeCell ref="B32:F32"/>
    <mergeCell ref="B26:F26"/>
    <mergeCell ref="B27:F27"/>
    <mergeCell ref="B29:C29"/>
    <mergeCell ref="B30:F30"/>
    <mergeCell ref="B31:F31"/>
  </mergeCells>
  <pageMargins left="0.7" right="0.7" top="0.75" bottom="0.75" header="0.3" footer="0.3"/>
  <pageSetup scale="98" fitToWidth="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7</xdr:col>
                    <xdr:colOff>38100</xdr:colOff>
                    <xdr:row>52</xdr:row>
                    <xdr:rowOff>38100</xdr:rowOff>
                  </from>
                  <to>
                    <xdr:col>11</xdr:col>
                    <xdr:colOff>295275</xdr:colOff>
                    <xdr:row>53</xdr:row>
                    <xdr:rowOff>66675</xdr:rowOff>
                  </to>
                </anchor>
              </controlPr>
            </control>
          </mc:Choice>
        </mc:AlternateContent>
        <mc:AlternateContent xmlns:mc="http://schemas.openxmlformats.org/markup-compatibility/2006">
          <mc:Choice Requires="x14">
            <control shapeId="1042" r:id="rId5" name="Check Box 18">
              <controlPr defaultSize="0" autoFill="0" autoLine="0" autoPict="0">
                <anchor moveWithCells="1">
                  <from>
                    <xdr:col>11</xdr:col>
                    <xdr:colOff>571500</xdr:colOff>
                    <xdr:row>52</xdr:row>
                    <xdr:rowOff>28575</xdr:rowOff>
                  </from>
                  <to>
                    <xdr:col>11</xdr:col>
                    <xdr:colOff>876300</xdr:colOff>
                    <xdr:row>53</xdr:row>
                    <xdr:rowOff>95250</xdr:rowOff>
                  </to>
                </anchor>
              </controlPr>
            </control>
          </mc:Choice>
        </mc:AlternateContent>
        <mc:AlternateContent xmlns:mc="http://schemas.openxmlformats.org/markup-compatibility/2006">
          <mc:Choice Requires="x14">
            <control shapeId="1043" r:id="rId6" name="Check Box 19">
              <controlPr defaultSize="0" autoFill="0" autoLine="0" autoPict="0">
                <anchor moveWithCells="1">
                  <from>
                    <xdr:col>11</xdr:col>
                    <xdr:colOff>990600</xdr:colOff>
                    <xdr:row>52</xdr:row>
                    <xdr:rowOff>28575</xdr:rowOff>
                  </from>
                  <to>
                    <xdr:col>12</xdr:col>
                    <xdr:colOff>600075</xdr:colOff>
                    <xdr:row>53</xdr:row>
                    <xdr:rowOff>104775</xdr:rowOff>
                  </to>
                </anchor>
              </controlPr>
            </control>
          </mc:Choice>
        </mc:AlternateContent>
        <mc:AlternateContent xmlns:mc="http://schemas.openxmlformats.org/markup-compatibility/2006">
          <mc:Choice Requires="x14">
            <control shapeId="1044" r:id="rId7" name="Check Box 20">
              <controlPr defaultSize="0" autoFill="0" autoLine="0" autoPict="0">
                <anchor moveWithCells="1">
                  <from>
                    <xdr:col>7</xdr:col>
                    <xdr:colOff>38100</xdr:colOff>
                    <xdr:row>53</xdr:row>
                    <xdr:rowOff>38100</xdr:rowOff>
                  </from>
                  <to>
                    <xdr:col>8</xdr:col>
                    <xdr:colOff>28575</xdr:colOff>
                    <xdr:row>54</xdr:row>
                    <xdr:rowOff>104775</xdr:rowOff>
                  </to>
                </anchor>
              </controlPr>
            </control>
          </mc:Choice>
        </mc:AlternateContent>
        <mc:AlternateContent xmlns:mc="http://schemas.openxmlformats.org/markup-compatibility/2006">
          <mc:Choice Requires="x14">
            <control shapeId="1045" r:id="rId8" name="Check Box 21">
              <controlPr defaultSize="0" autoFill="0" autoLine="0" autoPict="0">
                <anchor moveWithCells="1">
                  <from>
                    <xdr:col>8</xdr:col>
                    <xdr:colOff>171450</xdr:colOff>
                    <xdr:row>53</xdr:row>
                    <xdr:rowOff>57150</xdr:rowOff>
                  </from>
                  <to>
                    <xdr:col>10</xdr:col>
                    <xdr:colOff>57150</xdr:colOff>
                    <xdr:row>54</xdr:row>
                    <xdr:rowOff>104775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from>
                    <xdr:col>11</xdr:col>
                    <xdr:colOff>180975</xdr:colOff>
                    <xdr:row>53</xdr:row>
                    <xdr:rowOff>76200</xdr:rowOff>
                  </from>
                  <to>
                    <xdr:col>11</xdr:col>
                    <xdr:colOff>485775</xdr:colOff>
                    <xdr:row>54</xdr:row>
                    <xdr:rowOff>123825</xdr:rowOff>
                  </to>
                </anchor>
              </controlPr>
            </control>
          </mc:Choice>
        </mc:AlternateContent>
        <mc:AlternateContent xmlns:mc="http://schemas.openxmlformats.org/markup-compatibility/2006">
          <mc:Choice Requires="x14">
            <control shapeId="1047" r:id="rId10" name="Check Box 23">
              <controlPr defaultSize="0" autoFill="0" autoLine="0" autoPict="0">
                <anchor moveWithCells="1">
                  <from>
                    <xdr:col>11</xdr:col>
                    <xdr:colOff>333375</xdr:colOff>
                    <xdr:row>53</xdr:row>
                    <xdr:rowOff>76200</xdr:rowOff>
                  </from>
                  <to>
                    <xdr:col>11</xdr:col>
                    <xdr:colOff>638175</xdr:colOff>
                    <xdr:row>54</xdr:row>
                    <xdr:rowOff>123825</xdr:rowOff>
                  </to>
                </anchor>
              </controlPr>
            </control>
          </mc:Choice>
        </mc:AlternateContent>
        <mc:AlternateContent xmlns:mc="http://schemas.openxmlformats.org/markup-compatibility/2006">
          <mc:Choice Requires="x14">
            <control shapeId="1048" r:id="rId11" name="Check Box 24">
              <controlPr defaultSize="0" autoFill="0" autoLine="0" autoPict="0">
                <anchor moveWithCells="1">
                  <from>
                    <xdr:col>11</xdr:col>
                    <xdr:colOff>495300</xdr:colOff>
                    <xdr:row>53</xdr:row>
                    <xdr:rowOff>76200</xdr:rowOff>
                  </from>
                  <to>
                    <xdr:col>11</xdr:col>
                    <xdr:colOff>800100</xdr:colOff>
                    <xdr:row>54</xdr:row>
                    <xdr:rowOff>123825</xdr:rowOff>
                  </to>
                </anchor>
              </controlPr>
            </control>
          </mc:Choice>
        </mc:AlternateContent>
        <mc:AlternateContent xmlns:mc="http://schemas.openxmlformats.org/markup-compatibility/2006">
          <mc:Choice Requires="x14">
            <control shapeId="1049" r:id="rId12" name="Check Box 25">
              <controlPr defaultSize="0" autoFill="0" autoLine="0" autoPict="0">
                <anchor moveWithCells="1">
                  <from>
                    <xdr:col>11</xdr:col>
                    <xdr:colOff>638175</xdr:colOff>
                    <xdr:row>53</xdr:row>
                    <xdr:rowOff>85725</xdr:rowOff>
                  </from>
                  <to>
                    <xdr:col>14</xdr:col>
                    <xdr:colOff>0</xdr:colOff>
                    <xdr:row>54</xdr:row>
                    <xdr:rowOff>114300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0000000}">
          <x14:formula1>
            <xm:f>'Classes &amp; Stats'!$E$2:$E$3</xm:f>
          </x14:formula1>
          <xm:sqref>M32</xm:sqref>
        </x14:dataValidation>
        <x14:dataValidation type="list" allowBlank="1" showInputMessage="1" showErrorMessage="1" xr:uid="{00000000-0002-0000-0000-000001000000}">
          <x14:formula1>
            <xm:f>'Classes &amp; Stats'!$G$44:$G$45</xm:f>
          </x14:formula1>
          <xm:sqref>Q25</xm:sqref>
        </x14:dataValidation>
        <x14:dataValidation type="list" allowBlank="1" showInputMessage="1" showErrorMessage="1" xr:uid="{00000000-0002-0000-0000-000002000000}">
          <x14:formula1>
            <xm:f>Races!$A$2:$A$22</xm:f>
          </x14:formula1>
          <xm:sqref>C4</xm:sqref>
        </x14:dataValidation>
        <x14:dataValidation type="list" allowBlank="1" showInputMessage="1" showErrorMessage="1" xr:uid="{00000000-0002-0000-0000-000003000000}">
          <x14:formula1>
            <xm:f>'Classes &amp; Stats'!$D$2:$D$4</xm:f>
          </x14:formula1>
          <xm:sqref>M31</xm:sqref>
        </x14:dataValidation>
        <x14:dataValidation type="list" allowBlank="1" showInputMessage="1" showErrorMessage="1" prompt="Don't forget to uncheck all of your incremental advances when you level!" xr:uid="{00000000-0002-0000-0000-000004000000}">
          <x14:formula1>
            <xm:f>'Classes &amp; Stats'!$C$2:$C$11</xm:f>
          </x14:formula1>
          <xm:sqref>C5</xm:sqref>
        </x14:dataValidation>
        <x14:dataValidation type="list" allowBlank="1" showInputMessage="1" showErrorMessage="1" prompt="Classes with (M) can multiclass according to RAW.  You can use this character sheet to multiclass community classes if you and your GM agree on the appropriate key abilities." xr:uid="{00000000-0002-0000-0000-000005000000}">
          <x14:formula1>
            <xm:f>'Classes &amp; Stats'!$J$2:$J$21</xm:f>
          </x14:formula1>
          <xm:sqref>C3</xm:sqref>
        </x14:dataValidation>
        <x14:dataValidation type="list" allowBlank="1" showInputMessage="1" showErrorMessage="1" prompt="If you elect to multi class you will need to:_x000a__x000a_1) Enter your two key ability scores in Cells M13 and M14.  Look at page 107 of 13 True Ways._x000a_2) Add your +2 ability modifier from either class._x000a_3) Figure out your multiclass features" xr:uid="{00000000-0002-0000-0000-000006000000}">
          <x14:formula1>
            <xm:f>'Classes &amp; Stats'!$A$45:$A$59</xm:f>
          </x14:formula1>
          <xm:sqref>C6</xm:sqref>
        </x14:dataValidation>
        <x14:dataValidation type="list" allowBlank="1" showInputMessage="1" showErrorMessage="1" prompt="This must be blank (select the cell and push backspace) if you are not multiclassing." xr:uid="{00000000-0002-0000-0000-000007000000}">
          <x14:formula1>
            <xm:f>'Classes &amp; Stats'!$F$2:$F$7</xm:f>
          </x14:formula1>
          <xm:sqref>M13:M14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2"/>
  <sheetViews>
    <sheetView zoomScaleNormal="100" workbookViewId="0">
      <selection activeCell="C50" sqref="C50"/>
    </sheetView>
    <sheetView workbookViewId="1"/>
  </sheetViews>
  <sheetFormatPr defaultRowHeight="12.75" x14ac:dyDescent="0.2"/>
  <cols>
    <col min="1" max="1" width="2" customWidth="1"/>
    <col min="2" max="2" width="12.28515625" customWidth="1"/>
    <col min="3" max="3" width="20.7109375" customWidth="1"/>
    <col min="4" max="4" width="5.28515625" customWidth="1"/>
    <col min="5" max="5" width="3.7109375" customWidth="1"/>
    <col min="6" max="6" width="2" customWidth="1"/>
    <col min="7" max="7" width="12.28515625" customWidth="1"/>
    <col min="8" max="8" width="20.7109375" customWidth="1"/>
    <col min="9" max="9" width="5.28515625" customWidth="1"/>
    <col min="10" max="10" width="3.7109375" customWidth="1"/>
    <col min="11" max="12" width="2" customWidth="1"/>
    <col min="13" max="13" width="12.28515625" customWidth="1"/>
    <col min="14" max="14" width="20.7109375" customWidth="1"/>
    <col min="15" max="15" width="5.28515625" customWidth="1"/>
    <col min="16" max="16" width="3.7109375" customWidth="1"/>
    <col min="17" max="17" width="2" customWidth="1"/>
    <col min="18" max="18" width="12.28515625" customWidth="1"/>
    <col min="19" max="19" width="20.7109375" customWidth="1"/>
    <col min="20" max="20" width="5.28515625" customWidth="1"/>
    <col min="21" max="21" width="3.7109375" customWidth="1"/>
    <col min="22" max="22" width="2" customWidth="1"/>
  </cols>
  <sheetData>
    <row r="1" spans="1:22" ht="50.25" customHeight="1" x14ac:dyDescent="0.2">
      <c r="A1" s="55"/>
      <c r="B1" s="7"/>
      <c r="C1" s="55"/>
      <c r="D1" s="55"/>
      <c r="E1" s="55"/>
      <c r="F1" s="7"/>
      <c r="G1" s="55"/>
      <c r="H1" s="7"/>
      <c r="I1" s="55"/>
      <c r="J1" s="55"/>
      <c r="K1" s="55"/>
      <c r="L1" s="55"/>
      <c r="M1" s="7"/>
      <c r="N1" s="55"/>
      <c r="O1" s="55"/>
      <c r="P1" s="55"/>
      <c r="Q1" s="7"/>
      <c r="R1" s="55"/>
      <c r="S1" s="7"/>
      <c r="T1" s="55"/>
      <c r="U1" s="55"/>
      <c r="V1" s="55"/>
    </row>
    <row r="2" spans="1:22" ht="12" customHeight="1" x14ac:dyDescent="0.2">
      <c r="A2" s="55"/>
      <c r="B2" s="65" t="s">
        <v>133</v>
      </c>
      <c r="C2" s="11" t="s">
        <v>253</v>
      </c>
      <c r="D2" s="63" t="s">
        <v>3</v>
      </c>
      <c r="E2" s="11">
        <v>1</v>
      </c>
      <c r="F2" s="7"/>
      <c r="G2" s="63" t="s">
        <v>133</v>
      </c>
      <c r="H2" s="64" t="s">
        <v>274</v>
      </c>
      <c r="I2" s="63" t="s">
        <v>3</v>
      </c>
      <c r="J2" s="64">
        <v>1</v>
      </c>
      <c r="K2" s="55"/>
      <c r="L2" s="55"/>
      <c r="M2" s="63" t="s">
        <v>133</v>
      </c>
      <c r="N2" s="11"/>
      <c r="O2" s="63" t="s">
        <v>3</v>
      </c>
      <c r="P2" s="11"/>
      <c r="Q2" s="7"/>
      <c r="R2" s="63" t="s">
        <v>133</v>
      </c>
      <c r="S2" s="11"/>
      <c r="T2" s="63" t="s">
        <v>3</v>
      </c>
      <c r="U2" s="11"/>
      <c r="V2" s="55"/>
    </row>
    <row r="3" spans="1:22" x14ac:dyDescent="0.2">
      <c r="A3" s="7"/>
      <c r="B3" s="65" t="s">
        <v>134</v>
      </c>
      <c r="C3" s="132" t="s">
        <v>145</v>
      </c>
      <c r="D3" s="133"/>
      <c r="E3" s="133"/>
      <c r="F3" s="7"/>
      <c r="G3" s="63" t="s">
        <v>134</v>
      </c>
      <c r="H3" s="134" t="s">
        <v>145</v>
      </c>
      <c r="I3" s="135"/>
      <c r="J3" s="136"/>
      <c r="K3" s="7"/>
      <c r="L3" s="7"/>
      <c r="M3" s="63" t="s">
        <v>134</v>
      </c>
      <c r="N3" s="132"/>
      <c r="O3" s="133"/>
      <c r="P3" s="133"/>
      <c r="Q3" s="7"/>
      <c r="R3" s="63" t="s">
        <v>134</v>
      </c>
      <c r="S3" s="132"/>
      <c r="T3" s="133"/>
      <c r="U3" s="133"/>
      <c r="V3" s="7"/>
    </row>
    <row r="4" spans="1:22" x14ac:dyDescent="0.2">
      <c r="A4" s="7"/>
      <c r="B4" s="65" t="s">
        <v>135</v>
      </c>
      <c r="C4" s="132" t="s">
        <v>150</v>
      </c>
      <c r="D4" s="133"/>
      <c r="E4" s="133"/>
      <c r="F4" s="7"/>
      <c r="G4" s="63" t="s">
        <v>135</v>
      </c>
      <c r="H4" s="134" t="s">
        <v>147</v>
      </c>
      <c r="I4" s="135"/>
      <c r="J4" s="136"/>
      <c r="K4" s="7"/>
      <c r="L4" s="7"/>
      <c r="M4" s="63" t="s">
        <v>135</v>
      </c>
      <c r="N4" s="132"/>
      <c r="O4" s="133"/>
      <c r="P4" s="133"/>
      <c r="Q4" s="7"/>
      <c r="R4" s="63" t="s">
        <v>135</v>
      </c>
      <c r="S4" s="132"/>
      <c r="T4" s="133"/>
      <c r="U4" s="133"/>
      <c r="V4" s="7"/>
    </row>
    <row r="5" spans="1:22" x14ac:dyDescent="0.2">
      <c r="A5" s="7"/>
      <c r="B5" s="65" t="s">
        <v>136</v>
      </c>
      <c r="C5" s="132" t="s">
        <v>154</v>
      </c>
      <c r="D5" s="133"/>
      <c r="E5" s="133"/>
      <c r="F5" s="7"/>
      <c r="G5" s="63" t="s">
        <v>136</v>
      </c>
      <c r="H5" s="134" t="s">
        <v>153</v>
      </c>
      <c r="I5" s="135"/>
      <c r="J5" s="136"/>
      <c r="K5" s="7"/>
      <c r="L5" s="7"/>
      <c r="M5" s="63" t="s">
        <v>136</v>
      </c>
      <c r="N5" s="132"/>
      <c r="O5" s="133"/>
      <c r="P5" s="133"/>
      <c r="Q5" s="7"/>
      <c r="R5" s="63" t="s">
        <v>136</v>
      </c>
      <c r="S5" s="132"/>
      <c r="T5" s="133"/>
      <c r="U5" s="133"/>
      <c r="V5" s="7"/>
    </row>
    <row r="6" spans="1:22" ht="12" customHeight="1" x14ac:dyDescent="0.2">
      <c r="A6" s="7"/>
      <c r="B6" s="65" t="s">
        <v>155</v>
      </c>
      <c r="C6" s="132"/>
      <c r="D6" s="133"/>
      <c r="E6" s="133"/>
      <c r="F6" s="7"/>
      <c r="G6" s="63" t="s">
        <v>155</v>
      </c>
      <c r="H6" s="134" t="s">
        <v>275</v>
      </c>
      <c r="I6" s="135"/>
      <c r="J6" s="136"/>
      <c r="K6" s="7"/>
      <c r="L6" s="7"/>
      <c r="M6" s="63" t="s">
        <v>155</v>
      </c>
      <c r="N6" s="132"/>
      <c r="O6" s="133"/>
      <c r="P6" s="133"/>
      <c r="Q6" s="7"/>
      <c r="R6" s="63" t="s">
        <v>155</v>
      </c>
      <c r="S6" s="132"/>
      <c r="T6" s="133"/>
      <c r="U6" s="133"/>
      <c r="V6" s="7"/>
    </row>
    <row r="7" spans="1:22" x14ac:dyDescent="0.2">
      <c r="A7" s="55"/>
      <c r="B7" s="66" t="s">
        <v>137</v>
      </c>
      <c r="C7" s="132" t="s">
        <v>254</v>
      </c>
      <c r="D7" s="133"/>
      <c r="E7" s="133"/>
      <c r="F7" s="7"/>
      <c r="G7" s="63" t="s">
        <v>137</v>
      </c>
      <c r="H7" s="134" t="s">
        <v>276</v>
      </c>
      <c r="I7" s="135"/>
      <c r="J7" s="136"/>
      <c r="K7" s="55"/>
      <c r="L7" s="55"/>
      <c r="M7" s="63" t="s">
        <v>137</v>
      </c>
      <c r="N7" s="132"/>
      <c r="O7" s="133"/>
      <c r="P7" s="133"/>
      <c r="Q7" s="7"/>
      <c r="R7" s="63" t="s">
        <v>137</v>
      </c>
      <c r="S7" s="132"/>
      <c r="T7" s="133"/>
      <c r="U7" s="133"/>
      <c r="V7" s="55"/>
    </row>
    <row r="8" spans="1:22" x14ac:dyDescent="0.2">
      <c r="A8" s="55"/>
      <c r="B8" s="66" t="s">
        <v>138</v>
      </c>
      <c r="C8" s="132"/>
      <c r="D8" s="133"/>
      <c r="E8" s="133"/>
      <c r="F8" s="7"/>
      <c r="G8" s="63" t="s">
        <v>138</v>
      </c>
      <c r="H8" s="134"/>
      <c r="I8" s="135"/>
      <c r="J8" s="136"/>
      <c r="K8" s="55"/>
      <c r="L8" s="55"/>
      <c r="M8" s="63" t="s">
        <v>138</v>
      </c>
      <c r="N8" s="132"/>
      <c r="O8" s="133"/>
      <c r="P8" s="133"/>
      <c r="Q8" s="7"/>
      <c r="R8" s="63" t="s">
        <v>138</v>
      </c>
      <c r="S8" s="132"/>
      <c r="T8" s="133"/>
      <c r="U8" s="133"/>
      <c r="V8" s="55"/>
    </row>
    <row r="9" spans="1:22" x14ac:dyDescent="0.2">
      <c r="A9" s="7"/>
      <c r="B9" s="65" t="s">
        <v>139</v>
      </c>
      <c r="C9" s="132"/>
      <c r="D9" s="133"/>
      <c r="E9" s="133"/>
      <c r="F9" s="7"/>
      <c r="G9" s="63" t="s">
        <v>139</v>
      </c>
      <c r="H9" s="134" t="s">
        <v>277</v>
      </c>
      <c r="I9" s="135"/>
      <c r="J9" s="136"/>
      <c r="K9" s="7"/>
      <c r="L9" s="7"/>
      <c r="M9" s="63" t="s">
        <v>139</v>
      </c>
      <c r="N9" s="132"/>
      <c r="O9" s="133"/>
      <c r="P9" s="133"/>
      <c r="Q9" s="7"/>
      <c r="R9" s="63" t="s">
        <v>139</v>
      </c>
      <c r="S9" s="132"/>
      <c r="T9" s="133"/>
      <c r="U9" s="133"/>
      <c r="V9" s="7"/>
    </row>
    <row r="10" spans="1:22" x14ac:dyDescent="0.2">
      <c r="A10" s="7"/>
      <c r="B10" s="65" t="s">
        <v>140</v>
      </c>
      <c r="C10" s="134"/>
      <c r="D10" s="137"/>
      <c r="E10" s="138"/>
      <c r="F10" s="7"/>
      <c r="G10" s="63" t="s">
        <v>140</v>
      </c>
      <c r="H10" s="134"/>
      <c r="I10" s="135"/>
      <c r="J10" s="136"/>
      <c r="K10" s="7"/>
      <c r="L10" s="7"/>
      <c r="M10" s="63" t="s">
        <v>140</v>
      </c>
      <c r="N10" s="134"/>
      <c r="O10" s="137"/>
      <c r="P10" s="138"/>
      <c r="Q10" s="7"/>
      <c r="R10" s="63" t="s">
        <v>140</v>
      </c>
      <c r="S10" s="132"/>
      <c r="T10" s="133"/>
      <c r="U10" s="133"/>
      <c r="V10" s="7"/>
    </row>
    <row r="11" spans="1:22" x14ac:dyDescent="0.2">
      <c r="A11" s="7"/>
      <c r="B11" s="139" t="s">
        <v>141</v>
      </c>
      <c r="C11" s="130" t="s">
        <v>255</v>
      </c>
      <c r="D11" s="108"/>
      <c r="E11" s="109"/>
      <c r="F11" s="7"/>
      <c r="G11" s="63" t="s">
        <v>141</v>
      </c>
      <c r="H11" s="130"/>
      <c r="I11" s="140"/>
      <c r="J11" s="141"/>
      <c r="K11" s="7"/>
      <c r="L11" s="7"/>
      <c r="M11" s="63" t="s">
        <v>141</v>
      </c>
      <c r="N11" s="130"/>
      <c r="O11" s="108"/>
      <c r="P11" s="109"/>
      <c r="Q11" s="7"/>
      <c r="R11" s="63" t="s">
        <v>141</v>
      </c>
      <c r="S11" s="130"/>
      <c r="T11" s="108"/>
      <c r="U11" s="109"/>
      <c r="V11" s="7"/>
    </row>
    <row r="12" spans="1:22" x14ac:dyDescent="0.2">
      <c r="A12" s="7"/>
      <c r="B12" s="139"/>
      <c r="C12" s="131"/>
      <c r="D12" s="80"/>
      <c r="E12" s="81"/>
      <c r="F12" s="7"/>
      <c r="G12" s="63"/>
      <c r="H12" s="89"/>
      <c r="I12" s="129"/>
      <c r="J12" s="142"/>
      <c r="K12" s="7"/>
      <c r="L12" s="7"/>
      <c r="M12" s="63"/>
      <c r="N12" s="131"/>
      <c r="O12" s="80"/>
      <c r="P12" s="81"/>
      <c r="Q12" s="7"/>
      <c r="R12" s="63"/>
      <c r="S12" s="131"/>
      <c r="T12" s="80"/>
      <c r="U12" s="81"/>
      <c r="V12" s="7"/>
    </row>
    <row r="13" spans="1:22" x14ac:dyDescent="0.2">
      <c r="A13" s="55"/>
      <c r="B13" s="139"/>
      <c r="C13" s="131"/>
      <c r="D13" s="80"/>
      <c r="E13" s="81"/>
      <c r="F13" s="7"/>
      <c r="G13" s="63"/>
      <c r="H13" s="89"/>
      <c r="I13" s="129"/>
      <c r="J13" s="142"/>
      <c r="K13" s="55"/>
      <c r="L13" s="55"/>
      <c r="M13" s="63"/>
      <c r="N13" s="131"/>
      <c r="O13" s="80"/>
      <c r="P13" s="81"/>
      <c r="Q13" s="7"/>
      <c r="R13" s="63"/>
      <c r="S13" s="131"/>
      <c r="T13" s="80"/>
      <c r="U13" s="81"/>
      <c r="V13" s="55"/>
    </row>
    <row r="14" spans="1:22" x14ac:dyDescent="0.2">
      <c r="A14" s="55"/>
      <c r="B14" s="139"/>
      <c r="C14" s="131"/>
      <c r="D14" s="80"/>
      <c r="E14" s="81"/>
      <c r="F14" s="7"/>
      <c r="G14" s="63"/>
      <c r="H14" s="89"/>
      <c r="I14" s="129"/>
      <c r="J14" s="142"/>
      <c r="K14" s="55"/>
      <c r="L14" s="55"/>
      <c r="M14" s="63"/>
      <c r="N14" s="131"/>
      <c r="O14" s="80"/>
      <c r="P14" s="81"/>
      <c r="Q14" s="7"/>
      <c r="R14" s="63"/>
      <c r="S14" s="131"/>
      <c r="T14" s="80"/>
      <c r="U14" s="81"/>
      <c r="V14" s="55"/>
    </row>
    <row r="15" spans="1:22" x14ac:dyDescent="0.2">
      <c r="A15" s="7"/>
      <c r="B15" s="139"/>
      <c r="C15" s="131"/>
      <c r="D15" s="80"/>
      <c r="E15" s="81"/>
      <c r="F15" s="7"/>
      <c r="G15" s="63"/>
      <c r="H15" s="89"/>
      <c r="I15" s="129"/>
      <c r="J15" s="142"/>
      <c r="K15" s="7"/>
      <c r="L15" s="7"/>
      <c r="M15" s="63"/>
      <c r="N15" s="131"/>
      <c r="O15" s="80"/>
      <c r="P15" s="81"/>
      <c r="Q15" s="7"/>
      <c r="R15" s="63"/>
      <c r="S15" s="131"/>
      <c r="T15" s="80"/>
      <c r="U15" s="81"/>
      <c r="V15" s="7"/>
    </row>
    <row r="16" spans="1:22" x14ac:dyDescent="0.2">
      <c r="A16" s="7"/>
      <c r="B16" s="139"/>
      <c r="C16" s="106"/>
      <c r="D16" s="83"/>
      <c r="E16" s="84"/>
      <c r="F16" s="7"/>
      <c r="G16" s="63"/>
      <c r="H16" s="119"/>
      <c r="I16" s="128"/>
      <c r="J16" s="143"/>
      <c r="K16" s="7"/>
      <c r="L16" s="7"/>
      <c r="M16" s="63"/>
      <c r="N16" s="106"/>
      <c r="O16" s="83"/>
      <c r="P16" s="84"/>
      <c r="Q16" s="7"/>
      <c r="R16" s="63"/>
      <c r="S16" s="106"/>
      <c r="T16" s="83"/>
      <c r="U16" s="84"/>
      <c r="V16" s="7"/>
    </row>
    <row r="17" spans="1:22" x14ac:dyDescent="0.2">
      <c r="A17" s="7"/>
      <c r="B17" s="7"/>
      <c r="C17" s="7"/>
      <c r="D17" s="7"/>
      <c r="E17" s="7"/>
      <c r="F17" s="7"/>
      <c r="G17" s="7"/>
      <c r="H17" s="7"/>
      <c r="I17" s="7"/>
      <c r="J17" s="7"/>
      <c r="K17" s="7"/>
      <c r="L17" s="7"/>
      <c r="M17" s="7"/>
      <c r="N17" s="7"/>
      <c r="O17" s="7"/>
      <c r="P17" s="7"/>
      <c r="Q17" s="7"/>
      <c r="R17" s="7"/>
      <c r="S17" s="7"/>
      <c r="T17" s="7"/>
      <c r="U17" s="7"/>
      <c r="V17" s="7"/>
    </row>
    <row r="18" spans="1:22" ht="12" customHeight="1" x14ac:dyDescent="0.2">
      <c r="A18" s="7"/>
      <c r="B18" s="63" t="s">
        <v>133</v>
      </c>
      <c r="C18" s="61" t="s">
        <v>256</v>
      </c>
      <c r="D18" s="63" t="s">
        <v>3</v>
      </c>
      <c r="E18" s="61">
        <v>1</v>
      </c>
      <c r="F18" s="7"/>
      <c r="G18" s="63" t="s">
        <v>133</v>
      </c>
      <c r="H18" s="11" t="s">
        <v>265</v>
      </c>
      <c r="I18" s="63" t="s">
        <v>3</v>
      </c>
      <c r="J18" s="11">
        <v>1</v>
      </c>
      <c r="K18" s="7"/>
      <c r="L18" s="7"/>
      <c r="M18" s="63" t="s">
        <v>133</v>
      </c>
      <c r="N18" s="61"/>
      <c r="O18" s="63" t="s">
        <v>3</v>
      </c>
      <c r="P18" s="61"/>
      <c r="Q18" s="7"/>
      <c r="R18" s="63" t="s">
        <v>133</v>
      </c>
      <c r="S18" s="11"/>
      <c r="T18" s="63" t="s">
        <v>3</v>
      </c>
      <c r="U18" s="11"/>
      <c r="V18" s="7"/>
    </row>
    <row r="19" spans="1:22" x14ac:dyDescent="0.2">
      <c r="A19" s="55"/>
      <c r="B19" s="63" t="s">
        <v>134</v>
      </c>
      <c r="C19" s="132" t="s">
        <v>144</v>
      </c>
      <c r="D19" s="133"/>
      <c r="E19" s="133"/>
      <c r="F19" s="7"/>
      <c r="G19" s="63" t="s">
        <v>134</v>
      </c>
      <c r="H19" s="132" t="s">
        <v>144</v>
      </c>
      <c r="I19" s="133"/>
      <c r="J19" s="133"/>
      <c r="K19" s="55"/>
      <c r="L19" s="55"/>
      <c r="M19" s="63" t="s">
        <v>134</v>
      </c>
      <c r="N19" s="132"/>
      <c r="O19" s="133"/>
      <c r="P19" s="133"/>
      <c r="Q19" s="7"/>
      <c r="R19" s="63" t="s">
        <v>134</v>
      </c>
      <c r="S19" s="132"/>
      <c r="T19" s="133"/>
      <c r="U19" s="133"/>
      <c r="V19" s="55"/>
    </row>
    <row r="20" spans="1:22" x14ac:dyDescent="0.2">
      <c r="A20" s="55"/>
      <c r="B20" s="63" t="s">
        <v>135</v>
      </c>
      <c r="C20" s="132" t="s">
        <v>150</v>
      </c>
      <c r="D20" s="133"/>
      <c r="E20" s="133"/>
      <c r="F20" s="7"/>
      <c r="G20" s="63" t="s">
        <v>135</v>
      </c>
      <c r="H20" s="132" t="s">
        <v>150</v>
      </c>
      <c r="I20" s="133"/>
      <c r="J20" s="133"/>
      <c r="K20" s="55"/>
      <c r="L20" s="55"/>
      <c r="M20" s="63" t="s">
        <v>135</v>
      </c>
      <c r="N20" s="132"/>
      <c r="O20" s="133"/>
      <c r="P20" s="133"/>
      <c r="Q20" s="7"/>
      <c r="R20" s="63" t="s">
        <v>135</v>
      </c>
      <c r="S20" s="132"/>
      <c r="T20" s="133"/>
      <c r="U20" s="133"/>
      <c r="V20" s="55"/>
    </row>
    <row r="21" spans="1:22" x14ac:dyDescent="0.2">
      <c r="A21" s="7"/>
      <c r="B21" s="63" t="s">
        <v>136</v>
      </c>
      <c r="C21" s="132" t="s">
        <v>154</v>
      </c>
      <c r="D21" s="133"/>
      <c r="E21" s="133"/>
      <c r="F21" s="7"/>
      <c r="G21" s="63" t="s">
        <v>136</v>
      </c>
      <c r="H21" s="132" t="s">
        <v>151</v>
      </c>
      <c r="I21" s="133"/>
      <c r="J21" s="133"/>
      <c r="K21" s="7"/>
      <c r="L21" s="7"/>
      <c r="M21" s="63" t="s">
        <v>136</v>
      </c>
      <c r="N21" s="132"/>
      <c r="O21" s="133"/>
      <c r="P21" s="133"/>
      <c r="Q21" s="7"/>
      <c r="R21" s="63" t="s">
        <v>136</v>
      </c>
      <c r="S21" s="132"/>
      <c r="T21" s="133"/>
      <c r="U21" s="133"/>
      <c r="V21" s="7"/>
    </row>
    <row r="22" spans="1:22" ht="12" customHeight="1" x14ac:dyDescent="0.2">
      <c r="A22" s="7"/>
      <c r="B22" s="63" t="s">
        <v>155</v>
      </c>
      <c r="C22" s="132"/>
      <c r="D22" s="133"/>
      <c r="E22" s="133"/>
      <c r="F22" s="7"/>
      <c r="G22" s="63" t="s">
        <v>155</v>
      </c>
      <c r="H22" s="132"/>
      <c r="I22" s="133"/>
      <c r="J22" s="133"/>
      <c r="K22" s="7"/>
      <c r="L22" s="7"/>
      <c r="M22" s="63" t="s">
        <v>155</v>
      </c>
      <c r="N22" s="132"/>
      <c r="O22" s="133"/>
      <c r="P22" s="133"/>
      <c r="Q22" s="7"/>
      <c r="R22" s="63" t="s">
        <v>155</v>
      </c>
      <c r="S22" s="132"/>
      <c r="T22" s="133"/>
      <c r="U22" s="133"/>
      <c r="V22" s="7"/>
    </row>
    <row r="23" spans="1:22" x14ac:dyDescent="0.2">
      <c r="A23" s="7"/>
      <c r="B23" s="63" t="s">
        <v>137</v>
      </c>
      <c r="C23" s="132" t="s">
        <v>257</v>
      </c>
      <c r="D23" s="133"/>
      <c r="E23" s="133"/>
      <c r="F23" s="7"/>
      <c r="G23" s="63" t="s">
        <v>137</v>
      </c>
      <c r="H23" s="132" t="s">
        <v>266</v>
      </c>
      <c r="I23" s="133"/>
      <c r="J23" s="133"/>
      <c r="K23" s="7"/>
      <c r="L23" s="7"/>
      <c r="M23" s="63" t="s">
        <v>137</v>
      </c>
      <c r="N23" s="132"/>
      <c r="O23" s="133"/>
      <c r="P23" s="133"/>
      <c r="Q23" s="7"/>
      <c r="R23" s="63" t="s">
        <v>137</v>
      </c>
      <c r="S23" s="132"/>
      <c r="T23" s="133"/>
      <c r="U23" s="133"/>
      <c r="V23" s="7"/>
    </row>
    <row r="24" spans="1:22" x14ac:dyDescent="0.2">
      <c r="A24" s="7"/>
      <c r="B24" s="63" t="s">
        <v>138</v>
      </c>
      <c r="C24" s="132" t="s">
        <v>259</v>
      </c>
      <c r="D24" s="133"/>
      <c r="E24" s="133"/>
      <c r="F24" s="7"/>
      <c r="G24" s="63" t="s">
        <v>138</v>
      </c>
      <c r="H24" s="132" t="s">
        <v>267</v>
      </c>
      <c r="I24" s="133"/>
      <c r="J24" s="133"/>
      <c r="K24" s="7"/>
      <c r="L24" s="7"/>
      <c r="M24" s="63" t="s">
        <v>138</v>
      </c>
      <c r="N24" s="132"/>
      <c r="O24" s="133"/>
      <c r="P24" s="133"/>
      <c r="Q24" s="7"/>
      <c r="R24" s="63" t="s">
        <v>138</v>
      </c>
      <c r="S24" s="132"/>
      <c r="T24" s="133"/>
      <c r="U24" s="133"/>
      <c r="V24" s="7"/>
    </row>
    <row r="25" spans="1:22" x14ac:dyDescent="0.2">
      <c r="A25" s="55"/>
      <c r="B25" s="63" t="s">
        <v>139</v>
      </c>
      <c r="C25" s="132" t="s">
        <v>258</v>
      </c>
      <c r="D25" s="133"/>
      <c r="E25" s="133"/>
      <c r="F25" s="7"/>
      <c r="G25" s="63" t="s">
        <v>139</v>
      </c>
      <c r="H25" s="132" t="s">
        <v>268</v>
      </c>
      <c r="I25" s="133"/>
      <c r="J25" s="133"/>
      <c r="K25" s="55"/>
      <c r="L25" s="55"/>
      <c r="M25" s="63" t="s">
        <v>139</v>
      </c>
      <c r="N25" s="132"/>
      <c r="O25" s="133"/>
      <c r="P25" s="133"/>
      <c r="Q25" s="7"/>
      <c r="R25" s="63" t="s">
        <v>139</v>
      </c>
      <c r="S25" s="132"/>
      <c r="T25" s="133"/>
      <c r="U25" s="133"/>
      <c r="V25" s="55"/>
    </row>
    <row r="26" spans="1:22" x14ac:dyDescent="0.2">
      <c r="A26" s="55"/>
      <c r="B26" s="63" t="s">
        <v>140</v>
      </c>
      <c r="C26" s="132" t="s">
        <v>260</v>
      </c>
      <c r="D26" s="133"/>
      <c r="E26" s="133"/>
      <c r="F26" s="7"/>
      <c r="G26" s="63" t="s">
        <v>140</v>
      </c>
      <c r="H26" s="132" t="s">
        <v>269</v>
      </c>
      <c r="I26" s="133"/>
      <c r="J26" s="133"/>
      <c r="K26" s="55"/>
      <c r="L26" s="55"/>
      <c r="M26" s="63" t="s">
        <v>140</v>
      </c>
      <c r="N26" s="132"/>
      <c r="O26" s="133"/>
      <c r="P26" s="133"/>
      <c r="Q26" s="7"/>
      <c r="R26" s="63" t="s">
        <v>140</v>
      </c>
      <c r="S26" s="132"/>
      <c r="T26" s="133"/>
      <c r="U26" s="133"/>
      <c r="V26" s="55"/>
    </row>
    <row r="27" spans="1:22" x14ac:dyDescent="0.2">
      <c r="A27" s="7"/>
      <c r="B27" s="63" t="s">
        <v>141</v>
      </c>
      <c r="C27" s="130"/>
      <c r="D27" s="108"/>
      <c r="E27" s="109"/>
      <c r="F27" s="7"/>
      <c r="G27" s="63" t="s">
        <v>141</v>
      </c>
      <c r="H27" s="130"/>
      <c r="I27" s="108"/>
      <c r="J27" s="109"/>
      <c r="K27" s="7"/>
      <c r="L27" s="7"/>
      <c r="M27" s="63" t="s">
        <v>141</v>
      </c>
      <c r="N27" s="130"/>
      <c r="O27" s="108"/>
      <c r="P27" s="109"/>
      <c r="Q27" s="7"/>
      <c r="R27" s="63" t="s">
        <v>141</v>
      </c>
      <c r="S27" s="130"/>
      <c r="T27" s="108"/>
      <c r="U27" s="109"/>
      <c r="V27" s="7"/>
    </row>
    <row r="28" spans="1:22" x14ac:dyDescent="0.2">
      <c r="A28" s="7"/>
      <c r="B28" s="63"/>
      <c r="C28" s="131"/>
      <c r="D28" s="80"/>
      <c r="E28" s="81"/>
      <c r="F28" s="7"/>
      <c r="G28" s="63"/>
      <c r="H28" s="131"/>
      <c r="I28" s="80"/>
      <c r="J28" s="81"/>
      <c r="K28" s="7"/>
      <c r="L28" s="7"/>
      <c r="M28" s="63"/>
      <c r="N28" s="131"/>
      <c r="O28" s="80"/>
      <c r="P28" s="81"/>
      <c r="Q28" s="7"/>
      <c r="R28" s="63"/>
      <c r="S28" s="131"/>
      <c r="T28" s="80"/>
      <c r="U28" s="81"/>
      <c r="V28" s="7"/>
    </row>
    <row r="29" spans="1:22" x14ac:dyDescent="0.2">
      <c r="A29" s="7"/>
      <c r="B29" s="63"/>
      <c r="C29" s="131"/>
      <c r="D29" s="80"/>
      <c r="E29" s="81"/>
      <c r="F29" s="7"/>
      <c r="G29" s="63"/>
      <c r="H29" s="131"/>
      <c r="I29" s="80"/>
      <c r="J29" s="81"/>
      <c r="K29" s="7"/>
      <c r="L29" s="7"/>
      <c r="M29" s="63"/>
      <c r="N29" s="131"/>
      <c r="O29" s="80"/>
      <c r="P29" s="81"/>
      <c r="Q29" s="7"/>
      <c r="R29" s="63"/>
      <c r="S29" s="131"/>
      <c r="T29" s="80"/>
      <c r="U29" s="81"/>
      <c r="V29" s="7"/>
    </row>
    <row r="30" spans="1:22" x14ac:dyDescent="0.2">
      <c r="A30" s="7"/>
      <c r="B30" s="63"/>
      <c r="C30" s="131"/>
      <c r="D30" s="80"/>
      <c r="E30" s="81"/>
      <c r="F30" s="7"/>
      <c r="G30" s="63"/>
      <c r="H30" s="131"/>
      <c r="I30" s="80"/>
      <c r="J30" s="81"/>
      <c r="K30" s="7"/>
      <c r="L30" s="7"/>
      <c r="M30" s="63"/>
      <c r="N30" s="131"/>
      <c r="O30" s="80"/>
      <c r="P30" s="81"/>
      <c r="Q30" s="7"/>
      <c r="R30" s="63"/>
      <c r="S30" s="131"/>
      <c r="T30" s="80"/>
      <c r="U30" s="81"/>
      <c r="V30" s="7"/>
    </row>
    <row r="31" spans="1:22" x14ac:dyDescent="0.2">
      <c r="A31" s="55"/>
      <c r="B31" s="63"/>
      <c r="C31" s="131"/>
      <c r="D31" s="80"/>
      <c r="E31" s="81"/>
      <c r="F31" s="7"/>
      <c r="G31" s="63"/>
      <c r="H31" s="131"/>
      <c r="I31" s="80"/>
      <c r="J31" s="81"/>
      <c r="K31" s="55"/>
      <c r="L31" s="55"/>
      <c r="M31" s="63"/>
      <c r="N31" s="131"/>
      <c r="O31" s="80"/>
      <c r="P31" s="81"/>
      <c r="Q31" s="7"/>
      <c r="R31" s="63"/>
      <c r="S31" s="131"/>
      <c r="T31" s="80"/>
      <c r="U31" s="81"/>
      <c r="V31" s="55"/>
    </row>
    <row r="32" spans="1:22" x14ac:dyDescent="0.2">
      <c r="A32" s="55"/>
      <c r="B32" s="63"/>
      <c r="C32" s="106"/>
      <c r="D32" s="83"/>
      <c r="E32" s="84"/>
      <c r="F32" s="7"/>
      <c r="G32" s="63"/>
      <c r="H32" s="106"/>
      <c r="I32" s="83"/>
      <c r="J32" s="84"/>
      <c r="K32" s="55"/>
      <c r="L32" s="55"/>
      <c r="M32" s="63"/>
      <c r="N32" s="106"/>
      <c r="O32" s="83"/>
      <c r="P32" s="84"/>
      <c r="Q32" s="7"/>
      <c r="R32" s="63"/>
      <c r="S32" s="106"/>
      <c r="T32" s="83"/>
      <c r="U32" s="84"/>
      <c r="V32" s="55"/>
    </row>
    <row r="33" spans="1:22" x14ac:dyDescent="0.2">
      <c r="A33" s="7"/>
      <c r="B33" s="7"/>
      <c r="C33" s="7"/>
      <c r="D33" s="7"/>
      <c r="E33" s="7"/>
      <c r="F33" s="7"/>
      <c r="G33" s="7"/>
      <c r="H33" s="7"/>
      <c r="I33" s="7"/>
      <c r="J33" s="7"/>
      <c r="K33" s="7"/>
      <c r="L33" s="7"/>
      <c r="M33" s="7"/>
      <c r="N33" s="7"/>
      <c r="O33" s="7"/>
      <c r="P33" s="7"/>
      <c r="Q33" s="7"/>
      <c r="R33" s="7"/>
      <c r="S33" s="7"/>
      <c r="T33" s="7"/>
      <c r="U33" s="7"/>
      <c r="V33" s="7"/>
    </row>
    <row r="34" spans="1:22" ht="12" customHeight="1" x14ac:dyDescent="0.2">
      <c r="A34" s="7"/>
      <c r="B34" s="63" t="s">
        <v>133</v>
      </c>
      <c r="C34" s="11" t="s">
        <v>261</v>
      </c>
      <c r="D34" s="63" t="s">
        <v>3</v>
      </c>
      <c r="E34" s="11">
        <v>1</v>
      </c>
      <c r="F34" s="7"/>
      <c r="G34" s="63" t="s">
        <v>133</v>
      </c>
      <c r="H34" s="61"/>
      <c r="I34" s="63" t="s">
        <v>3</v>
      </c>
      <c r="J34" s="61"/>
      <c r="K34" s="7"/>
      <c r="L34" s="7"/>
      <c r="M34" s="63" t="s">
        <v>133</v>
      </c>
      <c r="N34" s="11"/>
      <c r="O34" s="63" t="s">
        <v>3</v>
      </c>
      <c r="P34" s="11"/>
      <c r="Q34" s="7"/>
      <c r="R34" s="63" t="s">
        <v>133</v>
      </c>
      <c r="S34" s="61"/>
      <c r="T34" s="63" t="s">
        <v>3</v>
      </c>
      <c r="U34" s="61"/>
      <c r="V34" s="7"/>
    </row>
    <row r="35" spans="1:22" x14ac:dyDescent="0.2">
      <c r="A35" s="7"/>
      <c r="B35" s="63" t="s">
        <v>134</v>
      </c>
      <c r="C35" s="132" t="s">
        <v>145</v>
      </c>
      <c r="D35" s="133"/>
      <c r="E35" s="133"/>
      <c r="F35" s="7"/>
      <c r="G35" s="63" t="s">
        <v>134</v>
      </c>
      <c r="H35" s="132"/>
      <c r="I35" s="133"/>
      <c r="J35" s="133"/>
      <c r="K35" s="7"/>
      <c r="L35" s="7"/>
      <c r="M35" s="63" t="s">
        <v>134</v>
      </c>
      <c r="N35" s="132"/>
      <c r="O35" s="133"/>
      <c r="P35" s="133"/>
      <c r="Q35" s="7"/>
      <c r="R35" s="63" t="s">
        <v>134</v>
      </c>
      <c r="S35" s="132"/>
      <c r="T35" s="133"/>
      <c r="U35" s="133"/>
      <c r="V35" s="7"/>
    </row>
    <row r="36" spans="1:22" x14ac:dyDescent="0.2">
      <c r="A36" s="7"/>
      <c r="B36" s="63" t="s">
        <v>135</v>
      </c>
      <c r="C36" s="132" t="s">
        <v>262</v>
      </c>
      <c r="D36" s="133"/>
      <c r="E36" s="133"/>
      <c r="F36" s="7"/>
      <c r="G36" s="63" t="s">
        <v>135</v>
      </c>
      <c r="H36" s="132"/>
      <c r="I36" s="133"/>
      <c r="J36" s="133"/>
      <c r="K36" s="7"/>
      <c r="L36" s="7"/>
      <c r="M36" s="63" t="s">
        <v>135</v>
      </c>
      <c r="N36" s="132"/>
      <c r="O36" s="133"/>
      <c r="P36" s="133"/>
      <c r="Q36" s="7"/>
      <c r="R36" s="63" t="s">
        <v>135</v>
      </c>
      <c r="S36" s="132"/>
      <c r="T36" s="133"/>
      <c r="U36" s="133"/>
      <c r="V36" s="7"/>
    </row>
    <row r="37" spans="1:22" x14ac:dyDescent="0.2">
      <c r="A37" s="55"/>
      <c r="B37" s="63" t="s">
        <v>136</v>
      </c>
      <c r="C37" s="132" t="s">
        <v>154</v>
      </c>
      <c r="D37" s="133"/>
      <c r="E37" s="133"/>
      <c r="F37" s="7"/>
      <c r="G37" s="63" t="s">
        <v>136</v>
      </c>
      <c r="H37" s="132"/>
      <c r="I37" s="133"/>
      <c r="J37" s="133"/>
      <c r="K37" s="55"/>
      <c r="L37" s="55"/>
      <c r="M37" s="63" t="s">
        <v>136</v>
      </c>
      <c r="N37" s="132"/>
      <c r="O37" s="133"/>
      <c r="P37" s="133"/>
      <c r="Q37" s="7"/>
      <c r="R37" s="63" t="s">
        <v>136</v>
      </c>
      <c r="S37" s="134"/>
      <c r="T37" s="135"/>
      <c r="U37" s="136"/>
      <c r="V37" s="55"/>
    </row>
    <row r="38" spans="1:22" ht="12" customHeight="1" x14ac:dyDescent="0.2">
      <c r="A38" s="55"/>
      <c r="B38" s="63" t="s">
        <v>155</v>
      </c>
      <c r="C38" s="132"/>
      <c r="D38" s="133"/>
      <c r="E38" s="133"/>
      <c r="F38" s="7"/>
      <c r="G38" s="63" t="s">
        <v>155</v>
      </c>
      <c r="H38" s="132"/>
      <c r="I38" s="133"/>
      <c r="J38" s="133"/>
      <c r="K38" s="55"/>
      <c r="L38" s="55"/>
      <c r="M38" s="63" t="s">
        <v>155</v>
      </c>
      <c r="N38" s="132"/>
      <c r="O38" s="133"/>
      <c r="P38" s="133"/>
      <c r="Q38" s="7"/>
      <c r="R38" s="63" t="s">
        <v>155</v>
      </c>
      <c r="S38" s="132"/>
      <c r="T38" s="133"/>
      <c r="U38" s="133"/>
      <c r="V38" s="55"/>
    </row>
    <row r="39" spans="1:22" x14ac:dyDescent="0.2">
      <c r="A39" s="7"/>
      <c r="B39" s="63" t="s">
        <v>137</v>
      </c>
      <c r="C39" s="132" t="s">
        <v>263</v>
      </c>
      <c r="D39" s="133"/>
      <c r="E39" s="133"/>
      <c r="F39" s="7"/>
      <c r="G39" s="63" t="s">
        <v>137</v>
      </c>
      <c r="H39" s="132"/>
      <c r="I39" s="133"/>
      <c r="J39" s="133"/>
      <c r="K39" s="7"/>
      <c r="L39" s="7"/>
      <c r="M39" s="63" t="s">
        <v>137</v>
      </c>
      <c r="N39" s="132"/>
      <c r="O39" s="133"/>
      <c r="P39" s="133"/>
      <c r="Q39" s="7"/>
      <c r="R39" s="63" t="s">
        <v>137</v>
      </c>
      <c r="S39" s="132"/>
      <c r="T39" s="133"/>
      <c r="U39" s="133"/>
      <c r="V39" s="7"/>
    </row>
    <row r="40" spans="1:22" x14ac:dyDescent="0.2">
      <c r="A40" s="7"/>
      <c r="B40" s="63" t="s">
        <v>138</v>
      </c>
      <c r="C40" s="132" t="s">
        <v>287</v>
      </c>
      <c r="D40" s="133"/>
      <c r="E40" s="133"/>
      <c r="F40" s="7"/>
      <c r="G40" s="63" t="s">
        <v>138</v>
      </c>
      <c r="H40" s="132"/>
      <c r="I40" s="133"/>
      <c r="J40" s="133"/>
      <c r="K40" s="7"/>
      <c r="L40" s="7"/>
      <c r="M40" s="63" t="s">
        <v>138</v>
      </c>
      <c r="N40" s="132"/>
      <c r="O40" s="133"/>
      <c r="P40" s="133"/>
      <c r="Q40" s="7"/>
      <c r="R40" s="63" t="s">
        <v>138</v>
      </c>
      <c r="S40" s="132"/>
      <c r="T40" s="133"/>
      <c r="U40" s="133"/>
      <c r="V40" s="7"/>
    </row>
    <row r="41" spans="1:22" x14ac:dyDescent="0.2">
      <c r="A41" s="7"/>
      <c r="B41" s="63" t="s">
        <v>139</v>
      </c>
      <c r="C41" s="132" t="s">
        <v>264</v>
      </c>
      <c r="D41" s="133"/>
      <c r="E41" s="133"/>
      <c r="F41" s="7"/>
      <c r="G41" s="63" t="s">
        <v>139</v>
      </c>
      <c r="H41" s="132"/>
      <c r="I41" s="133"/>
      <c r="J41" s="133"/>
      <c r="K41" s="7"/>
      <c r="L41" s="7"/>
      <c r="M41" s="63" t="s">
        <v>139</v>
      </c>
      <c r="N41" s="132"/>
      <c r="O41" s="133"/>
      <c r="P41" s="133"/>
      <c r="Q41" s="7"/>
      <c r="R41" s="63" t="s">
        <v>139</v>
      </c>
      <c r="S41" s="132"/>
      <c r="T41" s="133"/>
      <c r="U41" s="133"/>
      <c r="V41" s="7"/>
    </row>
    <row r="42" spans="1:22" x14ac:dyDescent="0.2">
      <c r="A42" s="7"/>
      <c r="B42" s="63" t="s">
        <v>140</v>
      </c>
      <c r="C42" s="132"/>
      <c r="D42" s="133"/>
      <c r="E42" s="133"/>
      <c r="F42" s="7"/>
      <c r="G42" s="63" t="s">
        <v>140</v>
      </c>
      <c r="H42" s="132"/>
      <c r="I42" s="133"/>
      <c r="J42" s="133"/>
      <c r="K42" s="7"/>
      <c r="L42" s="7"/>
      <c r="M42" s="63" t="s">
        <v>140</v>
      </c>
      <c r="N42" s="132"/>
      <c r="O42" s="133"/>
      <c r="P42" s="133"/>
      <c r="Q42" s="7"/>
      <c r="R42" s="63" t="s">
        <v>140</v>
      </c>
      <c r="S42" s="132"/>
      <c r="T42" s="133"/>
      <c r="U42" s="133"/>
      <c r="V42" s="7"/>
    </row>
    <row r="43" spans="1:22" x14ac:dyDescent="0.2">
      <c r="A43" s="55"/>
      <c r="B43" s="63" t="s">
        <v>141</v>
      </c>
      <c r="C43" s="130"/>
      <c r="D43" s="108"/>
      <c r="E43" s="109"/>
      <c r="F43" s="7"/>
      <c r="G43" s="63" t="s">
        <v>141</v>
      </c>
      <c r="H43" s="130"/>
      <c r="I43" s="108"/>
      <c r="J43" s="109"/>
      <c r="K43" s="55"/>
      <c r="L43" s="55"/>
      <c r="M43" s="63" t="s">
        <v>141</v>
      </c>
      <c r="N43" s="130"/>
      <c r="O43" s="108"/>
      <c r="P43" s="109"/>
      <c r="Q43" s="7"/>
      <c r="R43" s="63" t="s">
        <v>141</v>
      </c>
      <c r="S43" s="130"/>
      <c r="T43" s="108"/>
      <c r="U43" s="109"/>
      <c r="V43" s="55"/>
    </row>
    <row r="44" spans="1:22" x14ac:dyDescent="0.2">
      <c r="A44" s="55"/>
      <c r="B44" s="63"/>
      <c r="C44" s="131"/>
      <c r="D44" s="80"/>
      <c r="E44" s="81"/>
      <c r="F44" s="7"/>
      <c r="G44" s="63"/>
      <c r="H44" s="131"/>
      <c r="I44" s="80"/>
      <c r="J44" s="81"/>
      <c r="K44" s="55"/>
      <c r="L44" s="55"/>
      <c r="M44" s="63"/>
      <c r="N44" s="131"/>
      <c r="O44" s="80"/>
      <c r="P44" s="81"/>
      <c r="Q44" s="7"/>
      <c r="R44" s="63"/>
      <c r="S44" s="131"/>
      <c r="T44" s="80"/>
      <c r="U44" s="81"/>
      <c r="V44" s="55"/>
    </row>
    <row r="45" spans="1:22" x14ac:dyDescent="0.2">
      <c r="A45" s="7"/>
      <c r="B45" s="63"/>
      <c r="C45" s="131"/>
      <c r="D45" s="80"/>
      <c r="E45" s="81"/>
      <c r="F45" s="7"/>
      <c r="G45" s="63"/>
      <c r="H45" s="131"/>
      <c r="I45" s="80"/>
      <c r="J45" s="81"/>
      <c r="K45" s="7"/>
      <c r="L45" s="7"/>
      <c r="M45" s="63"/>
      <c r="N45" s="131"/>
      <c r="O45" s="80"/>
      <c r="P45" s="81"/>
      <c r="Q45" s="7"/>
      <c r="R45" s="63"/>
      <c r="S45" s="131"/>
      <c r="T45" s="80"/>
      <c r="U45" s="81"/>
      <c r="V45" s="7"/>
    </row>
    <row r="46" spans="1:22" x14ac:dyDescent="0.2">
      <c r="A46" s="7"/>
      <c r="B46" s="63"/>
      <c r="C46" s="131"/>
      <c r="D46" s="80"/>
      <c r="E46" s="81"/>
      <c r="F46" s="7"/>
      <c r="G46" s="63"/>
      <c r="H46" s="131"/>
      <c r="I46" s="80"/>
      <c r="J46" s="81"/>
      <c r="K46" s="7"/>
      <c r="L46" s="7"/>
      <c r="M46" s="63"/>
      <c r="N46" s="131"/>
      <c r="O46" s="80"/>
      <c r="P46" s="81"/>
      <c r="Q46" s="7"/>
      <c r="R46" s="63"/>
      <c r="S46" s="131"/>
      <c r="T46" s="80"/>
      <c r="U46" s="81"/>
      <c r="V46" s="7"/>
    </row>
    <row r="47" spans="1:22" x14ac:dyDescent="0.2">
      <c r="A47" s="7"/>
      <c r="B47" s="63"/>
      <c r="C47" s="131"/>
      <c r="D47" s="80"/>
      <c r="E47" s="81"/>
      <c r="F47" s="7"/>
      <c r="G47" s="63"/>
      <c r="H47" s="131"/>
      <c r="I47" s="80"/>
      <c r="J47" s="81"/>
      <c r="K47" s="7"/>
      <c r="L47" s="7"/>
      <c r="M47" s="63"/>
      <c r="N47" s="131"/>
      <c r="O47" s="80"/>
      <c r="P47" s="81"/>
      <c r="Q47" s="7"/>
      <c r="R47" s="63"/>
      <c r="S47" s="131"/>
      <c r="T47" s="80"/>
      <c r="U47" s="81"/>
      <c r="V47" s="7"/>
    </row>
    <row r="48" spans="1:22" x14ac:dyDescent="0.2">
      <c r="A48" s="7"/>
      <c r="B48" s="63"/>
      <c r="C48" s="106"/>
      <c r="D48" s="83"/>
      <c r="E48" s="84"/>
      <c r="F48" s="7"/>
      <c r="G48" s="63"/>
      <c r="H48" s="106"/>
      <c r="I48" s="83"/>
      <c r="J48" s="84"/>
      <c r="K48" s="7"/>
      <c r="L48" s="7"/>
      <c r="M48" s="63"/>
      <c r="N48" s="106"/>
      <c r="O48" s="83"/>
      <c r="P48" s="84"/>
      <c r="Q48" s="7"/>
      <c r="R48" s="63"/>
      <c r="S48" s="106"/>
      <c r="T48" s="83"/>
      <c r="U48" s="84"/>
      <c r="V48" s="7"/>
    </row>
    <row r="49" spans="1:22" x14ac:dyDescent="0.2">
      <c r="A49" s="7"/>
      <c r="B49" s="7"/>
      <c r="C49" s="7"/>
      <c r="D49" s="7"/>
      <c r="E49" s="7"/>
      <c r="F49" s="7"/>
      <c r="G49" s="7"/>
      <c r="H49" s="7"/>
      <c r="I49" s="7"/>
      <c r="J49" s="7"/>
      <c r="K49" s="7"/>
      <c r="L49" s="7"/>
      <c r="M49" s="7"/>
      <c r="N49" s="7"/>
      <c r="O49" s="7"/>
      <c r="P49" s="7"/>
      <c r="Q49" s="7"/>
      <c r="R49" s="7"/>
      <c r="S49" s="7"/>
      <c r="T49" s="7"/>
      <c r="U49" s="7"/>
      <c r="V49" s="7"/>
    </row>
    <row r="50" spans="1:22" x14ac:dyDescent="0.2">
      <c r="A50" s="7"/>
      <c r="B50" s="7"/>
      <c r="C50" s="7"/>
      <c r="D50" s="7"/>
      <c r="E50" s="7"/>
      <c r="F50" s="7"/>
      <c r="G50" s="7"/>
      <c r="H50" s="7"/>
      <c r="I50" s="7"/>
      <c r="J50" s="7"/>
      <c r="K50" s="7"/>
      <c r="L50" s="7"/>
      <c r="M50" s="7"/>
      <c r="N50" s="7"/>
      <c r="O50" s="7"/>
      <c r="P50" s="7"/>
      <c r="Q50" s="7"/>
      <c r="R50" s="7"/>
      <c r="S50" s="7"/>
      <c r="T50" s="7"/>
      <c r="U50" s="7"/>
      <c r="V50" s="7"/>
    </row>
    <row r="51" spans="1:22" x14ac:dyDescent="0.2">
      <c r="A51" s="7"/>
      <c r="B51" s="7"/>
      <c r="C51" s="7"/>
      <c r="D51" s="7"/>
      <c r="E51" s="7"/>
      <c r="F51" s="7"/>
      <c r="G51" s="7"/>
      <c r="H51" s="7"/>
      <c r="I51" s="7"/>
      <c r="J51" s="7"/>
      <c r="K51" s="7"/>
      <c r="L51" s="7"/>
      <c r="M51" s="7"/>
      <c r="N51" s="7"/>
      <c r="O51" s="7"/>
      <c r="P51" s="7"/>
      <c r="Q51" s="7"/>
      <c r="R51" s="7"/>
      <c r="S51" s="7"/>
      <c r="T51" s="7"/>
      <c r="U51" s="7"/>
      <c r="V51" s="7"/>
    </row>
    <row r="52" spans="1:22" x14ac:dyDescent="0.2">
      <c r="A52" s="7"/>
      <c r="B52" s="7"/>
      <c r="C52" s="7"/>
      <c r="D52" s="7"/>
      <c r="E52" s="7"/>
      <c r="F52" s="7"/>
      <c r="G52" s="7"/>
      <c r="H52" s="7"/>
      <c r="I52" s="7"/>
      <c r="J52" s="7"/>
      <c r="K52" s="7"/>
      <c r="L52" s="7"/>
      <c r="M52" s="7"/>
      <c r="N52" s="7"/>
      <c r="O52" s="7"/>
      <c r="P52" s="7"/>
      <c r="Q52" s="7"/>
      <c r="R52" s="7"/>
      <c r="S52" s="7"/>
      <c r="T52" s="7"/>
      <c r="U52" s="7"/>
      <c r="V52" s="7"/>
    </row>
  </sheetData>
  <dataConsolidate/>
  <mergeCells count="109">
    <mergeCell ref="B11:B16"/>
    <mergeCell ref="C11:E16"/>
    <mergeCell ref="C7:E7"/>
    <mergeCell ref="C8:E8"/>
    <mergeCell ref="C9:E9"/>
    <mergeCell ref="C10:E10"/>
    <mergeCell ref="C25:E25"/>
    <mergeCell ref="C26:E26"/>
    <mergeCell ref="H3:J3"/>
    <mergeCell ref="H4:J4"/>
    <mergeCell ref="H5:J5"/>
    <mergeCell ref="H6:J6"/>
    <mergeCell ref="H11:J16"/>
    <mergeCell ref="H7:J7"/>
    <mergeCell ref="H8:J8"/>
    <mergeCell ref="H9:J9"/>
    <mergeCell ref="H10:J10"/>
    <mergeCell ref="C3:E3"/>
    <mergeCell ref="C4:E4"/>
    <mergeCell ref="C5:E5"/>
    <mergeCell ref="C6:E6"/>
    <mergeCell ref="C43:E48"/>
    <mergeCell ref="C39:E39"/>
    <mergeCell ref="C40:E40"/>
    <mergeCell ref="C41:E41"/>
    <mergeCell ref="C42:E42"/>
    <mergeCell ref="H19:J19"/>
    <mergeCell ref="H20:J20"/>
    <mergeCell ref="H21:J21"/>
    <mergeCell ref="H22:J22"/>
    <mergeCell ref="H27:J32"/>
    <mergeCell ref="H26:J26"/>
    <mergeCell ref="H25:J25"/>
    <mergeCell ref="H24:J24"/>
    <mergeCell ref="H23:J23"/>
    <mergeCell ref="C19:E19"/>
    <mergeCell ref="C20:E20"/>
    <mergeCell ref="C21:E21"/>
    <mergeCell ref="C22:E22"/>
    <mergeCell ref="C27:E32"/>
    <mergeCell ref="C23:E23"/>
    <mergeCell ref="C24:E24"/>
    <mergeCell ref="H38:J38"/>
    <mergeCell ref="H43:J48"/>
    <mergeCell ref="H39:J39"/>
    <mergeCell ref="N3:P3"/>
    <mergeCell ref="S3:U3"/>
    <mergeCell ref="N4:P4"/>
    <mergeCell ref="S4:U4"/>
    <mergeCell ref="N5:P5"/>
    <mergeCell ref="S5:U5"/>
    <mergeCell ref="H35:J35"/>
    <mergeCell ref="H36:J36"/>
    <mergeCell ref="H37:J37"/>
    <mergeCell ref="N11:P16"/>
    <mergeCell ref="S11:U16"/>
    <mergeCell ref="N6:P6"/>
    <mergeCell ref="S6:U6"/>
    <mergeCell ref="N7:P7"/>
    <mergeCell ref="S7:U7"/>
    <mergeCell ref="N8:P8"/>
    <mergeCell ref="S8:U8"/>
    <mergeCell ref="N9:P9"/>
    <mergeCell ref="S9:U9"/>
    <mergeCell ref="N10:P10"/>
    <mergeCell ref="S10:U10"/>
    <mergeCell ref="N19:P19"/>
    <mergeCell ref="S19:U19"/>
    <mergeCell ref="N20:P20"/>
    <mergeCell ref="H40:J40"/>
    <mergeCell ref="H41:J41"/>
    <mergeCell ref="H42:J42"/>
    <mergeCell ref="C35:E35"/>
    <mergeCell ref="C36:E36"/>
    <mergeCell ref="C37:E37"/>
    <mergeCell ref="C38:E38"/>
    <mergeCell ref="N22:P22"/>
    <mergeCell ref="S22:U22"/>
    <mergeCell ref="N23:P23"/>
    <mergeCell ref="S23:U23"/>
    <mergeCell ref="N24:P24"/>
    <mergeCell ref="S24:U24"/>
    <mergeCell ref="N35:P35"/>
    <mergeCell ref="S35:U35"/>
    <mergeCell ref="N41:P41"/>
    <mergeCell ref="S41:U41"/>
    <mergeCell ref="N42:P42"/>
    <mergeCell ref="S42:U42"/>
    <mergeCell ref="N43:P48"/>
    <mergeCell ref="S43:U48"/>
    <mergeCell ref="N38:P38"/>
    <mergeCell ref="S38:U38"/>
    <mergeCell ref="N39:P39"/>
    <mergeCell ref="S39:U39"/>
    <mergeCell ref="N40:P40"/>
    <mergeCell ref="S40:U40"/>
    <mergeCell ref="S20:U20"/>
    <mergeCell ref="N21:P21"/>
    <mergeCell ref="S21:U21"/>
    <mergeCell ref="N36:P36"/>
    <mergeCell ref="S36:U36"/>
    <mergeCell ref="N37:P37"/>
    <mergeCell ref="S37:U37"/>
    <mergeCell ref="N25:P25"/>
    <mergeCell ref="S25:U25"/>
    <mergeCell ref="N26:P26"/>
    <mergeCell ref="S26:U26"/>
    <mergeCell ref="N27:P32"/>
    <mergeCell ref="S27:U32"/>
  </mergeCells>
  <conditionalFormatting sqref="B2:B16">
    <cfRule type="expression" dxfId="95" priority="137">
      <formula>IF($C$5="Daily",TRUE,FALSE)</formula>
    </cfRule>
    <cfRule type="expression" dxfId="94" priority="138">
      <formula>IF($C$5="Recharge",TRUE,FALSE)</formula>
    </cfRule>
    <cfRule type="expression" dxfId="93" priority="140">
      <formula>IF($C$5="Per Battle",TRUE,FALSE)</formula>
    </cfRule>
    <cfRule type="expression" dxfId="92" priority="141">
      <formula>IF($C$5="At-Will",TRUE,FALSE)</formula>
    </cfRule>
  </conditionalFormatting>
  <conditionalFormatting sqref="D2">
    <cfRule type="expression" dxfId="91" priority="133">
      <formula>IF($C$5="Daily",TRUE,FALSE)</formula>
    </cfRule>
    <cfRule type="expression" dxfId="90" priority="134">
      <formula>IF($C$5="Recharge",TRUE,FALSE)</formula>
    </cfRule>
    <cfRule type="expression" dxfId="89" priority="135">
      <formula>IF($C$5="Per Battle",TRUE,FALSE)</formula>
    </cfRule>
    <cfRule type="expression" dxfId="88" priority="136">
      <formula>IF($C$5="At-Will",TRUE,FALSE)</formula>
    </cfRule>
  </conditionalFormatting>
  <conditionalFormatting sqref="G2:G16">
    <cfRule type="expression" dxfId="87" priority="129">
      <formula>IF($H$5="Daily",TRUE,FALSE)</formula>
    </cfRule>
    <cfRule type="expression" dxfId="86" priority="130">
      <formula>IF($H$5="Recharge",TRUE,FALSE)</formula>
    </cfRule>
    <cfRule type="expression" dxfId="85" priority="131">
      <formula>IF($H$5="Per Battle",TRUE,FALSE)</formula>
    </cfRule>
    <cfRule type="expression" dxfId="84" priority="132">
      <formula>IF($H$5="At-Will",TRUE,FALSE)</formula>
    </cfRule>
  </conditionalFormatting>
  <conditionalFormatting sqref="M2:M16">
    <cfRule type="expression" dxfId="83" priority="121">
      <formula>IF($N$5="Daily",TRUE,FALSE)</formula>
    </cfRule>
    <cfRule type="expression" dxfId="82" priority="122">
      <formula>IF($N$5="Recharge",TRUE,FALSE)</formula>
    </cfRule>
    <cfRule type="expression" dxfId="81" priority="123">
      <formula>IF($N$5="Per Battle",TRUE,FALSE)</formula>
    </cfRule>
    <cfRule type="expression" dxfId="80" priority="124">
      <formula>IF($N$5="At-Will",TRUE,FALSE)</formula>
    </cfRule>
  </conditionalFormatting>
  <conditionalFormatting sqref="R2:R16">
    <cfRule type="expression" dxfId="79" priority="113">
      <formula>IF($S$5="Daily",TRUE,FALSE)</formula>
    </cfRule>
    <cfRule type="expression" dxfId="78" priority="114">
      <formula>IF($S$5="Recharge",TRUE,FALSE)</formula>
    </cfRule>
    <cfRule type="expression" dxfId="77" priority="115">
      <formula>IF($S$5="Per Battle",TRUE,FALSE)</formula>
    </cfRule>
    <cfRule type="expression" dxfId="76" priority="116">
      <formula>IF($S$5="At-Will",TRUE,FALSE)</formula>
    </cfRule>
  </conditionalFormatting>
  <conditionalFormatting sqref="B18:B32">
    <cfRule type="expression" dxfId="75" priority="105">
      <formula>IF($C$21="Daily",TRUE,FALSE)</formula>
    </cfRule>
    <cfRule type="expression" dxfId="74" priority="106">
      <formula>IF($C$21="Recharge",TRUE,FALSE)</formula>
    </cfRule>
    <cfRule type="expression" dxfId="73" priority="107">
      <formula>IF($C$21="Per Battle",TRUE,FALSE)</formula>
    </cfRule>
    <cfRule type="expression" dxfId="72" priority="108">
      <formula>IF($C$21="At-Will",TRUE,FALSE)</formula>
    </cfRule>
  </conditionalFormatting>
  <conditionalFormatting sqref="G18:G32">
    <cfRule type="expression" dxfId="71" priority="93">
      <formula>IF($H$21="Daily",TRUE,FALSE)</formula>
    </cfRule>
    <cfRule type="expression" dxfId="70" priority="94">
      <formula>IF($H$21="Recharge",TRUE,FALSE)</formula>
    </cfRule>
    <cfRule type="expression" dxfId="69" priority="95">
      <formula>IF($H$21="Per Battle",TRUE,FALSE)</formula>
    </cfRule>
    <cfRule type="expression" dxfId="68" priority="96">
      <formula>IF($H$21="At-Will",TRUE,FALSE)</formula>
    </cfRule>
  </conditionalFormatting>
  <conditionalFormatting sqref="M18:M32">
    <cfRule type="expression" dxfId="67" priority="89">
      <formula>IF($N$21="Daily",TRUE,FALSE)</formula>
    </cfRule>
    <cfRule type="expression" dxfId="66" priority="90">
      <formula>IF($N$21="Recharge",TRUE,FALSE)</formula>
    </cfRule>
    <cfRule type="expression" dxfId="65" priority="91">
      <formula>IF($N$21="Per Battle",TRUE,FALSE)</formula>
    </cfRule>
    <cfRule type="expression" dxfId="64" priority="92">
      <formula>IF($N$21="At-Will",TRUE,FALSE)</formula>
    </cfRule>
  </conditionalFormatting>
  <conditionalFormatting sqref="R18:R32">
    <cfRule type="expression" dxfId="63" priority="81">
      <formula>IF($S$21="Daily",TRUE,FALSE)</formula>
    </cfRule>
    <cfRule type="expression" dxfId="62" priority="82">
      <formula>IF($S$21="Recharge",TRUE,FALSE)</formula>
    </cfRule>
    <cfRule type="expression" dxfId="61" priority="83">
      <formula>IF($S$21="Per Battle",TRUE,FALSE)</formula>
    </cfRule>
    <cfRule type="expression" dxfId="60" priority="84">
      <formula>IF($S$21="At-Will",TRUE,FALSE)</formula>
    </cfRule>
  </conditionalFormatting>
  <conditionalFormatting sqref="B34:B48">
    <cfRule type="expression" dxfId="59" priority="73">
      <formula>IF($C$37="Daily",TRUE,FALSE)</formula>
    </cfRule>
    <cfRule type="expression" dxfId="58" priority="74">
      <formula>IF($C$37="Recharge",TRUE,FALSE)</formula>
    </cfRule>
    <cfRule type="expression" dxfId="57" priority="75">
      <formula>IF($C$37="Per Battle",TRUE,FALSE)</formula>
    </cfRule>
    <cfRule type="expression" dxfId="56" priority="76">
      <formula>IF($C$37="At-Will",TRUE,FALSE)</formula>
    </cfRule>
  </conditionalFormatting>
  <conditionalFormatting sqref="G34:G48">
    <cfRule type="expression" dxfId="55" priority="65">
      <formula>IF($H$37="Daily",TRUE,FALSE)</formula>
    </cfRule>
    <cfRule type="expression" dxfId="54" priority="66">
      <formula>IF($H$37="Recharge",TRUE,FALSE)</formula>
    </cfRule>
    <cfRule type="expression" dxfId="53" priority="67">
      <formula>IF($H$37="Per Battle",TRUE,FALSE)</formula>
    </cfRule>
    <cfRule type="expression" dxfId="52" priority="68">
      <formula>IF($H$37="At-Will",TRUE,FALSE)</formula>
    </cfRule>
  </conditionalFormatting>
  <conditionalFormatting sqref="M34:M48">
    <cfRule type="expression" dxfId="51" priority="57">
      <formula>IF($N$37="Daily",TRUE,FALSE)</formula>
    </cfRule>
    <cfRule type="expression" dxfId="50" priority="58">
      <formula>IF($N$37="Recharge",TRUE,FALSE)</formula>
    </cfRule>
    <cfRule type="expression" dxfId="49" priority="59">
      <formula>IF($N$37="Per Battle",TRUE,FALSE)</formula>
    </cfRule>
    <cfRule type="expression" dxfId="48" priority="60">
      <formula>IF($N$37="At-Will",TRUE,FALSE)</formula>
    </cfRule>
  </conditionalFormatting>
  <conditionalFormatting sqref="R34:R48">
    <cfRule type="expression" dxfId="47" priority="49">
      <formula>IF($S$37="Daily",TRUE,FALSE)</formula>
    </cfRule>
    <cfRule type="expression" dxfId="46" priority="50">
      <formula>IF($S$37="Recharge",TRUE,FALSE)</formula>
    </cfRule>
    <cfRule type="expression" dxfId="45" priority="51">
      <formula>IF($S$37="Per Battle",TRUE,FALSE)</formula>
    </cfRule>
    <cfRule type="expression" dxfId="44" priority="52">
      <formula>IF($S$37="At-Will",TRUE,FALSE)</formula>
    </cfRule>
  </conditionalFormatting>
  <conditionalFormatting sqref="I2">
    <cfRule type="expression" dxfId="43" priority="41">
      <formula>IF($H$5="Daily",TRUE,FALSE)</formula>
    </cfRule>
    <cfRule type="expression" dxfId="42" priority="42">
      <formula>IF($H$5="Recharge",TRUE,FALSE)</formula>
    </cfRule>
    <cfRule type="expression" dxfId="41" priority="43">
      <formula>IF($H$5="Per Battle",TRUE,FALSE)</formula>
    </cfRule>
    <cfRule type="expression" dxfId="40" priority="44">
      <formula>IF($H$5="At-Will",TRUE,FALSE)</formula>
    </cfRule>
  </conditionalFormatting>
  <conditionalFormatting sqref="O2">
    <cfRule type="expression" dxfId="39" priority="37">
      <formula>IF($N$5="Daily",TRUE,FALSE)</formula>
    </cfRule>
    <cfRule type="expression" dxfId="38" priority="38">
      <formula>IF($N$5="Recharge",TRUE,FALSE)</formula>
    </cfRule>
    <cfRule type="expression" dxfId="37" priority="39">
      <formula>IF($N$5="Per Battle",TRUE,FALSE)</formula>
    </cfRule>
    <cfRule type="expression" dxfId="36" priority="40">
      <formula>IF($N$5="At-Will",TRUE,FALSE)</formula>
    </cfRule>
  </conditionalFormatting>
  <conditionalFormatting sqref="T2">
    <cfRule type="expression" dxfId="35" priority="33">
      <formula>IF($S$5="Daily",TRUE,FALSE)</formula>
    </cfRule>
    <cfRule type="expression" dxfId="34" priority="34">
      <formula>IF($S$5="Recharge",TRUE,FALSE)</formula>
    </cfRule>
    <cfRule type="expression" dxfId="33" priority="35">
      <formula>IF($S$5="Per Battle",TRUE,FALSE)</formula>
    </cfRule>
    <cfRule type="expression" dxfId="32" priority="36">
      <formula>IF($S$5="At-Will",TRUE,FALSE)</formula>
    </cfRule>
  </conditionalFormatting>
  <conditionalFormatting sqref="D18">
    <cfRule type="expression" dxfId="31" priority="29">
      <formula>IF($C$21="Daily",TRUE,FALSE)</formula>
    </cfRule>
    <cfRule type="expression" dxfId="30" priority="30">
      <formula>IF($C$21="Recharge",TRUE,FALSE)</formula>
    </cfRule>
    <cfRule type="expression" dxfId="29" priority="31">
      <formula>IF($C$21="Per Battle",TRUE,FALSE)</formula>
    </cfRule>
    <cfRule type="expression" dxfId="28" priority="32">
      <formula>IF($C$21="At-Will",TRUE,FALSE)</formula>
    </cfRule>
  </conditionalFormatting>
  <conditionalFormatting sqref="I18">
    <cfRule type="expression" dxfId="27" priority="25">
      <formula>IF($H$21="Daily",TRUE,FALSE)</formula>
    </cfRule>
    <cfRule type="expression" dxfId="26" priority="26">
      <formula>IF($H$21="Recharge",TRUE,FALSE)</formula>
    </cfRule>
    <cfRule type="expression" dxfId="25" priority="27">
      <formula>IF($H$21="Per Battle",TRUE,FALSE)</formula>
    </cfRule>
    <cfRule type="expression" dxfId="24" priority="28">
      <formula>IF($H$21="At-Will",TRUE,FALSE)</formula>
    </cfRule>
  </conditionalFormatting>
  <conditionalFormatting sqref="O18">
    <cfRule type="expression" dxfId="23" priority="21">
      <formula>IF($N$21="Daily",TRUE,FALSE)</formula>
    </cfRule>
    <cfRule type="expression" dxfId="22" priority="22">
      <formula>IF($N$21="Recharge",TRUE,FALSE)</formula>
    </cfRule>
    <cfRule type="expression" dxfId="21" priority="23">
      <formula>IF($N$21="Per Battle",TRUE,FALSE)</formula>
    </cfRule>
    <cfRule type="expression" dxfId="20" priority="24">
      <formula>IF($N$21="At-Will",TRUE,FALSE)</formula>
    </cfRule>
  </conditionalFormatting>
  <conditionalFormatting sqref="T18">
    <cfRule type="expression" dxfId="19" priority="17">
      <formula>IF($S$21="Daily",TRUE,FALSE)</formula>
    </cfRule>
    <cfRule type="expression" dxfId="18" priority="18">
      <formula>IF($S$21="Recharge",TRUE,FALSE)</formula>
    </cfRule>
    <cfRule type="expression" dxfId="17" priority="19">
      <formula>IF($S$21="Per Battle",TRUE,FALSE)</formula>
    </cfRule>
    <cfRule type="expression" dxfId="16" priority="20">
      <formula>IF($S$21="At-Will",TRUE,FALSE)</formula>
    </cfRule>
  </conditionalFormatting>
  <conditionalFormatting sqref="D34">
    <cfRule type="expression" dxfId="15" priority="13">
      <formula>IF($C$37="Daily",TRUE,FALSE)</formula>
    </cfRule>
    <cfRule type="expression" dxfId="14" priority="14">
      <formula>IF($C$37="Recharge",TRUE,FALSE)</formula>
    </cfRule>
    <cfRule type="expression" dxfId="13" priority="15">
      <formula>IF($C$37="Per Battle",TRUE,FALSE)</formula>
    </cfRule>
    <cfRule type="expression" dxfId="12" priority="16">
      <formula>IF($C$37="At-Will",TRUE,FALSE)</formula>
    </cfRule>
  </conditionalFormatting>
  <conditionalFormatting sqref="I34">
    <cfRule type="expression" dxfId="11" priority="9">
      <formula>IF($H$37="Daily",TRUE,FALSE)</formula>
    </cfRule>
    <cfRule type="expression" dxfId="10" priority="10">
      <formula>IF($H$37="Recharge",TRUE,FALSE)</formula>
    </cfRule>
    <cfRule type="expression" dxfId="9" priority="11">
      <formula>IF($H$37="Per Battle",TRUE,FALSE)</formula>
    </cfRule>
    <cfRule type="expression" dxfId="8" priority="12">
      <formula>IF($H$37="At-Will",TRUE,FALSE)</formula>
    </cfRule>
  </conditionalFormatting>
  <conditionalFormatting sqref="O34">
    <cfRule type="expression" dxfId="7" priority="5">
      <formula>IF($N$37="Daily",TRUE,FALSE)</formula>
    </cfRule>
    <cfRule type="expression" dxfId="6" priority="6">
      <formula>IF($N$37="Recharge",TRUE,FALSE)</formula>
    </cfRule>
    <cfRule type="expression" dxfId="5" priority="7">
      <formula>IF($N$37="Per Battle",TRUE,FALSE)</formula>
    </cfRule>
    <cfRule type="expression" dxfId="4" priority="8">
      <formula>IF($N$37="At-Will",TRUE,FALSE)</formula>
    </cfRule>
  </conditionalFormatting>
  <conditionalFormatting sqref="T34">
    <cfRule type="expression" dxfId="3" priority="1">
      <formula>IF($S$37="Daily",TRUE,FALSE)</formula>
    </cfRule>
    <cfRule type="expression" dxfId="2" priority="2">
      <formula>IF($S$37="Recharge",TRUE,FALSE)</formula>
    </cfRule>
    <cfRule type="expression" dxfId="1" priority="3">
      <formula>IF($S$37="Per Battle",TRUE,FALSE)</formula>
    </cfRule>
    <cfRule type="expression" dxfId="0" priority="4">
      <formula>IF($S$37="At-Will",TRUE,FALSE)</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1</xdr:col>
                    <xdr:colOff>133350</xdr:colOff>
                    <xdr:row>11</xdr:row>
                    <xdr:rowOff>47625</xdr:rowOff>
                  </from>
                  <to>
                    <xdr:col>1</xdr:col>
                    <xdr:colOff>638175</xdr:colOff>
                    <xdr:row>12</xdr:row>
                    <xdr:rowOff>104775</xdr:rowOff>
                  </to>
                </anchor>
              </controlPr>
            </control>
          </mc:Choice>
        </mc:AlternateContent>
        <mc:AlternateContent xmlns:mc="http://schemas.openxmlformats.org/markup-compatibility/2006">
          <mc:Choice Requires="x14">
            <control shapeId="3094" r:id="rId5" name="Check Box 22">
              <controlPr defaultSize="0" autoFill="0" autoLine="0" autoPict="0">
                <anchor moveWithCells="1">
                  <from>
                    <xdr:col>6</xdr:col>
                    <xdr:colOff>142875</xdr:colOff>
                    <xdr:row>11</xdr:row>
                    <xdr:rowOff>66675</xdr:rowOff>
                  </from>
                  <to>
                    <xdr:col>6</xdr:col>
                    <xdr:colOff>657225</xdr:colOff>
                    <xdr:row>12</xdr:row>
                    <xdr:rowOff>123825</xdr:rowOff>
                  </to>
                </anchor>
              </controlPr>
            </control>
          </mc:Choice>
        </mc:AlternateContent>
        <mc:AlternateContent xmlns:mc="http://schemas.openxmlformats.org/markup-compatibility/2006">
          <mc:Choice Requires="x14">
            <control shapeId="3095" r:id="rId6" name="Check Box 23">
              <controlPr defaultSize="0" autoFill="0" autoLine="0" autoPict="0">
                <anchor moveWithCells="1">
                  <from>
                    <xdr:col>12</xdr:col>
                    <xdr:colOff>133350</xdr:colOff>
                    <xdr:row>11</xdr:row>
                    <xdr:rowOff>66675</xdr:rowOff>
                  </from>
                  <to>
                    <xdr:col>12</xdr:col>
                    <xdr:colOff>647700</xdr:colOff>
                    <xdr:row>12</xdr:row>
                    <xdr:rowOff>123825</xdr:rowOff>
                  </to>
                </anchor>
              </controlPr>
            </control>
          </mc:Choice>
        </mc:AlternateContent>
        <mc:AlternateContent xmlns:mc="http://schemas.openxmlformats.org/markup-compatibility/2006">
          <mc:Choice Requires="x14">
            <control shapeId="3096" r:id="rId7" name="Check Box 24">
              <controlPr defaultSize="0" autoFill="0" autoLine="0" autoPict="0">
                <anchor moveWithCells="1">
                  <from>
                    <xdr:col>17</xdr:col>
                    <xdr:colOff>123825</xdr:colOff>
                    <xdr:row>11</xdr:row>
                    <xdr:rowOff>66675</xdr:rowOff>
                  </from>
                  <to>
                    <xdr:col>17</xdr:col>
                    <xdr:colOff>638175</xdr:colOff>
                    <xdr:row>12</xdr:row>
                    <xdr:rowOff>123825</xdr:rowOff>
                  </to>
                </anchor>
              </controlPr>
            </control>
          </mc:Choice>
        </mc:AlternateContent>
        <mc:AlternateContent xmlns:mc="http://schemas.openxmlformats.org/markup-compatibility/2006">
          <mc:Choice Requires="x14">
            <control shapeId="3097" r:id="rId8" name="Check Box 25">
              <controlPr defaultSize="0" autoFill="0" autoLine="0" autoPict="0">
                <anchor moveWithCells="1">
                  <from>
                    <xdr:col>1</xdr:col>
                    <xdr:colOff>142875</xdr:colOff>
                    <xdr:row>27</xdr:row>
                    <xdr:rowOff>66675</xdr:rowOff>
                  </from>
                  <to>
                    <xdr:col>1</xdr:col>
                    <xdr:colOff>657225</xdr:colOff>
                    <xdr:row>28</xdr:row>
                    <xdr:rowOff>123825</xdr:rowOff>
                  </to>
                </anchor>
              </controlPr>
            </control>
          </mc:Choice>
        </mc:AlternateContent>
        <mc:AlternateContent xmlns:mc="http://schemas.openxmlformats.org/markup-compatibility/2006">
          <mc:Choice Requires="x14">
            <control shapeId="3098" r:id="rId9" name="Check Box 26">
              <controlPr defaultSize="0" autoFill="0" autoLine="0" autoPict="0">
                <anchor moveWithCells="1">
                  <from>
                    <xdr:col>6</xdr:col>
                    <xdr:colOff>123825</xdr:colOff>
                    <xdr:row>27</xdr:row>
                    <xdr:rowOff>47625</xdr:rowOff>
                  </from>
                  <to>
                    <xdr:col>6</xdr:col>
                    <xdr:colOff>638175</xdr:colOff>
                    <xdr:row>28</xdr:row>
                    <xdr:rowOff>104775</xdr:rowOff>
                  </to>
                </anchor>
              </controlPr>
            </control>
          </mc:Choice>
        </mc:AlternateContent>
        <mc:AlternateContent xmlns:mc="http://schemas.openxmlformats.org/markup-compatibility/2006">
          <mc:Choice Requires="x14">
            <control shapeId="3099" r:id="rId10" name="Check Box 27">
              <controlPr defaultSize="0" autoFill="0" autoLine="0" autoPict="0">
                <anchor moveWithCells="1">
                  <from>
                    <xdr:col>12</xdr:col>
                    <xdr:colOff>152400</xdr:colOff>
                    <xdr:row>27</xdr:row>
                    <xdr:rowOff>38100</xdr:rowOff>
                  </from>
                  <to>
                    <xdr:col>12</xdr:col>
                    <xdr:colOff>666750</xdr:colOff>
                    <xdr:row>28</xdr:row>
                    <xdr:rowOff>95250</xdr:rowOff>
                  </to>
                </anchor>
              </controlPr>
            </control>
          </mc:Choice>
        </mc:AlternateContent>
        <mc:AlternateContent xmlns:mc="http://schemas.openxmlformats.org/markup-compatibility/2006">
          <mc:Choice Requires="x14">
            <control shapeId="3100" r:id="rId11" name="Check Box 28">
              <controlPr defaultSize="0" autoFill="0" autoLine="0" autoPict="0">
                <anchor moveWithCells="1">
                  <from>
                    <xdr:col>17</xdr:col>
                    <xdr:colOff>133350</xdr:colOff>
                    <xdr:row>27</xdr:row>
                    <xdr:rowOff>47625</xdr:rowOff>
                  </from>
                  <to>
                    <xdr:col>17</xdr:col>
                    <xdr:colOff>647700</xdr:colOff>
                    <xdr:row>28</xdr:row>
                    <xdr:rowOff>104775</xdr:rowOff>
                  </to>
                </anchor>
              </controlPr>
            </control>
          </mc:Choice>
        </mc:AlternateContent>
        <mc:AlternateContent xmlns:mc="http://schemas.openxmlformats.org/markup-compatibility/2006">
          <mc:Choice Requires="x14">
            <control shapeId="3101" r:id="rId12" name="Check Box 29">
              <controlPr defaultSize="0" autoFill="0" autoLine="0" autoPict="0">
                <anchor moveWithCells="1">
                  <from>
                    <xdr:col>1</xdr:col>
                    <xdr:colOff>133350</xdr:colOff>
                    <xdr:row>43</xdr:row>
                    <xdr:rowOff>76200</xdr:rowOff>
                  </from>
                  <to>
                    <xdr:col>1</xdr:col>
                    <xdr:colOff>647700</xdr:colOff>
                    <xdr:row>44</xdr:row>
                    <xdr:rowOff>133350</xdr:rowOff>
                  </to>
                </anchor>
              </controlPr>
            </control>
          </mc:Choice>
        </mc:AlternateContent>
        <mc:AlternateContent xmlns:mc="http://schemas.openxmlformats.org/markup-compatibility/2006">
          <mc:Choice Requires="x14">
            <control shapeId="3102" r:id="rId13" name="Check Box 30">
              <controlPr defaultSize="0" autoFill="0" autoLine="0" autoPict="0">
                <anchor moveWithCells="1">
                  <from>
                    <xdr:col>6</xdr:col>
                    <xdr:colOff>152400</xdr:colOff>
                    <xdr:row>43</xdr:row>
                    <xdr:rowOff>66675</xdr:rowOff>
                  </from>
                  <to>
                    <xdr:col>6</xdr:col>
                    <xdr:colOff>666750</xdr:colOff>
                    <xdr:row>44</xdr:row>
                    <xdr:rowOff>123825</xdr:rowOff>
                  </to>
                </anchor>
              </controlPr>
            </control>
          </mc:Choice>
        </mc:AlternateContent>
        <mc:AlternateContent xmlns:mc="http://schemas.openxmlformats.org/markup-compatibility/2006">
          <mc:Choice Requires="x14">
            <control shapeId="3103" r:id="rId14" name="Check Box 31">
              <controlPr defaultSize="0" autoFill="0" autoLine="0" autoPict="0">
                <anchor moveWithCells="1">
                  <from>
                    <xdr:col>12</xdr:col>
                    <xdr:colOff>152400</xdr:colOff>
                    <xdr:row>43</xdr:row>
                    <xdr:rowOff>38100</xdr:rowOff>
                  </from>
                  <to>
                    <xdr:col>12</xdr:col>
                    <xdr:colOff>666750</xdr:colOff>
                    <xdr:row>44</xdr:row>
                    <xdr:rowOff>95250</xdr:rowOff>
                  </to>
                </anchor>
              </controlPr>
            </control>
          </mc:Choice>
        </mc:AlternateContent>
        <mc:AlternateContent xmlns:mc="http://schemas.openxmlformats.org/markup-compatibility/2006">
          <mc:Choice Requires="x14">
            <control shapeId="3104" r:id="rId15" name="Check Box 32">
              <controlPr defaultSize="0" autoFill="0" autoLine="0" autoPict="0">
                <anchor moveWithCells="1">
                  <from>
                    <xdr:col>17</xdr:col>
                    <xdr:colOff>161925</xdr:colOff>
                    <xdr:row>43</xdr:row>
                    <xdr:rowOff>47625</xdr:rowOff>
                  </from>
                  <to>
                    <xdr:col>17</xdr:col>
                    <xdr:colOff>676275</xdr:colOff>
                    <xdr:row>44</xdr:row>
                    <xdr:rowOff>104775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6">
        <x14:dataValidation type="list" allowBlank="1" showInputMessage="1" showErrorMessage="1" xr:uid="{00000000-0002-0000-0100-000000000000}">
          <x14:formula1>
            <xm:f>'Classes &amp; Stats'!$M$101:$M$103</xm:f>
          </x14:formula1>
          <xm:sqref>H3:J3</xm:sqref>
        </x14:dataValidation>
        <x14:dataValidation type="list" allowBlank="1" showInputMessage="1" showErrorMessage="1" xr:uid="{00000000-0002-0000-0100-000001000000}">
          <x14:formula1>
            <xm:f>'Classes &amp; Stats'!$M$101:$M$103</xm:f>
          </x14:formula1>
          <xm:sqref>C19:E19</xm:sqref>
        </x14:dataValidation>
        <x14:dataValidation type="list" allowBlank="1" showInputMessage="1" showErrorMessage="1" xr:uid="{00000000-0002-0000-0100-000002000000}">
          <x14:formula1>
            <xm:f>'Classes &amp; Stats'!$M$101:$M$103</xm:f>
          </x14:formula1>
          <xm:sqref>H19:J19</xm:sqref>
        </x14:dataValidation>
        <x14:dataValidation type="list" allowBlank="1" showInputMessage="1" showErrorMessage="1" xr:uid="{00000000-0002-0000-0100-000003000000}">
          <x14:formula1>
            <xm:f>'Classes &amp; Stats'!$M$101:$M$103</xm:f>
          </x14:formula1>
          <xm:sqref>C35:E35</xm:sqref>
        </x14:dataValidation>
        <x14:dataValidation type="list" allowBlank="1" showInputMessage="1" showErrorMessage="1" xr:uid="{00000000-0002-0000-0100-000004000000}">
          <x14:formula1>
            <xm:f>'Classes &amp; Stats'!$M$101:$M$103</xm:f>
          </x14:formula1>
          <xm:sqref>H35:J35</xm:sqref>
        </x14:dataValidation>
        <x14:dataValidation type="list" allowBlank="1" showInputMessage="1" showErrorMessage="1" xr:uid="{00000000-0002-0000-0100-000005000000}">
          <x14:formula1>
            <xm:f>'Classes &amp; Stats'!$M$101:$M$103</xm:f>
          </x14:formula1>
          <xm:sqref>N3:P3</xm:sqref>
        </x14:dataValidation>
        <x14:dataValidation type="list" allowBlank="1" showInputMessage="1" showErrorMessage="1" xr:uid="{00000000-0002-0000-0100-000006000000}">
          <x14:formula1>
            <xm:f>'Classes &amp; Stats'!$M$101:$M$103</xm:f>
          </x14:formula1>
          <xm:sqref>S3:U3</xm:sqref>
        </x14:dataValidation>
        <x14:dataValidation type="list" allowBlank="1" showInputMessage="1" showErrorMessage="1" xr:uid="{00000000-0002-0000-0100-000007000000}">
          <x14:formula1>
            <xm:f>'Classes &amp; Stats'!$M$101:$M$103</xm:f>
          </x14:formula1>
          <xm:sqref>N19:P19</xm:sqref>
        </x14:dataValidation>
        <x14:dataValidation type="list" allowBlank="1" showInputMessage="1" showErrorMessage="1" xr:uid="{00000000-0002-0000-0100-000008000000}">
          <x14:formula1>
            <xm:f>'Classes &amp; Stats'!$M$101:$M$103</xm:f>
          </x14:formula1>
          <xm:sqref>S19:U19</xm:sqref>
        </x14:dataValidation>
        <x14:dataValidation type="list" allowBlank="1" showInputMessage="1" showErrorMessage="1" xr:uid="{00000000-0002-0000-0100-000009000000}">
          <x14:formula1>
            <xm:f>'Classes &amp; Stats'!$M$101:$M$103</xm:f>
          </x14:formula1>
          <xm:sqref>N35:P35</xm:sqref>
        </x14:dataValidation>
        <x14:dataValidation type="list" allowBlank="1" showInputMessage="1" showErrorMessage="1" xr:uid="{00000000-0002-0000-0100-00000A000000}">
          <x14:formula1>
            <xm:f>'Classes &amp; Stats'!$M$101:$M$103</xm:f>
          </x14:formula1>
          <xm:sqref>S35:U35</xm:sqref>
        </x14:dataValidation>
        <x14:dataValidation type="list" allowBlank="1" showInputMessage="1" showErrorMessage="1" xr:uid="{00000000-0002-0000-0100-00000B000000}">
          <x14:formula1>
            <xm:f>'Classes &amp; Stats'!$N$101:$N$105</xm:f>
          </x14:formula1>
          <xm:sqref>H4:J4</xm:sqref>
        </x14:dataValidation>
        <x14:dataValidation type="list" allowBlank="1" showInputMessage="1" showErrorMessage="1" xr:uid="{00000000-0002-0000-0100-00000C000000}">
          <x14:formula1>
            <xm:f>'Classes &amp; Stats'!$N$101:$N$105</xm:f>
          </x14:formula1>
          <xm:sqref>C20:E20</xm:sqref>
        </x14:dataValidation>
        <x14:dataValidation type="list" allowBlank="1" showInputMessage="1" showErrorMessage="1" xr:uid="{00000000-0002-0000-0100-00000D000000}">
          <x14:formula1>
            <xm:f>'Classes &amp; Stats'!$N$101:$N$105</xm:f>
          </x14:formula1>
          <xm:sqref>H20:J20</xm:sqref>
        </x14:dataValidation>
        <x14:dataValidation type="list" allowBlank="1" showInputMessage="1" showErrorMessage="1" xr:uid="{00000000-0002-0000-0100-00000E000000}">
          <x14:formula1>
            <xm:f>'Classes &amp; Stats'!$N$101:$N$106</xm:f>
          </x14:formula1>
          <xm:sqref>C36:E36</xm:sqref>
        </x14:dataValidation>
        <x14:dataValidation type="list" allowBlank="1" showInputMessage="1" showErrorMessage="1" xr:uid="{00000000-0002-0000-0100-00000F000000}">
          <x14:formula1>
            <xm:f>'Classes &amp; Stats'!$N$101:$N$105</xm:f>
          </x14:formula1>
          <xm:sqref>H36:J36</xm:sqref>
        </x14:dataValidation>
        <x14:dataValidation type="list" allowBlank="1" showInputMessage="1" showErrorMessage="1" xr:uid="{00000000-0002-0000-0100-000010000000}">
          <x14:formula1>
            <xm:f>'Classes &amp; Stats'!$N$101:$N$105</xm:f>
          </x14:formula1>
          <xm:sqref>N4:P4</xm:sqref>
        </x14:dataValidation>
        <x14:dataValidation type="list" allowBlank="1" showInputMessage="1" showErrorMessage="1" xr:uid="{00000000-0002-0000-0100-000011000000}">
          <x14:formula1>
            <xm:f>'Classes &amp; Stats'!$N$101:$N$105</xm:f>
          </x14:formula1>
          <xm:sqref>S4:U4</xm:sqref>
        </x14:dataValidation>
        <x14:dataValidation type="list" allowBlank="1" showInputMessage="1" showErrorMessage="1" xr:uid="{00000000-0002-0000-0100-000012000000}">
          <x14:formula1>
            <xm:f>'Classes &amp; Stats'!$N$101:$N$105</xm:f>
          </x14:formula1>
          <xm:sqref>N20:P20</xm:sqref>
        </x14:dataValidation>
        <x14:dataValidation type="list" allowBlank="1" showInputMessage="1" showErrorMessage="1" xr:uid="{00000000-0002-0000-0100-000013000000}">
          <x14:formula1>
            <xm:f>'Classes &amp; Stats'!$N$101:$N$105</xm:f>
          </x14:formula1>
          <xm:sqref>S20:U20</xm:sqref>
        </x14:dataValidation>
        <x14:dataValidation type="list" allowBlank="1" showInputMessage="1" showErrorMessage="1" xr:uid="{00000000-0002-0000-0100-000014000000}">
          <x14:formula1>
            <xm:f>'Classes &amp; Stats'!$N$101:$N$105</xm:f>
          </x14:formula1>
          <xm:sqref>N36:P36</xm:sqref>
        </x14:dataValidation>
        <x14:dataValidation type="list" allowBlank="1" showInputMessage="1" showErrorMessage="1" xr:uid="{00000000-0002-0000-0100-000015000000}">
          <x14:formula1>
            <xm:f>'Classes &amp; Stats'!$N$101:$N$105</xm:f>
          </x14:formula1>
          <xm:sqref>S36:U36</xm:sqref>
        </x14:dataValidation>
        <x14:dataValidation type="list" allowBlank="1" showInputMessage="1" showErrorMessage="1" xr:uid="{00000000-0002-0000-0100-000016000000}">
          <x14:formula1>
            <xm:f>'Classes &amp; Stats'!$O$101:$O$104</xm:f>
          </x14:formula1>
          <xm:sqref>H5:J5</xm:sqref>
        </x14:dataValidation>
        <x14:dataValidation type="list" allowBlank="1" showInputMessage="1" showErrorMessage="1" xr:uid="{00000000-0002-0000-0100-000017000000}">
          <x14:formula1>
            <xm:f>'Classes &amp; Stats'!$O$101:$O$104</xm:f>
          </x14:formula1>
          <xm:sqref>C21:E21</xm:sqref>
        </x14:dataValidation>
        <x14:dataValidation type="list" allowBlank="1" showInputMessage="1" showErrorMessage="1" xr:uid="{00000000-0002-0000-0100-000018000000}">
          <x14:formula1>
            <xm:f>'Classes &amp; Stats'!$O$101:$O$104</xm:f>
          </x14:formula1>
          <xm:sqref>H21:J21</xm:sqref>
        </x14:dataValidation>
        <x14:dataValidation type="list" allowBlank="1" showInputMessage="1" showErrorMessage="1" xr:uid="{00000000-0002-0000-0100-000019000000}">
          <x14:formula1>
            <xm:f>'Classes &amp; Stats'!$O$101:$O$104</xm:f>
          </x14:formula1>
          <xm:sqref>C37:E37</xm:sqref>
        </x14:dataValidation>
        <x14:dataValidation type="list" allowBlank="1" showInputMessage="1" showErrorMessage="1" xr:uid="{00000000-0002-0000-0100-00001A000000}">
          <x14:formula1>
            <xm:f>'Classes &amp; Stats'!$O$101:$O$104</xm:f>
          </x14:formula1>
          <xm:sqref>H37:J37</xm:sqref>
        </x14:dataValidation>
        <x14:dataValidation type="list" allowBlank="1" showInputMessage="1" showErrorMessage="1" xr:uid="{00000000-0002-0000-0100-00001B000000}">
          <x14:formula1>
            <xm:f>'Classes &amp; Stats'!$O$101:$O$104</xm:f>
          </x14:formula1>
          <xm:sqref>N5:P5</xm:sqref>
        </x14:dataValidation>
        <x14:dataValidation type="list" allowBlank="1" showInputMessage="1" showErrorMessage="1" xr:uid="{00000000-0002-0000-0100-00001C000000}">
          <x14:formula1>
            <xm:f>'Classes &amp; Stats'!$O$101:$O$104</xm:f>
          </x14:formula1>
          <xm:sqref>S5:U5</xm:sqref>
        </x14:dataValidation>
        <x14:dataValidation type="list" allowBlank="1" showInputMessage="1" showErrorMessage="1" xr:uid="{00000000-0002-0000-0100-00001D000000}">
          <x14:formula1>
            <xm:f>'Classes &amp; Stats'!$O$101:$O$104</xm:f>
          </x14:formula1>
          <xm:sqref>N21:P21</xm:sqref>
        </x14:dataValidation>
        <x14:dataValidation type="list" allowBlank="1" showInputMessage="1" showErrorMessage="1" xr:uid="{00000000-0002-0000-0100-00001E000000}">
          <x14:formula1>
            <xm:f>'Classes &amp; Stats'!$O$101:$O$104</xm:f>
          </x14:formula1>
          <xm:sqref>S21:U21</xm:sqref>
        </x14:dataValidation>
        <x14:dataValidation type="list" allowBlank="1" showInputMessage="1" showErrorMessage="1" xr:uid="{00000000-0002-0000-0100-00001F000000}">
          <x14:formula1>
            <xm:f>'Classes &amp; Stats'!$O$101:$O$104</xm:f>
          </x14:formula1>
          <xm:sqref>N37:P37</xm:sqref>
        </x14:dataValidation>
        <x14:dataValidation type="list" allowBlank="1" showInputMessage="1" showErrorMessage="1" xr:uid="{00000000-0002-0000-0100-000020000000}">
          <x14:formula1>
            <xm:f>'Classes &amp; Stats'!$O$101:$O$104</xm:f>
          </x14:formula1>
          <xm:sqref>S37:U37</xm:sqref>
        </x14:dataValidation>
        <x14:dataValidation type="list" allowBlank="1" showInputMessage="1" showErrorMessage="1" xr:uid="{00000000-0002-0000-0100-000021000000}">
          <x14:formula1>
            <xm:f>'Classes &amp; Stats'!$M$101:$M$103</xm:f>
          </x14:formula1>
          <xm:sqref>C3:E3</xm:sqref>
        </x14:dataValidation>
        <x14:dataValidation type="list" allowBlank="1" showInputMessage="1" showErrorMessage="1" xr:uid="{00000000-0002-0000-0100-000022000000}">
          <x14:formula1>
            <xm:f>'Classes &amp; Stats'!$N$101:$N$105</xm:f>
          </x14:formula1>
          <xm:sqref>C4:E4</xm:sqref>
        </x14:dataValidation>
        <x14:dataValidation type="list" allowBlank="1" showInputMessage="1" showErrorMessage="1" xr:uid="{00000000-0002-0000-0100-000023000000}">
          <x14:formula1>
            <xm:f>'Classes &amp; Stats'!$O$101:$O$104</xm:f>
          </x14:formula1>
          <xm:sqref>C5:E5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6"/>
  <sheetViews>
    <sheetView workbookViewId="0">
      <selection activeCell="J24" sqref="J24"/>
    </sheetView>
    <sheetView workbookViewId="1"/>
  </sheetViews>
  <sheetFormatPr defaultRowHeight="14.1" customHeight="1" x14ac:dyDescent="0.2"/>
  <cols>
    <col min="1" max="1" width="9.140625" style="67"/>
    <col min="2" max="2" width="13.7109375" style="67" customWidth="1"/>
    <col min="3" max="3" width="10.5703125" style="67" customWidth="1"/>
    <col min="4" max="5" width="9.140625" style="67"/>
    <col min="6" max="6" width="11.7109375" style="67" customWidth="1"/>
    <col min="7" max="7" width="13.28515625" style="67" customWidth="1"/>
    <col min="8" max="8" width="12.140625" style="67" customWidth="1"/>
    <col min="9" max="9" width="15.42578125" style="67" customWidth="1"/>
    <col min="10" max="19" width="9.140625" style="67"/>
    <col min="20" max="20" width="10.28515625" style="67" customWidth="1"/>
    <col min="21" max="21" width="9" style="67" customWidth="1"/>
    <col min="22" max="22" width="10.140625" style="67" customWidth="1"/>
    <col min="23" max="23" width="18.140625" style="67" customWidth="1"/>
    <col min="24" max="24" width="17.85546875" style="67" customWidth="1"/>
    <col min="25" max="25" width="18.28515625" style="67" customWidth="1"/>
    <col min="26" max="27" width="17" style="67" customWidth="1"/>
    <col min="28" max="28" width="9.140625" style="67"/>
    <col min="29" max="29" width="14.42578125" style="67" customWidth="1"/>
    <col min="30" max="16384" width="9.140625" style="67"/>
  </cols>
  <sheetData>
    <row r="1" spans="1:34" ht="14.1" customHeight="1" x14ac:dyDescent="0.2">
      <c r="A1" s="68" t="s">
        <v>185</v>
      </c>
      <c r="B1" s="68" t="s">
        <v>192</v>
      </c>
      <c r="C1" s="67" t="s">
        <v>41</v>
      </c>
      <c r="D1" s="67" t="s">
        <v>62</v>
      </c>
      <c r="E1" s="67" t="s">
        <v>66</v>
      </c>
      <c r="F1" s="67" t="s">
        <v>43</v>
      </c>
      <c r="H1" s="67" t="s">
        <v>61</v>
      </c>
      <c r="K1" s="67" t="s">
        <v>68</v>
      </c>
      <c r="L1" s="68" t="s">
        <v>85</v>
      </c>
      <c r="M1" s="67" t="s">
        <v>69</v>
      </c>
      <c r="N1" s="68" t="s">
        <v>86</v>
      </c>
      <c r="O1" s="67" t="s">
        <v>70</v>
      </c>
      <c r="P1" s="68" t="s">
        <v>87</v>
      </c>
      <c r="Q1" s="67" t="s">
        <v>71</v>
      </c>
      <c r="R1" s="68" t="s">
        <v>88</v>
      </c>
      <c r="S1" s="67" t="s">
        <v>72</v>
      </c>
      <c r="T1" s="67" t="s">
        <v>42</v>
      </c>
      <c r="U1" s="67" t="s">
        <v>50</v>
      </c>
      <c r="V1" s="67" t="s">
        <v>51</v>
      </c>
      <c r="W1" s="67" t="s">
        <v>75</v>
      </c>
      <c r="X1" s="67" t="s">
        <v>52</v>
      </c>
      <c r="Y1" s="67" t="s">
        <v>53</v>
      </c>
      <c r="Z1" s="67" t="s">
        <v>54</v>
      </c>
      <c r="AA1" s="68" t="s">
        <v>4</v>
      </c>
      <c r="AB1" s="67" t="s">
        <v>55</v>
      </c>
      <c r="AC1" s="67" t="s">
        <v>56</v>
      </c>
      <c r="AD1" s="67" t="s">
        <v>57</v>
      </c>
      <c r="AE1" s="67" t="s">
        <v>58</v>
      </c>
      <c r="AF1" s="68" t="s">
        <v>82</v>
      </c>
      <c r="AG1" s="68" t="s">
        <v>83</v>
      </c>
      <c r="AH1" s="68" t="s">
        <v>106</v>
      </c>
    </row>
    <row r="2" spans="1:34" ht="14.1" customHeight="1" x14ac:dyDescent="0.2">
      <c r="A2" s="68" t="s">
        <v>211</v>
      </c>
      <c r="B2" s="68" t="s">
        <v>167</v>
      </c>
      <c r="C2" s="67">
        <v>1</v>
      </c>
      <c r="D2" s="67" t="s">
        <v>63</v>
      </c>
      <c r="E2" s="67" t="s">
        <v>66</v>
      </c>
      <c r="F2" s="67" t="s">
        <v>44</v>
      </c>
      <c r="G2" s="67">
        <f>'Character Sheet'!F3</f>
        <v>12</v>
      </c>
      <c r="H2" s="67">
        <f>IF((G2-10)&gt;0,ROUNDDOWN((G2-10)/2,0),ROUND((G2-10)/2,0))</f>
        <v>1</v>
      </c>
      <c r="I2" s="68" t="s">
        <v>76</v>
      </c>
      <c r="J2" s="68" t="s">
        <v>185</v>
      </c>
      <c r="K2" s="67">
        <v>10</v>
      </c>
      <c r="L2" s="68">
        <v>0</v>
      </c>
      <c r="M2" s="67">
        <v>11</v>
      </c>
      <c r="N2" s="68">
        <v>0</v>
      </c>
      <c r="O2" s="67">
        <v>13</v>
      </c>
      <c r="P2" s="68">
        <v>0</v>
      </c>
      <c r="Q2" s="67">
        <v>1</v>
      </c>
      <c r="R2" s="68">
        <v>2</v>
      </c>
      <c r="S2" s="67">
        <f>(IF('Character Sheet'!$M$31="None",K2,IF('Character Sheet'!$M$31="Light",M2,O2)))+IF('Character Sheet'!$M$32="Yes",Q2,0)</f>
        <v>10</v>
      </c>
      <c r="T2" s="67">
        <f>S2+MEDIAN($H$3,$H$4,$H$6)+'Character Sheet'!$C$5</f>
        <v>12</v>
      </c>
      <c r="U2" s="69">
        <f>10+MEDIAN($H$2,$H$3,$H$4)+'Character Sheet'!$C$5</f>
        <v>12</v>
      </c>
      <c r="V2" s="69">
        <f>10+MEDIAN($H$5,$H$6,$H$7)+'Character Sheet'!$C$5</f>
        <v>12</v>
      </c>
      <c r="W2" s="67">
        <v>6</v>
      </c>
      <c r="X2" s="67">
        <f>(((W2+$G$11)/2)+$H$3)*VLOOKUP('Character Sheet'!$C$5,'Classes &amp; Stats'!$A$27:$D$36,$F$30)</f>
        <v>32</v>
      </c>
      <c r="Y2" s="67">
        <v>8</v>
      </c>
      <c r="Z2" s="68">
        <v>6</v>
      </c>
      <c r="AA2" s="67" t="str">
        <f>'Character Sheet'!$C$5&amp;'Character Sheet'!$Q$24&amp;"+"&amp;(VLOOKUP('Character Sheet'!$C$5,'Classes &amp; Stats'!$A$27:$C$36,3)*$H$3)</f>
        <v>1d6+2</v>
      </c>
      <c r="AB2" s="67">
        <f>$G$15+'Character Sheet'!$C$5</f>
        <v>2</v>
      </c>
      <c r="AC2" s="68" t="str">
        <f>'Character Sheet'!$C$5&amp;'Character Sheet'!$Q$10&amp;"+"&amp;(($G$15*VLOOKUP('Character Sheet'!$C$5,'Classes &amp; Stats'!$A$27:$C$36,3))+'Character Sheet'!$Q$13)</f>
        <v>1d4+1</v>
      </c>
      <c r="AD2" s="67">
        <f>'Character Sheet'!$C$5</f>
        <v>1</v>
      </c>
      <c r="AE2" s="67">
        <f>'Character Sheet'!$C$5+$G$16</f>
        <v>2</v>
      </c>
      <c r="AF2" s="67" t="str">
        <f>'Character Sheet'!$C$5&amp;'Character Sheet'!$Q$11&amp;"+"&amp;($G$16*VLOOKUP('Character Sheet'!$C$5,'Classes &amp; Stats'!$A$27:$C$36,3)+'Character Sheet'!$Q$16)</f>
        <v>1[W]+1</v>
      </c>
      <c r="AG2" s="67">
        <f>'Character Sheet'!$C$5</f>
        <v>1</v>
      </c>
      <c r="AH2" s="67">
        <f>IF('Character Sheet'!$M$31="None",'Classes &amp; Stats'!L2,IF('Character Sheet'!$M$31="Light",'Classes &amp; Stats'!N2,'Classes &amp; Stats'!P2))</f>
        <v>0</v>
      </c>
    </row>
    <row r="3" spans="1:34" ht="14.1" customHeight="1" x14ac:dyDescent="0.2">
      <c r="A3" s="68" t="s">
        <v>212</v>
      </c>
      <c r="B3" s="68" t="s">
        <v>168</v>
      </c>
      <c r="C3" s="67">
        <v>2</v>
      </c>
      <c r="D3" s="67" t="s">
        <v>64</v>
      </c>
      <c r="E3" s="67" t="s">
        <v>67</v>
      </c>
      <c r="F3" s="67" t="s">
        <v>45</v>
      </c>
      <c r="G3" s="67">
        <f>'Character Sheet'!F4</f>
        <v>15</v>
      </c>
      <c r="H3" s="67">
        <f t="shared" ref="H3:H7" si="0">IF((G3-10)&gt;0,ROUNDDOWN((G3-10)/2,0),ROUND((G3-10)/2,0))</f>
        <v>2</v>
      </c>
      <c r="I3" s="68" t="s">
        <v>77</v>
      </c>
      <c r="J3" s="68" t="s">
        <v>211</v>
      </c>
      <c r="K3" s="67">
        <v>10</v>
      </c>
      <c r="L3" s="67">
        <v>0</v>
      </c>
      <c r="M3" s="67">
        <v>12</v>
      </c>
      <c r="N3" s="67">
        <v>0</v>
      </c>
      <c r="O3" s="67">
        <v>13</v>
      </c>
      <c r="P3" s="67">
        <v>2</v>
      </c>
      <c r="Q3" s="67">
        <v>1</v>
      </c>
      <c r="R3" s="67">
        <v>0</v>
      </c>
      <c r="S3" s="67">
        <f>(IF('Character Sheet'!$M$31="None",K3,IF('Character Sheet'!$M$31="Light",M3,O3)))+IF('Character Sheet'!$M$32="Yes",Q3,0)</f>
        <v>10</v>
      </c>
      <c r="T3" s="67">
        <f>S3+MEDIAN($H$3,$H$4,$H$6)+'Character Sheet'!$C$5</f>
        <v>12</v>
      </c>
      <c r="U3" s="69">
        <f>11+MEDIAN($H$2,$H$3,$H$4)+'Character Sheet'!$C$5</f>
        <v>13</v>
      </c>
      <c r="V3" s="69">
        <f>10+MEDIAN($H$5,$H$6,$H$7)+'Character Sheet'!$C$5</f>
        <v>12</v>
      </c>
      <c r="W3" s="67">
        <v>7</v>
      </c>
      <c r="X3" s="67">
        <f>(((W3+$G$11)/2)+$H$3)*VLOOKUP('Character Sheet'!$C$5,'Classes &amp; Stats'!$A$27:$D$36,$F$30)</f>
        <v>34</v>
      </c>
      <c r="Y3" s="67">
        <v>8</v>
      </c>
      <c r="Z3" s="67">
        <v>10</v>
      </c>
      <c r="AA3" s="67" t="str">
        <f>'Character Sheet'!$C$5&amp;'Character Sheet'!$Q$24&amp;"+"&amp;(VLOOKUP('Character Sheet'!$C$5,'Classes &amp; Stats'!$A$27:$C$36,3)*$H$3)</f>
        <v>1d6+2</v>
      </c>
      <c r="AB3" s="67">
        <f>$G$15+'Character Sheet'!$C$5</f>
        <v>2</v>
      </c>
      <c r="AC3" s="68" t="str">
        <f>'Character Sheet'!$C$5&amp;'Character Sheet'!$Q$10&amp;"+"&amp;(($G$15*VLOOKUP('Character Sheet'!$C$5,'Classes &amp; Stats'!$A$27:$C$36,3))+'Character Sheet'!$Q$13)</f>
        <v>1d4+1</v>
      </c>
      <c r="AD3" s="67">
        <f>'Character Sheet'!$C$5</f>
        <v>1</v>
      </c>
      <c r="AE3" s="67">
        <f>'Character Sheet'!$C$5+$G$16</f>
        <v>2</v>
      </c>
      <c r="AF3" s="67" t="str">
        <f>'Character Sheet'!$C$5&amp;'Character Sheet'!$Q$11&amp;"+"&amp;($G$16*VLOOKUP('Character Sheet'!$C$5,'Classes &amp; Stats'!$A$27:$C$36,3)+'Character Sheet'!$Q$16)</f>
        <v>1[W]+1</v>
      </c>
      <c r="AG3" s="67">
        <v>0</v>
      </c>
      <c r="AH3" s="67">
        <f>IF('Character Sheet'!$M$31="None",'Classes &amp; Stats'!L3,IF('Character Sheet'!$M$31="Light",'Classes &amp; Stats'!N3,'Classes &amp; Stats'!P3))</f>
        <v>0</v>
      </c>
    </row>
    <row r="4" spans="1:34" ht="14.1" customHeight="1" x14ac:dyDescent="0.2">
      <c r="A4" s="68" t="s">
        <v>213</v>
      </c>
      <c r="B4" s="68" t="s">
        <v>209</v>
      </c>
      <c r="C4" s="67">
        <v>3</v>
      </c>
      <c r="D4" s="67" t="s">
        <v>65</v>
      </c>
      <c r="F4" s="67" t="s">
        <v>46</v>
      </c>
      <c r="G4" s="67">
        <f>'Character Sheet'!F5</f>
        <v>13</v>
      </c>
      <c r="H4" s="67">
        <f t="shared" si="0"/>
        <v>1</v>
      </c>
      <c r="I4" s="68" t="s">
        <v>78</v>
      </c>
      <c r="J4" s="68" t="s">
        <v>212</v>
      </c>
      <c r="K4" s="67">
        <v>10</v>
      </c>
      <c r="L4" s="67">
        <v>0</v>
      </c>
      <c r="M4" s="67">
        <v>12</v>
      </c>
      <c r="N4" s="67">
        <v>0</v>
      </c>
      <c r="O4" s="67">
        <v>13</v>
      </c>
      <c r="P4" s="67">
        <v>2</v>
      </c>
      <c r="Q4" s="67">
        <v>1</v>
      </c>
      <c r="R4" s="67">
        <v>1</v>
      </c>
      <c r="S4" s="67">
        <f>(IF('Character Sheet'!$M$31="None",K4,IF('Character Sheet'!$M$31="Light",M4,O4)))+IF('Character Sheet'!$M$32="Yes",Q4,0)</f>
        <v>10</v>
      </c>
      <c r="T4" s="67">
        <f>S4+MEDIAN($H$3,$H$4,$H$6)+'Character Sheet'!$C$5</f>
        <v>12</v>
      </c>
      <c r="U4" s="69">
        <f>10+MEDIAN($H$2,$H$3,$H$4)+'Character Sheet'!$C$5</f>
        <v>12</v>
      </c>
      <c r="V4" s="69">
        <f>11+MEDIAN($H$5,$H$6,$H$7)+'Character Sheet'!$C$5</f>
        <v>13</v>
      </c>
      <c r="W4" s="67">
        <v>7</v>
      </c>
      <c r="X4" s="67">
        <f>(((W4+$G$11)/2)+$H$3)*VLOOKUP('Character Sheet'!$C$5,'Classes &amp; Stats'!$A$27:$D$36,$F$30)</f>
        <v>34</v>
      </c>
      <c r="Y4" s="67">
        <v>8</v>
      </c>
      <c r="Z4" s="68">
        <v>8</v>
      </c>
      <c r="AA4" s="67" t="str">
        <f>'Character Sheet'!$C$5&amp;'Character Sheet'!$Q$24&amp;"+"&amp;(VLOOKUP('Character Sheet'!$C$5,'Classes &amp; Stats'!$A$27:$C$36,3)*$H$3)</f>
        <v>1d6+2</v>
      </c>
      <c r="AB4" s="67">
        <f>'Character Sheet'!$C$5+(IF($G$16&gt;$G$15,$G$16,$G$15))</f>
        <v>2</v>
      </c>
      <c r="AC4" s="67" t="str">
        <f>'Character Sheet'!$C$5&amp;'Character Sheet'!$Q$10&amp;"+"&amp;((IF($G$16&gt;$G$15,$G$16,$G$15))*VLOOKUP('Character Sheet'!$C$5,'Classes &amp; Stats'!$A$27:$C$36,3)+'Character Sheet'!$Q$13)</f>
        <v>1d4+1</v>
      </c>
      <c r="AD4" s="67">
        <f>'Character Sheet'!$C$5</f>
        <v>1</v>
      </c>
      <c r="AE4" s="67">
        <f>'Character Sheet'!$C$5+$G$16</f>
        <v>2</v>
      </c>
      <c r="AF4" s="67" t="str">
        <f>'Character Sheet'!$C$5&amp;'Character Sheet'!$Q$11&amp;"+"&amp;($G$16*VLOOKUP('Character Sheet'!$C$5,'Classes &amp; Stats'!$A$27:$C$36,3)+'Character Sheet'!$Q$16)</f>
        <v>1[W]+1</v>
      </c>
      <c r="AG4" s="67">
        <v>0</v>
      </c>
      <c r="AH4" s="67">
        <f>IF('Character Sheet'!$M$31="None",'Classes &amp; Stats'!L4,IF('Character Sheet'!$M$31="Light",'Classes &amp; Stats'!N4,'Classes &amp; Stats'!P4))</f>
        <v>0</v>
      </c>
    </row>
    <row r="5" spans="1:34" ht="14.1" customHeight="1" x14ac:dyDescent="0.2">
      <c r="A5" s="68" t="s">
        <v>214</v>
      </c>
      <c r="B5" s="68" t="s">
        <v>169</v>
      </c>
      <c r="C5" s="67">
        <v>4</v>
      </c>
      <c r="F5" s="67" t="s">
        <v>47</v>
      </c>
      <c r="G5" s="67">
        <f>'Character Sheet'!F6</f>
        <v>18</v>
      </c>
      <c r="H5" s="67">
        <f t="shared" si="0"/>
        <v>4</v>
      </c>
      <c r="I5" s="68" t="s">
        <v>79</v>
      </c>
      <c r="J5" s="68" t="s">
        <v>213</v>
      </c>
      <c r="K5" s="67">
        <v>10</v>
      </c>
      <c r="L5" s="67">
        <v>0</v>
      </c>
      <c r="M5" s="67">
        <v>10</v>
      </c>
      <c r="N5" s="67">
        <v>0</v>
      </c>
      <c r="O5" s="67">
        <v>11</v>
      </c>
      <c r="P5" s="67">
        <v>2</v>
      </c>
      <c r="Q5" s="67">
        <v>1</v>
      </c>
      <c r="R5" s="67">
        <v>2</v>
      </c>
      <c r="S5" s="67">
        <f>(IF('Character Sheet'!$M$31="None",K5,IF('Character Sheet'!$M$31="Light",M5,O5)))+IF('Character Sheet'!$M$32="Yes",Q5,0)</f>
        <v>10</v>
      </c>
      <c r="T5" s="67">
        <f>S5+MEDIAN($H$3,$H$4,$H$6)+'Character Sheet'!$C$5</f>
        <v>12</v>
      </c>
      <c r="U5" s="69">
        <f>10+MEDIAN($H$2,$H$3,$H$4)+'Character Sheet'!$C$5</f>
        <v>12</v>
      </c>
      <c r="V5" s="69">
        <f>11+MEDIAN($H$5,$H$6,$H$7)+'Character Sheet'!$C$5</f>
        <v>13</v>
      </c>
      <c r="W5" s="67">
        <v>6</v>
      </c>
      <c r="X5" s="67">
        <f>(((W5+$G$11)/2)+$H$3)*VLOOKUP('Character Sheet'!$C$5,'Classes &amp; Stats'!$A$27:$D$36,$F$30)</f>
        <v>32</v>
      </c>
      <c r="Y5" s="67">
        <v>8</v>
      </c>
      <c r="Z5" s="68">
        <v>6</v>
      </c>
      <c r="AA5" s="67" t="str">
        <f>'Character Sheet'!$C$5&amp;'Character Sheet'!$Q$24&amp;"+"&amp;(VLOOKUP('Character Sheet'!$C$5,'Classes &amp; Stats'!$A$27:$C$36,3)*$H$3)</f>
        <v>1d6+2</v>
      </c>
      <c r="AB5" s="67">
        <f>$G$15+'Character Sheet'!$C$5</f>
        <v>2</v>
      </c>
      <c r="AC5" s="68" t="str">
        <f>'Character Sheet'!$C$5&amp;'Character Sheet'!$Q$10&amp;"+"&amp;($G$15*VLOOKUP('Character Sheet'!$C$5,'Classes &amp; Stats'!$A$27:$C$36,3)+'Character Sheet'!$Q$13)</f>
        <v>1d4+1</v>
      </c>
      <c r="AD5" s="67">
        <v>0</v>
      </c>
      <c r="AE5" s="67">
        <f>'Character Sheet'!$C$5+$G$16</f>
        <v>2</v>
      </c>
      <c r="AF5" s="67" t="str">
        <f>'Character Sheet'!$C$5&amp;'Character Sheet'!$Q$11&amp;"+"&amp;($G$16*VLOOKUP('Character Sheet'!$C$5,'Classes &amp; Stats'!$A$27:$C$36,3)+'Character Sheet'!$Q$16)</f>
        <v>1[W]+1</v>
      </c>
      <c r="AG5" s="67">
        <v>0</v>
      </c>
      <c r="AH5" s="67">
        <f>IF('Character Sheet'!$M$31="None",'Classes &amp; Stats'!L5,IF('Character Sheet'!$M$31="Light",'Classes &amp; Stats'!N5,'Classes &amp; Stats'!P5))</f>
        <v>0</v>
      </c>
    </row>
    <row r="6" spans="1:34" ht="14.1" customHeight="1" x14ac:dyDescent="0.2">
      <c r="A6" s="68" t="s">
        <v>215</v>
      </c>
      <c r="B6" s="68" t="s">
        <v>208</v>
      </c>
      <c r="C6" s="67">
        <v>5</v>
      </c>
      <c r="F6" s="67" t="s">
        <v>48</v>
      </c>
      <c r="G6" s="67">
        <f>'Character Sheet'!F7</f>
        <v>13</v>
      </c>
      <c r="H6" s="67">
        <f t="shared" si="0"/>
        <v>1</v>
      </c>
      <c r="I6" s="68" t="s">
        <v>80</v>
      </c>
      <c r="J6" s="68" t="s">
        <v>214</v>
      </c>
      <c r="K6" s="67">
        <v>10</v>
      </c>
      <c r="L6" s="67">
        <v>0</v>
      </c>
      <c r="M6" s="67">
        <v>12</v>
      </c>
      <c r="N6" s="67">
        <v>0</v>
      </c>
      <c r="O6" s="67">
        <v>14</v>
      </c>
      <c r="P6" s="67">
        <v>0</v>
      </c>
      <c r="Q6" s="67">
        <v>1</v>
      </c>
      <c r="R6" s="67">
        <v>0</v>
      </c>
      <c r="S6" s="67">
        <f>(IF('Character Sheet'!$M$31="None",K6,IF('Character Sheet'!$M$31="Light",M6,O6)))+IF('Character Sheet'!$M$32="Yes",Q6,0)</f>
        <v>10</v>
      </c>
      <c r="T6" s="67">
        <f>S6+MEDIAN($H$3,$H$4,$H$6)+'Character Sheet'!$C$5</f>
        <v>12</v>
      </c>
      <c r="U6" s="69">
        <f>11+MEDIAN($H$2,$H$3,$H$4)+'Character Sheet'!$C$5</f>
        <v>13</v>
      </c>
      <c r="V6" s="69">
        <f>11+MEDIAN($H$5,$H$6,$H$7)+'Character Sheet'!$C$5</f>
        <v>13</v>
      </c>
      <c r="W6" s="67">
        <v>7</v>
      </c>
      <c r="X6" s="67">
        <f>(((W6+$G$11)/2)+$H$3)*VLOOKUP('Character Sheet'!$C$5,'Classes &amp; Stats'!$A$27:$D$36,$F$30)</f>
        <v>34</v>
      </c>
      <c r="Y6" s="67">
        <v>8</v>
      </c>
      <c r="Z6" s="68">
        <v>8</v>
      </c>
      <c r="AA6" s="67" t="str">
        <f>'Character Sheet'!$C$5&amp;'Character Sheet'!$Q$24&amp;"+"&amp;(VLOOKUP('Character Sheet'!$C$5,'Classes &amp; Stats'!$A$27:$C$36,3)*$H$3)</f>
        <v>1d6+2</v>
      </c>
      <c r="AB6" s="67">
        <f>$G$15+'Character Sheet'!$C$5</f>
        <v>2</v>
      </c>
      <c r="AC6" s="68" t="str">
        <f>'Character Sheet'!$C$5&amp;'Character Sheet'!$Q$10&amp;"+"&amp;($G$15*VLOOKUP('Character Sheet'!$C$5,'Classes &amp; Stats'!$A$27:$C$36,3)+'Character Sheet'!$Q$13)</f>
        <v>1d4+1</v>
      </c>
      <c r="AD6" s="67">
        <f>'Character Sheet'!$C$5</f>
        <v>1</v>
      </c>
      <c r="AE6" s="67">
        <f>'Character Sheet'!$C$5+$G$16</f>
        <v>2</v>
      </c>
      <c r="AF6" s="67" t="str">
        <f>'Character Sheet'!$C$5&amp;'Character Sheet'!$Q$11&amp;"+"&amp;($G$16*VLOOKUP('Character Sheet'!$C$5,'Classes &amp; Stats'!$A$27:$C$36,3)+'Character Sheet'!$Q$16)</f>
        <v>1[W]+1</v>
      </c>
      <c r="AG6" s="67">
        <v>0</v>
      </c>
      <c r="AH6" s="67">
        <f>IF('Character Sheet'!$M$31="None",'Classes &amp; Stats'!L6,IF('Character Sheet'!$M$31="Light",'Classes &amp; Stats'!N6,'Classes &amp; Stats'!P6))</f>
        <v>0</v>
      </c>
    </row>
    <row r="7" spans="1:34" ht="14.1" customHeight="1" x14ac:dyDescent="0.2">
      <c r="A7" s="68" t="s">
        <v>216</v>
      </c>
      <c r="B7" s="68" t="s">
        <v>207</v>
      </c>
      <c r="C7" s="67">
        <v>6</v>
      </c>
      <c r="F7" s="67" t="s">
        <v>49</v>
      </c>
      <c r="G7" s="67">
        <f>'Character Sheet'!F8</f>
        <v>13</v>
      </c>
      <c r="H7" s="67">
        <f t="shared" si="0"/>
        <v>1</v>
      </c>
      <c r="I7" s="68" t="s">
        <v>81</v>
      </c>
      <c r="J7" s="68" t="s">
        <v>215</v>
      </c>
      <c r="K7" s="67">
        <v>10</v>
      </c>
      <c r="L7" s="67">
        <v>0</v>
      </c>
      <c r="M7" s="67">
        <v>12</v>
      </c>
      <c r="N7" s="67">
        <v>0</v>
      </c>
      <c r="O7" s="67">
        <v>14</v>
      </c>
      <c r="P7" s="67">
        <v>2</v>
      </c>
      <c r="Q7" s="67">
        <v>1</v>
      </c>
      <c r="R7" s="67">
        <v>0</v>
      </c>
      <c r="S7" s="67">
        <f>(IF('Character Sheet'!$M$31="None",K7,IF('Character Sheet'!$M$31="Light",M7,O7)))+IF('Character Sheet'!$M$32="Yes",Q7,0)</f>
        <v>10</v>
      </c>
      <c r="T7" s="67">
        <f>S7+MEDIAN($H$3,$H$4,$H$6)+'Character Sheet'!$C$5</f>
        <v>12</v>
      </c>
      <c r="U7" s="69">
        <f>10+MEDIAN($H$2,$H$3,$H$4)+'Character Sheet'!$C$5</f>
        <v>12</v>
      </c>
      <c r="V7" s="69">
        <f>12+MEDIAN($H$5,$H$6,$H$7)+'Character Sheet'!$C$5</f>
        <v>14</v>
      </c>
      <c r="W7" s="67">
        <v>7</v>
      </c>
      <c r="X7" s="67">
        <f>(((W7+$G$11)/2)+$H$3)*VLOOKUP('Character Sheet'!$C$5,'Classes &amp; Stats'!$A$27:$D$36,$F$30)</f>
        <v>34</v>
      </c>
      <c r="Y7" s="67">
        <v>8</v>
      </c>
      <c r="Z7" s="68">
        <v>8</v>
      </c>
      <c r="AA7" s="67" t="str">
        <f>'Character Sheet'!$C$5&amp;'Character Sheet'!$Q$24&amp;"+"&amp;(VLOOKUP('Character Sheet'!$C$5,'Classes &amp; Stats'!$A$27:$C$36,3)*$H$3)</f>
        <v>1d6+2</v>
      </c>
      <c r="AB7" s="67">
        <f>$G$15+'Character Sheet'!$C$5</f>
        <v>2</v>
      </c>
      <c r="AC7" s="68" t="str">
        <f>'Character Sheet'!$C$5&amp;'Character Sheet'!$Q$10&amp;"+"&amp;($G$15*VLOOKUP('Character Sheet'!$C$5,'Classes &amp; Stats'!$A$27:$C$36,3)+'Character Sheet'!$Q$13)</f>
        <v>1d4+1</v>
      </c>
      <c r="AD7" s="67">
        <f>'Character Sheet'!$C$5</f>
        <v>1</v>
      </c>
      <c r="AE7" s="67">
        <f>'Character Sheet'!$C$5+$G$16</f>
        <v>2</v>
      </c>
      <c r="AF7" s="67" t="str">
        <f>'Character Sheet'!$C$5&amp;'Character Sheet'!$Q$11&amp;"+"&amp;($G$16*VLOOKUP('Character Sheet'!$C$5,'Classes &amp; Stats'!$A$27:$C$36,3)+'Character Sheet'!$Q$16)</f>
        <v>1[W]+1</v>
      </c>
      <c r="AG7" s="67">
        <v>0</v>
      </c>
      <c r="AH7" s="67">
        <f>IF('Character Sheet'!$M$31="None",'Classes &amp; Stats'!L7,IF('Character Sheet'!$M$31="Light",'Classes &amp; Stats'!N7,'Classes &amp; Stats'!P7))</f>
        <v>0</v>
      </c>
    </row>
    <row r="8" spans="1:34" ht="14.1" customHeight="1" x14ac:dyDescent="0.2">
      <c r="A8" s="68" t="s">
        <v>164</v>
      </c>
      <c r="B8" s="68" t="s">
        <v>166</v>
      </c>
      <c r="C8" s="67">
        <v>7</v>
      </c>
      <c r="J8" s="68" t="s">
        <v>216</v>
      </c>
      <c r="K8" s="67">
        <v>10</v>
      </c>
      <c r="L8" s="67">
        <v>0</v>
      </c>
      <c r="M8" s="67">
        <v>10</v>
      </c>
      <c r="N8" s="67">
        <v>0</v>
      </c>
      <c r="O8" s="67">
        <v>14</v>
      </c>
      <c r="P8" s="67">
        <v>2</v>
      </c>
      <c r="Q8" s="67">
        <v>0</v>
      </c>
      <c r="R8" s="67">
        <v>2</v>
      </c>
      <c r="S8" s="67">
        <f>(IF('Character Sheet'!$M$31="None",K8,IF('Character Sheet'!$M$31="Light",M8,O8)))+IF('Character Sheet'!$M$32="Yes",Q8,0)</f>
        <v>10</v>
      </c>
      <c r="T8" s="67">
        <f>S8+MEDIAN($H$3,$H$4,$H$6)+'Character Sheet'!$C$5</f>
        <v>12</v>
      </c>
      <c r="U8" s="69">
        <f>11+MEDIAN($H$2,$H$3,$H$4)+'Character Sheet'!$C$5</f>
        <v>13</v>
      </c>
      <c r="V8" s="69">
        <f>11+MEDIAN($H$5,$H$6,$H$7)+'Character Sheet'!$C$5</f>
        <v>13</v>
      </c>
      <c r="W8" s="67">
        <v>6</v>
      </c>
      <c r="X8" s="67">
        <f>(((W8+$G$11)/2)+$H$3)*VLOOKUP('Character Sheet'!$C$5,'Classes &amp; Stats'!$A$27:$D$36,$F$30)</f>
        <v>32</v>
      </c>
      <c r="Y8" s="67">
        <v>8</v>
      </c>
      <c r="Z8" s="68">
        <v>6</v>
      </c>
      <c r="AA8" s="67" t="str">
        <f>'Character Sheet'!$C$5&amp;'Character Sheet'!$Q$24&amp;"+"&amp;(VLOOKUP('Character Sheet'!$C$5,'Classes &amp; Stats'!$A$27:$C$36,3)*$H$3)</f>
        <v>1d6+2</v>
      </c>
      <c r="AB8" s="67">
        <f>'Character Sheet'!$C$5+(IF($G$16&gt;$G$15,$G$16,$G$15))</f>
        <v>2</v>
      </c>
      <c r="AC8" s="67" t="str">
        <f>'Character Sheet'!$C$5&amp;'Character Sheet'!$Q$10&amp;"+"&amp;((IF($G$16&gt;$G$15,$G$16,$G$15))*VLOOKUP('Character Sheet'!$C$5,'Classes &amp; Stats'!$A$27:$C$36,3)+'Character Sheet'!$Q$13)</f>
        <v>1d4+1</v>
      </c>
      <c r="AD8" s="67">
        <f>'Character Sheet'!$C$5</f>
        <v>1</v>
      </c>
      <c r="AE8" s="67">
        <f>'Character Sheet'!$C$5+$G$16</f>
        <v>2</v>
      </c>
      <c r="AF8" s="67" t="str">
        <f>'Character Sheet'!$C$5&amp;'Character Sheet'!$Q$11&amp;"+"&amp;($G$16*VLOOKUP('Character Sheet'!$C$5,'Classes &amp; Stats'!$A$27:$C$36,3)+'Character Sheet'!$Q$16)</f>
        <v>1[W]+1</v>
      </c>
      <c r="AG8" s="67">
        <v>0</v>
      </c>
      <c r="AH8" s="67">
        <f>IF('Character Sheet'!$M$31="None",'Classes &amp; Stats'!L8,IF('Character Sheet'!$M$31="Light",'Classes &amp; Stats'!N8,'Classes &amp; Stats'!P8))</f>
        <v>0</v>
      </c>
    </row>
    <row r="9" spans="1:34" ht="14.1" customHeight="1" x14ac:dyDescent="0.2">
      <c r="A9" s="68" t="s">
        <v>179</v>
      </c>
      <c r="B9" s="68" t="s">
        <v>180</v>
      </c>
      <c r="C9" s="67">
        <v>8</v>
      </c>
      <c r="J9" s="68" t="s">
        <v>164</v>
      </c>
      <c r="K9" s="67">
        <v>10</v>
      </c>
      <c r="L9" s="67">
        <v>0</v>
      </c>
      <c r="M9" s="67">
        <v>12</v>
      </c>
      <c r="N9" s="67">
        <v>0</v>
      </c>
      <c r="O9" s="67">
        <v>14</v>
      </c>
      <c r="P9" s="67">
        <v>2</v>
      </c>
      <c r="Q9" s="67">
        <v>1</v>
      </c>
      <c r="R9" s="67">
        <v>1</v>
      </c>
      <c r="S9" s="67">
        <f>(IF('Character Sheet'!$M$31="None",K9,IF('Character Sheet'!$M$31="Light",M9,O9)))+IF('Character Sheet'!$M$32="Yes",Q9,0)</f>
        <v>10</v>
      </c>
      <c r="T9" s="67">
        <f>S9+MEDIAN($H$3,$H$4,$H$6)+'Character Sheet'!$C$5</f>
        <v>12</v>
      </c>
      <c r="U9" s="69">
        <f>11+MEDIAN($H$2,$H$3,$H$4)+'Character Sheet'!$C$5</f>
        <v>13</v>
      </c>
      <c r="V9" s="69">
        <f>11+MEDIAN($H$5,$H$6,$H$7)+'Character Sheet'!$C$5</f>
        <v>13</v>
      </c>
      <c r="W9" s="67">
        <v>7</v>
      </c>
      <c r="X9" s="67">
        <f>(((W9+$G$11)/2)+$H$3)*VLOOKUP('Character Sheet'!$C$5,'Classes &amp; Stats'!$A$27:$D$36,$F$30)</f>
        <v>34</v>
      </c>
      <c r="Y9" s="67">
        <v>8</v>
      </c>
      <c r="Z9" s="68">
        <v>8</v>
      </c>
      <c r="AA9" s="67" t="str">
        <f>'Character Sheet'!$C$5&amp;'Character Sheet'!$Q$24&amp;"+"&amp;(VLOOKUP('Character Sheet'!$C$5,'Classes &amp; Stats'!$A$27:$C$36,3)*$H$3)</f>
        <v>1d6+2</v>
      </c>
      <c r="AB9" s="67">
        <f>$G$15+'Character Sheet'!$C$5</f>
        <v>2</v>
      </c>
      <c r="AC9" s="68" t="str">
        <f>'Character Sheet'!$C$5&amp;'Character Sheet'!$Q$10&amp;"+"&amp;($G$15*VLOOKUP('Character Sheet'!$C$5,'Classes &amp; Stats'!$A$27:$C$36,3)+'Character Sheet'!$Q$13)</f>
        <v>1d4+1</v>
      </c>
      <c r="AD9" s="67">
        <f>'Character Sheet'!$C$5</f>
        <v>1</v>
      </c>
      <c r="AE9" s="67">
        <f>'Character Sheet'!$C$5+$G$16</f>
        <v>2</v>
      </c>
      <c r="AF9" s="67" t="str">
        <f>'Character Sheet'!$C$5&amp;'Character Sheet'!$Q$11&amp;"+"&amp;($G$16*VLOOKUP('Character Sheet'!$C$5,'Classes &amp; Stats'!$A$27:$C$36,3)+'Character Sheet'!$Q$16)</f>
        <v>1[W]+1</v>
      </c>
      <c r="AG9" s="67">
        <v>0</v>
      </c>
      <c r="AH9" s="67">
        <f>IF('Character Sheet'!$M$31="None",'Classes &amp; Stats'!L9,IF('Character Sheet'!$M$31="Light",'Classes &amp; Stats'!N9,'Classes &amp; Stats'!P9))</f>
        <v>0</v>
      </c>
    </row>
    <row r="10" spans="1:34" ht="14.1" customHeight="1" x14ac:dyDescent="0.2">
      <c r="A10" s="68" t="s">
        <v>217</v>
      </c>
      <c r="B10" s="68" t="s">
        <v>170</v>
      </c>
      <c r="C10" s="67">
        <v>9</v>
      </c>
      <c r="F10" s="68" t="s">
        <v>226</v>
      </c>
      <c r="J10" s="68" t="s">
        <v>179</v>
      </c>
      <c r="K10" s="67">
        <v>12</v>
      </c>
      <c r="L10" s="67">
        <v>0</v>
      </c>
      <c r="M10" s="67">
        <v>14</v>
      </c>
      <c r="N10" s="67">
        <v>2</v>
      </c>
      <c r="O10" s="67">
        <v>16</v>
      </c>
      <c r="P10" s="67">
        <v>2</v>
      </c>
      <c r="Q10" s="67">
        <v>1</v>
      </c>
      <c r="R10" s="67">
        <v>0</v>
      </c>
      <c r="S10" s="67">
        <f>(IF('Character Sheet'!$M$31="None",K10,IF('Character Sheet'!$M$31="Light",M10,O10)))+IF('Character Sheet'!$M$32="Yes",Q10,0)</f>
        <v>12</v>
      </c>
      <c r="T10" s="67">
        <f>S10+MEDIAN($H$3,$H$4,$H$6)+'Character Sheet'!$C$5</f>
        <v>14</v>
      </c>
      <c r="U10" s="69">
        <f>11+MEDIAN($H$2,$H$3,$H$4)+'Character Sheet'!$C$5</f>
        <v>13</v>
      </c>
      <c r="V10" s="69">
        <f>11+MEDIAN($H$5,$H$6,$H$7)+'Character Sheet'!$C$5</f>
        <v>13</v>
      </c>
      <c r="W10" s="67">
        <v>7</v>
      </c>
      <c r="X10" s="67">
        <f>(((W10+$G$11)/2)+$H$3)*VLOOKUP('Character Sheet'!$C$5,'Classes &amp; Stats'!$A$27:$D$36,$F$30)</f>
        <v>34</v>
      </c>
      <c r="Y10" s="67">
        <v>8</v>
      </c>
      <c r="Z10" s="68">
        <v>8</v>
      </c>
      <c r="AA10" s="67" t="str">
        <f>'Character Sheet'!$C$5&amp;'Character Sheet'!$Q$24&amp;"+"&amp;(VLOOKUP('Character Sheet'!$C$5,'Classes &amp; Stats'!$A$27:$C$36,3)*$H$3)</f>
        <v>1d6+2</v>
      </c>
      <c r="AB10" s="67">
        <f>'Character Sheet'!$C$5+(IF($G$16&gt;$G$15,$G$16,$G$15))</f>
        <v>2</v>
      </c>
      <c r="AC10" s="67" t="str">
        <f>'Character Sheet'!$C$5&amp;'Character Sheet'!$Q$10&amp;"+"&amp;(($G$15))*VLOOKUP('Character Sheet'!$C$5,'Classes &amp; Stats'!$A$27:$C$36,3)+'Character Sheet'!$Q$13</f>
        <v>1d4+1</v>
      </c>
      <c r="AD10" s="67">
        <f>'Character Sheet'!$C$5</f>
        <v>1</v>
      </c>
      <c r="AE10" s="67">
        <f>'Character Sheet'!$C$5+$G$16</f>
        <v>2</v>
      </c>
      <c r="AF10" s="67" t="str">
        <f>'Character Sheet'!$C$5&amp;'Character Sheet'!$Q$11&amp;"+"&amp;($G$16*VLOOKUP('Character Sheet'!$C$5,'Classes &amp; Stats'!$A$27:$C$36,3)+'Character Sheet'!$Q$16)</f>
        <v>1[W]+1</v>
      </c>
      <c r="AG10" s="67">
        <f>'Character Sheet'!$C$5</f>
        <v>1</v>
      </c>
      <c r="AH10" s="67">
        <f>IF('Character Sheet'!$M$31="None",'Classes &amp; Stats'!L10,IF('Character Sheet'!$M$31="Light",'Classes &amp; Stats'!N10,'Classes &amp; Stats'!P10))</f>
        <v>0</v>
      </c>
    </row>
    <row r="11" spans="1:34" ht="14.1" customHeight="1" x14ac:dyDescent="0.2">
      <c r="A11" s="68" t="s">
        <v>181</v>
      </c>
      <c r="B11" s="68" t="s">
        <v>182</v>
      </c>
      <c r="C11" s="67">
        <v>10</v>
      </c>
      <c r="F11" s="68" t="s">
        <v>227</v>
      </c>
      <c r="G11" s="67">
        <f>IF('Character Sheet'!$C$6=FALSE,(VLOOKUP('Character Sheet'!$C$3,J2:AG50,14)),(VLOOKUP('Character Sheet'!$C$6,'Classes &amp; Stats'!$J$2:$AG$50,14)))</f>
        <v>6</v>
      </c>
      <c r="J11" s="68" t="s">
        <v>217</v>
      </c>
      <c r="K11" s="67">
        <v>10</v>
      </c>
      <c r="L11" s="67">
        <v>0</v>
      </c>
      <c r="M11" s="67">
        <v>13</v>
      </c>
      <c r="N11" s="67">
        <v>0</v>
      </c>
      <c r="O11" s="67">
        <v>15</v>
      </c>
      <c r="P11" s="67">
        <v>0</v>
      </c>
      <c r="Q11" s="67">
        <v>1</v>
      </c>
      <c r="R11" s="67">
        <v>0</v>
      </c>
      <c r="S11" s="67">
        <f>(IF('Character Sheet'!$M$31="None",K11,IF('Character Sheet'!$M$31="Light",M11,O11)))+IF('Character Sheet'!$M$32="Yes",Q11,0)</f>
        <v>10</v>
      </c>
      <c r="T11" s="67">
        <f>S11+MEDIAN($H$3,$H$4,$H$6)+'Character Sheet'!$C$5</f>
        <v>12</v>
      </c>
      <c r="U11" s="69">
        <f>10+MEDIAN($H$2,$H$3,$H$4)+'Character Sheet'!$C$5</f>
        <v>12</v>
      </c>
      <c r="V11" s="69">
        <f>10+MEDIAN($H$5,$H$6,$H$7)+'Character Sheet'!$C$5</f>
        <v>12</v>
      </c>
      <c r="W11" s="67">
        <v>8</v>
      </c>
      <c r="X11" s="67">
        <f>(((W11+$G$11)/2)+$H$3)*VLOOKUP('Character Sheet'!$C$5,'Classes &amp; Stats'!$A$27:$D$36,$F$30)</f>
        <v>36</v>
      </c>
      <c r="Y11" s="67">
        <v>9</v>
      </c>
      <c r="Z11" s="68">
        <v>10</v>
      </c>
      <c r="AA11" s="67" t="str">
        <f>'Character Sheet'!$C$5&amp;'Character Sheet'!$Q$24&amp;"+"&amp;(VLOOKUP('Character Sheet'!$C$5,'Classes &amp; Stats'!$A$27:$C$36,3)*$H$3)</f>
        <v>1d6+2</v>
      </c>
      <c r="AB11" s="67">
        <f>$G$15+'Character Sheet'!$C$5</f>
        <v>2</v>
      </c>
      <c r="AC11" s="68" t="str">
        <f>'Character Sheet'!$C$5&amp;'Character Sheet'!$Q$10&amp;"+"&amp;($G$15*VLOOKUP('Character Sheet'!$C$5,'Classes &amp; Stats'!$A$27:$C$36,3)+'Character Sheet'!$Q$13)</f>
        <v>1d4+1</v>
      </c>
      <c r="AD11" s="67">
        <f>'Character Sheet'!$C$5</f>
        <v>1</v>
      </c>
      <c r="AE11" s="67">
        <f>'Character Sheet'!$C$5+$G$16</f>
        <v>2</v>
      </c>
      <c r="AF11" s="67" t="str">
        <f>'Character Sheet'!$C$5&amp;'Character Sheet'!$Q$11&amp;"+"&amp;($G$16*VLOOKUP('Character Sheet'!$C$5,'Classes &amp; Stats'!$A$27:$C$36,3)+'Character Sheet'!$Q$16)</f>
        <v>1[W]+1</v>
      </c>
      <c r="AG11" s="67">
        <v>0</v>
      </c>
      <c r="AH11" s="67">
        <f>IF('Character Sheet'!$M$31="None",'Classes &amp; Stats'!L11,IF('Character Sheet'!$M$31="Light",'Classes &amp; Stats'!N11,'Classes &amp; Stats'!P11))</f>
        <v>0</v>
      </c>
    </row>
    <row r="12" spans="1:34" ht="14.1" customHeight="1" x14ac:dyDescent="0.2">
      <c r="A12" s="68" t="s">
        <v>218</v>
      </c>
      <c r="B12" s="68" t="s">
        <v>206</v>
      </c>
      <c r="F12" s="68" t="s">
        <v>228</v>
      </c>
      <c r="G12" s="67">
        <f>IF('Character Sheet'!$C$6=FALSE,0,(VLOOKUP('Character Sheet'!$C$6,'Classes &amp; Stats'!$J$2:$AG$50,17)))</f>
        <v>0</v>
      </c>
      <c r="J12" s="68" t="s">
        <v>181</v>
      </c>
      <c r="K12" s="67">
        <v>10</v>
      </c>
      <c r="L12" s="67">
        <v>0</v>
      </c>
      <c r="M12" s="67">
        <v>10</v>
      </c>
      <c r="N12" s="67">
        <v>0</v>
      </c>
      <c r="O12" s="67">
        <v>11</v>
      </c>
      <c r="P12" s="67">
        <v>2</v>
      </c>
      <c r="Q12" s="67">
        <v>1</v>
      </c>
      <c r="R12" s="67">
        <v>1</v>
      </c>
      <c r="S12" s="67">
        <f>(IF('Character Sheet'!$M$31="None",K12,IF('Character Sheet'!$M$31="Light",M12,O12)))+IF('Character Sheet'!$M$32="Yes",Q12,0)</f>
        <v>10</v>
      </c>
      <c r="T12" s="67">
        <f>S12+MEDIAN($H$3,$H$4,$H$6)+'Character Sheet'!$C$5</f>
        <v>12</v>
      </c>
      <c r="U12" s="69">
        <f>10+MEDIAN($H$2,$H$3,$H$4)+'Character Sheet'!$C$5</f>
        <v>12</v>
      </c>
      <c r="V12" s="69">
        <f>12+MEDIAN($H$5,$H$6,$H$7)+'Character Sheet'!$C$5</f>
        <v>14</v>
      </c>
      <c r="W12" s="67">
        <v>6</v>
      </c>
      <c r="X12" s="67">
        <f>(((W12+$G$11)/2)+$H$3)*VLOOKUP('Character Sheet'!$C$5,'Classes &amp; Stats'!$A$27:$D$36,$F$30)</f>
        <v>32</v>
      </c>
      <c r="Y12" s="67">
        <v>8</v>
      </c>
      <c r="Z12" s="68">
        <v>6</v>
      </c>
      <c r="AA12" s="67" t="str">
        <f>'Character Sheet'!$C$5&amp;'Character Sheet'!$Q$24&amp;"+"&amp;(VLOOKUP('Character Sheet'!$C$5,'Classes &amp; Stats'!$A$27:$C$36,3)*$H$3)</f>
        <v>1d6+2</v>
      </c>
      <c r="AB12" s="67">
        <f>$G$15+'Character Sheet'!$C$5</f>
        <v>2</v>
      </c>
      <c r="AC12" s="68" t="str">
        <f>'Character Sheet'!$C$5&amp;'Character Sheet'!$Q$10&amp;"+"&amp;($G$15*VLOOKUP('Character Sheet'!$C$5,'Classes &amp; Stats'!$A$27:$C$36,3)+'Character Sheet'!$Q$13)</f>
        <v>1d4+1</v>
      </c>
      <c r="AD12" s="67">
        <v>0</v>
      </c>
      <c r="AE12" s="67">
        <f>'Character Sheet'!$C$5+$G$16</f>
        <v>2</v>
      </c>
      <c r="AF12" s="67" t="str">
        <f>'Character Sheet'!$C$5&amp;'Character Sheet'!$Q$11&amp;"+"&amp;($G$16*VLOOKUP('Character Sheet'!$C$5,'Classes &amp; Stats'!$A$27:$C$36,3)+'Character Sheet'!$Q$16)</f>
        <v>1[W]+1</v>
      </c>
      <c r="AG12" s="67">
        <v>0</v>
      </c>
      <c r="AH12" s="67">
        <f>IF('Character Sheet'!$M$31="None",'Classes &amp; Stats'!L12,IF('Character Sheet'!$M$31="Light",'Classes &amp; Stats'!N12,'Classes &amp; Stats'!P12))</f>
        <v>0</v>
      </c>
    </row>
    <row r="13" spans="1:34" ht="14.1" customHeight="1" x14ac:dyDescent="0.2">
      <c r="A13" s="68" t="s">
        <v>219</v>
      </c>
      <c r="B13" s="68" t="s">
        <v>205</v>
      </c>
      <c r="F13" s="68" t="s">
        <v>229</v>
      </c>
      <c r="G13" s="67">
        <f>IF('Character Sheet'!$C$6=FALSE,(VLOOKUP('Character Sheet'!$C$3,'Classes &amp; Stats'!$J$2:$AG$50,17)),(((VLOOKUP('Character Sheet'!$C$6,'Classes &amp; Stats'!$J$2:$AG$50,17))+(VLOOKUP('Character Sheet'!$C$3,'Classes &amp; Stats'!$J$2:$AG$50,17)))/2))</f>
        <v>6</v>
      </c>
      <c r="J13" s="68" t="s">
        <v>218</v>
      </c>
      <c r="K13" s="67">
        <v>11</v>
      </c>
      <c r="L13" s="67">
        <v>0</v>
      </c>
      <c r="M13" s="67">
        <v>11</v>
      </c>
      <c r="N13" s="67">
        <v>0</v>
      </c>
      <c r="O13" s="67">
        <v>12</v>
      </c>
      <c r="P13" s="67">
        <v>4</v>
      </c>
      <c r="Q13" s="67">
        <v>1</v>
      </c>
      <c r="R13" s="67">
        <v>2</v>
      </c>
      <c r="S13" s="67">
        <f>(IF('Character Sheet'!$M$31="None",K13,IF('Character Sheet'!$M$31="Light",M13,O13)))+IF('Character Sheet'!$M$32="Yes",Q13,0)</f>
        <v>11</v>
      </c>
      <c r="T13" s="67">
        <f>S13+MEDIAN($H$3,$H$4,$H$6)+'Character Sheet'!$C$5</f>
        <v>13</v>
      </c>
      <c r="U13" s="69">
        <f>11+MEDIAN($H$2,$H$3,$H$4)+'Character Sheet'!$C$5</f>
        <v>13</v>
      </c>
      <c r="V13" s="69">
        <f>11+MEDIAN($H$5,$H$6,$H$7)+'Character Sheet'!$C$5</f>
        <v>13</v>
      </c>
      <c r="W13" s="67">
        <v>7</v>
      </c>
      <c r="X13" s="67">
        <f>(((W13+$G$11)/2)+$H$3)*VLOOKUP('Character Sheet'!$C$5,'Classes &amp; Stats'!$A$27:$D$36,$F$30)</f>
        <v>34</v>
      </c>
      <c r="Y13" s="67">
        <v>8</v>
      </c>
      <c r="Z13" s="68">
        <v>8</v>
      </c>
      <c r="AA13" s="67" t="str">
        <f>'Character Sheet'!$C$5&amp;'Character Sheet'!$Q$24&amp;"+"&amp;(VLOOKUP('Character Sheet'!$C$5,'Classes &amp; Stats'!$A$27:$C$36,3)*$H$3)</f>
        <v>1d6+2</v>
      </c>
      <c r="AB13" s="67">
        <f>$G$16+'Character Sheet'!$C$5</f>
        <v>2</v>
      </c>
      <c r="AC13" s="68" t="str">
        <f>'Character Sheet'!$C$5&amp;"[W]"&amp;"+"&amp;($G$15*VLOOKUP('Character Sheet'!C5,'Classes &amp; Stats'!$A$27:$C$36,3)+'Character Sheet'!$Q$13)</f>
        <v>1[W]+1</v>
      </c>
      <c r="AD13" s="67">
        <f>'Character Sheet'!$C$5</f>
        <v>1</v>
      </c>
      <c r="AE13" s="67">
        <f>'Character Sheet'!$C$5+$G$16</f>
        <v>2</v>
      </c>
      <c r="AF13" s="67" t="str">
        <f>'Character Sheet'!$C$5&amp;'Character Sheet'!$Q$11&amp;"+"&amp;($G$16*VLOOKUP('Character Sheet'!C5,'Classes &amp; Stats'!$A$27:$C$36,3)+'Character Sheet'!$Q$16)</f>
        <v>1[W]+1</v>
      </c>
      <c r="AG13" s="67">
        <v>0</v>
      </c>
      <c r="AH13" s="67">
        <f>IF('Character Sheet'!$M$31="None",'Classes &amp; Stats'!L13,IF('Character Sheet'!$M$31="Light",'Classes &amp; Stats'!N13,'Classes &amp; Stats'!P13))</f>
        <v>0</v>
      </c>
    </row>
    <row r="14" spans="1:34" ht="14.1" customHeight="1" x14ac:dyDescent="0.2">
      <c r="A14" s="68" t="s">
        <v>220</v>
      </c>
      <c r="B14" s="68" t="s">
        <v>204</v>
      </c>
      <c r="F14" s="68" t="s">
        <v>230</v>
      </c>
      <c r="G14" s="67">
        <f>IF(G13=6,6,IF(G13=7,8,IF(G13=8,8,IF(G13=9,10,IF(G13=10,10,IF(G13=11,12,G13))))))</f>
        <v>6</v>
      </c>
      <c r="J14" s="68" t="s">
        <v>219</v>
      </c>
      <c r="K14" s="67">
        <v>10</v>
      </c>
      <c r="L14" s="67">
        <v>0</v>
      </c>
      <c r="M14" s="67">
        <v>10</v>
      </c>
      <c r="N14" s="67">
        <v>0</v>
      </c>
      <c r="O14" s="67">
        <v>11</v>
      </c>
      <c r="P14" s="67">
        <v>2</v>
      </c>
      <c r="Q14" s="67">
        <v>1</v>
      </c>
      <c r="R14" s="67">
        <v>2</v>
      </c>
      <c r="S14" s="67">
        <f>(IF('Character Sheet'!$M$31="None",K14,IF('Character Sheet'!$M$31="Light",M14,O14)))+IF('Character Sheet'!$M$32="Yes",Q14,0)</f>
        <v>10</v>
      </c>
      <c r="T14" s="67">
        <f>S14+MEDIAN($H$3,$H$4,$H$6)+'Character Sheet'!$C$5</f>
        <v>12</v>
      </c>
      <c r="U14" s="69">
        <f>10+MEDIAN($H$2,$H$3,$H$4)+'Character Sheet'!$C$5</f>
        <v>12</v>
      </c>
      <c r="V14" s="69">
        <f>11+MEDIAN($H$5,$H$6,$H$7)+'Character Sheet'!$C$5</f>
        <v>13</v>
      </c>
      <c r="W14" s="67">
        <v>6</v>
      </c>
      <c r="X14" s="67">
        <f>(((W14+$G$11)/2)+$H$3)*VLOOKUP('Character Sheet'!$C$5,'Classes &amp; Stats'!$A$27:$D$36,$F$30)</f>
        <v>32</v>
      </c>
      <c r="Y14" s="67">
        <v>8</v>
      </c>
      <c r="Z14" s="68">
        <v>6</v>
      </c>
      <c r="AA14" s="67" t="str">
        <f>'Character Sheet'!$C$5&amp;'Character Sheet'!$Q$24&amp;"+"&amp;(VLOOKUP('Character Sheet'!$C$5,'Classes &amp; Stats'!$A$27:$C$36,3)*$H$3)</f>
        <v>1d6+2</v>
      </c>
      <c r="AB14" s="67">
        <f>$G$15+'Character Sheet'!$C$5</f>
        <v>2</v>
      </c>
      <c r="AC14" s="68" t="str">
        <f>'Character Sheet'!$C$5&amp;'Character Sheet'!$Q$10&amp;"+"&amp;($G$15*VLOOKUP('Character Sheet'!$C$5,'Classes &amp; Stats'!$A$27:$C$36,3)+'Character Sheet'!$Q$13)</f>
        <v>1d4+1</v>
      </c>
      <c r="AD14" s="67">
        <v>0</v>
      </c>
      <c r="AE14" s="67">
        <f>'Character Sheet'!$C$5+$G$16</f>
        <v>2</v>
      </c>
      <c r="AF14" s="67" t="str">
        <f>'Character Sheet'!$C$5&amp;'Character Sheet'!$Q$11&amp;"+"&amp;($G$16*VLOOKUP('Character Sheet'!$C$5,'Classes &amp; Stats'!$A$27:$C$36,3)+'Character Sheet'!$Q$16)</f>
        <v>1[W]+1</v>
      </c>
      <c r="AG14" s="67">
        <v>0</v>
      </c>
      <c r="AH14" s="67">
        <f>IF('Character Sheet'!$M$31="None",'Classes &amp; Stats'!L14,IF('Character Sheet'!$M$31="Light",'Classes &amp; Stats'!N14,'Classes &amp; Stats'!P14))</f>
        <v>0</v>
      </c>
    </row>
    <row r="15" spans="1:34" ht="14.1" customHeight="1" x14ac:dyDescent="0.2">
      <c r="A15" s="68" t="s">
        <v>221</v>
      </c>
      <c r="B15" s="68" t="s">
        <v>171</v>
      </c>
      <c r="F15" s="68" t="s">
        <v>234</v>
      </c>
      <c r="G15" s="67">
        <f>IF(OR('Character Sheet'!M13="Str",'Character Sheet'!M14="Str"),G19,H2)</f>
        <v>1</v>
      </c>
      <c r="J15" s="68" t="s">
        <v>220</v>
      </c>
      <c r="K15" s="67">
        <v>11</v>
      </c>
      <c r="L15" s="67">
        <v>0</v>
      </c>
      <c r="M15" s="67">
        <v>11</v>
      </c>
      <c r="N15" s="67">
        <v>0</v>
      </c>
      <c r="O15" s="67">
        <v>13</v>
      </c>
      <c r="P15" s="67">
        <v>2</v>
      </c>
      <c r="Q15" s="67">
        <v>1</v>
      </c>
      <c r="R15" s="67">
        <v>2</v>
      </c>
      <c r="S15" s="67">
        <f>(IF('Character Sheet'!$M$31="None",K15,IF('Character Sheet'!$M$31="Light",M15,O15)))+IF('Character Sheet'!$M$32="Yes",Q15,0)</f>
        <v>11</v>
      </c>
      <c r="T15" s="67">
        <f>S15+MEDIAN($H$3,$H$4,$H$6)+'Character Sheet'!$C$5</f>
        <v>13</v>
      </c>
      <c r="U15" s="69">
        <f>10+MEDIAN($H$2,$H$3,$H$4)+'Character Sheet'!$C$5</f>
        <v>12</v>
      </c>
      <c r="V15" s="69">
        <f>11+MEDIAN($H$5,$H$6,$H$7)+'Character Sheet'!$C$5</f>
        <v>13</v>
      </c>
      <c r="W15" s="67">
        <v>6</v>
      </c>
      <c r="X15" s="67">
        <f>(((W15+$G$11)/2)+$H$3)*VLOOKUP('Character Sheet'!$C$5,'Classes &amp; Stats'!$A$27:$D$36,$F$30)</f>
        <v>32</v>
      </c>
      <c r="Y15" s="67">
        <v>8</v>
      </c>
      <c r="Z15" s="68">
        <v>6</v>
      </c>
      <c r="AA15" s="67" t="str">
        <f>'Character Sheet'!$C$5&amp;'Character Sheet'!$Q$24&amp;"+"&amp;(VLOOKUP('Character Sheet'!$C$5,'Classes &amp; Stats'!$A$27:$C$36,3)*$H$3)</f>
        <v>1d6+2</v>
      </c>
      <c r="AB15" s="67">
        <f>$G$15+'Character Sheet'!$C$5</f>
        <v>2</v>
      </c>
      <c r="AC15" s="68" t="str">
        <f>'Character Sheet'!$C$5&amp;'Character Sheet'!$Q$10&amp;"+"&amp;($G$15*VLOOKUP('Character Sheet'!$C$5,'Classes &amp; Stats'!$A$27:$C$36,3)+'Character Sheet'!$Q$13)</f>
        <v>1d4+1</v>
      </c>
      <c r="AD15" s="67">
        <v>1</v>
      </c>
      <c r="AE15" s="67">
        <f>'Character Sheet'!$C$5+$G$16</f>
        <v>2</v>
      </c>
      <c r="AF15" s="67" t="str">
        <f>'Character Sheet'!$C$5&amp;'Character Sheet'!$Q$11&amp;"+"&amp;($G$16*VLOOKUP('Character Sheet'!$C$5,'Classes &amp; Stats'!$A$27:$C$36,3)+'Character Sheet'!$Q$16)</f>
        <v>1[W]+1</v>
      </c>
      <c r="AG15" s="67">
        <v>0</v>
      </c>
      <c r="AH15" s="67">
        <f>IF('Character Sheet'!$M$31="None",'Classes &amp; Stats'!L15,IF('Character Sheet'!$M$31="Light",'Classes &amp; Stats'!N15,'Classes &amp; Stats'!P15))</f>
        <v>0</v>
      </c>
    </row>
    <row r="16" spans="1:34" ht="14.1" customHeight="1" x14ac:dyDescent="0.2">
      <c r="A16" s="68" t="s">
        <v>222</v>
      </c>
      <c r="B16" s="67" t="str">
        <f>"+2 Str OR +2 Dex OR +2 Wis"</f>
        <v>+2 Str OR +2 Dex OR +2 Wis</v>
      </c>
      <c r="F16" s="68" t="s">
        <v>235</v>
      </c>
      <c r="G16" s="67">
        <f>IF(OR('Character Sheet'!M13="Dex",'Character Sheet'!M14="Dex"),G19,H4)</f>
        <v>1</v>
      </c>
      <c r="J16" s="68" t="s">
        <v>221</v>
      </c>
      <c r="K16" s="67">
        <v>10</v>
      </c>
      <c r="L16" s="67">
        <v>0</v>
      </c>
      <c r="M16" s="67">
        <v>12</v>
      </c>
      <c r="N16" s="67">
        <v>0</v>
      </c>
      <c r="O16" s="67">
        <v>16</v>
      </c>
      <c r="P16" s="67">
        <v>0</v>
      </c>
      <c r="Q16" s="67">
        <v>1</v>
      </c>
      <c r="R16" s="67">
        <v>0</v>
      </c>
      <c r="S16" s="67">
        <f>(IF('Character Sheet'!$M$31="None",K16,IF('Character Sheet'!$M$31="Light",M16,O16)))+IF('Character Sheet'!$M$32="Yes",Q16,0)</f>
        <v>10</v>
      </c>
      <c r="T16" s="67">
        <f>S16+MEDIAN($H$3,$H$4,$H$6)+'Character Sheet'!$C$5</f>
        <v>12</v>
      </c>
      <c r="U16" s="69">
        <f>10+MEDIAN($H$2,$H$3,$H$4)+'Character Sheet'!$C$5</f>
        <v>12</v>
      </c>
      <c r="V16" s="69">
        <f>12+MEDIAN($H$5,$H$6,$H$7)+'Character Sheet'!$C$5</f>
        <v>14</v>
      </c>
      <c r="W16" s="67">
        <v>8</v>
      </c>
      <c r="X16" s="67">
        <f>(((W16+$G$11)/2)+$H$3)*VLOOKUP('Character Sheet'!$C$5,'Classes &amp; Stats'!$A$27:$D$36,$F$30)</f>
        <v>36</v>
      </c>
      <c r="Y16" s="67">
        <v>8</v>
      </c>
      <c r="Z16" s="68">
        <v>10</v>
      </c>
      <c r="AA16" s="67" t="str">
        <f>'Character Sheet'!$C$5&amp;'Character Sheet'!$Q$24&amp;"+"&amp;(VLOOKUP('Character Sheet'!$C$5,'Classes &amp; Stats'!$A$27:$C$36,3)*$H$3)</f>
        <v>1d6+2</v>
      </c>
      <c r="AB16" s="67">
        <f>$G$15+'Character Sheet'!$C$5</f>
        <v>2</v>
      </c>
      <c r="AC16" s="68" t="str">
        <f>'Character Sheet'!$C$5&amp;'Character Sheet'!$Q$10&amp;"+"&amp;($G$15*VLOOKUP('Character Sheet'!$C$5,'Classes &amp; Stats'!$A$27:$C$36,3)+'Character Sheet'!$Q$13)</f>
        <v>1d4+1</v>
      </c>
      <c r="AD16" s="67">
        <f>'Character Sheet'!$C$5</f>
        <v>1</v>
      </c>
      <c r="AE16" s="67">
        <f>'Character Sheet'!$C$5+$G$16</f>
        <v>2</v>
      </c>
      <c r="AF16" s="67" t="str">
        <f>'Character Sheet'!$C$5&amp;'Character Sheet'!$Q$11&amp;"+"&amp;($G$16*VLOOKUP('Character Sheet'!$C$5,'Classes &amp; Stats'!$A$27:$C$36,3)+'Character Sheet'!$Q$16)</f>
        <v>1[W]+1</v>
      </c>
      <c r="AG16" s="67">
        <v>0</v>
      </c>
      <c r="AH16" s="67">
        <f>IF('Character Sheet'!$M$31="None",'Classes &amp; Stats'!L16,IF('Character Sheet'!$M$31="Light",'Classes &amp; Stats'!N16,'Classes &amp; Stats'!P16))</f>
        <v>0</v>
      </c>
    </row>
    <row r="17" spans="1:34" ht="14.1" customHeight="1" x14ac:dyDescent="0.2">
      <c r="A17" s="68" t="s">
        <v>223</v>
      </c>
      <c r="B17" s="68" t="s">
        <v>172</v>
      </c>
      <c r="F17" s="68" t="s">
        <v>231</v>
      </c>
      <c r="G17" s="67" t="e">
        <f>VLOOKUP('Character Sheet'!M13,F21:G26,2)</f>
        <v>#N/A</v>
      </c>
      <c r="J17" s="68" t="s">
        <v>222</v>
      </c>
      <c r="K17" s="67">
        <v>10</v>
      </c>
      <c r="L17" s="67">
        <v>0</v>
      </c>
      <c r="M17" s="67">
        <v>14</v>
      </c>
      <c r="N17" s="67">
        <v>0</v>
      </c>
      <c r="O17" s="67">
        <v>15</v>
      </c>
      <c r="P17" s="67">
        <v>2</v>
      </c>
      <c r="Q17" s="67">
        <v>1</v>
      </c>
      <c r="R17" s="67">
        <v>2</v>
      </c>
      <c r="S17" s="67">
        <f>(IF('Character Sheet'!$M$31="None",K17,IF('Character Sheet'!$M$31="Light",M17,O17)))+IF('Character Sheet'!$M$32="Yes",Q17,0)</f>
        <v>10</v>
      </c>
      <c r="T17" s="67">
        <f>S17+MEDIAN($H$3,$H$4,$H$6)+'Character Sheet'!$C$5</f>
        <v>12</v>
      </c>
      <c r="U17" s="69">
        <f>11+MEDIAN($H$2,$H$3,$H$4)+'Character Sheet'!$C$5</f>
        <v>13</v>
      </c>
      <c r="V17" s="69">
        <f>10+MEDIAN($H$5,$H$6,$H$7)+'Character Sheet'!$C$5</f>
        <v>12</v>
      </c>
      <c r="W17" s="67">
        <v>7</v>
      </c>
      <c r="X17" s="67">
        <f>(((W17+$G$11)/2)+$H$3)*VLOOKUP('Character Sheet'!$C$5,'Classes &amp; Stats'!$A$27:$D$36,$F$30)</f>
        <v>34</v>
      </c>
      <c r="Y17" s="67">
        <v>8</v>
      </c>
      <c r="Z17" s="68">
        <v>8</v>
      </c>
      <c r="AA17" s="67" t="str">
        <f>'Character Sheet'!$C$5&amp;'Character Sheet'!$Q$24&amp;"+"&amp;(VLOOKUP('Character Sheet'!$C$5,'Classes &amp; Stats'!$A$27:$C$36,3)*$H$3)</f>
        <v>1d6+2</v>
      </c>
      <c r="AB17" s="67">
        <f>'Character Sheet'!$C$5+(IF($G$16&gt;$G$15,$G$16,$G$15))</f>
        <v>2</v>
      </c>
      <c r="AC17" s="67" t="str">
        <f>'Character Sheet'!$C$5&amp;'Character Sheet'!$Q$10&amp;"+"&amp;(($G$15)*VLOOKUP('Character Sheet'!$C$5,'Classes &amp; Stats'!$A$27:$C$36,3)+'Character Sheet'!$Q$13)</f>
        <v>1d4+1</v>
      </c>
      <c r="AD17" s="67">
        <f>'Character Sheet'!$C$5</f>
        <v>1</v>
      </c>
      <c r="AE17" s="67">
        <f>'Character Sheet'!$C$5+$G$16</f>
        <v>2</v>
      </c>
      <c r="AF17" s="67" t="str">
        <f>'Character Sheet'!$C$5&amp;'Character Sheet'!$Q$11&amp;"+"&amp;($G$16*VLOOKUP('Character Sheet'!$C$5,'Classes &amp; Stats'!$A$27:$C$36,3)+'Character Sheet'!$Q$16)</f>
        <v>1[W]+1</v>
      </c>
      <c r="AG17" s="67">
        <f>'Character Sheet'!$C$5</f>
        <v>1</v>
      </c>
      <c r="AH17" s="67">
        <f>IF('Character Sheet'!$M$31="None",'Classes &amp; Stats'!L17,IF('Character Sheet'!$M$31="Light",'Classes &amp; Stats'!N17,'Classes &amp; Stats'!P17))</f>
        <v>0</v>
      </c>
    </row>
    <row r="18" spans="1:34" ht="14.1" customHeight="1" x14ac:dyDescent="0.2">
      <c r="A18" s="68" t="s">
        <v>224</v>
      </c>
      <c r="B18" s="68" t="s">
        <v>173</v>
      </c>
      <c r="F18" s="68" t="s">
        <v>232</v>
      </c>
      <c r="G18" s="67" t="e">
        <f>VLOOKUP('Character Sheet'!M14,F21:G26,2)</f>
        <v>#N/A</v>
      </c>
      <c r="J18" s="68" t="s">
        <v>223</v>
      </c>
      <c r="K18" s="67">
        <v>11</v>
      </c>
      <c r="L18" s="67">
        <v>0</v>
      </c>
      <c r="M18" s="67">
        <v>12</v>
      </c>
      <c r="N18" s="67">
        <v>0</v>
      </c>
      <c r="O18" s="67">
        <v>13</v>
      </c>
      <c r="P18" s="67">
        <v>2</v>
      </c>
      <c r="Q18" s="67">
        <v>1</v>
      </c>
      <c r="R18" s="67">
        <v>2</v>
      </c>
      <c r="S18" s="67">
        <f>(IF('Character Sheet'!$M$31="None",K18,IF('Character Sheet'!$M$31="Light",M18,O18)))+IF('Character Sheet'!$M$32="Yes",Q18,0)</f>
        <v>11</v>
      </c>
      <c r="T18" s="67">
        <f>S18+MEDIAN($H$3,$H$4,$H$6)+'Character Sheet'!$C$5</f>
        <v>13</v>
      </c>
      <c r="U18" s="69">
        <f>12+MEDIAN($H$2,$H$3,$H$4)+'Character Sheet'!$C$5</f>
        <v>14</v>
      </c>
      <c r="V18" s="69">
        <f>10+MEDIAN($H$5,$H$6,$H$7)+'Character Sheet'!$C$5</f>
        <v>12</v>
      </c>
      <c r="W18" s="67">
        <v>6</v>
      </c>
      <c r="X18" s="67">
        <f>(((W18+$G$11)/2)+$H$3)*VLOOKUP('Character Sheet'!$C$5,'Classes &amp; Stats'!$A$27:$D$36,$F$30)</f>
        <v>32</v>
      </c>
      <c r="Y18" s="67">
        <v>8</v>
      </c>
      <c r="Z18" s="68">
        <v>8</v>
      </c>
      <c r="AA18" s="67" t="str">
        <f>'Character Sheet'!$C$5&amp;'Character Sheet'!$Q$24&amp;"+"&amp;(VLOOKUP('Character Sheet'!$C$5,'Classes &amp; Stats'!$A$27:$C$36,3)*$H$3)</f>
        <v>1d6+2</v>
      </c>
      <c r="AB18" s="67">
        <f>'Character Sheet'!$C$5+$G$16</f>
        <v>2</v>
      </c>
      <c r="AC18" s="67" t="str">
        <f>'Character Sheet'!$C$5&amp;'Character Sheet'!$Q$10&amp;"+"&amp;($G$16*VLOOKUP('Character Sheet'!$C$5,'Classes &amp; Stats'!$A$27:$C$36,3)+'Character Sheet'!$Q$13)</f>
        <v>1d4+1</v>
      </c>
      <c r="AD18" s="67">
        <f>'Character Sheet'!$C$5</f>
        <v>1</v>
      </c>
      <c r="AE18" s="67">
        <f>'Character Sheet'!$C$5+$G$16</f>
        <v>2</v>
      </c>
      <c r="AF18" s="67" t="str">
        <f>'Character Sheet'!$C$5&amp;'Character Sheet'!$Q$11&amp;"+"&amp;($G$16*VLOOKUP('Character Sheet'!$C$5,'Classes &amp; Stats'!$A$27:$C$36,3)+'Character Sheet'!$Q$16)</f>
        <v>1[W]+1</v>
      </c>
      <c r="AG18" s="67">
        <f>'Character Sheet'!$C$5</f>
        <v>1</v>
      </c>
      <c r="AH18" s="67">
        <f>IF('Character Sheet'!$M$31="None",'Classes &amp; Stats'!L18,IF('Character Sheet'!$M$31="Light",'Classes &amp; Stats'!N18,'Classes &amp; Stats'!P18))</f>
        <v>0</v>
      </c>
    </row>
    <row r="19" spans="1:34" ht="14.1" customHeight="1" x14ac:dyDescent="0.2">
      <c r="A19" s="68" t="s">
        <v>183</v>
      </c>
      <c r="B19" s="68" t="s">
        <v>184</v>
      </c>
      <c r="F19" s="68" t="s">
        <v>233</v>
      </c>
      <c r="G19" s="67" t="e">
        <f>MIN(G17,G18)</f>
        <v>#N/A</v>
      </c>
      <c r="J19" s="68" t="s">
        <v>224</v>
      </c>
      <c r="K19" s="67">
        <v>10</v>
      </c>
      <c r="L19" s="67">
        <v>0</v>
      </c>
      <c r="M19" s="67">
        <v>10</v>
      </c>
      <c r="N19" s="67">
        <v>0</v>
      </c>
      <c r="O19" s="67">
        <v>11</v>
      </c>
      <c r="P19" s="67">
        <v>2</v>
      </c>
      <c r="Q19" s="67">
        <v>1</v>
      </c>
      <c r="R19" s="67">
        <v>2</v>
      </c>
      <c r="S19" s="67">
        <f>(IF('Character Sheet'!$M$31="None",K19,IF('Character Sheet'!$M$31="Light",M19,O19)))+IF('Character Sheet'!$M$32="Yes",Q19,0)</f>
        <v>10</v>
      </c>
      <c r="T19" s="67">
        <f>S19+MEDIAN($H$3,$H$4,$H$6)+'Character Sheet'!$C$5</f>
        <v>12</v>
      </c>
      <c r="U19" s="69">
        <f>11+MEDIAN($H$2,$H$3,$H$4)+'Character Sheet'!$C$5</f>
        <v>13</v>
      </c>
      <c r="V19" s="69">
        <f>10+MEDIAN($H$5,$H$6,$H$7)+'Character Sheet'!$C$5</f>
        <v>12</v>
      </c>
      <c r="W19" s="67">
        <v>6</v>
      </c>
      <c r="X19" s="67">
        <f>(((W19+$G$11)/2)+$H$3)*VLOOKUP('Character Sheet'!$C$5,'Classes &amp; Stats'!$A$27:$D$36,$F$30)</f>
        <v>32</v>
      </c>
      <c r="Y19" s="67">
        <v>8</v>
      </c>
      <c r="Z19" s="68">
        <v>6</v>
      </c>
      <c r="AA19" s="67" t="str">
        <f>'Character Sheet'!$C$5&amp;'Character Sheet'!$Q$24&amp;"+"&amp;(VLOOKUP('Character Sheet'!$C$5,'Classes &amp; Stats'!$A$27:$C$36,3)*$H$3)</f>
        <v>1d6+2</v>
      </c>
      <c r="AB19" s="67">
        <f>$G$15+'Character Sheet'!$C$5</f>
        <v>2</v>
      </c>
      <c r="AC19" s="68" t="str">
        <f>'Character Sheet'!$C$5&amp;'Character Sheet'!$Q$10&amp;"+"&amp;($G$15*VLOOKUP('Character Sheet'!$C$5,'Classes &amp; Stats'!$A$27:$C$36,3)+'Character Sheet'!$Q$13)</f>
        <v>1d4+1</v>
      </c>
      <c r="AD19" s="67">
        <f>'Character Sheet'!$C$5</f>
        <v>1</v>
      </c>
      <c r="AE19" s="67">
        <f>'Character Sheet'!$C$5+$G$16</f>
        <v>2</v>
      </c>
      <c r="AF19" s="67" t="str">
        <f>'Character Sheet'!$C$5&amp;'Character Sheet'!$Q$11&amp;"+"&amp;($G$16*VLOOKUP('Character Sheet'!$C$5,'Classes &amp; Stats'!$A$27:$C$36,3)+'Character Sheet'!$Q$16)</f>
        <v>1[W]+1</v>
      </c>
      <c r="AG19" s="67">
        <v>0</v>
      </c>
      <c r="AH19" s="67">
        <f>IF('Character Sheet'!$M$31="None",'Classes &amp; Stats'!L19,IF('Character Sheet'!$M$31="Light",'Classes &amp; Stats'!N19,'Classes &amp; Stats'!P19))</f>
        <v>0</v>
      </c>
    </row>
    <row r="20" spans="1:34" ht="14.1" customHeight="1" x14ac:dyDescent="0.2">
      <c r="A20" s="68" t="s">
        <v>225</v>
      </c>
      <c r="B20" s="68" t="s">
        <v>174</v>
      </c>
      <c r="J20" s="68" t="s">
        <v>183</v>
      </c>
      <c r="K20" s="67">
        <v>11</v>
      </c>
      <c r="L20" s="67">
        <v>0</v>
      </c>
      <c r="M20" s="67">
        <v>12</v>
      </c>
      <c r="N20" s="67">
        <v>0</v>
      </c>
      <c r="O20" s="67">
        <v>13</v>
      </c>
      <c r="P20" s="67">
        <v>2</v>
      </c>
      <c r="Q20" s="67">
        <v>1</v>
      </c>
      <c r="R20" s="67">
        <v>1</v>
      </c>
      <c r="S20" s="67">
        <f>(IF('Character Sheet'!$M$31="None",K20,IF('Character Sheet'!$M$31="Light",M20,O20)))+IF('Character Sheet'!$M$32="Yes",Q20,0)</f>
        <v>11</v>
      </c>
      <c r="T20" s="67">
        <f>S20+MEDIAN($H$3,$H$4,$H$6)+'Character Sheet'!$C$5</f>
        <v>13</v>
      </c>
      <c r="U20" s="69">
        <f>12+MEDIAN($H$2,$H$3,$H$4)+'Character Sheet'!$C$5</f>
        <v>14</v>
      </c>
      <c r="V20" s="69">
        <f>12+MEDIAN($H$5,$H$6,$H$7)+'Character Sheet'!$C$5</f>
        <v>14</v>
      </c>
      <c r="W20" s="67">
        <v>6</v>
      </c>
      <c r="X20" s="67">
        <f>(((W20+$G$11)/2)+$H$3)*VLOOKUP('Character Sheet'!$C$5,'Classes &amp; Stats'!$A$27:$D$36,$F$30)</f>
        <v>32</v>
      </c>
      <c r="Y20" s="67">
        <v>8</v>
      </c>
      <c r="Z20" s="68">
        <v>8</v>
      </c>
      <c r="AA20" s="67" t="str">
        <f>'Character Sheet'!$C$5&amp;'Character Sheet'!$Q$24&amp;"+"&amp;(VLOOKUP('Character Sheet'!$C$5,'Classes &amp; Stats'!$A$27:$C$36,3)*$H$3)</f>
        <v>1d6+2</v>
      </c>
      <c r="AB20" s="67">
        <f>'Character Sheet'!$C$5+$G$16</f>
        <v>2</v>
      </c>
      <c r="AC20" s="67" t="str">
        <f>'Character Sheet'!$C$5&amp;'Character Sheet'!$Q$10&amp;"+"&amp;($G$16*VLOOKUP('Character Sheet'!$C$5,'Classes &amp; Stats'!$A$27:$C$36,3)+'Character Sheet'!$Q$13)</f>
        <v>1d4+1</v>
      </c>
      <c r="AD20" s="67">
        <f>'Character Sheet'!$C$5</f>
        <v>1</v>
      </c>
      <c r="AE20" s="67">
        <f>'Character Sheet'!$C$5+$G$16</f>
        <v>2</v>
      </c>
      <c r="AF20" s="67" t="str">
        <f>'Character Sheet'!$C$5&amp;'Character Sheet'!$Q$11&amp;"+"&amp;($G$16*VLOOKUP('Character Sheet'!$C$5,'Classes &amp; Stats'!$A$27:$C$36,3)+'Character Sheet'!$Q$16)</f>
        <v>1[W]+1</v>
      </c>
      <c r="AG20" s="67">
        <v>0</v>
      </c>
      <c r="AH20" s="67">
        <f>IF('Character Sheet'!$M$31="None",'Classes &amp; Stats'!L20,IF('Character Sheet'!$M$31="Light",'Classes &amp; Stats'!N20,'Classes &amp; Stats'!P20))</f>
        <v>0</v>
      </c>
    </row>
    <row r="21" spans="1:34" ht="14.1" customHeight="1" x14ac:dyDescent="0.2">
      <c r="F21" s="67" t="s">
        <v>49</v>
      </c>
      <c r="G21" s="67">
        <f>H7</f>
        <v>1</v>
      </c>
      <c r="J21" s="68" t="s">
        <v>225</v>
      </c>
      <c r="K21" s="67">
        <v>10</v>
      </c>
      <c r="L21" s="67">
        <v>0</v>
      </c>
      <c r="M21" s="67">
        <v>10</v>
      </c>
      <c r="N21" s="67">
        <v>0</v>
      </c>
      <c r="O21" s="67">
        <v>11</v>
      </c>
      <c r="P21" s="67">
        <v>2</v>
      </c>
      <c r="Q21" s="67">
        <v>1</v>
      </c>
      <c r="R21" s="67">
        <v>2</v>
      </c>
      <c r="S21" s="67">
        <f>(IF('Character Sheet'!$M$31="None",K21,IF('Character Sheet'!$M$31="Light",M21,O21)))+IF('Character Sheet'!$M$32="Yes",Q21,0)</f>
        <v>10</v>
      </c>
      <c r="T21" s="67">
        <f>S21+MEDIAN($H$3,$H$4,$H$6)+'Character Sheet'!$C$5</f>
        <v>12</v>
      </c>
      <c r="U21" s="69">
        <f>10+MEDIAN($H$2,$H$3,$H$4)+'Character Sheet'!$C$5</f>
        <v>12</v>
      </c>
      <c r="V21" s="69">
        <f>12+MEDIAN($H$5,$H$6,$H$7)+'Character Sheet'!$C$5</f>
        <v>14</v>
      </c>
      <c r="W21" s="67">
        <v>6</v>
      </c>
      <c r="X21" s="67">
        <f>(((W21+$G$11)/2)+$H$3)*VLOOKUP('Character Sheet'!$C$5,'Classes &amp; Stats'!$A$27:$D$36,$F$30)</f>
        <v>32</v>
      </c>
      <c r="Y21" s="67">
        <v>8</v>
      </c>
      <c r="Z21" s="68">
        <v>6</v>
      </c>
      <c r="AA21" s="67" t="str">
        <f>'Character Sheet'!$C$5&amp;'Character Sheet'!$Q$24&amp;"+"&amp;(VLOOKUP('Character Sheet'!$C$5,'Classes &amp; Stats'!$A$27:$C$36,3)*$H$3)</f>
        <v>1d6+2</v>
      </c>
      <c r="AB21" s="67">
        <f>$G$15+'Character Sheet'!$C$5</f>
        <v>2</v>
      </c>
      <c r="AC21" s="68" t="str">
        <f>'Character Sheet'!$C$5&amp;'Character Sheet'!$Q$10&amp;"+"&amp;($G$15*VLOOKUP('Character Sheet'!$C$5,'Classes &amp; Stats'!$A$27:$C$36,3)+'Character Sheet'!$Q$13)</f>
        <v>1d4+1</v>
      </c>
      <c r="AD21" s="67">
        <v>0</v>
      </c>
      <c r="AE21" s="67">
        <f>'Character Sheet'!$C$5+$G$16</f>
        <v>2</v>
      </c>
      <c r="AF21" s="67" t="str">
        <f>'Character Sheet'!$C$5&amp;'Character Sheet'!$Q$11&amp;"+"&amp;($G$16*VLOOKUP('Character Sheet'!$C$5,'Classes &amp; Stats'!$A$27:$C$36,3)+'Character Sheet'!$Q$16)</f>
        <v>1[W]+1</v>
      </c>
      <c r="AG21" s="67">
        <v>0</v>
      </c>
      <c r="AH21" s="67">
        <f>IF('Character Sheet'!$M$31="None",'Classes &amp; Stats'!L21,IF('Character Sheet'!$M$31="Light",'Classes &amp; Stats'!N21,'Classes &amp; Stats'!P21))</f>
        <v>0</v>
      </c>
    </row>
    <row r="22" spans="1:34" ht="14.1" customHeight="1" x14ac:dyDescent="0.2">
      <c r="F22" s="67" t="s">
        <v>45</v>
      </c>
      <c r="G22" s="67">
        <f>H3</f>
        <v>2</v>
      </c>
    </row>
    <row r="23" spans="1:34" ht="14.1" customHeight="1" x14ac:dyDescent="0.2">
      <c r="F23" s="67" t="s">
        <v>46</v>
      </c>
      <c r="G23" s="67">
        <f>H4</f>
        <v>1</v>
      </c>
    </row>
    <row r="24" spans="1:34" ht="14.1" customHeight="1" x14ac:dyDescent="0.2">
      <c r="F24" s="67" t="s">
        <v>47</v>
      </c>
      <c r="G24" s="67">
        <f>H5</f>
        <v>4</v>
      </c>
      <c r="Z24" s="68"/>
    </row>
    <row r="25" spans="1:34" ht="14.1" customHeight="1" x14ac:dyDescent="0.2">
      <c r="F25" s="67" t="s">
        <v>44</v>
      </c>
      <c r="G25" s="67">
        <f>H2</f>
        <v>1</v>
      </c>
      <c r="Z25" s="68"/>
    </row>
    <row r="26" spans="1:34" ht="14.1" customHeight="1" x14ac:dyDescent="0.2">
      <c r="A26" s="67" t="s">
        <v>73</v>
      </c>
      <c r="B26" s="67" t="s">
        <v>74</v>
      </c>
      <c r="C26" s="68" t="s">
        <v>84</v>
      </c>
      <c r="D26" s="68" t="s">
        <v>112</v>
      </c>
      <c r="F26" s="67" t="s">
        <v>48</v>
      </c>
      <c r="G26" s="67">
        <f>H6</f>
        <v>1</v>
      </c>
    </row>
    <row r="27" spans="1:34" ht="14.1" customHeight="1" x14ac:dyDescent="0.2">
      <c r="A27" s="67">
        <v>1</v>
      </c>
      <c r="B27" s="67">
        <v>3</v>
      </c>
      <c r="C27" s="67">
        <v>1</v>
      </c>
      <c r="D27" s="67">
        <v>4</v>
      </c>
    </row>
    <row r="28" spans="1:34" ht="14.1" customHeight="1" x14ac:dyDescent="0.2">
      <c r="A28" s="67">
        <v>2</v>
      </c>
      <c r="B28" s="67">
        <v>4</v>
      </c>
      <c r="C28" s="67">
        <v>1</v>
      </c>
      <c r="D28" s="67">
        <v>5</v>
      </c>
    </row>
    <row r="29" spans="1:34" ht="14.1" customHeight="1" x14ac:dyDescent="0.2">
      <c r="A29" s="67">
        <v>3</v>
      </c>
      <c r="B29" s="67">
        <v>5</v>
      </c>
      <c r="C29" s="67">
        <v>1</v>
      </c>
      <c r="D29" s="67">
        <v>6</v>
      </c>
    </row>
    <row r="30" spans="1:34" ht="14.1" customHeight="1" x14ac:dyDescent="0.2">
      <c r="A30" s="67">
        <v>4</v>
      </c>
      <c r="B30" s="67">
        <v>6</v>
      </c>
      <c r="C30" s="67">
        <v>1</v>
      </c>
      <c r="D30" s="67">
        <v>8</v>
      </c>
      <c r="E30" s="67" t="b">
        <v>1</v>
      </c>
      <c r="F30" s="67">
        <f>IF(E30,4,2)</f>
        <v>4</v>
      </c>
      <c r="G30" s="67" t="b">
        <v>0</v>
      </c>
      <c r="H30" s="67">
        <f>IF(G30,1,0)</f>
        <v>0</v>
      </c>
    </row>
    <row r="31" spans="1:34" ht="14.1" customHeight="1" x14ac:dyDescent="0.2">
      <c r="A31" s="67">
        <v>5</v>
      </c>
      <c r="B31" s="67">
        <v>8</v>
      </c>
      <c r="C31" s="67">
        <v>2</v>
      </c>
      <c r="D31" s="67">
        <v>10</v>
      </c>
    </row>
    <row r="32" spans="1:34" ht="14.1" customHeight="1" x14ac:dyDescent="0.2">
      <c r="A32" s="67">
        <v>6</v>
      </c>
      <c r="B32" s="67">
        <v>10</v>
      </c>
      <c r="C32" s="67">
        <v>2</v>
      </c>
      <c r="D32" s="67">
        <v>12</v>
      </c>
    </row>
    <row r="33" spans="1:9" ht="14.1" customHeight="1" x14ac:dyDescent="0.2">
      <c r="A33" s="67">
        <v>7</v>
      </c>
      <c r="B33" s="67">
        <v>12</v>
      </c>
      <c r="C33" s="67">
        <v>2</v>
      </c>
      <c r="D33" s="67">
        <v>16</v>
      </c>
    </row>
    <row r="34" spans="1:9" ht="14.1" customHeight="1" x14ac:dyDescent="0.2">
      <c r="A34" s="67">
        <v>8</v>
      </c>
      <c r="B34" s="67">
        <v>16</v>
      </c>
      <c r="C34" s="67">
        <v>3</v>
      </c>
      <c r="D34" s="67">
        <v>20</v>
      </c>
    </row>
    <row r="35" spans="1:9" ht="14.1" customHeight="1" x14ac:dyDescent="0.2">
      <c r="A35" s="67">
        <v>9</v>
      </c>
      <c r="B35" s="67">
        <v>20</v>
      </c>
      <c r="C35" s="67">
        <v>3</v>
      </c>
      <c r="D35" s="67">
        <v>24</v>
      </c>
    </row>
    <row r="36" spans="1:9" ht="14.1" customHeight="1" x14ac:dyDescent="0.2">
      <c r="A36" s="67">
        <v>10</v>
      </c>
      <c r="B36" s="67">
        <v>24</v>
      </c>
      <c r="C36" s="67">
        <v>3</v>
      </c>
      <c r="D36" s="67">
        <v>24</v>
      </c>
    </row>
    <row r="37" spans="1:9" ht="14.1" customHeight="1" x14ac:dyDescent="0.2">
      <c r="H37" s="68" t="s">
        <v>239</v>
      </c>
    </row>
    <row r="38" spans="1:9" ht="14.1" customHeight="1" x14ac:dyDescent="0.2">
      <c r="H38" s="68" t="s">
        <v>240</v>
      </c>
      <c r="I38" s="67">
        <f>VLOOKUP('Character Sheet'!C3,'Classes &amp; Stats'!J2:AH50,12)</f>
        <v>12</v>
      </c>
    </row>
    <row r="39" spans="1:9" ht="14.1" customHeight="1" x14ac:dyDescent="0.2">
      <c r="H39" s="68" t="s">
        <v>241</v>
      </c>
      <c r="I39" s="67">
        <f>IF('Character Sheet'!$C$6=FALSE,0,(VLOOKUP('Character Sheet'!$C$6,'Classes &amp; Stats'!$J$2:$AG$50,12)))</f>
        <v>0</v>
      </c>
    </row>
    <row r="40" spans="1:9" ht="14.1" customHeight="1" x14ac:dyDescent="0.2">
      <c r="H40" s="68" t="s">
        <v>50</v>
      </c>
      <c r="I40" s="67">
        <f>MAX(I38:I39)</f>
        <v>12</v>
      </c>
    </row>
    <row r="41" spans="1:9" ht="14.1" customHeight="1" x14ac:dyDescent="0.2">
      <c r="H41" s="68" t="s">
        <v>242</v>
      </c>
      <c r="I41" s="67">
        <f>VLOOKUP('Character Sheet'!C3,'Classes &amp; Stats'!J2:AH50,13)</f>
        <v>14</v>
      </c>
    </row>
    <row r="42" spans="1:9" ht="14.1" customHeight="1" x14ac:dyDescent="0.2">
      <c r="H42" s="68" t="s">
        <v>243</v>
      </c>
      <c r="I42" s="67">
        <f>IF('Character Sheet'!$C$6=FALSE,0,(VLOOKUP('Character Sheet'!$C$6,'Classes &amp; Stats'!$J$2:$AG$50,13)))</f>
        <v>0</v>
      </c>
    </row>
    <row r="43" spans="1:9" ht="14.1" customHeight="1" x14ac:dyDescent="0.2">
      <c r="H43" s="68" t="s">
        <v>51</v>
      </c>
      <c r="I43" s="67">
        <f>MAX(I41:I42)</f>
        <v>14</v>
      </c>
    </row>
    <row r="44" spans="1:9" ht="14.1" customHeight="1" x14ac:dyDescent="0.2">
      <c r="A44" s="68"/>
      <c r="G44" s="68" t="s">
        <v>66</v>
      </c>
      <c r="H44" s="68" t="s">
        <v>244</v>
      </c>
      <c r="I44" s="67">
        <f>VLOOKUP('Character Sheet'!C3,'Classes &amp; Stats'!J2:AH50,11)</f>
        <v>12</v>
      </c>
    </row>
    <row r="45" spans="1:9" ht="14.1" customHeight="1" x14ac:dyDescent="0.2">
      <c r="A45" s="68" t="s">
        <v>211</v>
      </c>
      <c r="G45" s="68" t="s">
        <v>67</v>
      </c>
      <c r="H45" s="68" t="s">
        <v>245</v>
      </c>
      <c r="I45" s="67">
        <f>IF('Character Sheet'!$C$6=FALSE,0,(VLOOKUP('Character Sheet'!$C$6,'Classes &amp; Stats'!$J$2:$AG$50,11)))</f>
        <v>0</v>
      </c>
    </row>
    <row r="46" spans="1:9" ht="14.1" customHeight="1" x14ac:dyDescent="0.2">
      <c r="A46" s="68" t="s">
        <v>212</v>
      </c>
      <c r="H46" s="68" t="s">
        <v>42</v>
      </c>
      <c r="I46" s="67">
        <f>MAX(I44:I45)</f>
        <v>12</v>
      </c>
    </row>
    <row r="47" spans="1:9" ht="14.1" customHeight="1" x14ac:dyDescent="0.2">
      <c r="A47" s="68" t="s">
        <v>213</v>
      </c>
    </row>
    <row r="48" spans="1:9" ht="14.1" customHeight="1" x14ac:dyDescent="0.2">
      <c r="A48" s="68" t="s">
        <v>214</v>
      </c>
      <c r="H48" s="68" t="s">
        <v>246</v>
      </c>
      <c r="I48" s="67">
        <f>IF('Character Sheet'!Q25="Yes",0,(IF('Character Sheet'!M32="Yes",VLOOKUP('Character Sheet'!C3,'Classes &amp; Stats'!J2:AH50,9),0))+(VLOOKUP('Character Sheet'!C3,'Classes &amp; Stats'!J2:AH50,25)))</f>
        <v>0</v>
      </c>
    </row>
    <row r="49" spans="1:9" ht="14.1" customHeight="1" x14ac:dyDescent="0.2">
      <c r="A49" s="68" t="s">
        <v>215</v>
      </c>
      <c r="H49" s="68" t="s">
        <v>247</v>
      </c>
      <c r="I49" s="67" t="e">
        <f>IF('Character Sheet'!Q25="Yes",0,(IF('Character Sheet'!M32="Yes",VLOOKUP('Character Sheet'!C6,'Classes &amp; Stats'!J2:AH50,9),0))+(VLOOKUP('Character Sheet'!C6,'Classes &amp; Stats'!J2:AH50,25)))</f>
        <v>#N/A</v>
      </c>
    </row>
    <row r="50" spans="1:9" ht="14.1" customHeight="1" x14ac:dyDescent="0.2">
      <c r="A50" s="68" t="s">
        <v>216</v>
      </c>
    </row>
    <row r="51" spans="1:9" ht="14.1" customHeight="1" x14ac:dyDescent="0.2">
      <c r="A51" s="68" t="s">
        <v>217</v>
      </c>
    </row>
    <row r="52" spans="1:9" ht="14.1" customHeight="1" x14ac:dyDescent="0.2">
      <c r="A52" s="68" t="s">
        <v>218</v>
      </c>
    </row>
    <row r="53" spans="1:9" ht="14.1" customHeight="1" x14ac:dyDescent="0.2">
      <c r="A53" s="68" t="s">
        <v>219</v>
      </c>
    </row>
    <row r="54" spans="1:9" ht="14.1" customHeight="1" x14ac:dyDescent="0.2">
      <c r="A54" s="68" t="s">
        <v>220</v>
      </c>
    </row>
    <row r="55" spans="1:9" ht="14.1" customHeight="1" x14ac:dyDescent="0.2">
      <c r="A55" s="68" t="s">
        <v>221</v>
      </c>
    </row>
    <row r="56" spans="1:9" ht="14.1" customHeight="1" x14ac:dyDescent="0.2">
      <c r="A56" s="68" t="s">
        <v>222</v>
      </c>
    </row>
    <row r="57" spans="1:9" ht="14.1" customHeight="1" x14ac:dyDescent="0.2">
      <c r="A57" s="68" t="s">
        <v>223</v>
      </c>
    </row>
    <row r="58" spans="1:9" ht="14.1" customHeight="1" x14ac:dyDescent="0.2">
      <c r="A58" s="68" t="s">
        <v>224</v>
      </c>
    </row>
    <row r="59" spans="1:9" ht="14.1" customHeight="1" x14ac:dyDescent="0.2">
      <c r="A59" s="68" t="s">
        <v>225</v>
      </c>
    </row>
    <row r="60" spans="1:9" ht="14.1" customHeight="1" x14ac:dyDescent="0.2">
      <c r="A60" s="68"/>
    </row>
    <row r="61" spans="1:9" ht="14.1" customHeight="1" x14ac:dyDescent="0.2">
      <c r="A61" s="68"/>
    </row>
    <row r="62" spans="1:9" ht="14.1" customHeight="1" x14ac:dyDescent="0.2">
      <c r="A62" s="68"/>
    </row>
    <row r="63" spans="1:9" ht="14.1" customHeight="1" x14ac:dyDescent="0.2">
      <c r="A63" s="68"/>
    </row>
    <row r="99" spans="13:15" ht="14.1" customHeight="1" x14ac:dyDescent="0.2">
      <c r="M99" s="68" t="s">
        <v>142</v>
      </c>
    </row>
    <row r="100" spans="13:15" ht="14.1" customHeight="1" x14ac:dyDescent="0.2">
      <c r="M100" s="68" t="s">
        <v>130</v>
      </c>
      <c r="N100" s="68" t="s">
        <v>131</v>
      </c>
      <c r="O100" s="68" t="s">
        <v>132</v>
      </c>
    </row>
    <row r="101" spans="13:15" ht="14.1" customHeight="1" x14ac:dyDescent="0.2">
      <c r="M101" s="68" t="s">
        <v>143</v>
      </c>
      <c r="N101" s="68" t="s">
        <v>146</v>
      </c>
      <c r="O101" s="68" t="s">
        <v>151</v>
      </c>
    </row>
    <row r="102" spans="13:15" ht="14.1" customHeight="1" x14ac:dyDescent="0.2">
      <c r="M102" s="68" t="s">
        <v>144</v>
      </c>
      <c r="N102" s="68" t="s">
        <v>147</v>
      </c>
      <c r="O102" s="68" t="s">
        <v>152</v>
      </c>
    </row>
    <row r="103" spans="13:15" ht="14.1" customHeight="1" x14ac:dyDescent="0.2">
      <c r="M103" s="68" t="s">
        <v>145</v>
      </c>
      <c r="N103" s="68" t="s">
        <v>148</v>
      </c>
      <c r="O103" s="68" t="s">
        <v>153</v>
      </c>
    </row>
    <row r="104" spans="13:15" ht="14.1" customHeight="1" x14ac:dyDescent="0.2">
      <c r="N104" s="68" t="s">
        <v>149</v>
      </c>
      <c r="O104" s="68" t="s">
        <v>154</v>
      </c>
    </row>
    <row r="105" spans="13:15" ht="14.1" customHeight="1" x14ac:dyDescent="0.2">
      <c r="N105" s="68" t="s">
        <v>150</v>
      </c>
    </row>
    <row r="106" spans="13:15" ht="14.1" customHeight="1" x14ac:dyDescent="0.2">
      <c r="N106" s="68" t="s">
        <v>262</v>
      </c>
    </row>
  </sheetData>
  <sortState ref="F21:F26">
    <sortCondition ref="F21"/>
  </sortState>
  <dataValidations count="1">
    <dataValidation type="list" allowBlank="1" showInputMessage="1" showErrorMessage="1" sqref="S98" xr:uid="{00000000-0002-0000-0200-000000000000}">
      <formula1>$N$100:$N$106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2"/>
  <sheetViews>
    <sheetView workbookViewId="0"/>
    <sheetView workbookViewId="1"/>
  </sheetViews>
  <sheetFormatPr defaultRowHeight="14.1" customHeight="1" x14ac:dyDescent="0.2"/>
  <sheetData>
    <row r="1" spans="1:2" ht="14.1" customHeight="1" x14ac:dyDescent="0.2">
      <c r="A1" s="67" t="s">
        <v>59</v>
      </c>
      <c r="B1" s="67" t="s">
        <v>60</v>
      </c>
    </row>
    <row r="2" spans="1:2" ht="14.1" customHeight="1" x14ac:dyDescent="0.2">
      <c r="A2" s="67" t="s">
        <v>31</v>
      </c>
      <c r="B2" s="68" t="str">
        <f>"Cruel: 1/battle deal ongoing damage to target hit with natural even attack roll as free action. Dam equals "&amp;('Character Sheet'!C5*5)&amp;". Save ends.                              +2 Dex OR +2 Wis"</f>
        <v>Cruel: 1/battle deal ongoing damage to target hit with natural even attack roll as free action. Dam equals 5. Save ends.                              +2 Dex OR +2 Wis</v>
      </c>
    </row>
    <row r="3" spans="1:2" ht="14.1" customHeight="1" x14ac:dyDescent="0.2">
      <c r="A3" s="67" t="s">
        <v>37</v>
      </c>
      <c r="B3" s="68" t="s">
        <v>126</v>
      </c>
    </row>
    <row r="4" spans="1:2" ht="14.1" customHeight="1" x14ac:dyDescent="0.2">
      <c r="A4" s="67" t="s">
        <v>29</v>
      </c>
      <c r="B4" s="68" t="s">
        <v>121</v>
      </c>
    </row>
    <row r="5" spans="1:2" ht="14.1" customHeight="1" x14ac:dyDescent="0.2">
      <c r="A5" s="67" t="s">
        <v>39</v>
      </c>
      <c r="B5" s="68" t="s">
        <v>128</v>
      </c>
    </row>
    <row r="6" spans="1:2" ht="14.1" customHeight="1" x14ac:dyDescent="0.2">
      <c r="A6" s="74" t="s">
        <v>186</v>
      </c>
      <c r="B6" s="73" t="s">
        <v>187</v>
      </c>
    </row>
    <row r="7" spans="1:2" ht="14.1" customHeight="1" x14ac:dyDescent="0.2">
      <c r="A7" s="67" t="s">
        <v>34</v>
      </c>
      <c r="B7" s="68" t="str">
        <f>"Confounding: 1/battle on natural 16+ attack, can daze target til end of your next turn.           +2 Dex OR +2 Int      +2 AC v Opp Atk
Minor Illusions: Standard At-Will - Can make strong smell or sound nearby. Save to recognize as unreal."</f>
        <v>Confounding: 1/battle on natural 16+ attack, can daze target til end of your next turn.           +2 Dex OR +2 Int      +2 AC v Opp Atk
Minor Illusions: Standard At-Will - Can make strong smell or sound nearby. Save to recognize as unreal.</v>
      </c>
    </row>
    <row r="8" spans="1:2" ht="14.1" customHeight="1" x14ac:dyDescent="0.2">
      <c r="A8" s="73" t="s">
        <v>188</v>
      </c>
      <c r="B8" s="73" t="s">
        <v>189</v>
      </c>
    </row>
    <row r="9" spans="1:2" ht="14.1" customHeight="1" x14ac:dyDescent="0.2">
      <c r="A9" s="73" t="s">
        <v>190</v>
      </c>
      <c r="B9" s="73" t="s">
        <v>191</v>
      </c>
    </row>
    <row r="10" spans="1:2" ht="14.1" customHeight="1" x14ac:dyDescent="0.2">
      <c r="A10" s="67" t="s">
        <v>35</v>
      </c>
      <c r="B10" s="68" t="s">
        <v>124</v>
      </c>
    </row>
    <row r="11" spans="1:2" ht="14.1" customHeight="1" x14ac:dyDescent="0.2">
      <c r="A11" s="67" t="s">
        <v>36</v>
      </c>
      <c r="B11" s="68" t="s">
        <v>125</v>
      </c>
    </row>
    <row r="12" spans="1:2" ht="14.1" customHeight="1" x14ac:dyDescent="0.2">
      <c r="A12" s="67" t="s">
        <v>30</v>
      </c>
      <c r="B12" s="68" t="s">
        <v>122</v>
      </c>
    </row>
    <row r="13" spans="1:2" ht="14.1" customHeight="1" x14ac:dyDescent="0.2">
      <c r="A13" s="67" t="s">
        <v>32</v>
      </c>
      <c r="B13" s="68" t="s">
        <v>123</v>
      </c>
    </row>
    <row r="14" spans="1:2" ht="14.1" customHeight="1" x14ac:dyDescent="0.2">
      <c r="A14" s="73" t="s">
        <v>193</v>
      </c>
      <c r="B14" s="73" t="s">
        <v>194</v>
      </c>
    </row>
    <row r="15" spans="1:2" ht="14.1" customHeight="1" x14ac:dyDescent="0.2">
      <c r="A15" s="67" t="s">
        <v>38</v>
      </c>
      <c r="B15" s="68" t="s">
        <v>127</v>
      </c>
    </row>
    <row r="16" spans="1:2" ht="14.1" customHeight="1" x14ac:dyDescent="0.2">
      <c r="A16" s="67" t="s">
        <v>28</v>
      </c>
      <c r="B16" s="68" t="s">
        <v>120</v>
      </c>
    </row>
    <row r="17" spans="1:2" ht="14.1" customHeight="1" x14ac:dyDescent="0.2">
      <c r="A17" s="68" t="s">
        <v>158</v>
      </c>
      <c r="B17" s="68" t="s">
        <v>162</v>
      </c>
    </row>
    <row r="18" spans="1:2" ht="14.1" customHeight="1" x14ac:dyDescent="0.2">
      <c r="A18" s="68" t="s">
        <v>159</v>
      </c>
      <c r="B18" s="68" t="s">
        <v>175</v>
      </c>
    </row>
    <row r="19" spans="1:2" ht="14.1" customHeight="1" x14ac:dyDescent="0.2">
      <c r="A19" s="68" t="s">
        <v>161</v>
      </c>
      <c r="B19" s="68" t="s">
        <v>160</v>
      </c>
    </row>
    <row r="20" spans="1:2" ht="14.1" customHeight="1" x14ac:dyDescent="0.2">
      <c r="A20" s="67" t="s">
        <v>40</v>
      </c>
      <c r="B20" s="68" t="s">
        <v>129</v>
      </c>
    </row>
    <row r="21" spans="1:2" ht="14.1" customHeight="1" x14ac:dyDescent="0.2">
      <c r="A21" s="73" t="s">
        <v>195</v>
      </c>
      <c r="B21" s="73" t="s">
        <v>196</v>
      </c>
    </row>
    <row r="22" spans="1:2" ht="14.1" customHeight="1" x14ac:dyDescent="0.2">
      <c r="A22" s="67" t="s">
        <v>33</v>
      </c>
      <c r="B22" s="70" t="s">
        <v>163</v>
      </c>
    </row>
  </sheetData>
  <sortState ref="A3:B22">
    <sortCondition ref="A3:A2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
  <sheetViews>
    <sheetView workbookViewId="0">
      <selection activeCell="B2" sqref="B2"/>
    </sheetView>
    <sheetView workbookViewId="1"/>
  </sheetViews>
  <sheetFormatPr defaultRowHeight="12.75" x14ac:dyDescent="0.2"/>
  <sheetData>
    <row r="1" spans="1:16" ht="25.5" x14ac:dyDescent="0.2">
      <c r="B1" s="73" t="s">
        <v>18</v>
      </c>
      <c r="C1" s="73" t="s">
        <v>19</v>
      </c>
      <c r="D1" s="73" t="s">
        <v>199</v>
      </c>
      <c r="E1" s="73" t="s">
        <v>20</v>
      </c>
      <c r="F1" s="73" t="s">
        <v>200</v>
      </c>
      <c r="G1" s="73" t="s">
        <v>201</v>
      </c>
      <c r="H1" s="73" t="s">
        <v>21</v>
      </c>
      <c r="I1" s="73" t="s">
        <v>22</v>
      </c>
      <c r="J1" s="73" t="s">
        <v>202</v>
      </c>
      <c r="K1" s="73" t="s">
        <v>203</v>
      </c>
      <c r="L1" s="73" t="s">
        <v>23</v>
      </c>
      <c r="M1" s="73" t="s">
        <v>24</v>
      </c>
      <c r="N1" s="73" t="s">
        <v>25</v>
      </c>
      <c r="O1" s="73" t="s">
        <v>26</v>
      </c>
      <c r="P1" s="73" t="s">
        <v>27</v>
      </c>
    </row>
    <row r="2" spans="1:16" x14ac:dyDescent="0.2">
      <c r="A2" s="73" t="s">
        <v>18</v>
      </c>
    </row>
    <row r="3" spans="1:16" x14ac:dyDescent="0.2">
      <c r="A3" s="73" t="s">
        <v>19</v>
      </c>
    </row>
    <row r="4" spans="1:16" ht="25.5" x14ac:dyDescent="0.2">
      <c r="A4" s="73" t="s">
        <v>199</v>
      </c>
    </row>
    <row r="5" spans="1:16" x14ac:dyDescent="0.2">
      <c r="A5" s="73" t="s">
        <v>20</v>
      </c>
    </row>
    <row r="6" spans="1:16" ht="25.5" x14ac:dyDescent="0.2">
      <c r="A6" s="73" t="s">
        <v>200</v>
      </c>
    </row>
    <row r="7" spans="1:16" x14ac:dyDescent="0.2">
      <c r="A7" s="73" t="s">
        <v>201</v>
      </c>
    </row>
    <row r="8" spans="1:16" x14ac:dyDescent="0.2">
      <c r="A8" s="73" t="s">
        <v>21</v>
      </c>
    </row>
    <row r="9" spans="1:16" x14ac:dyDescent="0.2">
      <c r="A9" s="73" t="s">
        <v>22</v>
      </c>
    </row>
    <row r="10" spans="1:16" ht="25.5" x14ac:dyDescent="0.2">
      <c r="A10" s="73" t="s">
        <v>202</v>
      </c>
    </row>
    <row r="11" spans="1:16" x14ac:dyDescent="0.2">
      <c r="A11" s="73" t="s">
        <v>203</v>
      </c>
    </row>
    <row r="12" spans="1:16" x14ac:dyDescent="0.2">
      <c r="A12" s="73" t="s">
        <v>23</v>
      </c>
    </row>
    <row r="13" spans="1:16" x14ac:dyDescent="0.2">
      <c r="A13" s="73" t="s">
        <v>24</v>
      </c>
    </row>
    <row r="14" spans="1:16" x14ac:dyDescent="0.2">
      <c r="A14" s="73" t="s">
        <v>25</v>
      </c>
    </row>
    <row r="15" spans="1:16" x14ac:dyDescent="0.2">
      <c r="A15" s="73" t="s">
        <v>26</v>
      </c>
    </row>
    <row r="16" spans="1:16" x14ac:dyDescent="0.2">
      <c r="A16" s="7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Character Sheet</vt:lpstr>
      <vt:lpstr>Power Cards</vt:lpstr>
      <vt:lpstr>Classes &amp; Stats</vt:lpstr>
      <vt:lpstr>Races</vt:lpstr>
      <vt:lpstr>Key Abilities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dc:creator>
  <cp:lastModifiedBy>Sam Lee</cp:lastModifiedBy>
  <cp:lastPrinted>2017-08-03T20:12:13Z</cp:lastPrinted>
  <dcterms:created xsi:type="dcterms:W3CDTF">2013-06-21T01:44:08Z</dcterms:created>
  <dcterms:modified xsi:type="dcterms:W3CDTF">2017-08-27T14:54:40Z</dcterms:modified>
</cp:coreProperties>
</file>