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окальная смета" sheetId="1" r:id="rId1"/>
    <sheet name="Объектная смета" sheetId="2" r:id="rId2"/>
    <sheet name="ппр" sheetId="3" r:id="rId3"/>
    <sheet name="ППР2" sheetId="4" r:id="rId4"/>
  </sheets>
  <calcPr calcId="162913"/>
</workbook>
</file>

<file path=xl/calcChain.xml><?xml version="1.0" encoding="utf-8"?>
<calcChain xmlns="http://schemas.openxmlformats.org/spreadsheetml/2006/main">
  <c r="D26" i="4" l="1"/>
  <c r="F26" i="4" s="1"/>
  <c r="H26" i="4" s="1"/>
  <c r="H27" i="4" s="1"/>
  <c r="D23" i="4"/>
  <c r="F23" i="4" s="1"/>
  <c r="H23" i="4" s="1"/>
  <c r="D22" i="4"/>
  <c r="F22" i="4" s="1"/>
  <c r="H22" i="4" s="1"/>
  <c r="D21" i="4"/>
  <c r="F21" i="4" s="1"/>
  <c r="H21" i="4" s="1"/>
  <c r="D20" i="4"/>
  <c r="F20" i="4" s="1"/>
  <c r="H20" i="4" s="1"/>
  <c r="D19" i="4"/>
  <c r="F19" i="4" s="1"/>
  <c r="H19" i="4" s="1"/>
  <c r="D18" i="4"/>
  <c r="F18" i="4" s="1"/>
  <c r="H18" i="4" s="1"/>
  <c r="D17" i="4"/>
  <c r="F17" i="4" s="1"/>
  <c r="H17" i="4" s="1"/>
  <c r="D14" i="4"/>
  <c r="F14" i="4" s="1"/>
  <c r="H14" i="4" s="1"/>
  <c r="D13" i="4"/>
  <c r="F13" i="4" s="1"/>
  <c r="H13" i="4" s="1"/>
  <c r="D12" i="4"/>
  <c r="F12" i="4" s="1"/>
  <c r="H12" i="4" s="1"/>
  <c r="D11" i="4"/>
  <c r="F11" i="4" s="1"/>
  <c r="H11" i="4" s="1"/>
  <c r="D10" i="4"/>
  <c r="F10" i="4" s="1"/>
  <c r="H10" i="4" s="1"/>
  <c r="D9" i="4"/>
  <c r="F9" i="4" s="1"/>
  <c r="H9" i="4" s="1"/>
  <c r="D8" i="4"/>
  <c r="F8" i="4" s="1"/>
  <c r="H8" i="4" s="1"/>
  <c r="D7" i="4"/>
  <c r="F7" i="4" s="1"/>
  <c r="H7" i="4" s="1"/>
  <c r="D6" i="4"/>
  <c r="F6" i="4" s="1"/>
  <c r="H6" i="4" s="1"/>
  <c r="D5" i="4"/>
  <c r="F5" i="4" s="1"/>
  <c r="H5" i="4" s="1"/>
  <c r="H24" i="4" l="1"/>
  <c r="D4" i="4"/>
  <c r="F4" i="4" s="1"/>
  <c r="H4" i="4" s="1"/>
  <c r="H15" i="4" s="1"/>
  <c r="L7" i="3"/>
  <c r="M7" i="3" s="1"/>
  <c r="L9" i="3"/>
  <c r="L10" i="3"/>
  <c r="L11" i="3"/>
  <c r="L19" i="3"/>
  <c r="M19" i="3" s="1"/>
  <c r="H19" i="3"/>
  <c r="K19" i="3" s="1"/>
  <c r="P19" i="3" s="1"/>
  <c r="G18" i="3"/>
  <c r="H18" i="3" s="1"/>
  <c r="K18" i="3" s="1"/>
  <c r="P18" i="3" s="1"/>
  <c r="I18" i="3"/>
  <c r="L18" i="3" s="1"/>
  <c r="G17" i="3"/>
  <c r="H17" i="3" s="1"/>
  <c r="K17" i="3" s="1"/>
  <c r="P17" i="3" s="1"/>
  <c r="I17" i="3"/>
  <c r="L17" i="3" s="1"/>
  <c r="G16" i="3"/>
  <c r="H16" i="3" s="1"/>
  <c r="K16" i="3" s="1"/>
  <c r="P16" i="3" s="1"/>
  <c r="I16" i="3"/>
  <c r="L16" i="3" s="1"/>
  <c r="M16" i="3" s="1"/>
  <c r="G15" i="3"/>
  <c r="H15" i="3" s="1"/>
  <c r="K15" i="3" s="1"/>
  <c r="O15" i="3" s="1"/>
  <c r="I15" i="3"/>
  <c r="L15" i="3" s="1"/>
  <c r="G14" i="3"/>
  <c r="H14" i="3" s="1"/>
  <c r="K14" i="3" s="1"/>
  <c r="O14" i="3" s="1"/>
  <c r="I14" i="3"/>
  <c r="L14" i="3" s="1"/>
  <c r="G13" i="3"/>
  <c r="H13" i="3" s="1"/>
  <c r="K13" i="3" s="1"/>
  <c r="P13" i="3" s="1"/>
  <c r="I13" i="3"/>
  <c r="G12" i="3"/>
  <c r="H12" i="3" s="1"/>
  <c r="K12" i="3" s="1"/>
  <c r="O12" i="3" s="1"/>
  <c r="I12" i="3"/>
  <c r="L12" i="3" s="1"/>
  <c r="M12" i="3" s="1"/>
  <c r="G11" i="3"/>
  <c r="H11" i="3" s="1"/>
  <c r="K11" i="3" s="1"/>
  <c r="P11" i="3" s="1"/>
  <c r="I11" i="3"/>
  <c r="G10" i="3"/>
  <c r="H10" i="3" s="1"/>
  <c r="K10" i="3" s="1"/>
  <c r="P10" i="3" s="1"/>
  <c r="I10" i="3"/>
  <c r="G9" i="3"/>
  <c r="H9" i="3" s="1"/>
  <c r="K9" i="3" s="1"/>
  <c r="P9" i="3" s="1"/>
  <c r="I9" i="3"/>
  <c r="I6" i="3"/>
  <c r="I8" i="3"/>
  <c r="H7" i="3"/>
  <c r="K7" i="3" s="1"/>
  <c r="P7" i="3" s="1"/>
  <c r="G8" i="3"/>
  <c r="H8" i="3" s="1"/>
  <c r="K8" i="3" s="1"/>
  <c r="P8" i="3" s="1"/>
  <c r="G6" i="3"/>
  <c r="H6" i="3" s="1"/>
  <c r="K6" i="3" s="1"/>
  <c r="P6" i="3" s="1"/>
  <c r="I5" i="3"/>
  <c r="L5" i="3" s="1"/>
  <c r="G5" i="3"/>
  <c r="H5" i="3" s="1"/>
  <c r="K5" i="3" s="1"/>
  <c r="P5" i="3" s="1"/>
  <c r="I4" i="3"/>
  <c r="L4" i="3" s="1"/>
  <c r="M4" i="3" s="1"/>
  <c r="G4" i="3"/>
  <c r="H4" i="3" s="1"/>
  <c r="K4" i="3" s="1"/>
  <c r="P4" i="3" s="1"/>
  <c r="I3" i="3"/>
  <c r="L3" i="3" s="1"/>
  <c r="M3" i="3" s="1"/>
  <c r="G3" i="3"/>
  <c r="H3" i="3" s="1"/>
  <c r="K3" i="3" s="1"/>
  <c r="P3" i="3" s="1"/>
  <c r="M9" i="3" l="1"/>
  <c r="L6" i="3"/>
  <c r="M6" i="3" s="1"/>
  <c r="M17" i="3"/>
  <c r="L8" i="3"/>
  <c r="M8" i="3" s="1"/>
  <c r="L13" i="3"/>
  <c r="M13" i="3" s="1"/>
  <c r="N16" i="3"/>
  <c r="N12" i="3"/>
  <c r="N8" i="3"/>
  <c r="N4" i="3"/>
  <c r="O13" i="3"/>
  <c r="P12" i="3"/>
  <c r="N19" i="3"/>
  <c r="N15" i="3"/>
  <c r="N11" i="3"/>
  <c r="N7" i="3"/>
  <c r="P15" i="3"/>
  <c r="N18" i="3"/>
  <c r="N14" i="3"/>
  <c r="N10" i="3"/>
  <c r="N6" i="3"/>
  <c r="P14" i="3"/>
  <c r="N17" i="3"/>
  <c r="N13" i="3"/>
  <c r="N9" i="3"/>
  <c r="N5" i="3"/>
  <c r="N3" i="3"/>
  <c r="M5" i="3"/>
  <c r="M11" i="3"/>
  <c r="M15" i="3"/>
  <c r="M10" i="3"/>
  <c r="M14" i="3"/>
  <c r="M18" i="3"/>
  <c r="E21" i="2"/>
  <c r="E22" i="2" s="1"/>
  <c r="E23" i="2" s="1"/>
  <c r="E24" i="2" s="1"/>
  <c r="E25" i="2" s="1"/>
  <c r="E26" i="2" s="1"/>
  <c r="E27" i="2" s="1"/>
  <c r="E28" i="2" s="1"/>
  <c r="I20" i="2" l="1"/>
  <c r="I22" i="2" s="1"/>
  <c r="I24" i="2" s="1"/>
  <c r="I26" i="2" s="1"/>
  <c r="H20" i="2"/>
  <c r="H21" i="2" s="1"/>
  <c r="H22" i="2" s="1"/>
  <c r="H23" i="2" s="1"/>
  <c r="H24" i="2" s="1"/>
  <c r="H25" i="2" s="1"/>
  <c r="H26" i="2" s="1"/>
  <c r="H27" i="2" s="1"/>
  <c r="H28" i="2" s="1"/>
  <c r="D20" i="2"/>
  <c r="D21" i="2" s="1"/>
  <c r="D22" i="2" s="1"/>
  <c r="J19" i="2"/>
  <c r="J17" i="2"/>
  <c r="J18" i="2"/>
  <c r="J16" i="2"/>
  <c r="J15" i="2"/>
  <c r="J20" i="2" s="1"/>
  <c r="J21" i="2" s="1"/>
  <c r="J22" i="2" s="1"/>
  <c r="J23" i="2" s="1"/>
  <c r="J24" i="2" s="1"/>
  <c r="J25" i="2" s="1"/>
  <c r="J26" i="2" s="1"/>
  <c r="D24" i="2" l="1"/>
  <c r="D25" i="2" s="1"/>
  <c r="D26" i="2" s="1"/>
  <c r="D27" i="2" s="1"/>
  <c r="D28" i="2" s="1"/>
  <c r="D23" i="2"/>
  <c r="G49" i="1"/>
  <c r="G48" i="1"/>
  <c r="G44" i="1"/>
  <c r="G43" i="1"/>
  <c r="G40" i="1"/>
  <c r="G39" i="1"/>
  <c r="G37" i="1"/>
  <c r="G36" i="1"/>
  <c r="G29" i="1"/>
  <c r="G28" i="1"/>
  <c r="G23" i="1"/>
  <c r="G22" i="1"/>
  <c r="G20" i="1"/>
  <c r="G19" i="1"/>
  <c r="G17" i="1"/>
  <c r="G16" i="1"/>
  <c r="G86" i="1" l="1"/>
  <c r="K72" i="1"/>
  <c r="K75" i="1" s="1"/>
  <c r="H72" i="1"/>
  <c r="G72" i="1"/>
  <c r="G71" i="1"/>
  <c r="K69" i="1"/>
  <c r="H69" i="1"/>
  <c r="G70" i="1" s="1"/>
  <c r="G69" i="1"/>
  <c r="K66" i="1"/>
  <c r="H66" i="1"/>
  <c r="G66" i="1"/>
  <c r="H61" i="1"/>
  <c r="G61" i="1"/>
  <c r="G73" i="1" l="1"/>
  <c r="G74" i="1"/>
  <c r="G63" i="1"/>
  <c r="G62" i="1"/>
  <c r="H64" i="1"/>
  <c r="H75" i="1"/>
  <c r="G68" i="1"/>
  <c r="G67" i="1"/>
  <c r="G75" i="1" s="1"/>
  <c r="K61" i="1"/>
  <c r="K64" i="1" s="1"/>
  <c r="G58" i="1"/>
  <c r="K57" i="1"/>
  <c r="H57" i="1"/>
  <c r="G57" i="1"/>
  <c r="K52" i="1"/>
  <c r="H52" i="1"/>
  <c r="G52" i="1"/>
  <c r="H50" i="1"/>
  <c r="G50" i="1"/>
  <c r="G26" i="1"/>
  <c r="G25" i="1"/>
  <c r="K47" i="1"/>
  <c r="H45" i="1"/>
  <c r="D42" i="1"/>
  <c r="G42" i="1" s="1"/>
  <c r="G45" i="1" s="1"/>
  <c r="K41" i="1"/>
  <c r="K45" i="1" s="1"/>
  <c r="K38" i="1"/>
  <c r="K35" i="1"/>
  <c r="H33" i="1"/>
  <c r="K30" i="1"/>
  <c r="K27" i="1"/>
  <c r="H76" i="1" l="1"/>
  <c r="G80" i="1" s="1"/>
  <c r="G87" i="1" s="1"/>
  <c r="G54" i="1"/>
  <c r="G53" i="1"/>
  <c r="G55" i="1" s="1"/>
  <c r="G60" i="1"/>
  <c r="G82" i="1" s="1"/>
  <c r="G89" i="1" s="1"/>
  <c r="G59" i="1"/>
  <c r="G64" i="1" s="1"/>
  <c r="G76" i="1" s="1"/>
  <c r="G78" i="1" s="1"/>
  <c r="G85" i="1" s="1"/>
  <c r="G83" i="1" s="1"/>
  <c r="G81" i="1"/>
  <c r="G88" i="1" s="1"/>
  <c r="K21" i="1"/>
  <c r="K24" i="1"/>
  <c r="G18" i="1"/>
  <c r="G33" i="1" s="1"/>
  <c r="K33" i="1" l="1"/>
  <c r="K76" i="1" s="1"/>
</calcChain>
</file>

<file path=xl/sharedStrings.xml><?xml version="1.0" encoding="utf-8"?>
<sst xmlns="http://schemas.openxmlformats.org/spreadsheetml/2006/main" count="326" uniqueCount="243">
  <si>
    <t>[ наименование стройки ]</t>
  </si>
  <si>
    <t>Завод по переработке мусора в Свердловской области</t>
  </si>
  <si>
    <t>ЛОКАЛЬНЫЙ СМЕТНЫЙ РАСЧЕТ №02-01-01</t>
  </si>
  <si>
    <t>На общестроительные работы</t>
  </si>
  <si>
    <t>(наименование работ и затрат, наименование объекта)</t>
  </si>
  <si>
    <t>Составлен(а) в текущих (прогнозных) ценах по составлению на 1 квартал 2023г.</t>
  </si>
  <si>
    <t>№</t>
  </si>
  <si>
    <t>Обоснование</t>
  </si>
  <si>
    <t>Наименование работ, затрат, единицы измерения</t>
  </si>
  <si>
    <t>Количество</t>
  </si>
  <si>
    <t>Стоимость единицы, руб</t>
  </si>
  <si>
    <t>Всего</t>
  </si>
  <si>
    <t>ЭММ</t>
  </si>
  <si>
    <t>ОТР</t>
  </si>
  <si>
    <t>в т.ч. ОТРм</t>
  </si>
  <si>
    <t>Общая стоимость, руб</t>
  </si>
  <si>
    <t>в т.ч ОТРм</t>
  </si>
  <si>
    <t>Затраты труда рабочих строителей, чел.-час</t>
  </si>
  <si>
    <t>Затраты труда машинистов, чел.-час</t>
  </si>
  <si>
    <t>на единицу</t>
  </si>
  <si>
    <t>всего</t>
  </si>
  <si>
    <t>Раздел 1. Земляные работы</t>
  </si>
  <si>
    <t>ФЕР01-03-034-02</t>
  </si>
  <si>
    <t>Планировка площадей бульдозерами мощностью 79 (108) кВт(л.с.), 1000м2</t>
  </si>
  <si>
    <t>Срезка растительного слоя бульдозером мощностью 59 (80) кВт (л.с.), 2 группа грунтов, 1000м3</t>
  </si>
  <si>
    <t>Разработка грунта в отвал экскаваторами "драглайн" или "обратная лопата" с ковшом вместимостью 1,25 (1,4-1,5)м3, группа грунтов 2, 1000м3</t>
  </si>
  <si>
    <t>Разработка грунта вручную в траншеях глубиной до 2м без креплений с откосами, группа грунтов 2, 100м3</t>
  </si>
  <si>
    <t>Уплотнение грунта пневматическими трамбовками, группа грунтов 1,2, 100м3</t>
  </si>
  <si>
    <t>Засыпка вручную траншеи, пазух котлованов и ям, группа грунтов 2, 100м3</t>
  </si>
  <si>
    <t>Раздел 2. Фундаменты</t>
  </si>
  <si>
    <t>Устройство бетонных фундаментов общего назначения под колонны объемом до 3м3, 100м3 бетона</t>
  </si>
  <si>
    <t>Гидроизоляция стен, фундаментов горизонтальная оклеечная в 2 слоя, 100м2</t>
  </si>
  <si>
    <t>Укладка балок фундаментных длиной до 6м, 100шт.</t>
  </si>
  <si>
    <t>Раздел 3. Полы</t>
  </si>
  <si>
    <t>Устройство подстилающих слоев бетонных, 1м3</t>
  </si>
  <si>
    <t>Раздел 4. Покрытия</t>
  </si>
  <si>
    <t>Укладка плит покрытий одноэтажных зданий и сооружений длиной до 6м, площадью до 10м2, при массе стропильных и подстропильных конструкций до 10т и высота зданий до 25м, 100шт.</t>
  </si>
  <si>
    <t>Раздел.5. Кровля</t>
  </si>
  <si>
    <t>Устройство пароизоляции оклеечной в один слой, 100м2</t>
  </si>
  <si>
    <t xml:space="preserve">Раздел 6. Отделочные работы </t>
  </si>
  <si>
    <t>Оштукатуривание поверхностей цементно-известковым или цементным раствором по камню и бетону простое стен, 100м2</t>
  </si>
  <si>
    <t>Окраска поливнилацетатными водоэмульсионными составами простая по штукатурке и сборным конструкциям, подготовленным под окраску потолков, 100м2</t>
  </si>
  <si>
    <t>Улучшенная окраска маслянными составами по штукатурке стен, 100м2</t>
  </si>
  <si>
    <t>19,77/3,38</t>
  </si>
  <si>
    <t>-</t>
  </si>
  <si>
    <t>38,04/6,5</t>
  </si>
  <si>
    <t>Накладные расходы 92%</t>
  </si>
  <si>
    <t>Методика по разработке и применению нормативов накладных расходов при определении сметной стоимости строительства, реконструкции, капитального ремонта, сноса объектов капитального строительства, утвержденной приказом Минстрой РФ от 21.12.2020/пр.</t>
  </si>
  <si>
    <t>Сметная прибыль 46%</t>
  </si>
  <si>
    <t>Методика по разработке и применению нормативов сметной прибыли при определении сметной стоимости строительства, реконструкции, капитального ремонта, сноса объектов капитального строительства, утвержденной приказом Минстрой РФ от 21.12.2020/пр.</t>
  </si>
  <si>
    <t>ФЕР01-01-030-01</t>
  </si>
  <si>
    <t>585,18/114,14</t>
  </si>
  <si>
    <t>168,53/32,87</t>
  </si>
  <si>
    <t>140,82/33,07</t>
  </si>
  <si>
    <t>1369,75/238,14</t>
  </si>
  <si>
    <t>2328,58/404,84</t>
  </si>
  <si>
    <t>ФЕР01-02-057-02</t>
  </si>
  <si>
    <t>1201,20/1201,20</t>
  </si>
  <si>
    <t>Сметная прибыль 40%</t>
  </si>
  <si>
    <t>Накладные расходы 89%</t>
  </si>
  <si>
    <t>ФЕР01-02-005-01</t>
  </si>
  <si>
    <t>348,46/106,88</t>
  </si>
  <si>
    <t>241,58/26,36</t>
  </si>
  <si>
    <t>413,10/45,08</t>
  </si>
  <si>
    <t>ФЕР01-02-061-02</t>
  </si>
  <si>
    <t>729,00/663,75</t>
  </si>
  <si>
    <t>Итого по разделу 1</t>
  </si>
  <si>
    <t>852,25/489,29</t>
  </si>
  <si>
    <t>10321,94/3761,73</t>
  </si>
  <si>
    <t>2537,74/388,89</t>
  </si>
  <si>
    <t>1205,43/184,72</t>
  </si>
  <si>
    <t>ФЕР06-01-001-02</t>
  </si>
  <si>
    <t>Накладные расходы 102%</t>
  </si>
  <si>
    <t>Сметная прибыль 58%</t>
  </si>
  <si>
    <t>ФЕР08-01-003-03</t>
  </si>
  <si>
    <t>1828,25/171,45</t>
  </si>
  <si>
    <t>148,30/8,12</t>
  </si>
  <si>
    <t>32,53/1,78</t>
  </si>
  <si>
    <t>Накладные расходы 110%</t>
  </si>
  <si>
    <t>Сметная прибыль 69%</t>
  </si>
  <si>
    <t xml:space="preserve">ФЕР07-01-001-15 </t>
  </si>
  <si>
    <t>7701,55/3525,00</t>
  </si>
  <si>
    <t>3690,07/531,92</t>
  </si>
  <si>
    <t>1992,64/287,24</t>
  </si>
  <si>
    <t>Сметная прибыль 73%</t>
  </si>
  <si>
    <t>Балки фундаментные, шт</t>
  </si>
  <si>
    <t>Итого по разделу 2</t>
  </si>
  <si>
    <t>3230,6/473,74</t>
  </si>
  <si>
    <t>38,44/30,67</t>
  </si>
  <si>
    <t>Накладные расходы 112%</t>
  </si>
  <si>
    <t>Сметная прибыль 65%</t>
  </si>
  <si>
    <t>Итого по разделу 3</t>
  </si>
  <si>
    <t>ФЕР07-04-004-02</t>
  </si>
  <si>
    <t>20157,22/592,93</t>
  </si>
  <si>
    <t>25973,35/2287,75</t>
  </si>
  <si>
    <t>19754,08/581,07</t>
  </si>
  <si>
    <t>Итого по разделу 4</t>
  </si>
  <si>
    <t>Установка в одноэтажных зданиях стропильных балок при длине плит покрытий до 6м, пролетом до 12м,массой до 10т и высоте зданий до 25м, 100шт.</t>
  </si>
  <si>
    <t>ФЕР07-01-022-05</t>
  </si>
  <si>
    <t>34085,05/7371,62</t>
  </si>
  <si>
    <t>18254,12/2010,73</t>
  </si>
  <si>
    <t>7119,11/784,18</t>
  </si>
  <si>
    <t>Балки стропильные, шт</t>
  </si>
  <si>
    <t xml:space="preserve">ФЕР12-01-015-01 </t>
  </si>
  <si>
    <t>1758,59/139,04</t>
  </si>
  <si>
    <t>78,45/3,60</t>
  </si>
  <si>
    <t>ФССЦ05.1.03.03-0001</t>
  </si>
  <si>
    <t>ФЕР11-01-002-09</t>
  </si>
  <si>
    <t>ФССЦ05.1.05.01-0001</t>
  </si>
  <si>
    <t>503,65/23,11</t>
  </si>
  <si>
    <t>Накладные расходы 109%</t>
  </si>
  <si>
    <t>Сметная прибыль 57%</t>
  </si>
  <si>
    <t>Итого по разделу 5</t>
  </si>
  <si>
    <t>7622,76/101,29</t>
  </si>
  <si>
    <t>ФЕР15-02-019-03</t>
  </si>
  <si>
    <t>295,41/277,14</t>
  </si>
  <si>
    <t>17,03/10,08</t>
  </si>
  <si>
    <t>178,30/105,54</t>
  </si>
  <si>
    <t>Накладные расходы 100%</t>
  </si>
  <si>
    <t>Сметная прибыль 49%</t>
  </si>
  <si>
    <t>ФЕР15-04-005-02</t>
  </si>
  <si>
    <t>192,05/138,14</t>
  </si>
  <si>
    <t>6,22/1,18</t>
  </si>
  <si>
    <t>101,95/19,34</t>
  </si>
  <si>
    <t>Итого по разделу 6</t>
  </si>
  <si>
    <t xml:space="preserve">ФЕР15-04-024-01 </t>
  </si>
  <si>
    <t>473,96/222,87</t>
  </si>
  <si>
    <t>3,60/0,72</t>
  </si>
  <si>
    <t>69,37/13,87</t>
  </si>
  <si>
    <t>349,62/138,75</t>
  </si>
  <si>
    <t>Всего по смете в ценах 2001г</t>
  </si>
  <si>
    <t>В том числе:</t>
  </si>
  <si>
    <t>Материалы</t>
  </si>
  <si>
    <t xml:space="preserve">Машины и механизмы </t>
  </si>
  <si>
    <t>ФОТ</t>
  </si>
  <si>
    <t>Накладные расходы</t>
  </si>
  <si>
    <t>Сметная прибыль</t>
  </si>
  <si>
    <t>28653,68/1784,14</t>
  </si>
  <si>
    <t>Машины и механизмы Индекс к СМР: 15,53</t>
  </si>
  <si>
    <t>Материалы              Индекс к СМР: 8,92</t>
  </si>
  <si>
    <t>ФОТ                              Индекс к СМР: 30,42</t>
  </si>
  <si>
    <t>Накладные расходы Индекс к СМР: 30,42</t>
  </si>
  <si>
    <t>Сметная прибыль Индекс к СМР: 30,42</t>
  </si>
  <si>
    <t>Всего по смете в ценах 1 квартала 2023 года Индекс к СМР: 30,42</t>
  </si>
  <si>
    <t>Сметная прибыль 59%</t>
  </si>
  <si>
    <t>Средства на оплату труда 840,28916 тыс.руб</t>
  </si>
  <si>
    <t>Сметная стоимость 5853,28679 тыс.руб</t>
  </si>
  <si>
    <t>Письмо Минстроя РФ от 30.01.2023г № 4125</t>
  </si>
  <si>
    <t>(наименование стройки)</t>
  </si>
  <si>
    <t>ОБЪЕКТНЫЙ СМЕТНЫЙ РАСЧЕТ № 02-01</t>
  </si>
  <si>
    <t>на строительство завода по переработке мусора</t>
  </si>
  <si>
    <t>(наименование объекта)</t>
  </si>
  <si>
    <t>Составлен в ценах по состоянию на 1 квартал 2023г.</t>
  </si>
  <si>
    <t>№ п/п</t>
  </si>
  <si>
    <t>№ сметного расчета</t>
  </si>
  <si>
    <t>Виды работ и затрат</t>
  </si>
  <si>
    <t>Сметная стоимость, тыс.руб.</t>
  </si>
  <si>
    <t>Строительные работы</t>
  </si>
  <si>
    <t>Монтажные работы</t>
  </si>
  <si>
    <t>Оборудование, мебель, инвентарь</t>
  </si>
  <si>
    <t>Прочие затраты</t>
  </si>
  <si>
    <t>Сметная заработная плата, тыс.руб</t>
  </si>
  <si>
    <t>Показатель единичной стоимости</t>
  </si>
  <si>
    <t>ЛС №02-01-001</t>
  </si>
  <si>
    <t>Общестроительные работы</t>
  </si>
  <si>
    <t>ЛСР №2</t>
  </si>
  <si>
    <t>ЛСР №3</t>
  </si>
  <si>
    <t>ЛСР №4</t>
  </si>
  <si>
    <t>ЛСР №5</t>
  </si>
  <si>
    <t>Канализация</t>
  </si>
  <si>
    <t>Водопровод</t>
  </si>
  <si>
    <t>Отопление</t>
  </si>
  <si>
    <t xml:space="preserve">Электромонтажные работы </t>
  </si>
  <si>
    <t>Итого</t>
  </si>
  <si>
    <t>ГСН 81-05-01-2001 п. 5.9</t>
  </si>
  <si>
    <t>Затраты на временные здания и сооружения 2,7%</t>
  </si>
  <si>
    <t>Затраты на зимнее удорожание 3,2%</t>
  </si>
  <si>
    <t>ГСН 81-05-02-2001 п. 1.21</t>
  </si>
  <si>
    <t>МДС 81-35.2004</t>
  </si>
  <si>
    <t>Резерв средст на непредвиденные работы и затраты 2%</t>
  </si>
  <si>
    <t>Всего по смете</t>
  </si>
  <si>
    <t>НК РФ</t>
  </si>
  <si>
    <t>Сумма по уплате НДС 20%</t>
  </si>
  <si>
    <t>Итого с НДС</t>
  </si>
  <si>
    <t>Средства на оплату труда 1266,47 тыс.руб.</t>
  </si>
  <si>
    <t>Сметная стоимость 7195,54 тыс.руб.</t>
  </si>
  <si>
    <t>Расчетный измеритель единичной стоимости 152,85 тыс.руб.</t>
  </si>
  <si>
    <t>Наимен. Помещен.</t>
  </si>
  <si>
    <t>Кол-во</t>
  </si>
  <si>
    <t>Размеры помещенй (м)</t>
  </si>
  <si>
    <t>Длина</t>
  </si>
  <si>
    <t>Ширина</t>
  </si>
  <si>
    <t>Высота</t>
  </si>
  <si>
    <t>Р</t>
  </si>
  <si>
    <t>Sстен (м2)</t>
  </si>
  <si>
    <t>Sпот (м2)</t>
  </si>
  <si>
    <t>Sпроем</t>
  </si>
  <si>
    <t>Sст-Sпр</t>
  </si>
  <si>
    <t>Sокр. пот.</t>
  </si>
  <si>
    <t>Sштук. ст.</t>
  </si>
  <si>
    <t>Sштук. пот.</t>
  </si>
  <si>
    <t>Sоблиц. ст.</t>
  </si>
  <si>
    <t>Sокрас. ст.</t>
  </si>
  <si>
    <t>Гостиная</t>
  </si>
  <si>
    <t>Кухня</t>
  </si>
  <si>
    <t>Спальня</t>
  </si>
  <si>
    <t>Кабинет</t>
  </si>
  <si>
    <t>Тамбур</t>
  </si>
  <si>
    <t>Прихожая</t>
  </si>
  <si>
    <t xml:space="preserve">Ванная </t>
  </si>
  <si>
    <t>Туалет</t>
  </si>
  <si>
    <t>Кладовая</t>
  </si>
  <si>
    <t>Гардероб</t>
  </si>
  <si>
    <t>Котельня</t>
  </si>
  <si>
    <t>Коридор</t>
  </si>
  <si>
    <t>Вид работы</t>
  </si>
  <si>
    <t>Расчет S стен</t>
  </si>
  <si>
    <t>Длина стены,м</t>
  </si>
  <si>
    <t>Высота стены,м</t>
  </si>
  <si>
    <t>S стены, м2</t>
  </si>
  <si>
    <t>S проемов шт/м2</t>
  </si>
  <si>
    <t>S стены за вычетом проемов</t>
  </si>
  <si>
    <t>Толщина стены, м</t>
  </si>
  <si>
    <t>Объем кладки на 1 эт, м</t>
  </si>
  <si>
    <t xml:space="preserve">Кладка наружных несущих стен толщиной 510мм   </t>
  </si>
  <si>
    <t>Ось А</t>
  </si>
  <si>
    <t>Ось Б</t>
  </si>
  <si>
    <t>Ось В</t>
  </si>
  <si>
    <t>Ось Г</t>
  </si>
  <si>
    <t>Ось Д</t>
  </si>
  <si>
    <t>Ось Е</t>
  </si>
  <si>
    <t>Ось 1</t>
  </si>
  <si>
    <t>Ось 2</t>
  </si>
  <si>
    <t>Ось 3</t>
  </si>
  <si>
    <t>Ось 4</t>
  </si>
  <si>
    <t>Ось 5</t>
  </si>
  <si>
    <t>Ось 6</t>
  </si>
  <si>
    <t>Ось 7</t>
  </si>
  <si>
    <t xml:space="preserve">Кладка внутренних несущих стен толщиной 380мм </t>
  </si>
  <si>
    <t>Итого по кладке внутренних стен:</t>
  </si>
  <si>
    <t>Итого по кладке наружнх стен:</t>
  </si>
  <si>
    <t>Кладка перегородок толщиной 120мм</t>
  </si>
  <si>
    <t>Итого по кладке перегородок: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</si>
</sst>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1" xfId="0" applyFont="1" applyBorder="1"/>
    <xf numFmtId="2" fontId="1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zoomScale="70" zoomScaleNormal="70" workbookViewId="0">
      <selection activeCell="A7" sqref="A7:K7"/>
    </sheetView>
  </sheetViews>
  <sheetFormatPr defaultRowHeight="14.4" x14ac:dyDescent="0.3"/>
  <cols>
    <col min="2" max="2" width="31.5546875" customWidth="1"/>
    <col min="3" max="3" width="22.88671875" customWidth="1"/>
    <col min="4" max="4" width="11.109375" customWidth="1"/>
    <col min="5" max="5" width="15.6640625" customWidth="1"/>
    <col min="6" max="6" width="15.77734375" customWidth="1"/>
    <col min="7" max="8" width="12.88671875" customWidth="1"/>
    <col min="9" max="9" width="16.88671875" customWidth="1"/>
    <col min="10" max="11" width="12.88671875" customWidth="1"/>
  </cols>
  <sheetData>
    <row r="1" spans="1:1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x14ac:dyDescent="0.3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x14ac:dyDescent="0.3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x14ac:dyDescent="0.3">
      <c r="A4" s="76" t="s">
        <v>3</v>
      </c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x14ac:dyDescent="0.3">
      <c r="A5" s="72" t="s">
        <v>4</v>
      </c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x14ac:dyDescent="0.3">
      <c r="A6" s="72" t="s">
        <v>146</v>
      </c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x14ac:dyDescent="0.3">
      <c r="A7" s="72" t="s">
        <v>145</v>
      </c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x14ac:dyDescent="0.3">
      <c r="A8" s="72" t="s">
        <v>5</v>
      </c>
      <c r="B8" s="72"/>
      <c r="C8" s="72"/>
      <c r="D8" s="72"/>
      <c r="E8" s="72"/>
      <c r="F8" s="72"/>
      <c r="G8" s="72"/>
      <c r="H8" s="72"/>
      <c r="I8" s="72"/>
      <c r="J8" s="72"/>
      <c r="K8" s="72"/>
    </row>
    <row r="9" spans="1:11" ht="43.2" customHeight="1" x14ac:dyDescent="0.3">
      <c r="A9" s="70" t="s">
        <v>6</v>
      </c>
      <c r="B9" s="70" t="s">
        <v>7</v>
      </c>
      <c r="C9" s="69" t="s">
        <v>8</v>
      </c>
      <c r="D9" s="70" t="s">
        <v>9</v>
      </c>
      <c r="E9" s="69" t="s">
        <v>10</v>
      </c>
      <c r="F9" s="69"/>
      <c r="G9" s="70" t="s">
        <v>15</v>
      </c>
      <c r="H9" s="70"/>
      <c r="I9" s="70"/>
      <c r="J9" s="73" t="s">
        <v>17</v>
      </c>
      <c r="K9" s="73"/>
    </row>
    <row r="10" spans="1:11" ht="37.200000000000003" customHeight="1" x14ac:dyDescent="0.3">
      <c r="A10" s="70"/>
      <c r="B10" s="70"/>
      <c r="C10" s="69"/>
      <c r="D10" s="70"/>
      <c r="E10" s="69"/>
      <c r="F10" s="69"/>
      <c r="G10" s="70"/>
      <c r="H10" s="70"/>
      <c r="I10" s="70"/>
      <c r="J10" s="69" t="s">
        <v>18</v>
      </c>
      <c r="K10" s="69"/>
    </row>
    <row r="11" spans="1:11" x14ac:dyDescent="0.3">
      <c r="A11" s="70"/>
      <c r="B11" s="70"/>
      <c r="C11" s="69"/>
      <c r="D11" s="70"/>
      <c r="E11" s="2" t="s">
        <v>11</v>
      </c>
      <c r="F11" s="2" t="s">
        <v>12</v>
      </c>
      <c r="G11" s="70" t="s">
        <v>11</v>
      </c>
      <c r="H11" s="70" t="s">
        <v>13</v>
      </c>
      <c r="I11" s="2" t="s">
        <v>12</v>
      </c>
      <c r="J11" s="70" t="s">
        <v>19</v>
      </c>
      <c r="K11" s="70" t="s">
        <v>20</v>
      </c>
    </row>
    <row r="12" spans="1:11" ht="30" customHeight="1" x14ac:dyDescent="0.3">
      <c r="A12" s="70"/>
      <c r="B12" s="70"/>
      <c r="C12" s="69"/>
      <c r="D12" s="70"/>
      <c r="E12" s="2" t="s">
        <v>13</v>
      </c>
      <c r="F12" s="3" t="s">
        <v>14</v>
      </c>
      <c r="G12" s="70"/>
      <c r="H12" s="70"/>
      <c r="I12" s="3" t="s">
        <v>16</v>
      </c>
      <c r="J12" s="70"/>
      <c r="K12" s="70"/>
    </row>
    <row r="13" spans="1:11" x14ac:dyDescent="0.3">
      <c r="A13" s="2">
        <v>1</v>
      </c>
      <c r="B13" s="2">
        <v>2</v>
      </c>
      <c r="C13" s="2">
        <v>3</v>
      </c>
      <c r="D13" s="2">
        <v>4</v>
      </c>
      <c r="E13" s="2">
        <v>5</v>
      </c>
      <c r="F13" s="2">
        <v>6</v>
      </c>
      <c r="G13" s="2">
        <v>7</v>
      </c>
      <c r="H13" s="2">
        <v>8</v>
      </c>
      <c r="I13" s="2">
        <v>9</v>
      </c>
      <c r="J13" s="2">
        <v>10</v>
      </c>
      <c r="K13" s="2">
        <v>11</v>
      </c>
    </row>
    <row r="14" spans="1:11" x14ac:dyDescent="0.3">
      <c r="A14" s="71" t="s">
        <v>21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spans="1:11" ht="60.6" customHeight="1" x14ac:dyDescent="0.3">
      <c r="A15" s="2">
        <v>1</v>
      </c>
      <c r="B15" s="6" t="s">
        <v>22</v>
      </c>
      <c r="C15" s="4" t="s">
        <v>23</v>
      </c>
      <c r="D15" s="2">
        <v>1.9239999999999999</v>
      </c>
      <c r="E15" s="2">
        <v>19.77</v>
      </c>
      <c r="F15" s="2" t="s">
        <v>43</v>
      </c>
      <c r="G15" s="15">
        <v>38.04</v>
      </c>
      <c r="H15" s="2" t="s">
        <v>44</v>
      </c>
      <c r="I15" s="2" t="s">
        <v>45</v>
      </c>
      <c r="J15" s="2" t="s">
        <v>44</v>
      </c>
      <c r="K15" s="2" t="s">
        <v>44</v>
      </c>
    </row>
    <row r="16" spans="1:11" ht="139.80000000000001" customHeight="1" x14ac:dyDescent="0.3">
      <c r="A16" s="2"/>
      <c r="B16" s="4" t="s">
        <v>47</v>
      </c>
      <c r="C16" s="4" t="s">
        <v>46</v>
      </c>
      <c r="D16" s="2"/>
      <c r="E16" s="2"/>
      <c r="F16" s="2"/>
      <c r="G16" s="15">
        <f>6.5*92%</f>
        <v>5.98</v>
      </c>
      <c r="H16" s="2"/>
      <c r="I16" s="2"/>
      <c r="J16" s="2"/>
      <c r="K16" s="2"/>
    </row>
    <row r="17" spans="1:11" ht="128.4" customHeight="1" x14ac:dyDescent="0.3">
      <c r="A17" s="2"/>
      <c r="B17" s="4" t="s">
        <v>49</v>
      </c>
      <c r="C17" s="4" t="s">
        <v>48</v>
      </c>
      <c r="D17" s="2"/>
      <c r="E17" s="2"/>
      <c r="F17" s="2"/>
      <c r="G17" s="15">
        <f>6.5*46%</f>
        <v>2.99</v>
      </c>
      <c r="H17" s="2"/>
      <c r="I17" s="2"/>
      <c r="J17" s="2"/>
      <c r="K17" s="2"/>
    </row>
    <row r="18" spans="1:11" s="1" customFormat="1" ht="73.2" customHeight="1" x14ac:dyDescent="0.3">
      <c r="A18" s="3">
        <v>2</v>
      </c>
      <c r="B18" s="7" t="s">
        <v>50</v>
      </c>
      <c r="C18" s="4" t="s">
        <v>24</v>
      </c>
      <c r="D18" s="3">
        <v>0.28799999999999998</v>
      </c>
      <c r="E18" s="3">
        <v>585.17999999999995</v>
      </c>
      <c r="F18" s="3" t="s">
        <v>51</v>
      </c>
      <c r="G18" s="10">
        <f>D18*E18</f>
        <v>168.53183999999996</v>
      </c>
      <c r="H18" s="3" t="s">
        <v>44</v>
      </c>
      <c r="I18" s="3" t="s">
        <v>52</v>
      </c>
      <c r="J18" s="3" t="s">
        <v>44</v>
      </c>
      <c r="K18" s="3" t="s">
        <v>44</v>
      </c>
    </row>
    <row r="19" spans="1:11" s="1" customFormat="1" ht="144" customHeight="1" x14ac:dyDescent="0.3">
      <c r="A19" s="3"/>
      <c r="B19" s="11" t="s">
        <v>47</v>
      </c>
      <c r="C19" s="4" t="s">
        <v>46</v>
      </c>
      <c r="D19" s="3"/>
      <c r="E19" s="3"/>
      <c r="F19" s="3"/>
      <c r="G19" s="10">
        <f>32.87*92%</f>
        <v>30.240399999999998</v>
      </c>
      <c r="H19" s="3"/>
      <c r="I19" s="3"/>
      <c r="J19" s="3"/>
      <c r="K19" s="3"/>
    </row>
    <row r="20" spans="1:11" s="1" customFormat="1" ht="132.6" customHeight="1" x14ac:dyDescent="0.3">
      <c r="A20" s="3"/>
      <c r="B20" s="11" t="s">
        <v>49</v>
      </c>
      <c r="C20" s="4" t="s">
        <v>48</v>
      </c>
      <c r="D20" s="3"/>
      <c r="E20" s="3"/>
      <c r="F20" s="3"/>
      <c r="G20" s="10">
        <f>32.87*46%</f>
        <v>15.120199999999999</v>
      </c>
      <c r="H20" s="3"/>
      <c r="I20" s="3"/>
      <c r="J20" s="3"/>
      <c r="K20" s="3"/>
    </row>
    <row r="21" spans="1:11" s="1" customFormat="1" ht="112.2" customHeight="1" x14ac:dyDescent="0.3">
      <c r="A21" s="3">
        <v>3</v>
      </c>
      <c r="B21" s="3"/>
      <c r="C21" s="4" t="s">
        <v>25</v>
      </c>
      <c r="D21" s="3">
        <v>1.7</v>
      </c>
      <c r="E21" s="3" t="s">
        <v>53</v>
      </c>
      <c r="F21" s="39" t="s">
        <v>54</v>
      </c>
      <c r="G21" s="10">
        <v>239.39</v>
      </c>
      <c r="H21" s="3">
        <v>56.22</v>
      </c>
      <c r="I21" s="3" t="s">
        <v>55</v>
      </c>
      <c r="J21" s="3">
        <v>4.24</v>
      </c>
      <c r="K21" s="3">
        <f>D21*J21</f>
        <v>7.2080000000000002</v>
      </c>
    </row>
    <row r="22" spans="1:11" s="1" customFormat="1" ht="138" customHeight="1" x14ac:dyDescent="0.3">
      <c r="A22" s="3"/>
      <c r="B22" s="4" t="s">
        <v>47</v>
      </c>
      <c r="C22" s="4" t="s">
        <v>46</v>
      </c>
      <c r="D22" s="3"/>
      <c r="E22" s="3"/>
      <c r="F22" s="39"/>
      <c r="G22" s="10">
        <f>H21+404.84*92%</f>
        <v>428.67279999999994</v>
      </c>
      <c r="H22" s="3"/>
      <c r="I22" s="3"/>
      <c r="J22" s="3"/>
      <c r="K22" s="3"/>
    </row>
    <row r="23" spans="1:11" s="1" customFormat="1" ht="139.19999999999999" customHeight="1" x14ac:dyDescent="0.3">
      <c r="A23" s="3"/>
      <c r="B23" s="4" t="s">
        <v>49</v>
      </c>
      <c r="C23" s="4" t="s">
        <v>48</v>
      </c>
      <c r="D23" s="3"/>
      <c r="E23" s="3"/>
      <c r="F23" s="39"/>
      <c r="G23" s="10">
        <f>H21+404.84*46%</f>
        <v>242.44639999999998</v>
      </c>
      <c r="H23" s="3"/>
      <c r="I23" s="3"/>
      <c r="J23" s="3"/>
      <c r="K23" s="3"/>
    </row>
    <row r="24" spans="1:11" ht="80.400000000000006" customHeight="1" x14ac:dyDescent="0.3">
      <c r="A24" s="2">
        <v>4</v>
      </c>
      <c r="B24" s="6" t="s">
        <v>56</v>
      </c>
      <c r="C24" s="5" t="s">
        <v>26</v>
      </c>
      <c r="D24" s="2">
        <v>0.12</v>
      </c>
      <c r="E24" s="2" t="s">
        <v>57</v>
      </c>
      <c r="F24" s="2" t="s">
        <v>44</v>
      </c>
      <c r="G24" s="2">
        <v>144.13999999999999</v>
      </c>
      <c r="H24" s="2">
        <v>144.13999999999999</v>
      </c>
      <c r="I24" s="2" t="s">
        <v>44</v>
      </c>
      <c r="J24" s="2">
        <v>154</v>
      </c>
      <c r="K24" s="2">
        <f>D24*J24</f>
        <v>18.48</v>
      </c>
    </row>
    <row r="25" spans="1:11" ht="144.6" customHeight="1" x14ac:dyDescent="0.3">
      <c r="A25" s="2"/>
      <c r="B25" s="4" t="s">
        <v>47</v>
      </c>
      <c r="C25" s="5" t="s">
        <v>59</v>
      </c>
      <c r="D25" s="2"/>
      <c r="E25" s="2"/>
      <c r="F25" s="2"/>
      <c r="G25" s="15">
        <f>H24*89%</f>
        <v>128.28459999999998</v>
      </c>
      <c r="H25" s="2"/>
      <c r="I25" s="2"/>
      <c r="J25" s="2"/>
      <c r="K25" s="2"/>
    </row>
    <row r="26" spans="1:11" ht="130.19999999999999" customHeight="1" x14ac:dyDescent="0.3">
      <c r="A26" s="2"/>
      <c r="B26" s="4" t="s">
        <v>49</v>
      </c>
      <c r="C26" s="5" t="s">
        <v>58</v>
      </c>
      <c r="D26" s="2"/>
      <c r="E26" s="2"/>
      <c r="F26" s="2"/>
      <c r="G26" s="15">
        <f>H24*40%</f>
        <v>57.655999999999999</v>
      </c>
      <c r="H26" s="2"/>
      <c r="I26" s="2"/>
      <c r="J26" s="2"/>
      <c r="K26" s="2"/>
    </row>
    <row r="27" spans="1:11" ht="55.2" x14ac:dyDescent="0.3">
      <c r="A27" s="2">
        <v>5</v>
      </c>
      <c r="B27" s="9" t="s">
        <v>60</v>
      </c>
      <c r="C27" s="5" t="s">
        <v>27</v>
      </c>
      <c r="D27" s="2">
        <v>1.71</v>
      </c>
      <c r="E27" s="2" t="s">
        <v>61</v>
      </c>
      <c r="F27" s="2" t="s">
        <v>62</v>
      </c>
      <c r="G27" s="15">
        <v>595.87</v>
      </c>
      <c r="H27" s="2">
        <v>182.76</v>
      </c>
      <c r="I27" s="2" t="s">
        <v>63</v>
      </c>
      <c r="J27" s="2">
        <v>12.53</v>
      </c>
      <c r="K27" s="15">
        <f>D27*J27</f>
        <v>21.426299999999998</v>
      </c>
    </row>
    <row r="28" spans="1:11" ht="143.4" customHeight="1" x14ac:dyDescent="0.3">
      <c r="A28" s="2"/>
      <c r="B28" s="4" t="s">
        <v>47</v>
      </c>
      <c r="C28" s="5" t="s">
        <v>46</v>
      </c>
      <c r="D28" s="2"/>
      <c r="E28" s="2"/>
      <c r="F28" s="2"/>
      <c r="G28" s="15">
        <f>H27+45.08*92%</f>
        <v>224.2336</v>
      </c>
      <c r="H28" s="2"/>
      <c r="I28" s="2"/>
      <c r="J28" s="2"/>
      <c r="K28" s="2"/>
    </row>
    <row r="29" spans="1:11" ht="126.6" customHeight="1" x14ac:dyDescent="0.3">
      <c r="A29" s="2"/>
      <c r="B29" s="4" t="s">
        <v>49</v>
      </c>
      <c r="C29" s="5" t="s">
        <v>48</v>
      </c>
      <c r="D29" s="2"/>
      <c r="E29" s="2"/>
      <c r="F29" s="2"/>
      <c r="G29" s="15">
        <f>H27+45.08*46%</f>
        <v>203.49679999999998</v>
      </c>
      <c r="H29" s="2"/>
      <c r="I29" s="2"/>
      <c r="J29" s="2"/>
      <c r="K29" s="2"/>
    </row>
    <row r="30" spans="1:11" ht="68.400000000000006" customHeight="1" x14ac:dyDescent="0.3">
      <c r="A30" s="2">
        <v>6</v>
      </c>
      <c r="B30" s="9" t="s">
        <v>64</v>
      </c>
      <c r="C30" s="5" t="s">
        <v>28</v>
      </c>
      <c r="D30" s="2">
        <v>0.19</v>
      </c>
      <c r="E30" s="2" t="s">
        <v>65</v>
      </c>
      <c r="F30" s="2" t="s">
        <v>44</v>
      </c>
      <c r="G30" s="15">
        <v>138.51</v>
      </c>
      <c r="H30" s="2">
        <v>126.11</v>
      </c>
      <c r="I30" s="2" t="s">
        <v>44</v>
      </c>
      <c r="J30" s="2">
        <v>97.2</v>
      </c>
      <c r="K30" s="15">
        <f>J30*D30</f>
        <v>18.468</v>
      </c>
    </row>
    <row r="31" spans="1:11" ht="138.6" customHeight="1" x14ac:dyDescent="0.3">
      <c r="A31" s="8"/>
      <c r="B31" s="4" t="s">
        <v>47</v>
      </c>
      <c r="C31" s="5" t="s">
        <v>59</v>
      </c>
      <c r="D31" s="8"/>
      <c r="E31" s="8"/>
      <c r="F31" s="8"/>
      <c r="G31" s="8">
        <v>112.24</v>
      </c>
      <c r="H31" s="8"/>
      <c r="I31" s="8"/>
      <c r="J31" s="8"/>
      <c r="K31" s="15"/>
    </row>
    <row r="32" spans="1:11" ht="131.4" customHeight="1" x14ac:dyDescent="0.3">
      <c r="A32" s="8"/>
      <c r="B32" s="4" t="s">
        <v>49</v>
      </c>
      <c r="C32" s="5" t="s">
        <v>58</v>
      </c>
      <c r="D32" s="8"/>
      <c r="E32" s="8"/>
      <c r="F32" s="8"/>
      <c r="G32" s="8">
        <v>50.44</v>
      </c>
      <c r="H32" s="8"/>
      <c r="I32" s="8"/>
      <c r="J32" s="8"/>
      <c r="K32" s="15"/>
    </row>
    <row r="33" spans="1:11" ht="48" customHeight="1" x14ac:dyDescent="0.3">
      <c r="A33" s="8"/>
      <c r="B33" s="4"/>
      <c r="C33" s="16" t="s">
        <v>66</v>
      </c>
      <c r="D33" s="8"/>
      <c r="E33" s="8"/>
      <c r="F33" s="8"/>
      <c r="G33" s="17">
        <f>SUM(G15:G32)</f>
        <v>2826.282639999999</v>
      </c>
      <c r="H33" s="9">
        <f>H30+H27+H24+H21</f>
        <v>509.23</v>
      </c>
      <c r="I33" s="9" t="s">
        <v>67</v>
      </c>
      <c r="J33" s="8"/>
      <c r="K33" s="17">
        <f>K30+K27+K24+K21</f>
        <v>65.582300000000004</v>
      </c>
    </row>
    <row r="34" spans="1:11" x14ac:dyDescent="0.3">
      <c r="A34" s="63" t="s">
        <v>29</v>
      </c>
      <c r="B34" s="64"/>
      <c r="C34" s="64"/>
      <c r="D34" s="64"/>
      <c r="E34" s="64"/>
      <c r="F34" s="64"/>
      <c r="G34" s="64"/>
      <c r="H34" s="64"/>
      <c r="I34" s="64"/>
      <c r="J34" s="64"/>
      <c r="K34" s="65"/>
    </row>
    <row r="35" spans="1:11" ht="69" x14ac:dyDescent="0.3">
      <c r="A35" s="2">
        <v>7</v>
      </c>
      <c r="B35" s="9" t="s">
        <v>71</v>
      </c>
      <c r="C35" s="5" t="s">
        <v>30</v>
      </c>
      <c r="D35" s="2">
        <v>0.47499999999999998</v>
      </c>
      <c r="E35" s="2" t="s">
        <v>68</v>
      </c>
      <c r="F35" s="2" t="s">
        <v>69</v>
      </c>
      <c r="G35" s="2">
        <v>4902.92</v>
      </c>
      <c r="H35" s="2">
        <v>1786.82</v>
      </c>
      <c r="I35" s="2" t="s">
        <v>70</v>
      </c>
      <c r="J35" s="2">
        <v>441</v>
      </c>
      <c r="K35" s="15">
        <f>D35*J35</f>
        <v>209.47499999999999</v>
      </c>
    </row>
    <row r="36" spans="1:11" ht="141.6" customHeight="1" x14ac:dyDescent="0.3">
      <c r="A36" s="8"/>
      <c r="B36" s="4" t="s">
        <v>47</v>
      </c>
      <c r="C36" s="5" t="s">
        <v>72</v>
      </c>
      <c r="D36" s="8"/>
      <c r="E36" s="8"/>
      <c r="F36" s="8"/>
      <c r="G36" s="8">
        <f>H35+184.72*10%</f>
        <v>1805.2919999999999</v>
      </c>
      <c r="H36" s="8"/>
      <c r="I36" s="8"/>
      <c r="J36" s="8"/>
      <c r="K36" s="15"/>
    </row>
    <row r="37" spans="1:11" ht="132" customHeight="1" x14ac:dyDescent="0.3">
      <c r="A37" s="8"/>
      <c r="B37" s="4" t="s">
        <v>49</v>
      </c>
      <c r="C37" s="5" t="s">
        <v>73</v>
      </c>
      <c r="D37" s="8"/>
      <c r="E37" s="8"/>
      <c r="F37" s="8"/>
      <c r="G37" s="8">
        <f>H35+184.72*58%</f>
        <v>1893.9576</v>
      </c>
      <c r="H37" s="8"/>
      <c r="I37" s="8"/>
      <c r="J37" s="8"/>
      <c r="K37" s="15"/>
    </row>
    <row r="38" spans="1:11" ht="69" x14ac:dyDescent="0.3">
      <c r="A38" s="2">
        <v>8</v>
      </c>
      <c r="B38" s="9" t="s">
        <v>74</v>
      </c>
      <c r="C38" s="5" t="s">
        <v>31</v>
      </c>
      <c r="D38" s="2">
        <v>0.22</v>
      </c>
      <c r="E38" s="2" t="s">
        <v>75</v>
      </c>
      <c r="F38" s="2" t="s">
        <v>76</v>
      </c>
      <c r="G38" s="2">
        <v>402.21</v>
      </c>
      <c r="H38" s="2">
        <v>37.72</v>
      </c>
      <c r="I38" s="2" t="s">
        <v>77</v>
      </c>
      <c r="J38" s="2">
        <v>20.100000000000001</v>
      </c>
      <c r="K38" s="15">
        <f>J38*D38</f>
        <v>4.4220000000000006</v>
      </c>
    </row>
    <row r="39" spans="1:11" ht="135.6" customHeight="1" x14ac:dyDescent="0.3">
      <c r="A39" s="8"/>
      <c r="B39" s="4" t="s">
        <v>47</v>
      </c>
      <c r="C39" s="5" t="s">
        <v>78</v>
      </c>
      <c r="D39" s="8"/>
      <c r="E39" s="8"/>
      <c r="F39" s="8"/>
      <c r="G39" s="8">
        <f>H38+1.78*110%</f>
        <v>39.677999999999997</v>
      </c>
      <c r="H39" s="8"/>
      <c r="I39" s="8"/>
      <c r="J39" s="8"/>
      <c r="K39" s="8"/>
    </row>
    <row r="40" spans="1:11" ht="131.4" customHeight="1" x14ac:dyDescent="0.3">
      <c r="A40" s="8"/>
      <c r="B40" s="4" t="s">
        <v>49</v>
      </c>
      <c r="C40" s="5" t="s">
        <v>79</v>
      </c>
      <c r="D40" s="8"/>
      <c r="E40" s="8"/>
      <c r="F40" s="8"/>
      <c r="G40" s="8">
        <f>H38+1.78*69%</f>
        <v>38.9482</v>
      </c>
      <c r="H40" s="8"/>
      <c r="I40" s="8"/>
      <c r="J40" s="8"/>
      <c r="K40" s="8"/>
    </row>
    <row r="41" spans="1:11" ht="41.4" x14ac:dyDescent="0.3">
      <c r="A41" s="19">
        <v>9</v>
      </c>
      <c r="B41" s="20" t="s">
        <v>80</v>
      </c>
      <c r="C41" s="21" t="s">
        <v>32</v>
      </c>
      <c r="D41" s="19">
        <v>0.54</v>
      </c>
      <c r="E41" s="18" t="s">
        <v>81</v>
      </c>
      <c r="F41" s="19" t="s">
        <v>82</v>
      </c>
      <c r="G41" s="22">
        <v>4158.84</v>
      </c>
      <c r="H41" s="19">
        <v>1903.5</v>
      </c>
      <c r="I41" s="19" t="s">
        <v>83</v>
      </c>
      <c r="J41" s="19">
        <v>375</v>
      </c>
      <c r="K41" s="19">
        <f>J41*D41</f>
        <v>202.5</v>
      </c>
    </row>
    <row r="42" spans="1:11" ht="39.6" customHeight="1" x14ac:dyDescent="0.3">
      <c r="A42" s="19"/>
      <c r="B42" s="20" t="s">
        <v>108</v>
      </c>
      <c r="C42" s="21" t="s">
        <v>85</v>
      </c>
      <c r="D42" s="19">
        <f>D41*100</f>
        <v>54</v>
      </c>
      <c r="E42" s="8">
        <v>421.24</v>
      </c>
      <c r="F42" s="19"/>
      <c r="G42" s="22">
        <f>D42*E42</f>
        <v>22746.959999999999</v>
      </c>
      <c r="H42" s="19"/>
      <c r="I42" s="19"/>
      <c r="J42" s="19"/>
      <c r="K42" s="19"/>
    </row>
    <row r="43" spans="1:11" ht="139.80000000000001" customHeight="1" x14ac:dyDescent="0.3">
      <c r="A43" s="8"/>
      <c r="B43" s="4" t="s">
        <v>47</v>
      </c>
      <c r="C43" s="5" t="s">
        <v>78</v>
      </c>
      <c r="D43" s="8"/>
      <c r="E43" s="8"/>
      <c r="F43" s="8"/>
      <c r="G43" s="15">
        <f>H41+287.24*110%</f>
        <v>2219.4639999999999</v>
      </c>
      <c r="H43" s="8"/>
      <c r="I43" s="8"/>
      <c r="J43" s="8"/>
      <c r="K43" s="8"/>
    </row>
    <row r="44" spans="1:11" ht="135.6" customHeight="1" x14ac:dyDescent="0.3">
      <c r="A44" s="8"/>
      <c r="B44" s="4" t="s">
        <v>49</v>
      </c>
      <c r="C44" s="5" t="s">
        <v>84</v>
      </c>
      <c r="D44" s="8"/>
      <c r="E44" s="8"/>
      <c r="F44" s="8"/>
      <c r="G44" s="15">
        <f>H41+287.24*73%</f>
        <v>2113.1851999999999</v>
      </c>
      <c r="H44" s="8"/>
      <c r="I44" s="8"/>
      <c r="J44" s="8"/>
      <c r="K44" s="8"/>
    </row>
    <row r="45" spans="1:11" ht="33" customHeight="1" x14ac:dyDescent="0.3">
      <c r="A45" s="8"/>
      <c r="B45" s="4"/>
      <c r="C45" s="16" t="s">
        <v>86</v>
      </c>
      <c r="D45" s="8"/>
      <c r="E45" s="8"/>
      <c r="F45" s="8"/>
      <c r="G45" s="17">
        <f>SUM(G35:G44)</f>
        <v>40321.455000000002</v>
      </c>
      <c r="H45" s="9">
        <f>SUM(H35,H38,H41)</f>
        <v>3728.04</v>
      </c>
      <c r="I45" s="9" t="s">
        <v>87</v>
      </c>
      <c r="J45" s="8"/>
      <c r="K45" s="17">
        <f>SUM(K41,K38,K35)</f>
        <v>416.39699999999999</v>
      </c>
    </row>
    <row r="46" spans="1:11" x14ac:dyDescent="0.3">
      <c r="A46" s="63" t="s">
        <v>33</v>
      </c>
      <c r="B46" s="64"/>
      <c r="C46" s="64"/>
      <c r="D46" s="64"/>
      <c r="E46" s="64"/>
      <c r="F46" s="64"/>
      <c r="G46" s="64"/>
      <c r="H46" s="64"/>
      <c r="I46" s="64"/>
      <c r="J46" s="64"/>
      <c r="K46" s="65"/>
    </row>
    <row r="47" spans="1:11" ht="41.4" x14ac:dyDescent="0.3">
      <c r="A47" s="2">
        <v>10</v>
      </c>
      <c r="B47" s="14" t="s">
        <v>107</v>
      </c>
      <c r="C47" s="5" t="s">
        <v>34</v>
      </c>
      <c r="D47" s="2">
        <v>177.8</v>
      </c>
      <c r="E47" s="2" t="s">
        <v>88</v>
      </c>
      <c r="F47" s="2">
        <v>0.24</v>
      </c>
      <c r="G47" s="2">
        <v>6834.63</v>
      </c>
      <c r="H47" s="2">
        <v>5453.13</v>
      </c>
      <c r="I47" s="2">
        <v>42.67</v>
      </c>
      <c r="J47" s="2">
        <v>3.66</v>
      </c>
      <c r="K47" s="15">
        <f>J47*D47</f>
        <v>650.74800000000005</v>
      </c>
    </row>
    <row r="48" spans="1:11" ht="141.6" customHeight="1" x14ac:dyDescent="0.3">
      <c r="A48" s="8"/>
      <c r="B48" s="4" t="s">
        <v>47</v>
      </c>
      <c r="C48" s="5" t="s">
        <v>89</v>
      </c>
      <c r="D48" s="8"/>
      <c r="E48" s="8"/>
      <c r="F48" s="8"/>
      <c r="G48" s="15">
        <f>H47+42.67*112%</f>
        <v>5500.9204</v>
      </c>
      <c r="H48" s="8"/>
      <c r="I48" s="8"/>
      <c r="J48" s="8"/>
      <c r="K48" s="15"/>
    </row>
    <row r="49" spans="1:11" ht="130.80000000000001" customHeight="1" x14ac:dyDescent="0.3">
      <c r="A49" s="8"/>
      <c r="B49" s="4" t="s">
        <v>49</v>
      </c>
      <c r="C49" s="5" t="s">
        <v>90</v>
      </c>
      <c r="D49" s="8"/>
      <c r="E49" s="8"/>
      <c r="F49" s="8"/>
      <c r="G49" s="15">
        <f>H47+I47*65%</f>
        <v>5480.8654999999999</v>
      </c>
      <c r="H49" s="8"/>
      <c r="I49" s="8"/>
      <c r="J49" s="8"/>
      <c r="K49" s="15"/>
    </row>
    <row r="50" spans="1:11" ht="46.2" customHeight="1" x14ac:dyDescent="0.3">
      <c r="A50" s="8"/>
      <c r="B50" s="4"/>
      <c r="C50" s="16" t="s">
        <v>91</v>
      </c>
      <c r="D50" s="8"/>
      <c r="E50" s="8"/>
      <c r="F50" s="8"/>
      <c r="G50" s="17">
        <f>SUM(G47:G49)</f>
        <v>17816.4159</v>
      </c>
      <c r="H50" s="9">
        <f>SUM(H47)</f>
        <v>5453.13</v>
      </c>
      <c r="I50" s="9">
        <v>42.67</v>
      </c>
      <c r="J50" s="8"/>
      <c r="K50" s="17">
        <v>650.75</v>
      </c>
    </row>
    <row r="51" spans="1:11" x14ac:dyDescent="0.3">
      <c r="A51" s="63" t="s">
        <v>35</v>
      </c>
      <c r="B51" s="64"/>
      <c r="C51" s="64"/>
      <c r="D51" s="64"/>
      <c r="E51" s="64"/>
      <c r="F51" s="64"/>
      <c r="G51" s="64"/>
      <c r="H51" s="64"/>
      <c r="I51" s="64"/>
      <c r="J51" s="64"/>
      <c r="K51" s="65"/>
    </row>
    <row r="52" spans="1:11" ht="136.19999999999999" customHeight="1" x14ac:dyDescent="0.3">
      <c r="A52" s="31">
        <v>11</v>
      </c>
      <c r="B52" s="26" t="s">
        <v>92</v>
      </c>
      <c r="C52" s="27" t="s">
        <v>36</v>
      </c>
      <c r="D52" s="22">
        <v>0.98</v>
      </c>
      <c r="E52" s="24" t="s">
        <v>94</v>
      </c>
      <c r="F52" s="22" t="s">
        <v>93</v>
      </c>
      <c r="G52" s="22">
        <f>D52*25973.35</f>
        <v>25453.882999999998</v>
      </c>
      <c r="H52" s="22">
        <f>D52*2287.75</f>
        <v>2241.9949999999999</v>
      </c>
      <c r="I52" s="22" t="s">
        <v>95</v>
      </c>
      <c r="J52" s="22">
        <v>249.21</v>
      </c>
      <c r="K52" s="22">
        <f>J52*D52</f>
        <v>244.22579999999999</v>
      </c>
    </row>
    <row r="53" spans="1:11" s="30" customFormat="1" ht="141.6" customHeight="1" x14ac:dyDescent="0.3">
      <c r="A53" s="25"/>
      <c r="B53" s="25" t="s">
        <v>47</v>
      </c>
      <c r="C53" s="23" t="s">
        <v>78</v>
      </c>
      <c r="D53" s="25"/>
      <c r="E53" s="25"/>
      <c r="F53" s="25"/>
      <c r="G53" s="10">
        <f>H52+581.07*110%</f>
        <v>2881.172</v>
      </c>
      <c r="H53" s="25"/>
      <c r="I53" s="25"/>
      <c r="J53" s="25"/>
      <c r="K53" s="25"/>
    </row>
    <row r="54" spans="1:11" s="30" customFormat="1" ht="136.19999999999999" customHeight="1" x14ac:dyDescent="0.3">
      <c r="A54" s="25"/>
      <c r="B54" s="25" t="s">
        <v>49</v>
      </c>
      <c r="C54" s="23" t="s">
        <v>84</v>
      </c>
      <c r="D54" s="25"/>
      <c r="E54" s="25"/>
      <c r="F54" s="25"/>
      <c r="G54" s="10">
        <f>H52+581.07*73%</f>
        <v>2666.1760999999997</v>
      </c>
      <c r="H54" s="25"/>
      <c r="I54" s="25"/>
      <c r="J54" s="25"/>
      <c r="K54" s="25"/>
    </row>
    <row r="55" spans="1:11" s="30" customFormat="1" ht="43.8" customHeight="1" x14ac:dyDescent="0.3">
      <c r="A55" s="25"/>
      <c r="B55" s="25"/>
      <c r="C55" s="29" t="s">
        <v>96</v>
      </c>
      <c r="D55" s="25"/>
      <c r="E55" s="25"/>
      <c r="F55" s="25"/>
      <c r="G55" s="28">
        <f>SUM(G52:G54)</f>
        <v>31001.231099999997</v>
      </c>
      <c r="H55" s="28">
        <v>2242</v>
      </c>
      <c r="I55" s="28" t="s">
        <v>95</v>
      </c>
      <c r="J55" s="28"/>
      <c r="K55" s="28">
        <v>244.23</v>
      </c>
    </row>
    <row r="56" spans="1:11" x14ac:dyDescent="0.3">
      <c r="A56" s="66" t="s">
        <v>37</v>
      </c>
      <c r="B56" s="67"/>
      <c r="C56" s="67"/>
      <c r="D56" s="67"/>
      <c r="E56" s="67"/>
      <c r="F56" s="67"/>
      <c r="G56" s="67"/>
      <c r="H56" s="67"/>
      <c r="I56" s="67"/>
      <c r="J56" s="67"/>
      <c r="K56" s="68"/>
    </row>
    <row r="57" spans="1:11" ht="124.8" customHeight="1" x14ac:dyDescent="0.3">
      <c r="A57" s="32">
        <v>12</v>
      </c>
      <c r="B57" s="17" t="s">
        <v>98</v>
      </c>
      <c r="C57" s="25" t="s">
        <v>97</v>
      </c>
      <c r="D57" s="15">
        <v>0.39</v>
      </c>
      <c r="E57" s="15" t="s">
        <v>99</v>
      </c>
      <c r="F57" s="15" t="s">
        <v>100</v>
      </c>
      <c r="G57" s="15">
        <f>34085.05*D57</f>
        <v>13293.169500000002</v>
      </c>
      <c r="H57" s="15">
        <f>7371.62*D57</f>
        <v>2874.9317999999998</v>
      </c>
      <c r="I57" s="15" t="s">
        <v>101</v>
      </c>
      <c r="J57" s="15">
        <v>722</v>
      </c>
      <c r="K57" s="15">
        <f>J57*D57</f>
        <v>281.58</v>
      </c>
    </row>
    <row r="58" spans="1:11" ht="45.6" customHeight="1" x14ac:dyDescent="0.3">
      <c r="A58" s="32"/>
      <c r="B58" s="17" t="s">
        <v>106</v>
      </c>
      <c r="C58" s="18" t="s">
        <v>102</v>
      </c>
      <c r="D58" s="32">
        <v>39</v>
      </c>
      <c r="E58" s="15">
        <v>5889.87</v>
      </c>
      <c r="F58" s="15"/>
      <c r="G58" s="15">
        <f>E58*D58</f>
        <v>229704.93</v>
      </c>
      <c r="H58" s="15"/>
      <c r="I58" s="15"/>
      <c r="J58" s="15"/>
      <c r="K58" s="15"/>
    </row>
    <row r="59" spans="1:11" ht="139.80000000000001" customHeight="1" x14ac:dyDescent="0.3">
      <c r="A59" s="32"/>
      <c r="B59" s="25" t="s">
        <v>47</v>
      </c>
      <c r="C59" s="33" t="s">
        <v>110</v>
      </c>
      <c r="D59" s="32"/>
      <c r="E59" s="15"/>
      <c r="F59" s="15"/>
      <c r="G59" s="15">
        <f>H57+784.18*109%</f>
        <v>3729.6880000000001</v>
      </c>
      <c r="H59" s="15"/>
      <c r="I59" s="15"/>
      <c r="J59" s="15"/>
      <c r="K59" s="15"/>
    </row>
    <row r="60" spans="1:11" ht="126" customHeight="1" x14ac:dyDescent="0.3">
      <c r="A60" s="32"/>
      <c r="B60" s="25" t="s">
        <v>49</v>
      </c>
      <c r="C60" s="33" t="s">
        <v>144</v>
      </c>
      <c r="D60" s="32"/>
      <c r="E60" s="15"/>
      <c r="F60" s="15"/>
      <c r="G60" s="15">
        <f>H57+784.18*59%</f>
        <v>3337.598</v>
      </c>
      <c r="H60" s="15"/>
      <c r="I60" s="15"/>
      <c r="J60" s="15"/>
      <c r="K60" s="15"/>
    </row>
    <row r="61" spans="1:11" ht="58.2" customHeight="1" x14ac:dyDescent="0.3">
      <c r="A61" s="32">
        <v>13</v>
      </c>
      <c r="B61" s="17" t="s">
        <v>103</v>
      </c>
      <c r="C61" s="25" t="s">
        <v>38</v>
      </c>
      <c r="D61" s="15">
        <v>6.42</v>
      </c>
      <c r="E61" s="15" t="s">
        <v>104</v>
      </c>
      <c r="F61" s="15" t="s">
        <v>105</v>
      </c>
      <c r="G61" s="15">
        <f>1758.59*6.42</f>
        <v>11290.147799999999</v>
      </c>
      <c r="H61" s="15">
        <f>139.04*6.42</f>
        <v>892.63679999999999</v>
      </c>
      <c r="I61" s="15" t="s">
        <v>109</v>
      </c>
      <c r="J61" s="15">
        <v>15.5</v>
      </c>
      <c r="K61" s="15">
        <f>J61*D61</f>
        <v>99.51</v>
      </c>
    </row>
    <row r="62" spans="1:11" ht="138" customHeight="1" x14ac:dyDescent="0.3">
      <c r="A62" s="32"/>
      <c r="B62" s="25" t="s">
        <v>47</v>
      </c>
      <c r="C62" s="25" t="s">
        <v>110</v>
      </c>
      <c r="D62" s="15"/>
      <c r="E62" s="15"/>
      <c r="F62" s="15"/>
      <c r="G62" s="15">
        <f>H61+23.11*109%</f>
        <v>917.82669999999996</v>
      </c>
      <c r="H62" s="15"/>
      <c r="I62" s="15"/>
      <c r="J62" s="15"/>
      <c r="K62" s="15"/>
    </row>
    <row r="63" spans="1:11" ht="140.4" customHeight="1" x14ac:dyDescent="0.3">
      <c r="A63" s="32"/>
      <c r="B63" s="25" t="s">
        <v>49</v>
      </c>
      <c r="C63" s="25" t="s">
        <v>111</v>
      </c>
      <c r="D63" s="15"/>
      <c r="E63" s="15"/>
      <c r="F63" s="15"/>
      <c r="G63" s="15">
        <f>H61+23.11*57%</f>
        <v>905.80949999999996</v>
      </c>
      <c r="H63" s="15"/>
      <c r="I63" s="15"/>
      <c r="J63" s="15"/>
      <c r="K63" s="15"/>
    </row>
    <row r="64" spans="1:11" ht="44.4" customHeight="1" x14ac:dyDescent="0.3">
      <c r="A64" s="32"/>
      <c r="B64" s="25"/>
      <c r="C64" s="34" t="s">
        <v>112</v>
      </c>
      <c r="D64" s="15"/>
      <c r="E64" s="15"/>
      <c r="F64" s="15"/>
      <c r="G64" s="17">
        <f>SUM(G57:G63)</f>
        <v>263179.16949999996</v>
      </c>
      <c r="H64" s="17">
        <f>H61+H57</f>
        <v>3767.5685999999996</v>
      </c>
      <c r="I64" s="17" t="s">
        <v>113</v>
      </c>
      <c r="J64" s="17"/>
      <c r="K64" s="17">
        <f>K61+K57</f>
        <v>381.09</v>
      </c>
    </row>
    <row r="65" spans="1:11" x14ac:dyDescent="0.3">
      <c r="A65" s="66" t="s">
        <v>39</v>
      </c>
      <c r="B65" s="67"/>
      <c r="C65" s="67"/>
      <c r="D65" s="67"/>
      <c r="E65" s="67"/>
      <c r="F65" s="67"/>
      <c r="G65" s="67"/>
      <c r="H65" s="67"/>
      <c r="I65" s="67"/>
      <c r="J65" s="67"/>
      <c r="K65" s="68"/>
    </row>
    <row r="66" spans="1:11" ht="82.8" x14ac:dyDescent="0.3">
      <c r="A66" s="32">
        <v>14</v>
      </c>
      <c r="B66" s="17" t="s">
        <v>114</v>
      </c>
      <c r="C66" s="25" t="s">
        <v>40</v>
      </c>
      <c r="D66" s="15">
        <v>10.47</v>
      </c>
      <c r="E66" s="15" t="s">
        <v>115</v>
      </c>
      <c r="F66" s="15" t="s">
        <v>116</v>
      </c>
      <c r="G66" s="15">
        <f>D66*295.41</f>
        <v>3092.9427000000005</v>
      </c>
      <c r="H66" s="15">
        <f>D66*277.14</f>
        <v>2901.6558</v>
      </c>
      <c r="I66" s="15" t="s">
        <v>117</v>
      </c>
      <c r="J66" s="15">
        <v>32.49</v>
      </c>
      <c r="K66" s="15">
        <f>J66*D66</f>
        <v>340.17030000000005</v>
      </c>
    </row>
    <row r="67" spans="1:11" ht="138" customHeight="1" x14ac:dyDescent="0.3">
      <c r="A67" s="32"/>
      <c r="B67" s="25" t="s">
        <v>47</v>
      </c>
      <c r="C67" s="25" t="s">
        <v>118</v>
      </c>
      <c r="D67" s="15"/>
      <c r="E67" s="15"/>
      <c r="F67" s="15"/>
      <c r="G67" s="15">
        <f>H66+105.54*100%</f>
        <v>3007.1958</v>
      </c>
      <c r="H67" s="15"/>
      <c r="I67" s="15"/>
      <c r="J67" s="15"/>
      <c r="K67" s="15"/>
    </row>
    <row r="68" spans="1:11" ht="132.6" customHeight="1" x14ac:dyDescent="0.3">
      <c r="A68" s="32"/>
      <c r="B68" s="25" t="s">
        <v>49</v>
      </c>
      <c r="C68" s="25" t="s">
        <v>119</v>
      </c>
      <c r="D68" s="15"/>
      <c r="E68" s="15"/>
      <c r="F68" s="15"/>
      <c r="G68" s="15">
        <f>H66+105.54*49%</f>
        <v>2953.3703999999998</v>
      </c>
      <c r="H68" s="15"/>
      <c r="I68" s="15"/>
      <c r="J68" s="15"/>
      <c r="K68" s="15"/>
    </row>
    <row r="69" spans="1:11" ht="124.2" x14ac:dyDescent="0.3">
      <c r="A69" s="32">
        <v>15</v>
      </c>
      <c r="B69" s="17" t="s">
        <v>120</v>
      </c>
      <c r="C69" s="25" t="s">
        <v>41</v>
      </c>
      <c r="D69" s="15">
        <v>16.39</v>
      </c>
      <c r="E69" s="15" t="s">
        <v>121</v>
      </c>
      <c r="F69" s="15" t="s">
        <v>122</v>
      </c>
      <c r="G69" s="15">
        <f>D69*192.05</f>
        <v>3147.6995000000002</v>
      </c>
      <c r="H69" s="15">
        <f>D69*138.14</f>
        <v>2264.1145999999999</v>
      </c>
      <c r="I69" s="15" t="s">
        <v>123</v>
      </c>
      <c r="J69" s="15">
        <v>15.4</v>
      </c>
      <c r="K69" s="15">
        <f>J69*D69</f>
        <v>252.40600000000001</v>
      </c>
    </row>
    <row r="70" spans="1:11" ht="139.80000000000001" customHeight="1" x14ac:dyDescent="0.3">
      <c r="A70" s="32"/>
      <c r="B70" s="25" t="s">
        <v>47</v>
      </c>
      <c r="C70" s="25" t="s">
        <v>118</v>
      </c>
      <c r="D70" s="15"/>
      <c r="E70" s="15"/>
      <c r="F70" s="15"/>
      <c r="G70" s="15">
        <f>H69+19.34*100%</f>
        <v>2283.4546</v>
      </c>
      <c r="H70" s="15"/>
      <c r="I70" s="15"/>
      <c r="J70" s="15"/>
      <c r="K70" s="15"/>
    </row>
    <row r="71" spans="1:11" ht="132" customHeight="1" x14ac:dyDescent="0.3">
      <c r="A71" s="32"/>
      <c r="B71" s="25" t="s">
        <v>49</v>
      </c>
      <c r="C71" s="25" t="s">
        <v>119</v>
      </c>
      <c r="D71" s="15"/>
      <c r="E71" s="15"/>
      <c r="F71" s="15"/>
      <c r="G71" s="15">
        <f>H69+19.34*49%</f>
        <v>2273.5911999999998</v>
      </c>
      <c r="H71" s="15"/>
      <c r="I71" s="15"/>
      <c r="J71" s="15"/>
      <c r="K71" s="15"/>
    </row>
    <row r="72" spans="1:11" ht="72" customHeight="1" x14ac:dyDescent="0.3">
      <c r="A72" s="32">
        <v>16</v>
      </c>
      <c r="B72" s="17" t="s">
        <v>125</v>
      </c>
      <c r="C72" s="25" t="s">
        <v>42</v>
      </c>
      <c r="D72" s="15">
        <v>19.27</v>
      </c>
      <c r="E72" s="15" t="s">
        <v>126</v>
      </c>
      <c r="F72" s="15" t="s">
        <v>127</v>
      </c>
      <c r="G72" s="15">
        <f>D72*473.96</f>
        <v>9133.2091999999993</v>
      </c>
      <c r="H72" s="15">
        <f>D72*222.87</f>
        <v>4294.7048999999997</v>
      </c>
      <c r="I72" s="15" t="s">
        <v>128</v>
      </c>
      <c r="J72" s="15">
        <v>25.5</v>
      </c>
      <c r="K72" s="15">
        <f>J72*D72</f>
        <v>491.38499999999999</v>
      </c>
    </row>
    <row r="73" spans="1:11" ht="138.6" x14ac:dyDescent="0.3">
      <c r="A73" s="35"/>
      <c r="B73" s="36" t="s">
        <v>47</v>
      </c>
      <c r="C73" s="25" t="s">
        <v>118</v>
      </c>
      <c r="D73" s="35"/>
      <c r="E73" s="35"/>
      <c r="F73" s="35"/>
      <c r="G73" s="15">
        <f>H72+13.87*100%</f>
        <v>4308.5748999999996</v>
      </c>
      <c r="H73" s="13"/>
      <c r="I73" s="13"/>
      <c r="J73" s="13"/>
      <c r="K73" s="13"/>
    </row>
    <row r="74" spans="1:11" ht="138.6" x14ac:dyDescent="0.3">
      <c r="A74" s="35"/>
      <c r="B74" s="36" t="s">
        <v>49</v>
      </c>
      <c r="C74" s="25" t="s">
        <v>119</v>
      </c>
      <c r="D74" s="35"/>
      <c r="E74" s="35"/>
      <c r="F74" s="35"/>
      <c r="G74" s="15">
        <f>H72+13.87*49%</f>
        <v>4301.5011999999997</v>
      </c>
      <c r="H74" s="13"/>
      <c r="I74" s="13"/>
      <c r="J74" s="13"/>
      <c r="K74" s="13"/>
    </row>
    <row r="75" spans="1:11" ht="30" customHeight="1" x14ac:dyDescent="0.3">
      <c r="A75" s="35"/>
      <c r="B75" s="35"/>
      <c r="C75" s="14" t="s">
        <v>124</v>
      </c>
      <c r="D75" s="35"/>
      <c r="E75" s="35"/>
      <c r="F75" s="35"/>
      <c r="G75" s="17">
        <f>SUM(G66:G74)</f>
        <v>34501.539499999999</v>
      </c>
      <c r="H75" s="17">
        <f>H72+H69+H66</f>
        <v>9460.4753000000001</v>
      </c>
      <c r="I75" s="14" t="s">
        <v>129</v>
      </c>
      <c r="J75" s="14"/>
      <c r="K75" s="17">
        <f>K72+K69+K66</f>
        <v>1083.9612999999999</v>
      </c>
    </row>
    <row r="76" spans="1:11" ht="30" customHeight="1" x14ac:dyDescent="0.3">
      <c r="A76" s="12"/>
      <c r="B76" s="12"/>
      <c r="C76" s="38" t="s">
        <v>130</v>
      </c>
      <c r="D76" s="12"/>
      <c r="E76" s="12"/>
      <c r="F76" s="12"/>
      <c r="G76" s="28">
        <f>G75+G64+G55+G50+G45+G33</f>
        <v>389646.09363999998</v>
      </c>
      <c r="H76" s="28">
        <f>H75+H64+H55+H50+H45+H33</f>
        <v>25160.443900000002</v>
      </c>
      <c r="I76" s="37" t="s">
        <v>137</v>
      </c>
      <c r="J76" s="37"/>
      <c r="K76" s="28">
        <f>K75+K64+K55+K50+K45+K33</f>
        <v>2842.0105999999996</v>
      </c>
    </row>
    <row r="77" spans="1:11" x14ac:dyDescent="0.3">
      <c r="A77" s="12"/>
      <c r="B77" s="12"/>
      <c r="C77" s="38" t="s">
        <v>131</v>
      </c>
      <c r="D77" s="12"/>
      <c r="E77" s="12"/>
      <c r="F77" s="12"/>
      <c r="G77" s="28"/>
      <c r="H77" s="37"/>
      <c r="I77" s="37"/>
      <c r="J77" s="37"/>
      <c r="K77" s="37"/>
    </row>
    <row r="78" spans="1:11" ht="21" customHeight="1" x14ac:dyDescent="0.3">
      <c r="A78" s="12"/>
      <c r="B78" s="12"/>
      <c r="C78" s="38" t="s">
        <v>132</v>
      </c>
      <c r="D78" s="12"/>
      <c r="E78" s="12"/>
      <c r="F78" s="12"/>
      <c r="G78" s="28">
        <f>G76-G79-G80-G81-G82</f>
        <v>259213.67843999999</v>
      </c>
      <c r="H78" s="37"/>
      <c r="I78" s="37"/>
      <c r="J78" s="37"/>
      <c r="K78" s="37"/>
    </row>
    <row r="79" spans="1:11" ht="25.8" customHeight="1" x14ac:dyDescent="0.3">
      <c r="A79" s="12"/>
      <c r="B79" s="12"/>
      <c r="C79" s="38" t="s">
        <v>133</v>
      </c>
      <c r="D79" s="12"/>
      <c r="E79" s="12"/>
      <c r="F79" s="12"/>
      <c r="G79" s="28">
        <v>28653.68</v>
      </c>
      <c r="H79" s="37"/>
      <c r="I79" s="37"/>
      <c r="J79" s="37"/>
      <c r="K79" s="37"/>
    </row>
    <row r="80" spans="1:11" ht="18.600000000000001" customHeight="1" x14ac:dyDescent="0.3">
      <c r="A80" s="12"/>
      <c r="B80" s="12"/>
      <c r="C80" s="38" t="s">
        <v>134</v>
      </c>
      <c r="D80" s="12"/>
      <c r="E80" s="12"/>
      <c r="F80" s="12"/>
      <c r="G80" s="28">
        <f>H76+G79</f>
        <v>53814.123900000006</v>
      </c>
      <c r="H80" s="37"/>
      <c r="I80" s="37"/>
      <c r="J80" s="37"/>
      <c r="K80" s="37"/>
    </row>
    <row r="81" spans="1:11" x14ac:dyDescent="0.3">
      <c r="A81" s="12"/>
      <c r="B81" s="12"/>
      <c r="C81" s="38" t="s">
        <v>135</v>
      </c>
      <c r="D81" s="12"/>
      <c r="E81" s="12"/>
      <c r="F81" s="12"/>
      <c r="G81" s="28">
        <f>G73+G70+G67+G62+G59+G53+G48+G43+G39+G36+G31+G28+G25+G22+G19+G16</f>
        <v>27622.917799999999</v>
      </c>
      <c r="H81" s="37"/>
      <c r="I81" s="37"/>
      <c r="J81" s="37"/>
      <c r="K81" s="37"/>
    </row>
    <row r="82" spans="1:11" x14ac:dyDescent="0.3">
      <c r="A82" s="12"/>
      <c r="B82" s="12"/>
      <c r="C82" s="38" t="s">
        <v>136</v>
      </c>
      <c r="D82" s="12"/>
      <c r="E82" s="12"/>
      <c r="F82" s="12"/>
      <c r="G82" s="28">
        <f>G71+G68+G63+G60+G54+G49+G44+G40+G32+G29+G26+G23+G20+G17</f>
        <v>20341.693500000001</v>
      </c>
      <c r="H82" s="37"/>
      <c r="I82" s="37"/>
      <c r="J82" s="37"/>
      <c r="K82" s="37"/>
    </row>
    <row r="83" spans="1:11" ht="46.8" customHeight="1" x14ac:dyDescent="0.3">
      <c r="A83" s="12"/>
      <c r="B83" s="37" t="s">
        <v>147</v>
      </c>
      <c r="C83" s="38" t="s">
        <v>143</v>
      </c>
      <c r="D83" s="12"/>
      <c r="E83" s="12"/>
      <c r="F83" s="12"/>
      <c r="G83" s="28">
        <f>SUM(G85:G89)</f>
        <v>5853286.7868688004</v>
      </c>
      <c r="H83" s="37"/>
      <c r="I83" s="37"/>
      <c r="J83" s="37"/>
      <c r="K83" s="37"/>
    </row>
    <row r="84" spans="1:11" x14ac:dyDescent="0.3">
      <c r="A84" s="12"/>
      <c r="B84" s="12"/>
      <c r="C84" s="38" t="s">
        <v>131</v>
      </c>
      <c r="D84" s="12"/>
      <c r="E84" s="12"/>
      <c r="F84" s="12"/>
      <c r="G84" s="28"/>
      <c r="H84" s="37"/>
      <c r="I84" s="37"/>
      <c r="J84" s="37"/>
      <c r="K84" s="37"/>
    </row>
    <row r="85" spans="1:11" ht="27.6" x14ac:dyDescent="0.3">
      <c r="A85" s="12"/>
      <c r="B85" s="12"/>
      <c r="C85" s="38" t="s">
        <v>139</v>
      </c>
      <c r="D85" s="12"/>
      <c r="E85" s="12"/>
      <c r="F85" s="12"/>
      <c r="G85" s="28">
        <f>G78*8.92</f>
        <v>2312186.0116848</v>
      </c>
      <c r="H85" s="37"/>
      <c r="I85" s="37"/>
      <c r="J85" s="37"/>
      <c r="K85" s="37"/>
    </row>
    <row r="86" spans="1:11" ht="27.6" x14ac:dyDescent="0.3">
      <c r="A86" s="12"/>
      <c r="B86" s="12"/>
      <c r="C86" s="38" t="s">
        <v>138</v>
      </c>
      <c r="D86" s="12"/>
      <c r="E86" s="12"/>
      <c r="F86" s="12"/>
      <c r="G86" s="28">
        <f>G79*15.53</f>
        <v>444991.65039999998</v>
      </c>
      <c r="H86" s="37"/>
      <c r="I86" s="37"/>
      <c r="J86" s="37"/>
      <c r="K86" s="37"/>
    </row>
    <row r="87" spans="1:11" ht="27.6" x14ac:dyDescent="0.3">
      <c r="A87" s="12"/>
      <c r="B87" s="12"/>
      <c r="C87" s="38" t="s">
        <v>140</v>
      </c>
      <c r="D87" s="12"/>
      <c r="E87" s="12"/>
      <c r="F87" s="12"/>
      <c r="G87" s="28">
        <f>G80*30.42</f>
        <v>1637025.6490380003</v>
      </c>
      <c r="H87" s="37"/>
      <c r="I87" s="37"/>
      <c r="J87" s="37"/>
      <c r="K87" s="37"/>
    </row>
    <row r="88" spans="1:11" ht="27.6" x14ac:dyDescent="0.3">
      <c r="A88" s="12"/>
      <c r="B88" s="12"/>
      <c r="C88" s="38" t="s">
        <v>141</v>
      </c>
      <c r="D88" s="12"/>
      <c r="E88" s="12"/>
      <c r="F88" s="12"/>
      <c r="G88" s="28">
        <f>G81*30.42</f>
        <v>840289.159476</v>
      </c>
      <c r="H88" s="37"/>
      <c r="I88" s="37"/>
      <c r="J88" s="37"/>
      <c r="K88" s="37"/>
    </row>
    <row r="89" spans="1:11" ht="27.6" x14ac:dyDescent="0.3">
      <c r="A89" s="12"/>
      <c r="B89" s="12"/>
      <c r="C89" s="38" t="s">
        <v>142</v>
      </c>
      <c r="D89" s="12"/>
      <c r="E89" s="12"/>
      <c r="F89" s="12"/>
      <c r="G89" s="28">
        <f>G82*30.42</f>
        <v>618794.31627000007</v>
      </c>
      <c r="H89" s="37"/>
      <c r="I89" s="37"/>
      <c r="J89" s="37"/>
      <c r="K89" s="37"/>
    </row>
  </sheetData>
  <mergeCells count="26">
    <mergeCell ref="A7:K7"/>
    <mergeCell ref="A8:K8"/>
    <mergeCell ref="J9:K9"/>
    <mergeCell ref="J10:K10"/>
    <mergeCell ref="A1:K1"/>
    <mergeCell ref="A2:K2"/>
    <mergeCell ref="A3:K3"/>
    <mergeCell ref="A4:K4"/>
    <mergeCell ref="A5:K5"/>
    <mergeCell ref="A6:K6"/>
    <mergeCell ref="A46:K46"/>
    <mergeCell ref="A51:K51"/>
    <mergeCell ref="A56:K56"/>
    <mergeCell ref="A65:K65"/>
    <mergeCell ref="E9:F10"/>
    <mergeCell ref="G9:I10"/>
    <mergeCell ref="J11:J12"/>
    <mergeCell ref="K11:K12"/>
    <mergeCell ref="G11:G12"/>
    <mergeCell ref="H11:H12"/>
    <mergeCell ref="A14:K14"/>
    <mergeCell ref="A34:K34"/>
    <mergeCell ref="A9:A12"/>
    <mergeCell ref="B9:B12"/>
    <mergeCell ref="C9:C12"/>
    <mergeCell ref="D9:D1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4" zoomScaleNormal="100" workbookViewId="0">
      <selection activeCell="C27" sqref="C27"/>
    </sheetView>
  </sheetViews>
  <sheetFormatPr defaultRowHeight="14.4" x14ac:dyDescent="0.3"/>
  <cols>
    <col min="1" max="1" width="5.33203125" customWidth="1"/>
    <col min="2" max="2" width="17.109375" customWidth="1"/>
    <col min="3" max="3" width="26.77734375" customWidth="1"/>
    <col min="4" max="4" width="13.33203125" customWidth="1"/>
    <col min="5" max="5" width="12.44140625" customWidth="1"/>
    <col min="6" max="6" width="14.21875" customWidth="1"/>
    <col min="7" max="7" width="10.33203125" customWidth="1"/>
    <col min="8" max="8" width="9.77734375" customWidth="1"/>
    <col min="9" max="9" width="12.109375" customWidth="1"/>
    <col min="10" max="10" width="11.77734375" customWidth="1"/>
    <col min="11" max="11" width="8.88671875" hidden="1" customWidth="1"/>
  </cols>
  <sheetData>
    <row r="1" spans="1:15" ht="14.4" customHeight="1" x14ac:dyDescent="0.3">
      <c r="A1" s="77" t="s">
        <v>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40"/>
      <c r="M1" s="40"/>
      <c r="N1" s="40"/>
      <c r="O1" s="40"/>
    </row>
    <row r="2" spans="1:15" ht="14.4" customHeight="1" x14ac:dyDescent="0.3">
      <c r="A2" s="78" t="s">
        <v>148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40"/>
      <c r="M2" s="40"/>
      <c r="N2" s="40"/>
      <c r="O2" s="40"/>
    </row>
    <row r="3" spans="1:15" ht="14.4" customHeight="1" x14ac:dyDescent="0.3">
      <c r="A3" s="78" t="s">
        <v>149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40"/>
      <c r="M3" s="40"/>
      <c r="N3" s="40"/>
      <c r="O3" s="40"/>
    </row>
    <row r="4" spans="1:15" ht="14.4" customHeight="1" x14ac:dyDescent="0.3">
      <c r="A4" s="77" t="s">
        <v>150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40"/>
      <c r="M4" s="40"/>
      <c r="N4" s="40"/>
      <c r="O4" s="40"/>
    </row>
    <row r="5" spans="1:15" ht="14.4" customHeight="1" x14ac:dyDescent="0.3">
      <c r="A5" s="78" t="s">
        <v>151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40"/>
      <c r="M5" s="40"/>
      <c r="N5" s="40"/>
      <c r="O5" s="40"/>
    </row>
    <row r="6" spans="1:15" ht="14.4" customHeight="1" x14ac:dyDescent="0.3">
      <c r="A6" s="78" t="s">
        <v>185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40"/>
      <c r="M6" s="40"/>
      <c r="N6" s="40"/>
      <c r="O6" s="40"/>
    </row>
    <row r="7" spans="1:15" ht="14.4" customHeight="1" x14ac:dyDescent="0.3">
      <c r="A7" s="78" t="s">
        <v>184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40"/>
      <c r="M7" s="40"/>
      <c r="N7" s="40"/>
      <c r="O7" s="40"/>
    </row>
    <row r="8" spans="1:15" ht="14.4" customHeight="1" x14ac:dyDescent="0.3">
      <c r="A8" s="78" t="s">
        <v>186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40"/>
      <c r="M8" s="40"/>
      <c r="N8" s="40"/>
      <c r="O8" s="40"/>
    </row>
    <row r="9" spans="1:15" ht="14.4" customHeight="1" x14ac:dyDescent="0.3">
      <c r="A9" s="78" t="s">
        <v>152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40"/>
      <c r="M9" s="40"/>
      <c r="N9" s="40"/>
      <c r="O9" s="40"/>
    </row>
    <row r="10" spans="1:15" ht="14.4" customHeight="1" x14ac:dyDescent="0.3">
      <c r="A10" s="79" t="s">
        <v>153</v>
      </c>
      <c r="B10" s="79" t="s">
        <v>154</v>
      </c>
      <c r="C10" s="79" t="s">
        <v>155</v>
      </c>
      <c r="D10" s="79" t="s">
        <v>156</v>
      </c>
      <c r="E10" s="79"/>
      <c r="F10" s="79"/>
      <c r="G10" s="79"/>
      <c r="H10" s="79"/>
      <c r="I10" s="79" t="s">
        <v>161</v>
      </c>
      <c r="J10" s="79" t="s">
        <v>162</v>
      </c>
      <c r="K10" s="40"/>
      <c r="L10" s="40"/>
      <c r="M10" s="40"/>
      <c r="N10" s="40"/>
      <c r="O10" s="40"/>
    </row>
    <row r="11" spans="1:15" ht="14.4" customHeight="1" x14ac:dyDescent="0.3">
      <c r="A11" s="79"/>
      <c r="B11" s="79"/>
      <c r="C11" s="79"/>
      <c r="D11" s="79" t="s">
        <v>157</v>
      </c>
      <c r="E11" s="79" t="s">
        <v>158</v>
      </c>
      <c r="F11" s="79" t="s">
        <v>159</v>
      </c>
      <c r="G11" s="79" t="s">
        <v>160</v>
      </c>
      <c r="H11" s="79" t="s">
        <v>11</v>
      </c>
      <c r="I11" s="79"/>
      <c r="J11" s="79"/>
      <c r="K11" s="40"/>
      <c r="L11" s="40"/>
      <c r="M11" s="40"/>
      <c r="N11" s="40"/>
      <c r="O11" s="40"/>
    </row>
    <row r="12" spans="1:15" x14ac:dyDescent="0.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40"/>
      <c r="L12" s="40"/>
      <c r="M12" s="40"/>
      <c r="N12" s="40"/>
      <c r="O12" s="40"/>
    </row>
    <row r="13" spans="1:15" x14ac:dyDescent="0.3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40"/>
      <c r="L13" s="40"/>
      <c r="M13" s="40"/>
      <c r="N13" s="40"/>
      <c r="O13" s="40"/>
    </row>
    <row r="14" spans="1:15" x14ac:dyDescent="0.3">
      <c r="A14" s="43">
        <v>1</v>
      </c>
      <c r="B14" s="43">
        <v>2</v>
      </c>
      <c r="C14" s="43">
        <v>3</v>
      </c>
      <c r="D14" s="43">
        <v>4</v>
      </c>
      <c r="E14" s="43">
        <v>5</v>
      </c>
      <c r="F14" s="43">
        <v>6</v>
      </c>
      <c r="G14" s="43">
        <v>7</v>
      </c>
      <c r="H14" s="43">
        <v>8</v>
      </c>
      <c r="I14" s="43">
        <v>9</v>
      </c>
      <c r="J14" s="43">
        <v>10</v>
      </c>
      <c r="K14" s="40"/>
      <c r="L14" s="40"/>
      <c r="M14" s="40"/>
      <c r="N14" s="40"/>
      <c r="O14" s="40"/>
    </row>
    <row r="15" spans="1:15" x14ac:dyDescent="0.3">
      <c r="A15" s="43">
        <v>1</v>
      </c>
      <c r="B15" s="10" t="s">
        <v>163</v>
      </c>
      <c r="C15" s="25" t="s">
        <v>164</v>
      </c>
      <c r="D15" s="10">
        <v>5853.2867900000001</v>
      </c>
      <c r="E15" s="10"/>
      <c r="F15" s="10"/>
      <c r="G15" s="10"/>
      <c r="H15" s="10">
        <v>5853.2867900000001</v>
      </c>
      <c r="I15" s="10">
        <v>840.28916000000004</v>
      </c>
      <c r="J15" s="10">
        <f>H15/1200</f>
        <v>4.8777389916666669</v>
      </c>
      <c r="K15" s="40"/>
      <c r="L15" s="40"/>
      <c r="M15" s="40"/>
      <c r="N15" s="40"/>
      <c r="O15" s="40"/>
    </row>
    <row r="16" spans="1:15" x14ac:dyDescent="0.3">
      <c r="A16" s="43">
        <v>2</v>
      </c>
      <c r="B16" s="10" t="s">
        <v>165</v>
      </c>
      <c r="C16" s="25" t="s">
        <v>169</v>
      </c>
      <c r="D16" s="10">
        <v>152.15</v>
      </c>
      <c r="E16" s="10"/>
      <c r="F16" s="10"/>
      <c r="G16" s="10"/>
      <c r="H16" s="10">
        <v>152.15</v>
      </c>
      <c r="I16" s="10">
        <v>78.92</v>
      </c>
      <c r="J16" s="10">
        <f>H16/1200</f>
        <v>0.12679166666666666</v>
      </c>
      <c r="K16" s="40"/>
      <c r="L16" s="40"/>
      <c r="M16" s="40"/>
      <c r="N16" s="40"/>
      <c r="O16" s="40"/>
    </row>
    <row r="17" spans="1:15" x14ac:dyDescent="0.3">
      <c r="A17" s="43">
        <v>4</v>
      </c>
      <c r="B17" s="10" t="s">
        <v>166</v>
      </c>
      <c r="C17" s="25" t="s">
        <v>170</v>
      </c>
      <c r="D17" s="10">
        <v>237.54</v>
      </c>
      <c r="E17" s="10"/>
      <c r="F17" s="10"/>
      <c r="G17" s="10"/>
      <c r="H17" s="10">
        <v>237.54</v>
      </c>
      <c r="I17" s="10">
        <v>184.14</v>
      </c>
      <c r="J17" s="10">
        <f>H17/1200</f>
        <v>0.19794999999999999</v>
      </c>
      <c r="K17" s="40"/>
      <c r="L17" s="40"/>
      <c r="M17" s="40"/>
      <c r="N17" s="40"/>
      <c r="O17" s="40"/>
    </row>
    <row r="18" spans="1:15" x14ac:dyDescent="0.3">
      <c r="A18" s="43">
        <v>5</v>
      </c>
      <c r="B18" s="10" t="s">
        <v>167</v>
      </c>
      <c r="C18" s="25" t="s">
        <v>171</v>
      </c>
      <c r="D18" s="10">
        <v>173.8</v>
      </c>
      <c r="E18" s="10"/>
      <c r="F18" s="10"/>
      <c r="G18" s="10"/>
      <c r="H18" s="10">
        <v>173.8</v>
      </c>
      <c r="I18" s="10">
        <v>57.9</v>
      </c>
      <c r="J18" s="10">
        <f>H18/1200</f>
        <v>0.14483333333333334</v>
      </c>
      <c r="K18" s="40"/>
      <c r="L18" s="40"/>
      <c r="M18" s="40"/>
      <c r="N18" s="40"/>
      <c r="O18" s="40"/>
    </row>
    <row r="19" spans="1:15" x14ac:dyDescent="0.3">
      <c r="A19" s="43">
        <v>6</v>
      </c>
      <c r="B19" s="10" t="s">
        <v>168</v>
      </c>
      <c r="C19" s="25" t="s">
        <v>172</v>
      </c>
      <c r="D19" s="10"/>
      <c r="E19" s="10">
        <v>239.22</v>
      </c>
      <c r="F19" s="10"/>
      <c r="G19" s="10"/>
      <c r="H19" s="10">
        <v>239.22</v>
      </c>
      <c r="I19" s="10">
        <v>105.22</v>
      </c>
      <c r="J19" s="10">
        <f>H19/1200</f>
        <v>0.19935</v>
      </c>
      <c r="K19" s="40"/>
      <c r="L19" s="40"/>
      <c r="M19" s="40"/>
      <c r="N19" s="40"/>
      <c r="O19" s="40"/>
    </row>
    <row r="20" spans="1:15" x14ac:dyDescent="0.3">
      <c r="A20" s="43"/>
      <c r="B20" s="10"/>
      <c r="C20" s="34" t="s">
        <v>173</v>
      </c>
      <c r="D20" s="28">
        <f>SUM(D15:D18)</f>
        <v>6416.7767899999999</v>
      </c>
      <c r="E20" s="28">
        <v>239.22</v>
      </c>
      <c r="F20" s="28"/>
      <c r="G20" s="28"/>
      <c r="H20" s="28">
        <f>SUM(H15:H19)</f>
        <v>6655.9967900000001</v>
      </c>
      <c r="I20" s="28">
        <f>SUM(I15:I19)</f>
        <v>1266.4691600000001</v>
      </c>
      <c r="J20" s="28">
        <f>SUM(J15:J19)</f>
        <v>5.5466639916666667</v>
      </c>
      <c r="K20" s="40"/>
      <c r="L20" s="40"/>
      <c r="M20" s="40"/>
      <c r="N20" s="40"/>
      <c r="O20" s="40"/>
    </row>
    <row r="21" spans="1:15" ht="27.6" x14ac:dyDescent="0.3">
      <c r="A21" s="43"/>
      <c r="B21" s="10" t="s">
        <v>174</v>
      </c>
      <c r="C21" s="25" t="s">
        <v>175</v>
      </c>
      <c r="D21" s="10">
        <f>D20*2.7%</f>
        <v>173.25297333</v>
      </c>
      <c r="E21" s="10">
        <f>E20*2.7%</f>
        <v>6.458940000000001</v>
      </c>
      <c r="F21" s="10"/>
      <c r="G21" s="10"/>
      <c r="H21" s="10">
        <f>H20*2.7%</f>
        <v>179.71191333000002</v>
      </c>
      <c r="I21" s="10"/>
      <c r="J21" s="10">
        <f>J20*2.7%</f>
        <v>0.14975992777500002</v>
      </c>
      <c r="K21" s="40"/>
      <c r="L21" s="40"/>
      <c r="M21" s="40"/>
      <c r="N21" s="40"/>
      <c r="O21" s="40"/>
    </row>
    <row r="22" spans="1:15" x14ac:dyDescent="0.3">
      <c r="A22" s="43"/>
      <c r="B22" s="10"/>
      <c r="C22" s="34" t="s">
        <v>173</v>
      </c>
      <c r="D22" s="28">
        <f>D21+D20</f>
        <v>6590.0297633299997</v>
      </c>
      <c r="E22" s="28">
        <f>E21+E20</f>
        <v>245.67894000000001</v>
      </c>
      <c r="F22" s="28"/>
      <c r="G22" s="28"/>
      <c r="H22" s="28">
        <f>H21+H20</f>
        <v>6835.7087033300004</v>
      </c>
      <c r="I22" s="28">
        <f>I20</f>
        <v>1266.4691600000001</v>
      </c>
      <c r="J22" s="28">
        <f>J21+J20</f>
        <v>5.696423919441667</v>
      </c>
      <c r="K22" s="40"/>
      <c r="L22" s="40"/>
      <c r="M22" s="40"/>
      <c r="N22" s="40"/>
      <c r="O22" s="40"/>
    </row>
    <row r="23" spans="1:15" ht="27.6" x14ac:dyDescent="0.3">
      <c r="A23" s="43"/>
      <c r="B23" s="10" t="s">
        <v>177</v>
      </c>
      <c r="C23" s="25" t="s">
        <v>176</v>
      </c>
      <c r="D23" s="10">
        <f>D22*3.2%</f>
        <v>210.88095242655999</v>
      </c>
      <c r="E23" s="10">
        <f>E22*3.2%</f>
        <v>7.8617260800000004</v>
      </c>
      <c r="F23" s="10"/>
      <c r="G23" s="10"/>
      <c r="H23" s="10">
        <f>H22*3.2%</f>
        <v>218.74267850656003</v>
      </c>
      <c r="I23" s="10"/>
      <c r="J23" s="10">
        <f>J22*3.2%</f>
        <v>0.18228556542213334</v>
      </c>
      <c r="K23" s="40"/>
      <c r="L23" s="40"/>
      <c r="M23" s="40"/>
      <c r="N23" s="40"/>
      <c r="O23" s="40"/>
    </row>
    <row r="24" spans="1:15" x14ac:dyDescent="0.3">
      <c r="A24" s="43"/>
      <c r="B24" s="10"/>
      <c r="C24" s="34" t="s">
        <v>173</v>
      </c>
      <c r="D24" s="28">
        <f>D22+E24</f>
        <v>6843.5704294099996</v>
      </c>
      <c r="E24" s="28">
        <f>E23+E22</f>
        <v>253.54066608000002</v>
      </c>
      <c r="F24" s="28"/>
      <c r="G24" s="28"/>
      <c r="H24" s="28">
        <f>H23+H22</f>
        <v>7054.4513818365604</v>
      </c>
      <c r="I24" s="28">
        <f>I22</f>
        <v>1266.4691600000001</v>
      </c>
      <c r="J24" s="28">
        <f>J23+J22</f>
        <v>5.8787094848638004</v>
      </c>
      <c r="K24" s="40"/>
      <c r="L24" s="40"/>
      <c r="M24" s="40"/>
      <c r="N24" s="40"/>
      <c r="O24" s="40"/>
    </row>
    <row r="25" spans="1:15" ht="41.4" x14ac:dyDescent="0.3">
      <c r="A25" s="43"/>
      <c r="B25" s="10" t="s">
        <v>178</v>
      </c>
      <c r="C25" s="25" t="s">
        <v>179</v>
      </c>
      <c r="D25" s="10">
        <f>D24*2%</f>
        <v>136.87140858819998</v>
      </c>
      <c r="E25" s="10">
        <f>E24*2%</f>
        <v>5.0708133216000002</v>
      </c>
      <c r="F25" s="10"/>
      <c r="G25" s="10"/>
      <c r="H25" s="10">
        <f>H24*2%</f>
        <v>141.0890276367312</v>
      </c>
      <c r="I25" s="10"/>
      <c r="J25" s="10">
        <f>J24*25</f>
        <v>146.96773712159501</v>
      </c>
      <c r="K25" s="40"/>
      <c r="L25" s="40"/>
      <c r="M25" s="40"/>
      <c r="N25" s="40"/>
      <c r="O25" s="40"/>
    </row>
    <row r="26" spans="1:15" x14ac:dyDescent="0.3">
      <c r="A26" s="43"/>
      <c r="B26" s="10"/>
      <c r="C26" s="34" t="s">
        <v>180</v>
      </c>
      <c r="D26" s="28">
        <f>D25+D24</f>
        <v>6980.4418379981998</v>
      </c>
      <c r="E26" s="28">
        <f>E25+E24</f>
        <v>258.61147940160004</v>
      </c>
      <c r="F26" s="28"/>
      <c r="G26" s="28"/>
      <c r="H26" s="28">
        <f>H25+H24</f>
        <v>7195.5404094732912</v>
      </c>
      <c r="I26" s="28">
        <f>I24</f>
        <v>1266.4691600000001</v>
      </c>
      <c r="J26" s="28">
        <f>J25+J24</f>
        <v>152.84644660645881</v>
      </c>
      <c r="K26" s="40"/>
      <c r="L26" s="40"/>
      <c r="M26" s="40"/>
      <c r="N26" s="40"/>
      <c r="O26" s="40"/>
    </row>
    <row r="27" spans="1:15" x14ac:dyDescent="0.3">
      <c r="A27" s="43"/>
      <c r="B27" s="10" t="s">
        <v>181</v>
      </c>
      <c r="C27" s="25" t="s">
        <v>182</v>
      </c>
      <c r="D27" s="10">
        <f>D26*20%</f>
        <v>1396.0883675996402</v>
      </c>
      <c r="E27" s="10">
        <f>E26*20%</f>
        <v>51.722295880320011</v>
      </c>
      <c r="F27" s="10"/>
      <c r="G27" s="10"/>
      <c r="H27" s="10">
        <f>H26*20%</f>
        <v>1439.1080818946584</v>
      </c>
      <c r="I27" s="10"/>
      <c r="J27" s="10"/>
      <c r="K27" s="40"/>
      <c r="L27" s="40"/>
      <c r="M27" s="40"/>
      <c r="N27" s="40"/>
      <c r="O27" s="40"/>
    </row>
    <row r="28" spans="1:15" x14ac:dyDescent="0.3">
      <c r="A28" s="43"/>
      <c r="B28" s="42"/>
      <c r="C28" s="34" t="s">
        <v>183</v>
      </c>
      <c r="D28" s="28">
        <f>D27+D26</f>
        <v>8376.5302055978391</v>
      </c>
      <c r="E28" s="28">
        <f>E27+E26</f>
        <v>310.33377528192005</v>
      </c>
      <c r="F28" s="28"/>
      <c r="G28" s="28"/>
      <c r="H28" s="28">
        <f>H27+H26</f>
        <v>8634.6484913679487</v>
      </c>
      <c r="I28" s="28"/>
      <c r="J28" s="28"/>
      <c r="K28" s="40"/>
      <c r="L28" s="40"/>
      <c r="M28" s="40"/>
      <c r="N28" s="40"/>
      <c r="O28" s="40"/>
    </row>
    <row r="29" spans="1:15" x14ac:dyDescent="0.3">
      <c r="A29" s="47"/>
      <c r="B29" s="48"/>
      <c r="C29" s="49"/>
      <c r="D29" s="48"/>
      <c r="E29" s="48"/>
      <c r="F29" s="48"/>
      <c r="G29" s="48"/>
      <c r="H29" s="48"/>
      <c r="I29" s="48"/>
      <c r="J29" s="48"/>
      <c r="K29" s="48"/>
      <c r="L29" s="48"/>
      <c r="M29" s="40"/>
      <c r="N29" s="40"/>
      <c r="O29" s="40"/>
    </row>
    <row r="30" spans="1:15" x14ac:dyDescent="0.3">
      <c r="A30" s="47"/>
      <c r="B30" s="48"/>
      <c r="C30" s="49"/>
      <c r="D30" s="48"/>
      <c r="E30" s="48"/>
      <c r="F30" s="48"/>
      <c r="G30" s="48"/>
      <c r="H30" s="48"/>
      <c r="I30" s="48"/>
      <c r="J30" s="48"/>
      <c r="K30" s="48"/>
      <c r="L30" s="48"/>
      <c r="M30" s="40"/>
      <c r="N30" s="40"/>
      <c r="O30" s="40"/>
    </row>
    <row r="31" spans="1:15" x14ac:dyDescent="0.3">
      <c r="A31" s="47"/>
      <c r="B31" s="48"/>
      <c r="C31" s="49"/>
      <c r="D31" s="48"/>
      <c r="E31" s="48"/>
      <c r="F31" s="48"/>
      <c r="G31" s="48"/>
      <c r="H31" s="48"/>
      <c r="I31" s="48"/>
      <c r="J31" s="48"/>
      <c r="K31" s="48"/>
      <c r="L31" s="48"/>
      <c r="M31" s="40"/>
      <c r="N31" s="40"/>
      <c r="O31" s="40"/>
    </row>
    <row r="32" spans="1:15" x14ac:dyDescent="0.3">
      <c r="A32" s="47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0"/>
      <c r="N32" s="40"/>
      <c r="O32" s="40"/>
    </row>
    <row r="33" spans="1:15" x14ac:dyDescent="0.3">
      <c r="A33" s="47"/>
      <c r="B33" s="48"/>
      <c r="C33" s="49"/>
      <c r="D33" s="48"/>
      <c r="E33" s="48"/>
      <c r="F33" s="48"/>
      <c r="G33" s="48"/>
      <c r="H33" s="48"/>
      <c r="I33" s="48"/>
      <c r="J33" s="48"/>
      <c r="K33" s="48"/>
      <c r="L33" s="48"/>
      <c r="M33" s="40"/>
      <c r="N33" s="40"/>
      <c r="O33" s="40"/>
    </row>
    <row r="34" spans="1:15" x14ac:dyDescent="0.3">
      <c r="A34" s="47"/>
      <c r="B34" s="48"/>
      <c r="C34" s="49"/>
      <c r="D34" s="48"/>
      <c r="E34" s="48"/>
      <c r="F34" s="48"/>
      <c r="G34" s="48"/>
      <c r="H34" s="48"/>
      <c r="I34" s="48"/>
      <c r="J34" s="48"/>
      <c r="K34" s="48"/>
      <c r="L34" s="48"/>
      <c r="M34" s="40"/>
      <c r="N34" s="40"/>
      <c r="O34" s="40"/>
    </row>
    <row r="35" spans="1:15" x14ac:dyDescent="0.3">
      <c r="A35" s="47"/>
      <c r="B35" s="48"/>
      <c r="C35" s="49"/>
      <c r="D35" s="48"/>
      <c r="E35" s="48"/>
      <c r="F35" s="48"/>
      <c r="G35" s="48"/>
      <c r="H35" s="48"/>
      <c r="I35" s="48"/>
      <c r="J35" s="48"/>
      <c r="K35" s="48"/>
      <c r="L35" s="48"/>
      <c r="M35" s="40"/>
      <c r="N35" s="40"/>
      <c r="O35" s="40"/>
    </row>
    <row r="36" spans="1:15" x14ac:dyDescent="0.3">
      <c r="A36" s="47"/>
      <c r="B36" s="48"/>
      <c r="C36" s="49"/>
      <c r="D36" s="48"/>
      <c r="E36" s="48"/>
      <c r="F36" s="48"/>
      <c r="G36" s="48"/>
      <c r="H36" s="48"/>
      <c r="I36" s="48"/>
      <c r="J36" s="48"/>
      <c r="K36" s="48"/>
      <c r="L36" s="48"/>
      <c r="M36" s="40"/>
      <c r="N36" s="40"/>
      <c r="O36" s="40"/>
    </row>
    <row r="37" spans="1:15" x14ac:dyDescent="0.3">
      <c r="A37" s="47"/>
      <c r="B37" s="48"/>
      <c r="C37" s="49"/>
      <c r="D37" s="48"/>
      <c r="E37" s="48"/>
      <c r="F37" s="48"/>
      <c r="G37" s="48"/>
      <c r="H37" s="48"/>
      <c r="I37" s="48"/>
      <c r="J37" s="48"/>
      <c r="K37" s="48"/>
      <c r="L37" s="48"/>
      <c r="M37" s="40"/>
      <c r="N37" s="40"/>
      <c r="O37" s="40"/>
    </row>
    <row r="38" spans="1:15" x14ac:dyDescent="0.3">
      <c r="A38" s="47"/>
      <c r="B38" s="48"/>
      <c r="C38" s="49"/>
      <c r="D38" s="48"/>
      <c r="E38" s="48"/>
      <c r="F38" s="48"/>
      <c r="G38" s="48"/>
      <c r="H38" s="48"/>
      <c r="I38" s="48"/>
      <c r="J38" s="48"/>
      <c r="K38" s="48"/>
      <c r="L38" s="48"/>
      <c r="M38" s="40"/>
      <c r="N38" s="40"/>
      <c r="O38" s="40"/>
    </row>
    <row r="39" spans="1:15" x14ac:dyDescent="0.3">
      <c r="A39" s="47"/>
      <c r="B39" s="48"/>
      <c r="C39" s="49"/>
      <c r="D39" s="48"/>
      <c r="E39" s="48"/>
      <c r="F39" s="48"/>
      <c r="G39" s="48"/>
      <c r="H39" s="48"/>
      <c r="I39" s="48"/>
      <c r="J39" s="48"/>
      <c r="K39" s="48"/>
      <c r="L39" s="48"/>
      <c r="M39" s="40"/>
      <c r="N39" s="40"/>
      <c r="O39" s="40"/>
    </row>
    <row r="40" spans="1:15" x14ac:dyDescent="0.3">
      <c r="A40" s="47"/>
      <c r="B40" s="48"/>
      <c r="C40" s="49"/>
      <c r="D40" s="48"/>
      <c r="E40" s="48"/>
      <c r="F40" s="48"/>
      <c r="G40" s="48"/>
      <c r="H40" s="48"/>
      <c r="I40" s="48"/>
      <c r="J40" s="48"/>
      <c r="K40" s="48"/>
      <c r="L40" s="48"/>
      <c r="M40" s="40"/>
      <c r="N40" s="40"/>
      <c r="O40" s="40"/>
    </row>
    <row r="41" spans="1:15" x14ac:dyDescent="0.3">
      <c r="A41" s="47"/>
      <c r="B41" s="48"/>
      <c r="C41" s="49"/>
      <c r="D41" s="48"/>
      <c r="E41" s="48"/>
      <c r="F41" s="48"/>
      <c r="G41" s="48"/>
      <c r="H41" s="48"/>
      <c r="I41" s="48"/>
      <c r="J41" s="48"/>
      <c r="K41" s="48"/>
      <c r="L41" s="48"/>
      <c r="M41" s="40"/>
      <c r="N41" s="40"/>
      <c r="O41" s="40"/>
    </row>
    <row r="42" spans="1:15" x14ac:dyDescent="0.3">
      <c r="A42" s="47"/>
      <c r="B42" s="48"/>
      <c r="C42" s="49"/>
      <c r="D42" s="48"/>
      <c r="E42" s="48"/>
      <c r="F42" s="48"/>
      <c r="G42" s="48"/>
      <c r="H42" s="48"/>
      <c r="I42" s="48"/>
      <c r="J42" s="48"/>
      <c r="K42" s="48"/>
      <c r="L42" s="48"/>
      <c r="M42" s="40"/>
      <c r="N42" s="40"/>
      <c r="O42" s="40"/>
    </row>
    <row r="43" spans="1:15" x14ac:dyDescent="0.3">
      <c r="A43" s="47"/>
      <c r="B43" s="48"/>
      <c r="C43" s="49"/>
      <c r="D43" s="48"/>
      <c r="E43" s="48"/>
      <c r="F43" s="48"/>
      <c r="G43" s="48"/>
      <c r="H43" s="48"/>
      <c r="I43" s="48"/>
      <c r="J43" s="48"/>
      <c r="K43" s="48"/>
      <c r="L43" s="48"/>
      <c r="M43" s="40"/>
      <c r="N43" s="40"/>
      <c r="O43" s="40"/>
    </row>
    <row r="44" spans="1:15" x14ac:dyDescent="0.3">
      <c r="A44" s="47"/>
      <c r="B44" s="48"/>
      <c r="C44" s="49"/>
      <c r="D44" s="48"/>
      <c r="E44" s="48"/>
      <c r="F44" s="48"/>
      <c r="G44" s="48"/>
      <c r="H44" s="48"/>
      <c r="I44" s="48"/>
      <c r="J44" s="48"/>
      <c r="K44" s="48"/>
      <c r="L44" s="48"/>
      <c r="M44" s="40"/>
      <c r="N44" s="40"/>
      <c r="O44" s="40"/>
    </row>
    <row r="45" spans="1:15" x14ac:dyDescent="0.3">
      <c r="A45" s="47"/>
      <c r="B45" s="48"/>
      <c r="C45" s="49"/>
      <c r="D45" s="48"/>
      <c r="E45" s="48"/>
      <c r="F45" s="48"/>
      <c r="G45" s="48"/>
      <c r="H45" s="48"/>
      <c r="I45" s="48"/>
      <c r="J45" s="48"/>
      <c r="K45" s="48"/>
      <c r="L45" s="48"/>
      <c r="M45" s="40"/>
      <c r="N45" s="40"/>
      <c r="O45" s="40"/>
    </row>
    <row r="46" spans="1:15" x14ac:dyDescent="0.3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0"/>
      <c r="N46" s="40"/>
      <c r="O46" s="40"/>
    </row>
    <row r="47" spans="1:15" x14ac:dyDescent="0.3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0"/>
      <c r="N47" s="40"/>
      <c r="O47" s="40"/>
    </row>
    <row r="48" spans="1:15" x14ac:dyDescent="0.3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0"/>
      <c r="N48" s="40"/>
      <c r="O48" s="40"/>
    </row>
    <row r="49" spans="1:15" x14ac:dyDescent="0.3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0"/>
      <c r="N49" s="40"/>
      <c r="O49" s="40"/>
    </row>
    <row r="50" spans="1:15" x14ac:dyDescent="0.3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0"/>
      <c r="N50" s="40"/>
      <c r="O50" s="40"/>
    </row>
    <row r="51" spans="1:15" x14ac:dyDescent="0.3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</row>
    <row r="52" spans="1:15" x14ac:dyDescent="0.3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</row>
    <row r="54" spans="1:15" x14ac:dyDescent="0.3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  <row r="55" spans="1:15" x14ac:dyDescent="0.3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1:15" x14ac:dyDescent="0.3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  <row r="62" spans="1:15" x14ac:dyDescent="0.3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  <row r="63" spans="1:15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1:15" x14ac:dyDescent="0.3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1:15" x14ac:dyDescent="0.3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1:15" x14ac:dyDescent="0.3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 spans="1:15" x14ac:dyDescent="0.3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</row>
    <row r="68" spans="1:15" x14ac:dyDescent="0.3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</row>
    <row r="69" spans="1:15" x14ac:dyDescent="0.3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</row>
    <row r="70" spans="1:15" x14ac:dyDescent="0.3">
      <c r="K70" s="40"/>
      <c r="L70" s="40"/>
      <c r="M70" s="40"/>
      <c r="N70" s="40"/>
      <c r="O70" s="40"/>
    </row>
  </sheetData>
  <mergeCells count="20">
    <mergeCell ref="A6:K6"/>
    <mergeCell ref="A7:K7"/>
    <mergeCell ref="A8:K8"/>
    <mergeCell ref="A9:K9"/>
    <mergeCell ref="A10:A13"/>
    <mergeCell ref="B10:B13"/>
    <mergeCell ref="C10:C13"/>
    <mergeCell ref="D10:H10"/>
    <mergeCell ref="D11:D13"/>
    <mergeCell ref="E11:E13"/>
    <mergeCell ref="F11:F13"/>
    <mergeCell ref="G11:G13"/>
    <mergeCell ref="H11:H13"/>
    <mergeCell ref="I10:I13"/>
    <mergeCell ref="J10:J13"/>
    <mergeCell ref="A1:K1"/>
    <mergeCell ref="A2:K2"/>
    <mergeCell ref="A3:K3"/>
    <mergeCell ref="A4:K4"/>
    <mergeCell ref="A5:K5"/>
  </mergeCells>
  <pageMargins left="0.7" right="0.7" top="0.75" bottom="0.75" header="0.3" footer="0.3"/>
  <pageSetup paperSize="9" orientation="portrait" verticalDpi="0" r:id="rId1"/>
  <ignoredErrors>
    <ignoredError sqref="D20 H20:I20" formulaRange="1"/>
    <ignoredError sqref="I22 H23 J23 I24 E23 I26 J25 H27 H25 E25 D27: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B1" workbookViewId="0">
      <selection activeCell="S1" sqref="S1:S2"/>
    </sheetView>
  </sheetViews>
  <sheetFormatPr defaultRowHeight="14.4" x14ac:dyDescent="0.3"/>
  <cols>
    <col min="1" max="1" width="3.77734375" customWidth="1"/>
    <col min="2" max="2" width="9.6640625" customWidth="1"/>
    <col min="3" max="3" width="4.88671875" customWidth="1"/>
    <col min="4" max="4" width="7.109375" customWidth="1"/>
    <col min="5" max="5" width="7.77734375" customWidth="1"/>
    <col min="6" max="6" width="7.109375" customWidth="1"/>
    <col min="7" max="7" width="7.21875" customWidth="1"/>
    <col min="8" max="8" width="7.33203125" customWidth="1"/>
    <col min="9" max="10" width="7" customWidth="1"/>
    <col min="11" max="12" width="7.5546875" customWidth="1"/>
    <col min="13" max="13" width="6.88671875" customWidth="1"/>
    <col min="14" max="14" width="7.109375" customWidth="1"/>
    <col min="15" max="15" width="8.5546875" customWidth="1"/>
    <col min="16" max="16" width="7.33203125" customWidth="1"/>
    <col min="19" max="19" width="14.88671875" customWidth="1"/>
    <col min="20" max="20" width="12.33203125" style="1" customWidth="1"/>
    <col min="21" max="21" width="13.33203125" style="1" customWidth="1"/>
    <col min="22" max="22" width="11.44140625" customWidth="1"/>
    <col min="23" max="23" width="10.77734375" style="1" customWidth="1"/>
    <col min="24" max="24" width="11.77734375" customWidth="1"/>
    <col min="25" max="25" width="10.21875" customWidth="1"/>
    <col min="26" max="26" width="10.77734375" customWidth="1"/>
  </cols>
  <sheetData>
    <row r="1" spans="1:26" ht="20.399999999999999" customHeight="1" x14ac:dyDescent="0.3">
      <c r="A1" s="70" t="s">
        <v>6</v>
      </c>
      <c r="B1" s="80" t="s">
        <v>187</v>
      </c>
      <c r="C1" s="80" t="s">
        <v>188</v>
      </c>
      <c r="D1" s="70" t="s">
        <v>189</v>
      </c>
      <c r="E1" s="70"/>
      <c r="F1" s="70"/>
      <c r="G1" s="70"/>
      <c r="H1" s="80" t="s">
        <v>194</v>
      </c>
      <c r="I1" s="80" t="s">
        <v>195</v>
      </c>
      <c r="J1" s="70" t="s">
        <v>196</v>
      </c>
      <c r="K1" s="70" t="s">
        <v>197</v>
      </c>
      <c r="L1" s="80" t="s">
        <v>200</v>
      </c>
      <c r="M1" s="80" t="s">
        <v>198</v>
      </c>
      <c r="N1" s="80" t="s">
        <v>199</v>
      </c>
      <c r="O1" s="80" t="s">
        <v>201</v>
      </c>
      <c r="P1" s="80" t="s">
        <v>202</v>
      </c>
      <c r="S1" s="82"/>
      <c r="T1" s="83"/>
      <c r="U1" s="83"/>
      <c r="V1" s="83"/>
      <c r="W1" s="82"/>
      <c r="X1" s="82"/>
      <c r="Y1" s="82"/>
      <c r="Z1" s="82"/>
    </row>
    <row r="2" spans="1:26" ht="36" customHeight="1" x14ac:dyDescent="0.3">
      <c r="A2" s="70"/>
      <c r="B2" s="81"/>
      <c r="C2" s="81"/>
      <c r="D2" s="45" t="s">
        <v>190</v>
      </c>
      <c r="E2" s="45" t="s">
        <v>191</v>
      </c>
      <c r="F2" s="45" t="s">
        <v>192</v>
      </c>
      <c r="G2" s="45" t="s">
        <v>193</v>
      </c>
      <c r="H2" s="81"/>
      <c r="I2" s="81"/>
      <c r="J2" s="70"/>
      <c r="K2" s="70"/>
      <c r="L2" s="81"/>
      <c r="M2" s="81"/>
      <c r="N2" s="81"/>
      <c r="O2" s="81"/>
      <c r="P2" s="81"/>
      <c r="S2" s="82"/>
      <c r="T2" s="56"/>
      <c r="U2" s="56"/>
      <c r="V2" s="56"/>
      <c r="W2" s="82"/>
      <c r="X2" s="82"/>
      <c r="Y2" s="82"/>
      <c r="Z2" s="82"/>
    </row>
    <row r="3" spans="1:26" ht="17.399999999999999" customHeight="1" x14ac:dyDescent="0.3">
      <c r="A3" s="52">
        <v>1</v>
      </c>
      <c r="B3" s="52" t="s">
        <v>203</v>
      </c>
      <c r="C3" s="52">
        <v>2</v>
      </c>
      <c r="D3" s="55">
        <v>4.67</v>
      </c>
      <c r="E3" s="55">
        <v>3.39</v>
      </c>
      <c r="F3" s="55">
        <v>2.8</v>
      </c>
      <c r="G3" s="55">
        <f>D3+D3+E3+E3</f>
        <v>16.12</v>
      </c>
      <c r="H3" s="55">
        <f>F3*G3</f>
        <v>45.136000000000003</v>
      </c>
      <c r="I3" s="55">
        <f>D3*E3</f>
        <v>15.831300000000001</v>
      </c>
      <c r="J3" s="55">
        <v>4.83</v>
      </c>
      <c r="K3" s="55">
        <f>H3-J3</f>
        <v>40.306000000000004</v>
      </c>
      <c r="L3" s="55">
        <f>I3*C3*2</f>
        <v>63.325200000000002</v>
      </c>
      <c r="M3" s="55">
        <f>L3*C3</f>
        <v>126.6504</v>
      </c>
      <c r="N3" s="55">
        <f>K3*C3*2</f>
        <v>161.22400000000002</v>
      </c>
      <c r="O3" s="55"/>
      <c r="P3" s="15">
        <f>K3*C3*2</f>
        <v>161.22400000000002</v>
      </c>
      <c r="S3" s="57"/>
      <c r="T3" s="57"/>
      <c r="U3" s="57"/>
      <c r="V3" s="54"/>
      <c r="W3" s="57"/>
      <c r="X3" s="54"/>
      <c r="Y3" s="54"/>
      <c r="Z3" s="54"/>
    </row>
    <row r="4" spans="1:26" x14ac:dyDescent="0.3">
      <c r="A4" s="52">
        <v>2</v>
      </c>
      <c r="B4" s="52" t="s">
        <v>204</v>
      </c>
      <c r="C4" s="52">
        <v>2</v>
      </c>
      <c r="D4" s="55">
        <v>3.53</v>
      </c>
      <c r="E4" s="55">
        <v>2.4900000000000002</v>
      </c>
      <c r="F4" s="55">
        <v>2.8</v>
      </c>
      <c r="G4" s="55">
        <f>D4+D4+E4+E4</f>
        <v>12.040000000000001</v>
      </c>
      <c r="H4" s="55">
        <f>F4*G4</f>
        <v>33.712000000000003</v>
      </c>
      <c r="I4" s="55">
        <f>D4*E4</f>
        <v>8.7896999999999998</v>
      </c>
      <c r="J4" s="55">
        <v>3.71</v>
      </c>
      <c r="K4" s="55">
        <f>H4-J4</f>
        <v>30.002000000000002</v>
      </c>
      <c r="L4" s="55">
        <f t="shared" ref="L4:L19" si="0">I4*C4*2</f>
        <v>35.158799999999999</v>
      </c>
      <c r="M4" s="55">
        <f t="shared" ref="M4:M19" si="1">L4*C4</f>
        <v>70.317599999999999</v>
      </c>
      <c r="N4" s="55">
        <f t="shared" ref="N4:N19" si="2">K4*C4*2</f>
        <v>120.00800000000001</v>
      </c>
      <c r="O4" s="55"/>
      <c r="P4" s="15">
        <f t="shared" ref="P4:P19" si="3">K4*C4*2</f>
        <v>120.00800000000001</v>
      </c>
      <c r="S4" s="54"/>
      <c r="T4" s="57"/>
      <c r="U4" s="57"/>
      <c r="V4" s="54"/>
      <c r="W4" s="57"/>
      <c r="X4" s="54"/>
      <c r="Y4" s="54"/>
      <c r="Z4" s="54"/>
    </row>
    <row r="5" spans="1:26" x14ac:dyDescent="0.3">
      <c r="A5" s="52">
        <v>3</v>
      </c>
      <c r="B5" s="52" t="s">
        <v>205</v>
      </c>
      <c r="C5" s="52">
        <v>2</v>
      </c>
      <c r="D5" s="55">
        <v>3.49</v>
      </c>
      <c r="E5" s="55">
        <v>2.89</v>
      </c>
      <c r="F5" s="55">
        <v>2.8</v>
      </c>
      <c r="G5" s="55">
        <f>D5+D5+E5+E5</f>
        <v>12.760000000000002</v>
      </c>
      <c r="H5" s="55">
        <f>F5*G5</f>
        <v>35.728000000000002</v>
      </c>
      <c r="I5" s="55">
        <f>D5*E5</f>
        <v>10.086100000000002</v>
      </c>
      <c r="J5" s="55">
        <v>3.85</v>
      </c>
      <c r="K5" s="55">
        <f t="shared" ref="K5:K19" si="4">H5-J5</f>
        <v>31.878</v>
      </c>
      <c r="L5" s="55">
        <f t="shared" si="0"/>
        <v>40.344400000000007</v>
      </c>
      <c r="M5" s="55">
        <f t="shared" si="1"/>
        <v>80.688800000000015</v>
      </c>
      <c r="N5" s="55">
        <f t="shared" si="2"/>
        <v>127.512</v>
      </c>
      <c r="O5" s="55"/>
      <c r="P5" s="15">
        <f t="shared" si="3"/>
        <v>127.512</v>
      </c>
      <c r="S5" s="54"/>
      <c r="T5" s="57"/>
      <c r="U5" s="57"/>
      <c r="V5" s="54"/>
      <c r="W5" s="57"/>
      <c r="X5" s="54"/>
      <c r="Y5" s="54"/>
      <c r="Z5" s="54"/>
    </row>
    <row r="6" spans="1:26" x14ac:dyDescent="0.3">
      <c r="A6" s="52">
        <v>4</v>
      </c>
      <c r="B6" s="52" t="s">
        <v>205</v>
      </c>
      <c r="C6" s="52">
        <v>2</v>
      </c>
      <c r="D6" s="55">
        <v>3.49</v>
      </c>
      <c r="E6" s="55">
        <v>2.99</v>
      </c>
      <c r="F6" s="55">
        <v>2.8</v>
      </c>
      <c r="G6" s="55">
        <f>D6+D6+E6+E6</f>
        <v>12.96</v>
      </c>
      <c r="H6" s="55">
        <f t="shared" ref="H6:H19" si="5">F6*G6</f>
        <v>36.287999999999997</v>
      </c>
      <c r="I6" s="55">
        <f t="shared" ref="I6:I18" si="6">D6*E6</f>
        <v>10.435100000000002</v>
      </c>
      <c r="J6" s="55">
        <v>3.85</v>
      </c>
      <c r="K6" s="55">
        <f t="shared" si="4"/>
        <v>32.437999999999995</v>
      </c>
      <c r="L6" s="55">
        <f t="shared" si="0"/>
        <v>41.740400000000008</v>
      </c>
      <c r="M6" s="55">
        <f t="shared" si="1"/>
        <v>83.480800000000016</v>
      </c>
      <c r="N6" s="55">
        <f t="shared" si="2"/>
        <v>129.75199999999998</v>
      </c>
      <c r="O6" s="55"/>
      <c r="P6" s="15">
        <f t="shared" si="3"/>
        <v>129.75199999999998</v>
      </c>
      <c r="S6" s="54"/>
      <c r="T6" s="57"/>
      <c r="U6" s="57"/>
      <c r="V6" s="54"/>
      <c r="W6" s="57"/>
      <c r="X6" s="54"/>
      <c r="Y6" s="54"/>
      <c r="Z6" s="54"/>
    </row>
    <row r="7" spans="1:26" x14ac:dyDescent="0.3">
      <c r="A7" s="52">
        <v>5</v>
      </c>
      <c r="B7" s="52" t="s">
        <v>205</v>
      </c>
      <c r="C7" s="52">
        <v>1</v>
      </c>
      <c r="D7" s="55" t="s">
        <v>44</v>
      </c>
      <c r="E7" s="55" t="s">
        <v>44</v>
      </c>
      <c r="F7" s="55">
        <v>2.8</v>
      </c>
      <c r="G7" s="55">
        <v>14.14</v>
      </c>
      <c r="H7" s="55">
        <f t="shared" si="5"/>
        <v>39.591999999999999</v>
      </c>
      <c r="I7" s="55">
        <v>8.44</v>
      </c>
      <c r="J7" s="55">
        <v>3.85</v>
      </c>
      <c r="K7" s="55">
        <f t="shared" si="4"/>
        <v>35.741999999999997</v>
      </c>
      <c r="L7" s="55">
        <f t="shared" si="0"/>
        <v>16.88</v>
      </c>
      <c r="M7" s="55">
        <f t="shared" si="1"/>
        <v>16.88</v>
      </c>
      <c r="N7" s="55">
        <f t="shared" si="2"/>
        <v>71.483999999999995</v>
      </c>
      <c r="O7" s="55"/>
      <c r="P7" s="15">
        <f t="shared" si="3"/>
        <v>71.483999999999995</v>
      </c>
      <c r="S7" s="54"/>
      <c r="T7" s="57"/>
      <c r="U7" s="57"/>
      <c r="V7" s="54"/>
      <c r="W7" s="57"/>
      <c r="X7" s="54"/>
      <c r="Y7" s="54"/>
      <c r="Z7" s="54"/>
    </row>
    <row r="8" spans="1:26" x14ac:dyDescent="0.3">
      <c r="A8" s="52">
        <v>6</v>
      </c>
      <c r="B8" s="52" t="s">
        <v>205</v>
      </c>
      <c r="C8" s="52">
        <v>1</v>
      </c>
      <c r="D8" s="55">
        <v>2.59</v>
      </c>
      <c r="E8" s="55">
        <v>2.6</v>
      </c>
      <c r="F8" s="55">
        <v>2.8</v>
      </c>
      <c r="G8" s="55">
        <f t="shared" ref="G8:G18" si="7">D8+D8+E8+E8</f>
        <v>10.379999999999999</v>
      </c>
      <c r="H8" s="55">
        <f t="shared" si="5"/>
        <v>29.063999999999997</v>
      </c>
      <c r="I8" s="55">
        <f t="shared" si="6"/>
        <v>6.734</v>
      </c>
      <c r="J8" s="55">
        <v>5.74</v>
      </c>
      <c r="K8" s="55">
        <f t="shared" si="4"/>
        <v>23.323999999999998</v>
      </c>
      <c r="L8" s="55">
        <f t="shared" si="0"/>
        <v>13.468</v>
      </c>
      <c r="M8" s="55">
        <f t="shared" si="1"/>
        <v>13.468</v>
      </c>
      <c r="N8" s="55">
        <f t="shared" si="2"/>
        <v>46.647999999999996</v>
      </c>
      <c r="O8" s="55"/>
      <c r="P8" s="15">
        <f t="shared" si="3"/>
        <v>46.647999999999996</v>
      </c>
      <c r="S8" s="54"/>
      <c r="T8" s="57"/>
      <c r="U8" s="57"/>
      <c r="V8" s="54"/>
      <c r="W8" s="57"/>
      <c r="X8" s="54"/>
      <c r="Y8" s="54"/>
      <c r="Z8" s="54"/>
    </row>
    <row r="9" spans="1:26" x14ac:dyDescent="0.3">
      <c r="A9" s="52">
        <v>7</v>
      </c>
      <c r="B9" s="52" t="s">
        <v>206</v>
      </c>
      <c r="C9" s="52">
        <v>1</v>
      </c>
      <c r="D9" s="55">
        <v>2.6</v>
      </c>
      <c r="E9" s="55">
        <v>3.2</v>
      </c>
      <c r="F9" s="55">
        <v>2.8</v>
      </c>
      <c r="G9" s="55">
        <f t="shared" si="7"/>
        <v>11.600000000000001</v>
      </c>
      <c r="H9" s="55">
        <f t="shared" si="5"/>
        <v>32.480000000000004</v>
      </c>
      <c r="I9" s="55">
        <f t="shared" si="6"/>
        <v>8.32</v>
      </c>
      <c r="J9" s="55">
        <v>3.78</v>
      </c>
      <c r="K9" s="55">
        <f t="shared" si="4"/>
        <v>28.700000000000003</v>
      </c>
      <c r="L9" s="55">
        <f t="shared" si="0"/>
        <v>16.64</v>
      </c>
      <c r="M9" s="55">
        <f t="shared" si="1"/>
        <v>16.64</v>
      </c>
      <c r="N9" s="55">
        <f t="shared" si="2"/>
        <v>57.400000000000006</v>
      </c>
      <c r="O9" s="55"/>
      <c r="P9" s="15">
        <f t="shared" si="3"/>
        <v>57.400000000000006</v>
      </c>
      <c r="S9" s="54"/>
      <c r="T9" s="57"/>
      <c r="U9" s="57"/>
      <c r="V9" s="54"/>
      <c r="W9" s="57"/>
      <c r="X9" s="54"/>
      <c r="Y9" s="54"/>
      <c r="Z9" s="54"/>
    </row>
    <row r="10" spans="1:26" x14ac:dyDescent="0.3">
      <c r="A10" s="52">
        <v>8</v>
      </c>
      <c r="B10" s="52" t="s">
        <v>207</v>
      </c>
      <c r="C10" s="52">
        <v>1</v>
      </c>
      <c r="D10" s="55">
        <v>3.09</v>
      </c>
      <c r="E10" s="55">
        <v>3.2</v>
      </c>
      <c r="F10" s="55">
        <v>2.8</v>
      </c>
      <c r="G10" s="55">
        <f t="shared" si="7"/>
        <v>12.579999999999998</v>
      </c>
      <c r="H10" s="55">
        <f t="shared" si="5"/>
        <v>35.22399999999999</v>
      </c>
      <c r="I10" s="55">
        <f t="shared" si="6"/>
        <v>9.8879999999999999</v>
      </c>
      <c r="J10" s="55">
        <v>8.68</v>
      </c>
      <c r="K10" s="55">
        <f t="shared" si="4"/>
        <v>26.54399999999999</v>
      </c>
      <c r="L10" s="55">
        <f t="shared" si="0"/>
        <v>19.776</v>
      </c>
      <c r="M10" s="55">
        <f t="shared" si="1"/>
        <v>19.776</v>
      </c>
      <c r="N10" s="55">
        <f t="shared" si="2"/>
        <v>53.08799999999998</v>
      </c>
      <c r="O10" s="55"/>
      <c r="P10" s="15">
        <f t="shared" si="3"/>
        <v>53.08799999999998</v>
      </c>
      <c r="S10" s="54"/>
      <c r="T10" s="57"/>
      <c r="U10" s="57"/>
      <c r="V10" s="54"/>
      <c r="W10" s="57"/>
      <c r="X10" s="54"/>
      <c r="Y10" s="54"/>
      <c r="Z10" s="54"/>
    </row>
    <row r="11" spans="1:26" x14ac:dyDescent="0.3">
      <c r="A11" s="52">
        <v>9</v>
      </c>
      <c r="B11" s="52" t="s">
        <v>208</v>
      </c>
      <c r="C11" s="52">
        <v>2</v>
      </c>
      <c r="D11" s="55">
        <v>2.1</v>
      </c>
      <c r="E11" s="55">
        <v>1.29</v>
      </c>
      <c r="F11" s="55">
        <v>2.8</v>
      </c>
      <c r="G11" s="55">
        <f t="shared" si="7"/>
        <v>6.78</v>
      </c>
      <c r="H11" s="55">
        <f t="shared" si="5"/>
        <v>18.983999999999998</v>
      </c>
      <c r="I11" s="55">
        <f t="shared" si="6"/>
        <v>2.7090000000000001</v>
      </c>
      <c r="J11" s="55">
        <v>3.78</v>
      </c>
      <c r="K11" s="55">
        <f t="shared" si="4"/>
        <v>15.203999999999999</v>
      </c>
      <c r="L11" s="55">
        <f t="shared" si="0"/>
        <v>10.836</v>
      </c>
      <c r="M11" s="55">
        <f t="shared" si="1"/>
        <v>21.672000000000001</v>
      </c>
      <c r="N11" s="55">
        <f t="shared" si="2"/>
        <v>60.815999999999995</v>
      </c>
      <c r="O11" s="55"/>
      <c r="P11" s="15">
        <f t="shared" si="3"/>
        <v>60.815999999999995</v>
      </c>
      <c r="S11" s="54"/>
      <c r="T11" s="57"/>
      <c r="U11" s="57"/>
      <c r="V11" s="54"/>
      <c r="W11" s="57"/>
      <c r="X11" s="54"/>
      <c r="Y11" s="54"/>
      <c r="Z11" s="54"/>
    </row>
    <row r="12" spans="1:26" x14ac:dyDescent="0.3">
      <c r="A12" s="52">
        <v>10</v>
      </c>
      <c r="B12" s="52" t="s">
        <v>209</v>
      </c>
      <c r="C12" s="52">
        <v>2</v>
      </c>
      <c r="D12" s="55">
        <v>1.4</v>
      </c>
      <c r="E12" s="55">
        <v>1.27</v>
      </c>
      <c r="F12" s="55">
        <v>2.8</v>
      </c>
      <c r="G12" s="55">
        <f t="shared" si="7"/>
        <v>5.34</v>
      </c>
      <c r="H12" s="55">
        <f t="shared" si="5"/>
        <v>14.951999999999998</v>
      </c>
      <c r="I12" s="55">
        <f t="shared" si="6"/>
        <v>1.7779999999999998</v>
      </c>
      <c r="J12" s="55">
        <v>1.47</v>
      </c>
      <c r="K12" s="55">
        <f t="shared" si="4"/>
        <v>13.481999999999998</v>
      </c>
      <c r="L12" s="55">
        <f t="shared" si="0"/>
        <v>7.1119999999999992</v>
      </c>
      <c r="M12" s="55">
        <f t="shared" si="1"/>
        <v>14.223999999999998</v>
      </c>
      <c r="N12" s="55">
        <f t="shared" si="2"/>
        <v>53.92799999999999</v>
      </c>
      <c r="O12" s="55">
        <f>K12*C12*2</f>
        <v>53.92799999999999</v>
      </c>
      <c r="P12" s="15">
        <f t="shared" si="3"/>
        <v>53.92799999999999</v>
      </c>
      <c r="S12" s="54"/>
      <c r="T12" s="57"/>
      <c r="U12" s="57"/>
      <c r="V12" s="54"/>
      <c r="W12" s="57"/>
      <c r="X12" s="54"/>
      <c r="Y12" s="54"/>
      <c r="Z12" s="54"/>
    </row>
    <row r="13" spans="1:26" x14ac:dyDescent="0.3">
      <c r="A13" s="52">
        <v>11</v>
      </c>
      <c r="B13" s="52" t="s">
        <v>209</v>
      </c>
      <c r="C13" s="52">
        <v>1</v>
      </c>
      <c r="D13" s="55">
        <v>2.4</v>
      </c>
      <c r="E13" s="55">
        <v>1.88</v>
      </c>
      <c r="F13" s="55">
        <v>2.8</v>
      </c>
      <c r="G13" s="55">
        <f t="shared" si="7"/>
        <v>8.5599999999999987</v>
      </c>
      <c r="H13" s="55">
        <f t="shared" si="5"/>
        <v>23.967999999999996</v>
      </c>
      <c r="I13" s="55">
        <f t="shared" si="6"/>
        <v>4.5119999999999996</v>
      </c>
      <c r="J13" s="55">
        <v>1.47</v>
      </c>
      <c r="K13" s="55">
        <f t="shared" si="4"/>
        <v>22.497999999999998</v>
      </c>
      <c r="L13" s="55">
        <f t="shared" si="0"/>
        <v>9.0239999999999991</v>
      </c>
      <c r="M13" s="55">
        <f t="shared" si="1"/>
        <v>9.0239999999999991</v>
      </c>
      <c r="N13" s="55">
        <f t="shared" si="2"/>
        <v>44.995999999999995</v>
      </c>
      <c r="O13" s="55">
        <f t="shared" ref="O13:O15" si="8">K13*C13*2</f>
        <v>44.995999999999995</v>
      </c>
      <c r="P13" s="15">
        <f t="shared" si="3"/>
        <v>44.995999999999995</v>
      </c>
      <c r="S13" s="54"/>
      <c r="T13" s="57"/>
      <c r="U13" s="57"/>
      <c r="V13" s="54"/>
      <c r="W13" s="57"/>
      <c r="X13" s="54"/>
      <c r="Y13" s="54"/>
      <c r="Z13" s="54"/>
    </row>
    <row r="14" spans="1:26" x14ac:dyDescent="0.3">
      <c r="A14" s="52">
        <v>12</v>
      </c>
      <c r="B14" s="52" t="s">
        <v>210</v>
      </c>
      <c r="C14" s="52">
        <v>1</v>
      </c>
      <c r="D14" s="55">
        <v>1.18</v>
      </c>
      <c r="E14" s="55">
        <v>1.2</v>
      </c>
      <c r="F14" s="55">
        <v>2.8</v>
      </c>
      <c r="G14" s="55">
        <f t="shared" si="7"/>
        <v>4.76</v>
      </c>
      <c r="H14" s="55">
        <f t="shared" si="5"/>
        <v>13.327999999999999</v>
      </c>
      <c r="I14" s="55">
        <f t="shared" si="6"/>
        <v>1.4159999999999999</v>
      </c>
      <c r="J14" s="55">
        <v>1.26</v>
      </c>
      <c r="K14" s="55">
        <f t="shared" si="4"/>
        <v>12.068</v>
      </c>
      <c r="L14" s="55">
        <f t="shared" si="0"/>
        <v>2.8319999999999999</v>
      </c>
      <c r="M14" s="55">
        <f t="shared" si="1"/>
        <v>2.8319999999999999</v>
      </c>
      <c r="N14" s="55">
        <f t="shared" si="2"/>
        <v>24.135999999999999</v>
      </c>
      <c r="O14" s="55">
        <f t="shared" si="8"/>
        <v>24.135999999999999</v>
      </c>
      <c r="P14" s="15">
        <f t="shared" si="3"/>
        <v>24.135999999999999</v>
      </c>
      <c r="S14" s="54"/>
      <c r="T14" s="57"/>
      <c r="U14" s="57"/>
      <c r="V14" s="54"/>
      <c r="W14" s="57"/>
      <c r="X14" s="54"/>
      <c r="Y14" s="54"/>
      <c r="Z14" s="54"/>
    </row>
    <row r="15" spans="1:26" x14ac:dyDescent="0.3">
      <c r="A15" s="52">
        <v>13</v>
      </c>
      <c r="B15" s="52" t="s">
        <v>210</v>
      </c>
      <c r="C15" s="52">
        <v>2</v>
      </c>
      <c r="D15" s="55">
        <v>0.8</v>
      </c>
      <c r="E15" s="55">
        <v>1.27</v>
      </c>
      <c r="F15" s="55">
        <v>2.8</v>
      </c>
      <c r="G15" s="55">
        <f t="shared" si="7"/>
        <v>4.1400000000000006</v>
      </c>
      <c r="H15" s="55">
        <f t="shared" si="5"/>
        <v>11.592000000000001</v>
      </c>
      <c r="I15" s="55">
        <f t="shared" si="6"/>
        <v>1.016</v>
      </c>
      <c r="J15" s="55">
        <v>1.26</v>
      </c>
      <c r="K15" s="55">
        <f t="shared" si="4"/>
        <v>10.332000000000001</v>
      </c>
      <c r="L15" s="55">
        <f t="shared" si="0"/>
        <v>4.0640000000000001</v>
      </c>
      <c r="M15" s="55">
        <f t="shared" si="1"/>
        <v>8.1280000000000001</v>
      </c>
      <c r="N15" s="55">
        <f t="shared" si="2"/>
        <v>41.328000000000003</v>
      </c>
      <c r="O15" s="55">
        <f t="shared" si="8"/>
        <v>41.328000000000003</v>
      </c>
      <c r="P15" s="15">
        <f t="shared" si="3"/>
        <v>41.328000000000003</v>
      </c>
      <c r="S15" s="54"/>
      <c r="T15" s="57"/>
      <c r="U15" s="57"/>
      <c r="V15" s="54"/>
      <c r="W15" s="57"/>
      <c r="X15" s="54"/>
      <c r="Y15" s="54"/>
      <c r="Z15" s="54"/>
    </row>
    <row r="16" spans="1:26" x14ac:dyDescent="0.3">
      <c r="A16" s="52">
        <v>14</v>
      </c>
      <c r="B16" s="52" t="s">
        <v>211</v>
      </c>
      <c r="C16" s="52">
        <v>2</v>
      </c>
      <c r="D16" s="55">
        <v>0.8</v>
      </c>
      <c r="E16" s="55">
        <v>1.27</v>
      </c>
      <c r="F16" s="55">
        <v>2.8</v>
      </c>
      <c r="G16" s="55">
        <f t="shared" si="7"/>
        <v>4.1400000000000006</v>
      </c>
      <c r="H16" s="55">
        <f t="shared" si="5"/>
        <v>11.592000000000001</v>
      </c>
      <c r="I16" s="55">
        <f t="shared" si="6"/>
        <v>1.016</v>
      </c>
      <c r="J16" s="55">
        <v>1.26</v>
      </c>
      <c r="K16" s="55">
        <f t="shared" si="4"/>
        <v>10.332000000000001</v>
      </c>
      <c r="L16" s="55">
        <f t="shared" si="0"/>
        <v>4.0640000000000001</v>
      </c>
      <c r="M16" s="55">
        <f t="shared" si="1"/>
        <v>8.1280000000000001</v>
      </c>
      <c r="N16" s="55">
        <f t="shared" si="2"/>
        <v>41.328000000000003</v>
      </c>
      <c r="O16" s="55"/>
      <c r="P16" s="15">
        <f t="shared" si="3"/>
        <v>41.328000000000003</v>
      </c>
      <c r="S16" s="54"/>
      <c r="T16" s="57"/>
      <c r="U16" s="57"/>
      <c r="V16" s="54"/>
      <c r="W16" s="57"/>
      <c r="X16" s="54"/>
      <c r="Y16" s="54"/>
      <c r="Z16" s="54"/>
    </row>
    <row r="17" spans="1:26" x14ac:dyDescent="0.3">
      <c r="A17" s="52">
        <v>15</v>
      </c>
      <c r="B17" s="52" t="s">
        <v>212</v>
      </c>
      <c r="C17" s="52">
        <v>1</v>
      </c>
      <c r="D17" s="55">
        <v>1.38</v>
      </c>
      <c r="E17" s="55">
        <v>2.36</v>
      </c>
      <c r="F17" s="55">
        <v>2.8</v>
      </c>
      <c r="G17" s="55">
        <f t="shared" si="7"/>
        <v>7.4799999999999986</v>
      </c>
      <c r="H17" s="55">
        <f t="shared" si="5"/>
        <v>20.943999999999996</v>
      </c>
      <c r="I17" s="55">
        <f t="shared" si="6"/>
        <v>3.2567999999999997</v>
      </c>
      <c r="J17" s="55">
        <v>1.26</v>
      </c>
      <c r="K17" s="55">
        <f t="shared" si="4"/>
        <v>19.683999999999994</v>
      </c>
      <c r="L17" s="55">
        <f t="shared" si="0"/>
        <v>6.5135999999999994</v>
      </c>
      <c r="M17" s="55">
        <f t="shared" si="1"/>
        <v>6.5135999999999994</v>
      </c>
      <c r="N17" s="55">
        <f t="shared" si="2"/>
        <v>39.367999999999988</v>
      </c>
      <c r="O17" s="55"/>
      <c r="P17" s="15">
        <f t="shared" si="3"/>
        <v>39.367999999999988</v>
      </c>
      <c r="S17" s="54"/>
      <c r="T17" s="57"/>
      <c r="U17" s="57"/>
      <c r="V17" s="54"/>
      <c r="W17" s="57"/>
      <c r="X17" s="54"/>
      <c r="Y17" s="54"/>
      <c r="Z17" s="54"/>
    </row>
    <row r="18" spans="1:26" x14ac:dyDescent="0.3">
      <c r="A18" s="52">
        <v>16</v>
      </c>
      <c r="B18" s="52" t="s">
        <v>213</v>
      </c>
      <c r="C18" s="52">
        <v>1</v>
      </c>
      <c r="D18" s="55">
        <v>5.6</v>
      </c>
      <c r="E18" s="55">
        <v>1.0900000000000001</v>
      </c>
      <c r="F18" s="55">
        <v>2.8</v>
      </c>
      <c r="G18" s="55">
        <f t="shared" si="7"/>
        <v>13.379999999999999</v>
      </c>
      <c r="H18" s="55">
        <f t="shared" si="5"/>
        <v>37.463999999999992</v>
      </c>
      <c r="I18" s="55">
        <f t="shared" si="6"/>
        <v>6.1040000000000001</v>
      </c>
      <c r="J18" s="55">
        <v>1.47</v>
      </c>
      <c r="K18" s="55">
        <f t="shared" si="4"/>
        <v>35.993999999999993</v>
      </c>
      <c r="L18" s="55">
        <f t="shared" si="0"/>
        <v>12.208</v>
      </c>
      <c r="M18" s="55">
        <f t="shared" si="1"/>
        <v>12.208</v>
      </c>
      <c r="N18" s="55">
        <f t="shared" si="2"/>
        <v>71.987999999999985</v>
      </c>
      <c r="O18" s="55"/>
      <c r="P18" s="15">
        <f t="shared" si="3"/>
        <v>71.987999999999985</v>
      </c>
      <c r="S18" s="54"/>
      <c r="T18" s="57"/>
      <c r="U18" s="57"/>
      <c r="V18" s="54"/>
      <c r="W18" s="57"/>
      <c r="X18" s="54"/>
      <c r="Y18" s="54"/>
      <c r="Z18" s="54"/>
    </row>
    <row r="19" spans="1:26" x14ac:dyDescent="0.3">
      <c r="A19" s="52">
        <v>17</v>
      </c>
      <c r="B19" s="52" t="s">
        <v>214</v>
      </c>
      <c r="C19" s="52">
        <v>2</v>
      </c>
      <c r="D19" s="55" t="s">
        <v>44</v>
      </c>
      <c r="E19" s="55" t="s">
        <v>44</v>
      </c>
      <c r="F19" s="55">
        <v>2.8</v>
      </c>
      <c r="G19" s="55">
        <v>33.68</v>
      </c>
      <c r="H19" s="55">
        <f t="shared" si="5"/>
        <v>94.303999999999988</v>
      </c>
      <c r="I19" s="55">
        <v>15.11</v>
      </c>
      <c r="J19" s="55">
        <v>28.54</v>
      </c>
      <c r="K19" s="55">
        <f t="shared" si="4"/>
        <v>65.763999999999982</v>
      </c>
      <c r="L19" s="55">
        <f t="shared" si="0"/>
        <v>60.44</v>
      </c>
      <c r="M19" s="55">
        <f t="shared" si="1"/>
        <v>120.88</v>
      </c>
      <c r="N19" s="55">
        <f t="shared" si="2"/>
        <v>263.05599999999993</v>
      </c>
      <c r="O19" s="55"/>
      <c r="P19" s="15">
        <f t="shared" si="3"/>
        <v>263.05599999999993</v>
      </c>
      <c r="S19" s="54"/>
      <c r="T19" s="57"/>
      <c r="U19" s="57"/>
      <c r="V19" s="54"/>
      <c r="W19" s="57"/>
      <c r="X19" s="54"/>
      <c r="Y19" s="54"/>
      <c r="Z19" s="54"/>
    </row>
    <row r="20" spans="1:26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S20" s="54"/>
      <c r="T20" s="57"/>
      <c r="U20" s="57"/>
      <c r="V20" s="54"/>
      <c r="W20" s="57"/>
      <c r="X20" s="54"/>
      <c r="Y20" s="54"/>
      <c r="Z20" s="54"/>
    </row>
    <row r="21" spans="1:26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S21" s="54"/>
      <c r="T21" s="57"/>
      <c r="U21" s="57"/>
      <c r="V21" s="54"/>
      <c r="W21" s="57"/>
      <c r="X21" s="54"/>
      <c r="Y21" s="54"/>
      <c r="Z21" s="54"/>
    </row>
    <row r="22" spans="1:26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</row>
    <row r="23" spans="1:26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</row>
    <row r="24" spans="1:26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/>
    </row>
    <row r="25" spans="1:26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</row>
    <row r="26" spans="1:26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</row>
    <row r="27" spans="1:26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</sheetData>
  <mergeCells count="19">
    <mergeCell ref="Y1:Y2"/>
    <mergeCell ref="Z1:Z2"/>
    <mergeCell ref="O1:O2"/>
    <mergeCell ref="P1:P2"/>
    <mergeCell ref="T1:V1"/>
    <mergeCell ref="S1:S2"/>
    <mergeCell ref="W1:W2"/>
    <mergeCell ref="X1:X2"/>
    <mergeCell ref="N1:N2"/>
    <mergeCell ref="D1:G1"/>
    <mergeCell ref="A1:A2"/>
    <mergeCell ref="B1:B2"/>
    <mergeCell ref="C1:C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verticalDpi="0" r:id="rId1"/>
  <ignoredErrors>
    <ignoredError sqref="K5:K7 K8:K19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27"/>
    </sheetView>
  </sheetViews>
  <sheetFormatPr defaultRowHeight="14.4" x14ac:dyDescent="0.3"/>
  <cols>
    <col min="1" max="1" width="12.6640625" customWidth="1"/>
    <col min="2" max="2" width="10.44140625" customWidth="1"/>
    <col min="3" max="3" width="11.44140625" customWidth="1"/>
    <col min="4" max="4" width="10.44140625" customWidth="1"/>
    <col min="5" max="5" width="11.33203125" customWidth="1"/>
    <col min="6" max="6" width="11" customWidth="1"/>
    <col min="7" max="7" width="11.5546875" customWidth="1"/>
    <col min="8" max="8" width="11.77734375" customWidth="1"/>
  </cols>
  <sheetData>
    <row r="1" spans="1:8" x14ac:dyDescent="0.3">
      <c r="A1" s="69" t="s">
        <v>215</v>
      </c>
      <c r="B1" s="70" t="s">
        <v>216</v>
      </c>
      <c r="C1" s="70"/>
      <c r="D1" s="70"/>
      <c r="E1" s="69" t="s">
        <v>220</v>
      </c>
      <c r="F1" s="69" t="s">
        <v>221</v>
      </c>
      <c r="G1" s="69" t="s">
        <v>222</v>
      </c>
      <c r="H1" s="69" t="s">
        <v>223</v>
      </c>
    </row>
    <row r="2" spans="1:8" ht="27.6" x14ac:dyDescent="0.3">
      <c r="A2" s="69"/>
      <c r="B2" s="44" t="s">
        <v>217</v>
      </c>
      <c r="C2" s="44" t="s">
        <v>218</v>
      </c>
      <c r="D2" s="44" t="s">
        <v>219</v>
      </c>
      <c r="E2" s="69"/>
      <c r="F2" s="69"/>
      <c r="G2" s="69"/>
      <c r="H2" s="69"/>
    </row>
    <row r="3" spans="1:8" ht="72" customHeight="1" x14ac:dyDescent="0.3">
      <c r="A3" s="36" t="s">
        <v>224</v>
      </c>
      <c r="B3" s="46"/>
      <c r="C3" s="46"/>
      <c r="D3" s="15"/>
      <c r="E3" s="46"/>
      <c r="F3" s="15"/>
      <c r="G3" s="15"/>
      <c r="H3" s="15"/>
    </row>
    <row r="4" spans="1:8" x14ac:dyDescent="0.3">
      <c r="A4" s="51" t="s">
        <v>225</v>
      </c>
      <c r="B4" s="50">
        <v>13.42</v>
      </c>
      <c r="C4" s="50">
        <v>6</v>
      </c>
      <c r="D4" s="15">
        <f t="shared" ref="D4:D14" si="0">B4*C4</f>
        <v>80.52</v>
      </c>
      <c r="E4" s="50">
        <v>9.8000000000000007</v>
      </c>
      <c r="F4" s="15">
        <f>D4-E4</f>
        <v>70.72</v>
      </c>
      <c r="G4" s="15">
        <v>0.51</v>
      </c>
      <c r="H4" s="15">
        <f t="shared" ref="H4:H14" si="1">F4*G4*1</f>
        <v>36.0672</v>
      </c>
    </row>
    <row r="5" spans="1:8" x14ac:dyDescent="0.3">
      <c r="A5" s="51" t="s">
        <v>226</v>
      </c>
      <c r="B5" s="50">
        <v>7.2</v>
      </c>
      <c r="C5" s="50">
        <v>2.8</v>
      </c>
      <c r="D5" s="15">
        <f t="shared" si="0"/>
        <v>20.16</v>
      </c>
      <c r="E5" s="50">
        <v>7</v>
      </c>
      <c r="F5" s="15">
        <f>D5-E5</f>
        <v>13.16</v>
      </c>
      <c r="G5" s="15">
        <v>0.51</v>
      </c>
      <c r="H5" s="15">
        <f t="shared" si="1"/>
        <v>6.7115999999999998</v>
      </c>
    </row>
    <row r="6" spans="1:8" x14ac:dyDescent="0.3">
      <c r="A6" s="51" t="s">
        <v>227</v>
      </c>
      <c r="B6" s="50">
        <v>5.98</v>
      </c>
      <c r="C6" s="50">
        <v>2.8</v>
      </c>
      <c r="D6" s="15">
        <f t="shared" si="0"/>
        <v>16.744</v>
      </c>
      <c r="E6" s="50" t="s">
        <v>44</v>
      </c>
      <c r="F6" s="15">
        <f>D6</f>
        <v>16.744</v>
      </c>
      <c r="G6" s="15">
        <v>0.51</v>
      </c>
      <c r="H6" s="15">
        <f t="shared" si="1"/>
        <v>8.5394400000000008</v>
      </c>
    </row>
    <row r="7" spans="1:8" x14ac:dyDescent="0.3">
      <c r="A7" s="51" t="s">
        <v>229</v>
      </c>
      <c r="B7" s="50">
        <v>12.18</v>
      </c>
      <c r="C7" s="50">
        <v>6</v>
      </c>
      <c r="D7" s="15">
        <f t="shared" si="0"/>
        <v>73.08</v>
      </c>
      <c r="E7" s="50">
        <v>7.84</v>
      </c>
      <c r="F7" s="15">
        <f>D7-E7</f>
        <v>65.239999999999995</v>
      </c>
      <c r="G7" s="15">
        <v>0.51</v>
      </c>
      <c r="H7" s="15">
        <f t="shared" si="1"/>
        <v>33.272399999999998</v>
      </c>
    </row>
    <row r="8" spans="1:8" x14ac:dyDescent="0.3">
      <c r="A8" s="51" t="s">
        <v>230</v>
      </c>
      <c r="B8" s="50">
        <v>14.44</v>
      </c>
      <c r="C8" s="50">
        <v>2.8</v>
      </c>
      <c r="D8" s="15">
        <f t="shared" si="0"/>
        <v>40.431999999999995</v>
      </c>
      <c r="E8" s="50">
        <v>5.6</v>
      </c>
      <c r="F8" s="15">
        <f>D8-E8</f>
        <v>34.831999999999994</v>
      </c>
      <c r="G8" s="15">
        <v>0.51</v>
      </c>
      <c r="H8" s="15">
        <f t="shared" si="1"/>
        <v>17.764319999999998</v>
      </c>
    </row>
    <row r="9" spans="1:8" x14ac:dyDescent="0.3">
      <c r="A9" s="51" t="s">
        <v>231</v>
      </c>
      <c r="B9" s="50">
        <v>9.6199999999999992</v>
      </c>
      <c r="C9" s="50">
        <v>2.8</v>
      </c>
      <c r="D9" s="15">
        <f t="shared" si="0"/>
        <v>26.935999999999996</v>
      </c>
      <c r="E9" s="50">
        <v>3.36</v>
      </c>
      <c r="F9" s="15">
        <f>D9-E9</f>
        <v>23.575999999999997</v>
      </c>
      <c r="G9" s="15">
        <v>0.51</v>
      </c>
      <c r="H9" s="15">
        <f t="shared" si="1"/>
        <v>12.023759999999999</v>
      </c>
    </row>
    <row r="10" spans="1:8" x14ac:dyDescent="0.3">
      <c r="A10" s="51" t="s">
        <v>232</v>
      </c>
      <c r="B10" s="50">
        <v>3.6</v>
      </c>
      <c r="C10" s="50">
        <v>2.8</v>
      </c>
      <c r="D10" s="15">
        <f t="shared" si="0"/>
        <v>10.08</v>
      </c>
      <c r="E10" s="50">
        <v>1.4</v>
      </c>
      <c r="F10" s="15">
        <f>D10-E10</f>
        <v>8.68</v>
      </c>
      <c r="G10" s="15">
        <v>0.51</v>
      </c>
      <c r="H10" s="15">
        <f t="shared" si="1"/>
        <v>4.4268000000000001</v>
      </c>
    </row>
    <row r="11" spans="1:8" x14ac:dyDescent="0.3">
      <c r="A11" s="51" t="s">
        <v>233</v>
      </c>
      <c r="B11" s="50">
        <v>16.2</v>
      </c>
      <c r="C11" s="50">
        <v>6</v>
      </c>
      <c r="D11" s="15">
        <f t="shared" si="0"/>
        <v>97.199999999999989</v>
      </c>
      <c r="E11" s="50" t="s">
        <v>44</v>
      </c>
      <c r="F11" s="15">
        <f>D11</f>
        <v>97.199999999999989</v>
      </c>
      <c r="G11" s="15">
        <v>0.51</v>
      </c>
      <c r="H11" s="15">
        <f t="shared" si="1"/>
        <v>49.571999999999996</v>
      </c>
    </row>
    <row r="12" spans="1:8" x14ac:dyDescent="0.3">
      <c r="A12" s="51" t="s">
        <v>235</v>
      </c>
      <c r="B12" s="59">
        <v>16.2</v>
      </c>
      <c r="C12" s="50">
        <v>6</v>
      </c>
      <c r="D12" s="15">
        <f t="shared" si="0"/>
        <v>97.199999999999989</v>
      </c>
      <c r="E12" s="50" t="s">
        <v>44</v>
      </c>
      <c r="F12" s="15">
        <f>D12</f>
        <v>97.199999999999989</v>
      </c>
      <c r="G12" s="15">
        <v>0.51</v>
      </c>
      <c r="H12" s="15">
        <f t="shared" si="1"/>
        <v>49.571999999999996</v>
      </c>
    </row>
    <row r="13" spans="1:8" x14ac:dyDescent="0.3">
      <c r="A13" s="51" t="s">
        <v>236</v>
      </c>
      <c r="B13" s="50">
        <v>3.6</v>
      </c>
      <c r="C13" s="50">
        <v>2.8</v>
      </c>
      <c r="D13" s="15">
        <f t="shared" si="0"/>
        <v>10.08</v>
      </c>
      <c r="E13" s="50">
        <v>1.4</v>
      </c>
      <c r="F13" s="15">
        <f>D13-E13</f>
        <v>8.68</v>
      </c>
      <c r="G13" s="15">
        <v>0.51</v>
      </c>
      <c r="H13" s="15">
        <f t="shared" si="1"/>
        <v>4.4268000000000001</v>
      </c>
    </row>
    <row r="14" spans="1:8" x14ac:dyDescent="0.3">
      <c r="A14" s="51" t="s">
        <v>237</v>
      </c>
      <c r="B14" s="50">
        <v>9.6199999999999992</v>
      </c>
      <c r="C14" s="50">
        <v>2.8</v>
      </c>
      <c r="D14" s="15">
        <f t="shared" si="0"/>
        <v>26.935999999999996</v>
      </c>
      <c r="E14" s="50">
        <v>3.36</v>
      </c>
      <c r="F14" s="15">
        <f>D14-E14</f>
        <v>23.575999999999997</v>
      </c>
      <c r="G14" s="15">
        <v>0.51</v>
      </c>
      <c r="H14" s="15">
        <f t="shared" si="1"/>
        <v>12.023759999999999</v>
      </c>
    </row>
    <row r="15" spans="1:8" x14ac:dyDescent="0.3">
      <c r="A15" s="87" t="s">
        <v>240</v>
      </c>
      <c r="B15" s="88"/>
      <c r="C15" s="88"/>
      <c r="D15" s="88"/>
      <c r="E15" s="88"/>
      <c r="F15" s="88"/>
      <c r="G15" s="89"/>
      <c r="H15" s="60">
        <f>SUM(H4:H14)</f>
        <v>234.40007999999997</v>
      </c>
    </row>
    <row r="16" spans="1:8" ht="73.2" customHeight="1" x14ac:dyDescent="0.3">
      <c r="A16" s="36" t="s">
        <v>238</v>
      </c>
      <c r="B16" s="36"/>
      <c r="C16" s="36"/>
      <c r="D16" s="51"/>
      <c r="E16" s="36"/>
      <c r="F16" s="51"/>
      <c r="G16" s="51"/>
      <c r="H16" s="51"/>
    </row>
    <row r="17" spans="1:8" x14ac:dyDescent="0.3">
      <c r="A17" s="58" t="s">
        <v>232</v>
      </c>
      <c r="B17" s="50">
        <v>5.2</v>
      </c>
      <c r="C17" s="50">
        <v>2.8</v>
      </c>
      <c r="D17" s="15">
        <f>C17*B17</f>
        <v>14.559999999999999</v>
      </c>
      <c r="E17" s="50">
        <v>1.89</v>
      </c>
      <c r="F17" s="15">
        <f>D17-E17</f>
        <v>12.669999999999998</v>
      </c>
      <c r="G17" s="15">
        <v>0.38</v>
      </c>
      <c r="H17" s="15">
        <f t="shared" ref="H17:H23" si="2">F17*G17*1</f>
        <v>4.8145999999999995</v>
      </c>
    </row>
    <row r="18" spans="1:8" x14ac:dyDescent="0.3">
      <c r="A18" s="58" t="s">
        <v>233</v>
      </c>
      <c r="B18" s="50">
        <v>7.5</v>
      </c>
      <c r="C18" s="50">
        <v>2.8</v>
      </c>
      <c r="D18" s="15">
        <f t="shared" ref="D18:D23" si="3">B18*C18</f>
        <v>21</v>
      </c>
      <c r="E18" s="50">
        <v>1.89</v>
      </c>
      <c r="F18" s="15">
        <f>D18-E18</f>
        <v>19.11</v>
      </c>
      <c r="G18" s="15">
        <v>0.38</v>
      </c>
      <c r="H18" s="15">
        <f t="shared" si="2"/>
        <v>7.2618</v>
      </c>
    </row>
    <row r="19" spans="1:8" x14ac:dyDescent="0.3">
      <c r="A19" s="58" t="s">
        <v>234</v>
      </c>
      <c r="B19" s="50">
        <v>10.5</v>
      </c>
      <c r="C19" s="50">
        <v>6</v>
      </c>
      <c r="D19" s="15">
        <f t="shared" si="3"/>
        <v>63</v>
      </c>
      <c r="E19" s="50" t="s">
        <v>44</v>
      </c>
      <c r="F19" s="15">
        <f>D19</f>
        <v>63</v>
      </c>
      <c r="G19" s="15">
        <v>0.38</v>
      </c>
      <c r="H19" s="15">
        <f t="shared" si="2"/>
        <v>23.94</v>
      </c>
    </row>
    <row r="20" spans="1:8" x14ac:dyDescent="0.3">
      <c r="A20" s="58" t="s">
        <v>235</v>
      </c>
      <c r="B20" s="15">
        <v>7.5</v>
      </c>
      <c r="C20" s="50">
        <v>2.8</v>
      </c>
      <c r="D20" s="15">
        <f t="shared" si="3"/>
        <v>21</v>
      </c>
      <c r="E20" s="15">
        <v>1.89</v>
      </c>
      <c r="F20" s="15">
        <f>D20-E20</f>
        <v>19.11</v>
      </c>
      <c r="G20" s="15">
        <v>0.38</v>
      </c>
      <c r="H20" s="15">
        <f t="shared" si="2"/>
        <v>7.2618</v>
      </c>
    </row>
    <row r="21" spans="1:8" x14ac:dyDescent="0.3">
      <c r="A21" s="58" t="s">
        <v>236</v>
      </c>
      <c r="B21" s="15">
        <v>5.2</v>
      </c>
      <c r="C21" s="50">
        <v>2.8</v>
      </c>
      <c r="D21" s="15">
        <f t="shared" si="3"/>
        <v>14.559999999999999</v>
      </c>
      <c r="E21" s="15">
        <v>1.89</v>
      </c>
      <c r="F21" s="15">
        <f>D21-E21</f>
        <v>12.669999999999998</v>
      </c>
      <c r="G21" s="15">
        <v>0.38</v>
      </c>
      <c r="H21" s="15">
        <f t="shared" si="2"/>
        <v>4.8145999999999995</v>
      </c>
    </row>
    <row r="22" spans="1:8" x14ac:dyDescent="0.3">
      <c r="A22" s="58" t="s">
        <v>227</v>
      </c>
      <c r="B22" s="15">
        <v>6.4</v>
      </c>
      <c r="C22" s="50">
        <v>2.8</v>
      </c>
      <c r="D22" s="15">
        <f t="shared" si="3"/>
        <v>17.919999999999998</v>
      </c>
      <c r="E22" s="15">
        <v>1.89</v>
      </c>
      <c r="F22" s="15">
        <f>D22-E22</f>
        <v>16.029999999999998</v>
      </c>
      <c r="G22" s="15">
        <v>0.38</v>
      </c>
      <c r="H22" s="15">
        <f t="shared" si="2"/>
        <v>6.0913999999999993</v>
      </c>
    </row>
    <row r="23" spans="1:8" x14ac:dyDescent="0.3">
      <c r="A23" s="58" t="s">
        <v>228</v>
      </c>
      <c r="B23" s="15">
        <v>12.4</v>
      </c>
      <c r="C23" s="50">
        <v>2.8</v>
      </c>
      <c r="D23" s="15">
        <f t="shared" si="3"/>
        <v>34.72</v>
      </c>
      <c r="E23" s="15">
        <v>1.89</v>
      </c>
      <c r="F23" s="15">
        <f>D23-E23</f>
        <v>32.83</v>
      </c>
      <c r="G23" s="15">
        <v>0.38</v>
      </c>
      <c r="H23" s="15">
        <f t="shared" si="2"/>
        <v>12.475399999999999</v>
      </c>
    </row>
    <row r="24" spans="1:8" x14ac:dyDescent="0.3">
      <c r="A24" s="87" t="s">
        <v>239</v>
      </c>
      <c r="B24" s="88"/>
      <c r="C24" s="88"/>
      <c r="D24" s="88"/>
      <c r="E24" s="88"/>
      <c r="F24" s="88"/>
      <c r="G24" s="89"/>
      <c r="H24" s="17">
        <f>SUM(H17:H23)</f>
        <v>66.659599999999998</v>
      </c>
    </row>
    <row r="25" spans="1:8" ht="55.8" x14ac:dyDescent="0.3">
      <c r="A25" s="36" t="s">
        <v>241</v>
      </c>
      <c r="B25" s="51"/>
      <c r="C25" s="51"/>
      <c r="D25" s="51"/>
      <c r="E25" s="51"/>
      <c r="F25" s="51"/>
      <c r="G25" s="51"/>
      <c r="H25" s="51"/>
    </row>
    <row r="26" spans="1:8" x14ac:dyDescent="0.3">
      <c r="A26" s="51"/>
      <c r="B26" s="55">
        <v>97</v>
      </c>
      <c r="C26" s="55">
        <v>2.8</v>
      </c>
      <c r="D26" s="55">
        <f>B26*C26</f>
        <v>271.59999999999997</v>
      </c>
      <c r="E26" s="55">
        <v>38.22</v>
      </c>
      <c r="F26" s="55">
        <f>D26-E26</f>
        <v>233.37999999999997</v>
      </c>
      <c r="G26" s="55">
        <v>0.12</v>
      </c>
      <c r="H26" s="55">
        <f>F26*G26*1</f>
        <v>28.005599999999994</v>
      </c>
    </row>
    <row r="27" spans="1:8" x14ac:dyDescent="0.3">
      <c r="A27" s="84" t="s">
        <v>242</v>
      </c>
      <c r="B27" s="85"/>
      <c r="C27" s="85"/>
      <c r="D27" s="85"/>
      <c r="E27" s="85"/>
      <c r="F27" s="85"/>
      <c r="G27" s="86"/>
      <c r="H27" s="60">
        <f>H26</f>
        <v>28.005599999999994</v>
      </c>
    </row>
    <row r="28" spans="1:8" x14ac:dyDescent="0.3">
      <c r="A28" s="61"/>
      <c r="B28" s="62"/>
      <c r="C28" s="62"/>
      <c r="D28" s="62"/>
      <c r="E28" s="62"/>
      <c r="F28" s="62"/>
      <c r="G28" s="62"/>
      <c r="H28" s="62"/>
    </row>
    <row r="29" spans="1:8" x14ac:dyDescent="0.3">
      <c r="A29" s="61"/>
      <c r="B29" s="62"/>
      <c r="C29" s="62"/>
      <c r="D29" s="62"/>
      <c r="E29" s="62"/>
      <c r="F29" s="62"/>
      <c r="G29" s="62"/>
      <c r="H29" s="62"/>
    </row>
    <row r="30" spans="1:8" x14ac:dyDescent="0.3">
      <c r="A30" s="61"/>
      <c r="B30" s="62"/>
      <c r="C30" s="62"/>
      <c r="D30" s="62"/>
      <c r="E30" s="62"/>
      <c r="F30" s="62"/>
      <c r="G30" s="62"/>
      <c r="H30" s="62"/>
    </row>
    <row r="31" spans="1:8" x14ac:dyDescent="0.3">
      <c r="A31" s="61"/>
      <c r="B31" s="62"/>
      <c r="C31" s="62"/>
      <c r="D31" s="62"/>
      <c r="E31" s="62"/>
      <c r="F31" s="62"/>
      <c r="G31" s="62"/>
      <c r="H31" s="62"/>
    </row>
    <row r="32" spans="1:8" x14ac:dyDescent="0.3">
      <c r="A32" s="61"/>
      <c r="B32" s="62"/>
      <c r="C32" s="62"/>
      <c r="D32" s="62"/>
      <c r="E32" s="62"/>
      <c r="F32" s="62"/>
      <c r="G32" s="62"/>
      <c r="H32" s="62"/>
    </row>
  </sheetData>
  <mergeCells count="9">
    <mergeCell ref="H1:H2"/>
    <mergeCell ref="A27:G27"/>
    <mergeCell ref="A15:G15"/>
    <mergeCell ref="A24:G24"/>
    <mergeCell ref="A1:A2"/>
    <mergeCell ref="B1:D1"/>
    <mergeCell ref="E1:E2"/>
    <mergeCell ref="F1:F2"/>
    <mergeCell ref="G1:G2"/>
  </mergeCells>
  <pageMargins left="0.7" right="0.7" top="0.75" bottom="0.75" header="0.3" footer="0.3"/>
  <pageSetup paperSize="9" orientation="portrait" verticalDpi="0" r:id="rId1"/>
  <ignoredErrors>
    <ignoredError sqref="F6 F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Локальная смета</vt:lpstr>
      <vt:lpstr>Объектная смета</vt:lpstr>
      <vt:lpstr>ппр</vt:lpstr>
      <vt:lpstr>ППР2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2024-02-28T10:15:37Z</dcterms:modified>
</cp:coreProperties>
</file>