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https://irsgov-my.sharepoint.com/personal/dx9wb_ds_irsnet_gov/Documents/5815 NumberCruncher/"/>
    </mc:Choice>
  </mc:AlternateContent>
  <xr:revisionPtr revIDLastSave="3" documentId="8_{3BE671FD-949B-43ED-9C1A-7D268CCBBB41}" xr6:coauthVersionLast="47" xr6:coauthVersionMax="47" xr10:uidLastSave="{28CFCFFF-AB5B-4F45-8025-5B94BE5A1085}"/>
  <bookViews>
    <workbookView xWindow="-108" yWindow="-108" windowWidth="23256" windowHeight="12456" xr2:uid="{E8DFD529-6A78-4909-B1A6-062B974D3589}"/>
  </bookViews>
  <sheets>
    <sheet name="Estate.ly" sheetId="7" r:id="rId1"/>
    <sheet name="Contingent" sheetId="11" r:id="rId2"/>
    <sheet name="Regs" sheetId="10" r:id="rId3"/>
    <sheet name="CheckTables" sheetId="8" r:id="rId4"/>
    <sheet name="ActuarialNotes" sheetId="1" r:id="rId5"/>
  </sheets>
  <definedNames>
    <definedName name="_1overP">1/_p</definedName>
    <definedName name="_ages">TRANSPOSE(_xlfn._xlws.FILTER(Estate.ly!$G$4:$G$23,Estate.ly!$G$4:$G$23&lt;&gt;"",0))</definedName>
    <definedName name="_all">IF(COUNTA(_ages)&lt;2,INDEX(_ages,1),IF(_contin="First-to-die",_JL,_LS))</definedName>
    <definedName name="_angle">_xlfn.UNICHAR(HEX2DEC("031A"))</definedName>
    <definedName name="_applyTerm">Estate.ly!$D$7</definedName>
    <definedName name="_bar">_xlfn.UNICHAR(HEX2DEC("0305"))</definedName>
    <definedName name="_circle">_xlfn.UNICHAR(HEX2DEC("030a"))</definedName>
    <definedName name="_contin">Estate.ly!$D$6</definedName>
    <definedName name="_dd">_xlfn.ANCHORARRAY(Estate.ly!$A$4)</definedName>
    <definedName name="_ddTable">Estate.ly!$A$17:$A$21</definedName>
    <definedName name="_DiscFac">_xlfn.ANCHORARRAY(Estate.ly!$O$3)</definedName>
    <definedName name="_i">Estate.ly!$D$22</definedName>
    <definedName name="_JL">ActuarialNotes!$C$74</definedName>
    <definedName name="_Life">_xlfn.ANCHORARRAY(Estate.ly!$P$3)</definedName>
    <definedName name="_LS">ActuarialNotes!$C$64</definedName>
    <definedName name="_MortFac">_xlfn.ANCHORARRAY(Estate.ly!$N$3)</definedName>
    <definedName name="_NnuityFac">_xlfn.ANCHORARRAY(Estate.ly!$M$3)</definedName>
    <definedName name="_p">INDEX({1,2,4,12,52},MATCH(Estate.ly!$D$11,{"Annual","Semiannual","Quarterly","Monthly","Weekly"},0))</definedName>
    <definedName name="_T">_xlfn.ANCHORARRAY(Estate.ly!$K$3)</definedName>
    <definedName name="_term">Estate.ly!$D$8</definedName>
    <definedName name="_type">Estate.ly!$D$5</definedName>
    <definedName name="_V">_xlfn.ANCHORARRAY(Estate.ly!$L$3)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7" l="1"/>
  <c r="C3" i="11" a="1"/>
  <c r="C3" i="11" s="1"/>
  <c r="L3" i="11" s="1"/>
  <c r="F2" i="7" l="1"/>
  <c r="Q8" i="11" a="1"/>
  <c r="Q8" i="11" s="1"/>
  <c r="C2" i="11" a="1"/>
  <c r="C2" i="11" s="1"/>
  <c r="AJ114" i="8" a="1"/>
  <c r="AJ114" i="8" s="1"/>
  <c r="AK114" i="8" s="1"/>
  <c r="AJ113" i="8" a="1"/>
  <c r="AJ113" i="8" s="1"/>
  <c r="AK113" i="8" s="1"/>
  <c r="AJ112" i="8" a="1"/>
  <c r="AJ112" i="8" s="1"/>
  <c r="AK112" i="8" s="1"/>
  <c r="AJ111" i="8" a="1"/>
  <c r="AJ111" i="8" s="1"/>
  <c r="AK111" i="8" s="1"/>
  <c r="AJ110" i="8" a="1"/>
  <c r="AJ110" i="8" s="1"/>
  <c r="AK110" i="8" s="1"/>
  <c r="AJ109" i="8" a="1"/>
  <c r="AJ109" i="8" s="1"/>
  <c r="AK109" i="8" s="1"/>
  <c r="AJ108" i="8" a="1"/>
  <c r="AJ108" i="8" s="1"/>
  <c r="AK108" i="8" s="1"/>
  <c r="AJ107" i="8" a="1"/>
  <c r="AJ107" i="8" s="1"/>
  <c r="AK107" i="8" s="1"/>
  <c r="AJ106" i="8" a="1"/>
  <c r="AJ106" i="8" s="1"/>
  <c r="AK106" i="8" s="1"/>
  <c r="AJ105" i="8" a="1"/>
  <c r="AJ105" i="8" s="1"/>
  <c r="AK105" i="8" s="1"/>
  <c r="AJ104" i="8" a="1"/>
  <c r="AJ104" i="8" s="1"/>
  <c r="AK104" i="8" s="1"/>
  <c r="AJ103" i="8" a="1"/>
  <c r="AJ103" i="8" s="1"/>
  <c r="AK103" i="8" s="1"/>
  <c r="AJ102" i="8" a="1"/>
  <c r="AJ102" i="8" s="1"/>
  <c r="AK102" i="8" s="1"/>
  <c r="AJ101" i="8" a="1"/>
  <c r="AJ101" i="8" s="1"/>
  <c r="AK101" i="8" s="1"/>
  <c r="AJ100" i="8" a="1"/>
  <c r="AJ100" i="8" s="1"/>
  <c r="AK100" i="8" s="1"/>
  <c r="AJ99" i="8" a="1"/>
  <c r="AJ99" i="8" s="1"/>
  <c r="AK99" i="8" s="1"/>
  <c r="AJ98" i="8" a="1"/>
  <c r="AJ98" i="8" s="1"/>
  <c r="AK98" i="8" s="1"/>
  <c r="AJ97" i="8" a="1"/>
  <c r="AJ97" i="8" s="1"/>
  <c r="AK97" i="8" s="1"/>
  <c r="AJ96" i="8" a="1"/>
  <c r="AJ96" i="8" s="1"/>
  <c r="AK96" i="8" s="1"/>
  <c r="AJ95" i="8" a="1"/>
  <c r="AJ95" i="8" s="1"/>
  <c r="AK95" i="8" s="1"/>
  <c r="AJ94" i="8" a="1"/>
  <c r="AJ94" i="8" s="1"/>
  <c r="AK94" i="8" s="1"/>
  <c r="AJ93" i="8" a="1"/>
  <c r="AJ93" i="8" s="1"/>
  <c r="AK93" i="8" s="1"/>
  <c r="AJ92" i="8" a="1"/>
  <c r="AJ92" i="8" s="1"/>
  <c r="AK92" i="8" s="1"/>
  <c r="AJ91" i="8" a="1"/>
  <c r="AJ91" i="8" s="1"/>
  <c r="AK91" i="8" s="1"/>
  <c r="AJ90" i="8" a="1"/>
  <c r="AJ90" i="8" s="1"/>
  <c r="AK90" i="8" s="1"/>
  <c r="AJ89" i="8" a="1"/>
  <c r="AJ89" i="8" s="1"/>
  <c r="AK89" i="8" s="1"/>
  <c r="AJ88" i="8" a="1"/>
  <c r="AJ88" i="8" s="1"/>
  <c r="AK88" i="8" s="1"/>
  <c r="AJ87" i="8" a="1"/>
  <c r="AJ87" i="8" s="1"/>
  <c r="AK87" i="8" s="1"/>
  <c r="AJ86" i="8" a="1"/>
  <c r="AJ86" i="8" s="1"/>
  <c r="AK86" i="8" s="1"/>
  <c r="AJ85" i="8" a="1"/>
  <c r="AJ85" i="8" s="1"/>
  <c r="AK85" i="8" s="1"/>
  <c r="AJ84" i="8" a="1"/>
  <c r="AJ84" i="8" s="1"/>
  <c r="AK84" i="8" s="1"/>
  <c r="AJ83" i="8" a="1"/>
  <c r="AJ83" i="8" s="1"/>
  <c r="AK83" i="8" s="1"/>
  <c r="AJ82" i="8" a="1"/>
  <c r="AJ82" i="8" s="1"/>
  <c r="AK82" i="8" s="1"/>
  <c r="AJ81" i="8" a="1"/>
  <c r="AJ81" i="8" s="1"/>
  <c r="AK81" i="8" s="1"/>
  <c r="AJ80" i="8" a="1"/>
  <c r="AJ80" i="8" s="1"/>
  <c r="AK80" i="8" s="1"/>
  <c r="AJ79" i="8" a="1"/>
  <c r="AJ79" i="8" s="1"/>
  <c r="AK79" i="8" s="1"/>
  <c r="AJ78" i="8" a="1"/>
  <c r="AJ78" i="8" s="1"/>
  <c r="AK78" i="8" s="1"/>
  <c r="AJ77" i="8" a="1"/>
  <c r="AJ77" i="8" s="1"/>
  <c r="AK77" i="8" s="1"/>
  <c r="AJ76" i="8" a="1"/>
  <c r="AJ76" i="8" s="1"/>
  <c r="AK76" i="8" s="1"/>
  <c r="AJ75" i="8" a="1"/>
  <c r="AJ75" i="8" s="1"/>
  <c r="AK75" i="8" s="1"/>
  <c r="AJ74" i="8" a="1"/>
  <c r="AJ74" i="8" s="1"/>
  <c r="AK74" i="8" s="1"/>
  <c r="AJ73" i="8" a="1"/>
  <c r="AJ73" i="8" s="1"/>
  <c r="AK73" i="8" s="1"/>
  <c r="AJ72" i="8" a="1"/>
  <c r="AJ72" i="8" s="1"/>
  <c r="AK72" i="8" s="1"/>
  <c r="AJ71" i="8" a="1"/>
  <c r="AJ71" i="8" s="1"/>
  <c r="AK71" i="8" s="1"/>
  <c r="AJ70" i="8" a="1"/>
  <c r="AJ70" i="8" s="1"/>
  <c r="AK70" i="8" s="1"/>
  <c r="AJ69" i="8" a="1"/>
  <c r="AJ69" i="8" s="1"/>
  <c r="AK69" i="8" s="1"/>
  <c r="AJ68" i="8" a="1"/>
  <c r="AJ68" i="8" s="1"/>
  <c r="AK68" i="8" s="1"/>
  <c r="AJ67" i="8"/>
  <c r="AK67" i="8" s="1"/>
  <c r="AJ67" i="8" a="1"/>
  <c r="AJ66" i="8" a="1"/>
  <c r="AJ66" i="8" s="1"/>
  <c r="AK66" i="8" s="1"/>
  <c r="AJ65" i="8" a="1"/>
  <c r="AJ65" i="8" s="1"/>
  <c r="AK65" i="8" s="1"/>
  <c r="AJ64" i="8" a="1"/>
  <c r="AJ64" i="8" s="1"/>
  <c r="AK64" i="8" s="1"/>
  <c r="AJ63" i="8" a="1"/>
  <c r="AJ63" i="8" s="1"/>
  <c r="AK63" i="8" s="1"/>
  <c r="AJ62" i="8" a="1"/>
  <c r="AJ62" i="8" s="1"/>
  <c r="AK62" i="8" s="1"/>
  <c r="AJ61" i="8" a="1"/>
  <c r="AJ61" i="8" s="1"/>
  <c r="AK61" i="8" s="1"/>
  <c r="AJ60" i="8" a="1"/>
  <c r="AJ60" i="8" s="1"/>
  <c r="AK60" i="8" s="1"/>
  <c r="AJ59" i="8" a="1"/>
  <c r="AJ59" i="8" s="1"/>
  <c r="AK59" i="8" s="1"/>
  <c r="AJ58" i="8" a="1"/>
  <c r="AJ58" i="8" s="1"/>
  <c r="AK58" i="8" s="1"/>
  <c r="AJ57" i="8" a="1"/>
  <c r="AJ57" i="8" s="1"/>
  <c r="AK57" i="8" s="1"/>
  <c r="AJ56" i="8" a="1"/>
  <c r="AJ56" i="8" s="1"/>
  <c r="AK56" i="8" s="1"/>
  <c r="AJ55" i="8" a="1"/>
  <c r="AJ55" i="8" s="1"/>
  <c r="AK55" i="8" s="1"/>
  <c r="AJ54" i="8" a="1"/>
  <c r="AJ54" i="8" s="1"/>
  <c r="AK54" i="8" s="1"/>
  <c r="AJ53" i="8" a="1"/>
  <c r="AJ53" i="8" s="1"/>
  <c r="AK53" i="8" s="1"/>
  <c r="AJ52" i="8" a="1"/>
  <c r="AJ52" i="8" s="1"/>
  <c r="AK52" i="8" s="1"/>
  <c r="AJ51" i="8" a="1"/>
  <c r="AJ51" i="8" s="1"/>
  <c r="AK51" i="8" s="1"/>
  <c r="AJ50" i="8" a="1"/>
  <c r="AJ50" i="8" s="1"/>
  <c r="AK50" i="8" s="1"/>
  <c r="AJ49" i="8" a="1"/>
  <c r="AJ49" i="8" s="1"/>
  <c r="AK49" i="8" s="1"/>
  <c r="AJ48" i="8" a="1"/>
  <c r="AJ48" i="8" s="1"/>
  <c r="AK48" i="8" s="1"/>
  <c r="AJ47" i="8" a="1"/>
  <c r="AJ47" i="8" s="1"/>
  <c r="AK47" i="8" s="1"/>
  <c r="AJ46" i="8" a="1"/>
  <c r="AJ46" i="8" s="1"/>
  <c r="AK46" i="8" s="1"/>
  <c r="AJ45" i="8" a="1"/>
  <c r="AJ45" i="8" s="1"/>
  <c r="AK45" i="8" s="1"/>
  <c r="AJ44" i="8" a="1"/>
  <c r="AJ44" i="8" s="1"/>
  <c r="AK44" i="8" s="1"/>
  <c r="AJ43" i="8" a="1"/>
  <c r="AJ43" i="8" s="1"/>
  <c r="AK43" i="8" s="1"/>
  <c r="AJ42" i="8" a="1"/>
  <c r="AJ42" i="8" s="1"/>
  <c r="AK42" i="8" s="1"/>
  <c r="AJ41" i="8" a="1"/>
  <c r="AJ41" i="8" s="1"/>
  <c r="AK41" i="8" s="1"/>
  <c r="AJ40" i="8" a="1"/>
  <c r="AJ40" i="8" s="1"/>
  <c r="AK40" i="8" s="1"/>
  <c r="AJ39" i="8" a="1"/>
  <c r="AJ39" i="8" s="1"/>
  <c r="AK39" i="8" s="1"/>
  <c r="AJ38" i="8" a="1"/>
  <c r="AJ38" i="8" s="1"/>
  <c r="AK38" i="8" s="1"/>
  <c r="AJ37" i="8" a="1"/>
  <c r="AJ37" i="8" s="1"/>
  <c r="AK37" i="8" s="1"/>
  <c r="AJ36" i="8" a="1"/>
  <c r="AJ36" i="8" s="1"/>
  <c r="AK36" i="8" s="1"/>
  <c r="AJ35" i="8" a="1"/>
  <c r="AJ35" i="8" s="1"/>
  <c r="AK35" i="8" s="1"/>
  <c r="AJ34" i="8" a="1"/>
  <c r="AJ34" i="8" s="1"/>
  <c r="AK34" i="8" s="1"/>
  <c r="AJ33" i="8" a="1"/>
  <c r="AJ33" i="8" s="1"/>
  <c r="AK33" i="8" s="1"/>
  <c r="AJ32" i="8" a="1"/>
  <c r="AJ32" i="8" s="1"/>
  <c r="AK32" i="8" s="1"/>
  <c r="AJ31" i="8" a="1"/>
  <c r="AJ31" i="8" s="1"/>
  <c r="AK31" i="8" s="1"/>
  <c r="AJ30" i="8" a="1"/>
  <c r="AJ30" i="8" s="1"/>
  <c r="AK30" i="8" s="1"/>
  <c r="AJ29" i="8" a="1"/>
  <c r="AJ29" i="8" s="1"/>
  <c r="AK29" i="8" s="1"/>
  <c r="AJ28" i="8" a="1"/>
  <c r="AJ28" i="8" s="1"/>
  <c r="AK28" i="8" s="1"/>
  <c r="AJ27" i="8" a="1"/>
  <c r="AJ27" i="8" s="1"/>
  <c r="AK27" i="8" s="1"/>
  <c r="AJ26" i="8" a="1"/>
  <c r="AJ26" i="8" s="1"/>
  <c r="AK26" i="8" s="1"/>
  <c r="AJ25" i="8" a="1"/>
  <c r="AJ25" i="8" s="1"/>
  <c r="AK25" i="8" s="1"/>
  <c r="AJ24" i="8" a="1"/>
  <c r="AJ24" i="8" s="1"/>
  <c r="AK24" i="8" s="1"/>
  <c r="AJ23" i="8" a="1"/>
  <c r="AJ23" i="8" s="1"/>
  <c r="AK23" i="8" s="1"/>
  <c r="AJ22" i="8" a="1"/>
  <c r="AJ22" i="8" s="1"/>
  <c r="AK22" i="8" s="1"/>
  <c r="AJ21" i="8" a="1"/>
  <c r="AJ21" i="8" s="1"/>
  <c r="AK21" i="8" s="1"/>
  <c r="AJ20" i="8" a="1"/>
  <c r="AJ20" i="8" s="1"/>
  <c r="AK20" i="8" s="1"/>
  <c r="AJ19" i="8" a="1"/>
  <c r="AJ19" i="8" s="1"/>
  <c r="AK19" i="8" s="1"/>
  <c r="AJ18" i="8" a="1"/>
  <c r="AJ18" i="8" s="1"/>
  <c r="AK18" i="8" s="1"/>
  <c r="AJ17" i="8" a="1"/>
  <c r="AJ17" i="8" s="1"/>
  <c r="AK17" i="8" s="1"/>
  <c r="AJ16" i="8" a="1"/>
  <c r="AJ16" i="8" s="1"/>
  <c r="AK16" i="8" s="1"/>
  <c r="AJ15" i="8" a="1"/>
  <c r="AJ15" i="8" s="1"/>
  <c r="AK15" i="8" s="1"/>
  <c r="AJ14" i="8" a="1"/>
  <c r="AJ14" i="8" s="1"/>
  <c r="AK14" i="8" s="1"/>
  <c r="AJ13" i="8" a="1"/>
  <c r="AJ13" i="8" s="1"/>
  <c r="AK13" i="8" s="1"/>
  <c r="AJ12" i="8" a="1"/>
  <c r="AJ12" i="8" s="1"/>
  <c r="AK12" i="8" s="1"/>
  <c r="AJ11" i="8" a="1"/>
  <c r="AJ11" i="8" s="1"/>
  <c r="AK11" i="8" s="1"/>
  <c r="AJ10" i="8" a="1"/>
  <c r="AJ10" i="8" s="1"/>
  <c r="AK10" i="8" s="1"/>
  <c r="AJ9" i="8" a="1"/>
  <c r="AJ9" i="8" s="1"/>
  <c r="AK9" i="8" s="1"/>
  <c r="AJ8" i="8" a="1"/>
  <c r="AJ8" i="8" s="1"/>
  <c r="AK8" i="8" s="1"/>
  <c r="AJ7" i="8"/>
  <c r="AK7" i="8" s="1"/>
  <c r="AJ7" i="8" a="1"/>
  <c r="AJ6" i="8" a="1"/>
  <c r="AJ6" i="8" s="1"/>
  <c r="AK6" i="8" s="1"/>
  <c r="E5" i="8"/>
  <c r="F5" i="8"/>
  <c r="E6" i="8"/>
  <c r="F6" i="8"/>
  <c r="G6" i="8"/>
  <c r="E7" i="8"/>
  <c r="F7" i="8"/>
  <c r="E8" i="8"/>
  <c r="F8" i="8"/>
  <c r="E9" i="8"/>
  <c r="F9" i="8"/>
  <c r="E10" i="8"/>
  <c r="F10" i="8"/>
  <c r="E11" i="8"/>
  <c r="F11" i="8"/>
  <c r="E12" i="8"/>
  <c r="F12" i="8"/>
  <c r="E13" i="8"/>
  <c r="F13" i="8"/>
  <c r="E14" i="8"/>
  <c r="F14" i="8"/>
  <c r="E15" i="8"/>
  <c r="F15" i="8"/>
  <c r="E16" i="8"/>
  <c r="F16" i="8"/>
  <c r="E17" i="8"/>
  <c r="F17" i="8"/>
  <c r="E18" i="8"/>
  <c r="F18" i="8"/>
  <c r="E19" i="8"/>
  <c r="F19" i="8"/>
  <c r="E20" i="8"/>
  <c r="F20" i="8"/>
  <c r="E21" i="8"/>
  <c r="F21" i="8"/>
  <c r="E22" i="8"/>
  <c r="F22" i="8"/>
  <c r="E23" i="8"/>
  <c r="F23" i="8"/>
  <c r="E24" i="8"/>
  <c r="F24" i="8"/>
  <c r="E25" i="8"/>
  <c r="F25" i="8"/>
  <c r="E26" i="8"/>
  <c r="F26" i="8"/>
  <c r="E27" i="8"/>
  <c r="F27" i="8"/>
  <c r="E28" i="8"/>
  <c r="F28" i="8"/>
  <c r="E29" i="8"/>
  <c r="F29" i="8"/>
  <c r="E30" i="8"/>
  <c r="F30" i="8"/>
  <c r="E31" i="8"/>
  <c r="F31" i="8"/>
  <c r="E32" i="8"/>
  <c r="F32" i="8"/>
  <c r="E33" i="8"/>
  <c r="F33" i="8"/>
  <c r="E34" i="8"/>
  <c r="F34" i="8"/>
  <c r="E35" i="8"/>
  <c r="F35" i="8"/>
  <c r="E36" i="8"/>
  <c r="F36" i="8"/>
  <c r="E37" i="8"/>
  <c r="F37" i="8"/>
  <c r="E38" i="8"/>
  <c r="F38" i="8"/>
  <c r="E39" i="8"/>
  <c r="F39" i="8"/>
  <c r="E40" i="8"/>
  <c r="F40" i="8"/>
  <c r="E41" i="8"/>
  <c r="F41" i="8"/>
  <c r="E42" i="8"/>
  <c r="F42" i="8"/>
  <c r="E43" i="8"/>
  <c r="F43" i="8"/>
  <c r="E44" i="8"/>
  <c r="F44" i="8"/>
  <c r="E45" i="8"/>
  <c r="F45" i="8"/>
  <c r="E46" i="8"/>
  <c r="F46" i="8"/>
  <c r="E47" i="8"/>
  <c r="F47" i="8"/>
  <c r="E48" i="8"/>
  <c r="F48" i="8"/>
  <c r="E49" i="8"/>
  <c r="F49" i="8"/>
  <c r="E50" i="8"/>
  <c r="F50" i="8"/>
  <c r="E51" i="8"/>
  <c r="F51" i="8"/>
  <c r="E52" i="8"/>
  <c r="F52" i="8"/>
  <c r="E53" i="8"/>
  <c r="F53" i="8"/>
  <c r="E54" i="8"/>
  <c r="F54" i="8"/>
  <c r="E55" i="8"/>
  <c r="F55" i="8"/>
  <c r="E56" i="8"/>
  <c r="F56" i="8"/>
  <c r="E57" i="8"/>
  <c r="F57" i="8"/>
  <c r="E58" i="8"/>
  <c r="F58" i="8"/>
  <c r="E59" i="8"/>
  <c r="F59" i="8"/>
  <c r="E60" i="8"/>
  <c r="F60" i="8"/>
  <c r="E61" i="8"/>
  <c r="F61" i="8"/>
  <c r="E62" i="8"/>
  <c r="F62" i="8"/>
  <c r="E63" i="8"/>
  <c r="F63" i="8"/>
  <c r="E64" i="8"/>
  <c r="F64" i="8"/>
  <c r="E65" i="8"/>
  <c r="F65" i="8"/>
  <c r="E66" i="8"/>
  <c r="F66" i="8"/>
  <c r="E67" i="8"/>
  <c r="F67" i="8"/>
  <c r="E68" i="8"/>
  <c r="F68" i="8"/>
  <c r="E69" i="8"/>
  <c r="F69" i="8"/>
  <c r="E70" i="8"/>
  <c r="F70" i="8"/>
  <c r="E71" i="8"/>
  <c r="F71" i="8"/>
  <c r="E72" i="8"/>
  <c r="F72" i="8"/>
  <c r="E73" i="8"/>
  <c r="F73" i="8"/>
  <c r="E74" i="8"/>
  <c r="F74" i="8"/>
  <c r="E75" i="8"/>
  <c r="F75" i="8"/>
  <c r="E76" i="8"/>
  <c r="F76" i="8"/>
  <c r="E77" i="8"/>
  <c r="F77" i="8"/>
  <c r="E78" i="8"/>
  <c r="F78" i="8"/>
  <c r="E79" i="8"/>
  <c r="F79" i="8"/>
  <c r="E80" i="8"/>
  <c r="F80" i="8"/>
  <c r="E81" i="8"/>
  <c r="F81" i="8"/>
  <c r="E82" i="8"/>
  <c r="F82" i="8"/>
  <c r="E83" i="8"/>
  <c r="F83" i="8"/>
  <c r="E84" i="8"/>
  <c r="F84" i="8"/>
  <c r="E85" i="8"/>
  <c r="F85" i="8"/>
  <c r="E86" i="8"/>
  <c r="F86" i="8"/>
  <c r="E87" i="8"/>
  <c r="F87" i="8"/>
  <c r="E88" i="8"/>
  <c r="F88" i="8"/>
  <c r="E89" i="8"/>
  <c r="F89" i="8"/>
  <c r="E90" i="8"/>
  <c r="F90" i="8"/>
  <c r="E91" i="8"/>
  <c r="F91" i="8"/>
  <c r="E92" i="8"/>
  <c r="F92" i="8"/>
  <c r="E93" i="8"/>
  <c r="F93" i="8"/>
  <c r="E94" i="8"/>
  <c r="F94" i="8"/>
  <c r="E95" i="8"/>
  <c r="F95" i="8"/>
  <c r="E96" i="8"/>
  <c r="F96" i="8"/>
  <c r="E97" i="8"/>
  <c r="F97" i="8"/>
  <c r="E98" i="8"/>
  <c r="F98" i="8"/>
  <c r="E99" i="8"/>
  <c r="F99" i="8"/>
  <c r="E100" i="8"/>
  <c r="F100" i="8"/>
  <c r="E101" i="8"/>
  <c r="F101" i="8"/>
  <c r="E102" i="8"/>
  <c r="F102" i="8"/>
  <c r="E103" i="8"/>
  <c r="F103" i="8"/>
  <c r="E104" i="8"/>
  <c r="F104" i="8"/>
  <c r="AE114" i="8" a="1"/>
  <c r="AE114" i="8" s="1"/>
  <c r="AF114" i="8" s="1"/>
  <c r="AE113" i="8" a="1"/>
  <c r="AE113" i="8" s="1"/>
  <c r="AF113" i="8" s="1"/>
  <c r="AE112" i="8" a="1"/>
  <c r="AE112" i="8" s="1"/>
  <c r="AF112" i="8" s="1"/>
  <c r="AE111" i="8" a="1"/>
  <c r="AE111" i="8" s="1"/>
  <c r="AF111" i="8" s="1"/>
  <c r="AE110" i="8" a="1"/>
  <c r="AE110" i="8" s="1"/>
  <c r="AF110" i="8" s="1"/>
  <c r="AE109" i="8" a="1"/>
  <c r="AE109" i="8" s="1"/>
  <c r="AF109" i="8" s="1"/>
  <c r="AE108" i="8" a="1"/>
  <c r="AE108" i="8" s="1"/>
  <c r="AF108" i="8" s="1"/>
  <c r="AE107" i="8" a="1"/>
  <c r="AE107" i="8" s="1"/>
  <c r="AF107" i="8" s="1"/>
  <c r="AE106" i="8" a="1"/>
  <c r="AE106" i="8" s="1"/>
  <c r="AF106" i="8" s="1"/>
  <c r="AE105" i="8" a="1"/>
  <c r="AE105" i="8" s="1"/>
  <c r="AF105" i="8" s="1"/>
  <c r="AE104" i="8" a="1"/>
  <c r="AE104" i="8" s="1"/>
  <c r="AF104" i="8" s="1"/>
  <c r="AE103" i="8" a="1"/>
  <c r="AE103" i="8" s="1"/>
  <c r="AF103" i="8" s="1"/>
  <c r="AE102" i="8" a="1"/>
  <c r="AE102" i="8" s="1"/>
  <c r="AF102" i="8" s="1"/>
  <c r="AE101" i="8" a="1"/>
  <c r="AE101" i="8" s="1"/>
  <c r="AF101" i="8" s="1"/>
  <c r="AE100" i="8" a="1"/>
  <c r="AE100" i="8" s="1"/>
  <c r="AF100" i="8" s="1"/>
  <c r="AE99" i="8" a="1"/>
  <c r="AE99" i="8" s="1"/>
  <c r="AF99" i="8" s="1"/>
  <c r="AE98" i="8" a="1"/>
  <c r="AE98" i="8" s="1"/>
  <c r="AF98" i="8" s="1"/>
  <c r="AE97" i="8" a="1"/>
  <c r="AE97" i="8" s="1"/>
  <c r="AF97" i="8" s="1"/>
  <c r="AE96" i="8" a="1"/>
  <c r="AE96" i="8" s="1"/>
  <c r="AF96" i="8" s="1"/>
  <c r="AE95" i="8" a="1"/>
  <c r="AE95" i="8" s="1"/>
  <c r="AF95" i="8" s="1"/>
  <c r="AE94" i="8" a="1"/>
  <c r="AE94" i="8" s="1"/>
  <c r="AF94" i="8" s="1"/>
  <c r="AE93" i="8" a="1"/>
  <c r="AE93" i="8" s="1"/>
  <c r="AF93" i="8" s="1"/>
  <c r="AE92" i="8" a="1"/>
  <c r="AE92" i="8" s="1"/>
  <c r="AF92" i="8" s="1"/>
  <c r="AE91" i="8" a="1"/>
  <c r="AE91" i="8" s="1"/>
  <c r="AF91" i="8" s="1"/>
  <c r="AE90" i="8" a="1"/>
  <c r="AE90" i="8" s="1"/>
  <c r="AF90" i="8" s="1"/>
  <c r="AE89" i="8" a="1"/>
  <c r="AE89" i="8" s="1"/>
  <c r="AF89" i="8" s="1"/>
  <c r="AE88" i="8" a="1"/>
  <c r="AE88" i="8" s="1"/>
  <c r="AF88" i="8" s="1"/>
  <c r="AE87" i="8" a="1"/>
  <c r="AE87" i="8" s="1"/>
  <c r="AF87" i="8" s="1"/>
  <c r="AE86" i="8" a="1"/>
  <c r="AE86" i="8" s="1"/>
  <c r="AF86" i="8" s="1"/>
  <c r="AE85" i="8" a="1"/>
  <c r="AE85" i="8" s="1"/>
  <c r="AF85" i="8" s="1"/>
  <c r="AE84" i="8" a="1"/>
  <c r="AE84" i="8" s="1"/>
  <c r="AF84" i="8" s="1"/>
  <c r="AE83" i="8" a="1"/>
  <c r="AE83" i="8" s="1"/>
  <c r="AF83" i="8" s="1"/>
  <c r="AE82" i="8" a="1"/>
  <c r="AE82" i="8" s="1"/>
  <c r="AF82" i="8" s="1"/>
  <c r="AE81" i="8" a="1"/>
  <c r="AE81" i="8" s="1"/>
  <c r="AF81" i="8" s="1"/>
  <c r="AE80" i="8" a="1"/>
  <c r="AE80" i="8" s="1"/>
  <c r="AF80" i="8" s="1"/>
  <c r="AE79" i="8" a="1"/>
  <c r="AE79" i="8" s="1"/>
  <c r="AF79" i="8" s="1"/>
  <c r="AE78" i="8" a="1"/>
  <c r="AE78" i="8" s="1"/>
  <c r="AF78" i="8" s="1"/>
  <c r="AE77" i="8" a="1"/>
  <c r="AE77" i="8" s="1"/>
  <c r="AF77" i="8" s="1"/>
  <c r="AE76" i="8" a="1"/>
  <c r="AE76" i="8" s="1"/>
  <c r="AF76" i="8" s="1"/>
  <c r="AE75" i="8" a="1"/>
  <c r="AE75" i="8" s="1"/>
  <c r="AF75" i="8" s="1"/>
  <c r="AE74" i="8" a="1"/>
  <c r="AE74" i="8" s="1"/>
  <c r="AF74" i="8" s="1"/>
  <c r="AE73" i="8" a="1"/>
  <c r="AE73" i="8" s="1"/>
  <c r="AF73" i="8" s="1"/>
  <c r="AE72" i="8" a="1"/>
  <c r="AE72" i="8" s="1"/>
  <c r="AF72" i="8" s="1"/>
  <c r="AE71" i="8" a="1"/>
  <c r="AE71" i="8" s="1"/>
  <c r="AF71" i="8" s="1"/>
  <c r="AE70" i="8" a="1"/>
  <c r="AE70" i="8" s="1"/>
  <c r="AF70" i="8" s="1"/>
  <c r="AE69" i="8" a="1"/>
  <c r="AE69" i="8" s="1"/>
  <c r="AF69" i="8" s="1"/>
  <c r="AE68" i="8" a="1"/>
  <c r="AE68" i="8" s="1"/>
  <c r="AF68" i="8" s="1"/>
  <c r="AE67" i="8" a="1"/>
  <c r="AE67" i="8" s="1"/>
  <c r="AF67" i="8" s="1"/>
  <c r="AE66" i="8" a="1"/>
  <c r="AE66" i="8" s="1"/>
  <c r="AF66" i="8" s="1"/>
  <c r="AE65" i="8" a="1"/>
  <c r="AE65" i="8" s="1"/>
  <c r="AF65" i="8" s="1"/>
  <c r="AE64" i="8" a="1"/>
  <c r="AE64" i="8" s="1"/>
  <c r="AF64" i="8" s="1"/>
  <c r="AE63" i="8" a="1"/>
  <c r="AE63" i="8" s="1"/>
  <c r="AF63" i="8" s="1"/>
  <c r="AE62" i="8" a="1"/>
  <c r="AE62" i="8" s="1"/>
  <c r="AF62" i="8" s="1"/>
  <c r="AE61" i="8" a="1"/>
  <c r="AE61" i="8" s="1"/>
  <c r="AF61" i="8" s="1"/>
  <c r="AE60" i="8" a="1"/>
  <c r="AE60" i="8" s="1"/>
  <c r="AF60" i="8" s="1"/>
  <c r="AE59" i="8" a="1"/>
  <c r="AE59" i="8" s="1"/>
  <c r="AF59" i="8" s="1"/>
  <c r="AE58" i="8" a="1"/>
  <c r="AE58" i="8" s="1"/>
  <c r="AF58" i="8" s="1"/>
  <c r="AE57" i="8" a="1"/>
  <c r="AE57" i="8" s="1"/>
  <c r="AF57" i="8" s="1"/>
  <c r="AE56" i="8" a="1"/>
  <c r="AE56" i="8" s="1"/>
  <c r="AF56" i="8" s="1"/>
  <c r="AE55" i="8" a="1"/>
  <c r="AE55" i="8" s="1"/>
  <c r="AF55" i="8" s="1"/>
  <c r="AE54" i="8" a="1"/>
  <c r="AE54" i="8" s="1"/>
  <c r="AF54" i="8" s="1"/>
  <c r="AE53" i="8" a="1"/>
  <c r="AE53" i="8" s="1"/>
  <c r="AF53" i="8" s="1"/>
  <c r="AE52" i="8" a="1"/>
  <c r="AE52" i="8" s="1"/>
  <c r="AF52" i="8" s="1"/>
  <c r="AE51" i="8" a="1"/>
  <c r="AE51" i="8" s="1"/>
  <c r="AF51" i="8" s="1"/>
  <c r="AE50" i="8" a="1"/>
  <c r="AE50" i="8" s="1"/>
  <c r="AF50" i="8" s="1"/>
  <c r="AE49" i="8" a="1"/>
  <c r="AE49" i="8" s="1"/>
  <c r="AF49" i="8" s="1"/>
  <c r="AE48" i="8" a="1"/>
  <c r="AE48" i="8" s="1"/>
  <c r="AF48" i="8" s="1"/>
  <c r="AE47" i="8" a="1"/>
  <c r="AE47" i="8" s="1"/>
  <c r="AF47" i="8" s="1"/>
  <c r="AE46" i="8" a="1"/>
  <c r="AE46" i="8" s="1"/>
  <c r="AF46" i="8" s="1"/>
  <c r="AE45" i="8" a="1"/>
  <c r="AE45" i="8" s="1"/>
  <c r="AF45" i="8" s="1"/>
  <c r="AE44" i="8" a="1"/>
  <c r="AE44" i="8" s="1"/>
  <c r="AF44" i="8" s="1"/>
  <c r="AE43" i="8" a="1"/>
  <c r="AE43" i="8" s="1"/>
  <c r="AF43" i="8" s="1"/>
  <c r="AE42" i="8" a="1"/>
  <c r="AE42" i="8" s="1"/>
  <c r="AF42" i="8" s="1"/>
  <c r="AE41" i="8" a="1"/>
  <c r="AE41" i="8" s="1"/>
  <c r="AF41" i="8" s="1"/>
  <c r="AE40" i="8" a="1"/>
  <c r="AE40" i="8" s="1"/>
  <c r="AF40" i="8" s="1"/>
  <c r="AE39" i="8" a="1"/>
  <c r="AE39" i="8" s="1"/>
  <c r="AF39" i="8" s="1"/>
  <c r="AE38" i="8" a="1"/>
  <c r="AE38" i="8" s="1"/>
  <c r="AF38" i="8" s="1"/>
  <c r="AE37" i="8" a="1"/>
  <c r="AE37" i="8" s="1"/>
  <c r="AF37" i="8" s="1"/>
  <c r="AE36" i="8" a="1"/>
  <c r="AE36" i="8" s="1"/>
  <c r="AF36" i="8" s="1"/>
  <c r="AE35" i="8" a="1"/>
  <c r="AE35" i="8" s="1"/>
  <c r="AF35" i="8" s="1"/>
  <c r="AE34" i="8" a="1"/>
  <c r="AE34" i="8" s="1"/>
  <c r="AF34" i="8" s="1"/>
  <c r="AE33" i="8" a="1"/>
  <c r="AE33" i="8" s="1"/>
  <c r="AF33" i="8" s="1"/>
  <c r="AE32" i="8" a="1"/>
  <c r="AE32" i="8" s="1"/>
  <c r="AF32" i="8" s="1"/>
  <c r="AE31" i="8" a="1"/>
  <c r="AE31" i="8" s="1"/>
  <c r="AF31" i="8" s="1"/>
  <c r="AE30" i="8" a="1"/>
  <c r="AE30" i="8" s="1"/>
  <c r="AF30" i="8" s="1"/>
  <c r="AE29" i="8" a="1"/>
  <c r="AE29" i="8" s="1"/>
  <c r="AF29" i="8" s="1"/>
  <c r="AE28" i="8" a="1"/>
  <c r="AE28" i="8" s="1"/>
  <c r="AF28" i="8" s="1"/>
  <c r="AE27" i="8" a="1"/>
  <c r="AE27" i="8" s="1"/>
  <c r="AF27" i="8" s="1"/>
  <c r="AE26" i="8" a="1"/>
  <c r="AE26" i="8" s="1"/>
  <c r="AF26" i="8" s="1"/>
  <c r="AE25" i="8" a="1"/>
  <c r="AE25" i="8" s="1"/>
  <c r="AF25" i="8" s="1"/>
  <c r="AE24" i="8" a="1"/>
  <c r="AE24" i="8" s="1"/>
  <c r="AF24" i="8" s="1"/>
  <c r="AE23" i="8" a="1"/>
  <c r="AE23" i="8" s="1"/>
  <c r="AF23" i="8" s="1"/>
  <c r="AE22" i="8" a="1"/>
  <c r="AE22" i="8" s="1"/>
  <c r="AF22" i="8" s="1"/>
  <c r="AE21" i="8" a="1"/>
  <c r="AE21" i="8" s="1"/>
  <c r="AF21" i="8" s="1"/>
  <c r="AE20" i="8" a="1"/>
  <c r="AE20" i="8" s="1"/>
  <c r="AF20" i="8" s="1"/>
  <c r="AE19" i="8" a="1"/>
  <c r="AE19" i="8" s="1"/>
  <c r="AF19" i="8" s="1"/>
  <c r="AE18" i="8" a="1"/>
  <c r="AE18" i="8" s="1"/>
  <c r="AF18" i="8" s="1"/>
  <c r="AE17" i="8" a="1"/>
  <c r="AE17" i="8" s="1"/>
  <c r="AF17" i="8" s="1"/>
  <c r="AE16" i="8" a="1"/>
  <c r="AE16" i="8" s="1"/>
  <c r="AF16" i="8" s="1"/>
  <c r="AE15" i="8" a="1"/>
  <c r="AE15" i="8" s="1"/>
  <c r="AF15" i="8" s="1"/>
  <c r="AE14" i="8" a="1"/>
  <c r="AE14" i="8" s="1"/>
  <c r="AF14" i="8" s="1"/>
  <c r="AE13" i="8" a="1"/>
  <c r="AE13" i="8" s="1"/>
  <c r="AF13" i="8" s="1"/>
  <c r="AE12" i="8" a="1"/>
  <c r="AE12" i="8" s="1"/>
  <c r="AF12" i="8" s="1"/>
  <c r="AE11" i="8" a="1"/>
  <c r="AE11" i="8" s="1"/>
  <c r="AF11" i="8" s="1"/>
  <c r="AE10" i="8" a="1"/>
  <c r="AE10" i="8" s="1"/>
  <c r="AF10" i="8" s="1"/>
  <c r="AE9" i="8" a="1"/>
  <c r="AE9" i="8" s="1"/>
  <c r="AF9" i="8" s="1"/>
  <c r="AE8" i="8" a="1"/>
  <c r="AE8" i="8" s="1"/>
  <c r="AF8" i="8" s="1"/>
  <c r="AE7" i="8" a="1"/>
  <c r="AE7" i="8" s="1"/>
  <c r="AF7" i="8" s="1"/>
  <c r="AE6" i="8" a="1"/>
  <c r="AE6" i="8" s="1"/>
  <c r="AF6" i="8" s="1"/>
  <c r="Z114" i="8" a="1"/>
  <c r="Z114" i="8" s="1"/>
  <c r="AA114" i="8" s="1"/>
  <c r="Z113" i="8" a="1"/>
  <c r="Z113" i="8" s="1"/>
  <c r="AA113" i="8" s="1"/>
  <c r="Z112" i="8" a="1"/>
  <c r="Z112" i="8" s="1"/>
  <c r="AA112" i="8" s="1"/>
  <c r="Z111" i="8" a="1"/>
  <c r="Z111" i="8" s="1"/>
  <c r="AA111" i="8" s="1"/>
  <c r="Z110" i="8" a="1"/>
  <c r="Z110" i="8" s="1"/>
  <c r="AA110" i="8" s="1"/>
  <c r="Z109" i="8" a="1"/>
  <c r="Z109" i="8" s="1"/>
  <c r="AA109" i="8" s="1"/>
  <c r="Z108" i="8" a="1"/>
  <c r="Z108" i="8" s="1"/>
  <c r="AA108" i="8" s="1"/>
  <c r="Z107" i="8" a="1"/>
  <c r="Z107" i="8" s="1"/>
  <c r="AA107" i="8" s="1"/>
  <c r="Z106" i="8" a="1"/>
  <c r="Z106" i="8" s="1"/>
  <c r="AA106" i="8" s="1"/>
  <c r="Z105" i="8" a="1"/>
  <c r="Z105" i="8" s="1"/>
  <c r="AA105" i="8" s="1"/>
  <c r="Z104" i="8" a="1"/>
  <c r="Z104" i="8" s="1"/>
  <c r="AA104" i="8" s="1"/>
  <c r="Z103" i="8" a="1"/>
  <c r="Z103" i="8" s="1"/>
  <c r="AA103" i="8" s="1"/>
  <c r="Z102" i="8" a="1"/>
  <c r="Z102" i="8" s="1"/>
  <c r="AA102" i="8" s="1"/>
  <c r="Z101" i="8" a="1"/>
  <c r="Z101" i="8" s="1"/>
  <c r="AA101" i="8" s="1"/>
  <c r="Z100" i="8" a="1"/>
  <c r="Z100" i="8" s="1"/>
  <c r="AA100" i="8" s="1"/>
  <c r="Z99" i="8" a="1"/>
  <c r="Z99" i="8" s="1"/>
  <c r="AA99" i="8" s="1"/>
  <c r="Z98" i="8" a="1"/>
  <c r="Z98" i="8" s="1"/>
  <c r="AA98" i="8" s="1"/>
  <c r="Z97" i="8" a="1"/>
  <c r="Z97" i="8" s="1"/>
  <c r="AA97" i="8" s="1"/>
  <c r="Z96" i="8" a="1"/>
  <c r="Z96" i="8" s="1"/>
  <c r="AA96" i="8" s="1"/>
  <c r="Z95" i="8" a="1"/>
  <c r="Z95" i="8" s="1"/>
  <c r="AA95" i="8" s="1"/>
  <c r="Z94" i="8" a="1"/>
  <c r="Z94" i="8" s="1"/>
  <c r="AA94" i="8" s="1"/>
  <c r="Z93" i="8" a="1"/>
  <c r="Z93" i="8" s="1"/>
  <c r="AA93" i="8" s="1"/>
  <c r="Z92" i="8" a="1"/>
  <c r="Z92" i="8" s="1"/>
  <c r="AA92" i="8" s="1"/>
  <c r="Z91" i="8" a="1"/>
  <c r="Z91" i="8" s="1"/>
  <c r="AA91" i="8" s="1"/>
  <c r="Z90" i="8" a="1"/>
  <c r="Z90" i="8" s="1"/>
  <c r="AA90" i="8" s="1"/>
  <c r="Z89" i="8" a="1"/>
  <c r="Z89" i="8" s="1"/>
  <c r="AA89" i="8" s="1"/>
  <c r="Z88" i="8" a="1"/>
  <c r="Z88" i="8" s="1"/>
  <c r="AA88" i="8" s="1"/>
  <c r="Z87" i="8" a="1"/>
  <c r="Z87" i="8" s="1"/>
  <c r="AA87" i="8" s="1"/>
  <c r="Z86" i="8" a="1"/>
  <c r="Z86" i="8" s="1"/>
  <c r="AA86" i="8" s="1"/>
  <c r="Z85" i="8" a="1"/>
  <c r="Z85" i="8" s="1"/>
  <c r="AA85" i="8" s="1"/>
  <c r="Z84" i="8" a="1"/>
  <c r="Z84" i="8" s="1"/>
  <c r="AA84" i="8" s="1"/>
  <c r="Z83" i="8" a="1"/>
  <c r="Z83" i="8" s="1"/>
  <c r="AA83" i="8" s="1"/>
  <c r="Z82" i="8" a="1"/>
  <c r="Z82" i="8" s="1"/>
  <c r="AA82" i="8" s="1"/>
  <c r="Z81" i="8" a="1"/>
  <c r="Z81" i="8" s="1"/>
  <c r="AA81" i="8" s="1"/>
  <c r="Z80" i="8" a="1"/>
  <c r="Z80" i="8" s="1"/>
  <c r="AA80" i="8" s="1"/>
  <c r="Z79" i="8" a="1"/>
  <c r="Z79" i="8" s="1"/>
  <c r="AA79" i="8" s="1"/>
  <c r="Z78" i="8" a="1"/>
  <c r="Z78" i="8" s="1"/>
  <c r="AA78" i="8" s="1"/>
  <c r="Z77" i="8" a="1"/>
  <c r="Z77" i="8" s="1"/>
  <c r="AA77" i="8" s="1"/>
  <c r="Z76" i="8" a="1"/>
  <c r="Z76" i="8" s="1"/>
  <c r="AA76" i="8" s="1"/>
  <c r="Z75" i="8" a="1"/>
  <c r="Z75" i="8" s="1"/>
  <c r="AA75" i="8" s="1"/>
  <c r="Z74" i="8" a="1"/>
  <c r="Z74" i="8" s="1"/>
  <c r="AA74" i="8" s="1"/>
  <c r="Z73" i="8" a="1"/>
  <c r="Z73" i="8" s="1"/>
  <c r="AA73" i="8" s="1"/>
  <c r="Z72" i="8" a="1"/>
  <c r="Z72" i="8" s="1"/>
  <c r="AA72" i="8" s="1"/>
  <c r="Z71" i="8" a="1"/>
  <c r="Z71" i="8" s="1"/>
  <c r="AA71" i="8" s="1"/>
  <c r="Z70" i="8" a="1"/>
  <c r="Z70" i="8" s="1"/>
  <c r="AA70" i="8" s="1"/>
  <c r="Z69" i="8" a="1"/>
  <c r="Z69" i="8" s="1"/>
  <c r="AA69" i="8" s="1"/>
  <c r="Z68" i="8" a="1"/>
  <c r="Z68" i="8" s="1"/>
  <c r="AA68" i="8" s="1"/>
  <c r="Z67" i="8" a="1"/>
  <c r="Z67" i="8" s="1"/>
  <c r="AA67" i="8" s="1"/>
  <c r="Z66" i="8" a="1"/>
  <c r="Z66" i="8" s="1"/>
  <c r="AA66" i="8" s="1"/>
  <c r="Z65" i="8" a="1"/>
  <c r="Z65" i="8" s="1"/>
  <c r="AA65" i="8" s="1"/>
  <c r="Z64" i="8" a="1"/>
  <c r="Z64" i="8" s="1"/>
  <c r="AA64" i="8" s="1"/>
  <c r="Z63" i="8" a="1"/>
  <c r="Z63" i="8" s="1"/>
  <c r="AA63" i="8" s="1"/>
  <c r="Z62" i="8" a="1"/>
  <c r="Z62" i="8" s="1"/>
  <c r="AA62" i="8" s="1"/>
  <c r="Z61" i="8" a="1"/>
  <c r="Z61" i="8" s="1"/>
  <c r="AA61" i="8" s="1"/>
  <c r="Z60" i="8" a="1"/>
  <c r="Z60" i="8" s="1"/>
  <c r="AA60" i="8" s="1"/>
  <c r="Z59" i="8" a="1"/>
  <c r="Z59" i="8" s="1"/>
  <c r="AA59" i="8" s="1"/>
  <c r="Z58" i="8" a="1"/>
  <c r="Z58" i="8" s="1"/>
  <c r="AA58" i="8" s="1"/>
  <c r="Z57" i="8" a="1"/>
  <c r="Z57" i="8" s="1"/>
  <c r="AA57" i="8" s="1"/>
  <c r="Z56" i="8" a="1"/>
  <c r="Z56" i="8" s="1"/>
  <c r="AA56" i="8" s="1"/>
  <c r="Z55" i="8" a="1"/>
  <c r="Z55" i="8" s="1"/>
  <c r="AA55" i="8" s="1"/>
  <c r="Z54" i="8" a="1"/>
  <c r="Z54" i="8" s="1"/>
  <c r="AA54" i="8" s="1"/>
  <c r="Z53" i="8" a="1"/>
  <c r="Z53" i="8" s="1"/>
  <c r="AA53" i="8" s="1"/>
  <c r="Z52" i="8" a="1"/>
  <c r="Z52" i="8" s="1"/>
  <c r="AA52" i="8" s="1"/>
  <c r="Z51" i="8" a="1"/>
  <c r="Z51" i="8" s="1"/>
  <c r="AA51" i="8" s="1"/>
  <c r="Z50" i="8" a="1"/>
  <c r="Z50" i="8" s="1"/>
  <c r="AA50" i="8" s="1"/>
  <c r="Z49" i="8" a="1"/>
  <c r="Z49" i="8" s="1"/>
  <c r="AA49" i="8" s="1"/>
  <c r="Z48" i="8" a="1"/>
  <c r="Z48" i="8" s="1"/>
  <c r="AA48" i="8" s="1"/>
  <c r="Z47" i="8" a="1"/>
  <c r="Z47" i="8" s="1"/>
  <c r="AA47" i="8" s="1"/>
  <c r="Z46" i="8" a="1"/>
  <c r="Z46" i="8" s="1"/>
  <c r="AA46" i="8" s="1"/>
  <c r="Z45" i="8" a="1"/>
  <c r="Z45" i="8" s="1"/>
  <c r="AA45" i="8" s="1"/>
  <c r="Z44" i="8" a="1"/>
  <c r="Z44" i="8" s="1"/>
  <c r="AA44" i="8" s="1"/>
  <c r="Z43" i="8" a="1"/>
  <c r="Z43" i="8" s="1"/>
  <c r="AA43" i="8" s="1"/>
  <c r="Z42" i="8" a="1"/>
  <c r="Z42" i="8" s="1"/>
  <c r="AA42" i="8" s="1"/>
  <c r="Z41" i="8" a="1"/>
  <c r="Z41" i="8" s="1"/>
  <c r="AA41" i="8" s="1"/>
  <c r="Z40" i="8" a="1"/>
  <c r="Z40" i="8" s="1"/>
  <c r="AA40" i="8" s="1"/>
  <c r="Z39" i="8" a="1"/>
  <c r="Z39" i="8" s="1"/>
  <c r="AA39" i="8" s="1"/>
  <c r="Z38" i="8" a="1"/>
  <c r="Z38" i="8" s="1"/>
  <c r="AA38" i="8" s="1"/>
  <c r="Z37" i="8" a="1"/>
  <c r="Z37" i="8" s="1"/>
  <c r="AA37" i="8" s="1"/>
  <c r="Z36" i="8" a="1"/>
  <c r="Z36" i="8" s="1"/>
  <c r="AA36" i="8" s="1"/>
  <c r="Z35" i="8" a="1"/>
  <c r="Z35" i="8" s="1"/>
  <c r="AA35" i="8" s="1"/>
  <c r="Z34" i="8" a="1"/>
  <c r="Z34" i="8" s="1"/>
  <c r="AA34" i="8" s="1"/>
  <c r="Z33" i="8" a="1"/>
  <c r="Z33" i="8" s="1"/>
  <c r="AA33" i="8" s="1"/>
  <c r="Z32" i="8" a="1"/>
  <c r="Z32" i="8" s="1"/>
  <c r="AA32" i="8" s="1"/>
  <c r="Z31" i="8" a="1"/>
  <c r="Z31" i="8" s="1"/>
  <c r="AA31" i="8" s="1"/>
  <c r="Z30" i="8" a="1"/>
  <c r="Z30" i="8" s="1"/>
  <c r="AA30" i="8" s="1"/>
  <c r="Z29" i="8" a="1"/>
  <c r="Z29" i="8" s="1"/>
  <c r="AA29" i="8" s="1"/>
  <c r="Z28" i="8" a="1"/>
  <c r="Z28" i="8" s="1"/>
  <c r="AA28" i="8" s="1"/>
  <c r="Z27" i="8" a="1"/>
  <c r="Z27" i="8" s="1"/>
  <c r="AA27" i="8" s="1"/>
  <c r="Z26" i="8" a="1"/>
  <c r="Z26" i="8" s="1"/>
  <c r="AA26" i="8" s="1"/>
  <c r="Z25" i="8" a="1"/>
  <c r="Z25" i="8" s="1"/>
  <c r="AA25" i="8" s="1"/>
  <c r="Z24" i="8" a="1"/>
  <c r="Z24" i="8" s="1"/>
  <c r="AA24" i="8" s="1"/>
  <c r="Z23" i="8" a="1"/>
  <c r="Z23" i="8" s="1"/>
  <c r="AA23" i="8" s="1"/>
  <c r="Z22" i="8" a="1"/>
  <c r="Z22" i="8" s="1"/>
  <c r="AA22" i="8" s="1"/>
  <c r="Z21" i="8" a="1"/>
  <c r="Z21" i="8" s="1"/>
  <c r="AA21" i="8" s="1"/>
  <c r="Z20" i="8" a="1"/>
  <c r="Z20" i="8" s="1"/>
  <c r="AA20" i="8" s="1"/>
  <c r="Z19" i="8" a="1"/>
  <c r="Z19" i="8" s="1"/>
  <c r="AA19" i="8" s="1"/>
  <c r="Z18" i="8" a="1"/>
  <c r="Z18" i="8" s="1"/>
  <c r="AA18" i="8" s="1"/>
  <c r="Z17" i="8" a="1"/>
  <c r="Z17" i="8" s="1"/>
  <c r="AA17" i="8" s="1"/>
  <c r="Z16" i="8" a="1"/>
  <c r="Z16" i="8" s="1"/>
  <c r="AA16" i="8" s="1"/>
  <c r="Z15" i="8" a="1"/>
  <c r="Z15" i="8" s="1"/>
  <c r="AA15" i="8" s="1"/>
  <c r="Z14" i="8" a="1"/>
  <c r="Z14" i="8" s="1"/>
  <c r="AA14" i="8" s="1"/>
  <c r="Z13" i="8" a="1"/>
  <c r="Z13" i="8" s="1"/>
  <c r="AA13" i="8" s="1"/>
  <c r="Z12" i="8" a="1"/>
  <c r="Z12" i="8" s="1"/>
  <c r="AA12" i="8" s="1"/>
  <c r="Z11" i="8" a="1"/>
  <c r="Z11" i="8" s="1"/>
  <c r="AA11" i="8" s="1"/>
  <c r="Z10" i="8" a="1"/>
  <c r="Z10" i="8" s="1"/>
  <c r="AA10" i="8" s="1"/>
  <c r="Z9" i="8" a="1"/>
  <c r="Z9" i="8" s="1"/>
  <c r="AA9" i="8" s="1"/>
  <c r="Z8" i="8" a="1"/>
  <c r="Z8" i="8" s="1"/>
  <c r="AA8" i="8" s="1"/>
  <c r="Z7" i="8" a="1"/>
  <c r="Z7" i="8" s="1"/>
  <c r="AA7" i="8" s="1"/>
  <c r="Z6" i="8" a="1"/>
  <c r="Z6" i="8" s="1"/>
  <c r="AA6" i="8" s="1"/>
  <c r="U114" i="8" a="1"/>
  <c r="U114" i="8" s="1"/>
  <c r="V114" i="8" s="1"/>
  <c r="U113" i="8" a="1"/>
  <c r="U113" i="8" s="1"/>
  <c r="V113" i="8" s="1"/>
  <c r="U112" i="8" a="1"/>
  <c r="U112" i="8" s="1"/>
  <c r="V112" i="8" s="1"/>
  <c r="U111" i="8" a="1"/>
  <c r="U111" i="8" s="1"/>
  <c r="V111" i="8" s="1"/>
  <c r="U110" i="8" a="1"/>
  <c r="U110" i="8" s="1"/>
  <c r="V110" i="8" s="1"/>
  <c r="U109" i="8" a="1"/>
  <c r="U109" i="8" s="1"/>
  <c r="V109" i="8" s="1"/>
  <c r="U108" i="8" a="1"/>
  <c r="U108" i="8" s="1"/>
  <c r="V108" i="8" s="1"/>
  <c r="U107" i="8" a="1"/>
  <c r="U107" i="8" s="1"/>
  <c r="V107" i="8" s="1"/>
  <c r="U106" i="8" a="1"/>
  <c r="U106" i="8" s="1"/>
  <c r="V106" i="8" s="1"/>
  <c r="U105" i="8" a="1"/>
  <c r="U105" i="8" s="1"/>
  <c r="V105" i="8" s="1"/>
  <c r="U104" i="8" a="1"/>
  <c r="U104" i="8" s="1"/>
  <c r="V104" i="8" s="1"/>
  <c r="U103" i="8" a="1"/>
  <c r="U103" i="8" s="1"/>
  <c r="V103" i="8" s="1"/>
  <c r="U102" i="8" a="1"/>
  <c r="U102" i="8" s="1"/>
  <c r="V102" i="8" s="1"/>
  <c r="U101" i="8" a="1"/>
  <c r="U101" i="8" s="1"/>
  <c r="V101" i="8" s="1"/>
  <c r="U100" i="8" a="1"/>
  <c r="U100" i="8" s="1"/>
  <c r="V100" i="8" s="1"/>
  <c r="U99" i="8" a="1"/>
  <c r="U99" i="8" s="1"/>
  <c r="V99" i="8" s="1"/>
  <c r="U98" i="8" a="1"/>
  <c r="U98" i="8" s="1"/>
  <c r="V98" i="8" s="1"/>
  <c r="U97" i="8" a="1"/>
  <c r="U97" i="8" s="1"/>
  <c r="V97" i="8" s="1"/>
  <c r="U96" i="8" a="1"/>
  <c r="U96" i="8" s="1"/>
  <c r="V96" i="8" s="1"/>
  <c r="U95" i="8" a="1"/>
  <c r="U95" i="8" s="1"/>
  <c r="V95" i="8" s="1"/>
  <c r="U94" i="8" a="1"/>
  <c r="U94" i="8" s="1"/>
  <c r="V94" i="8" s="1"/>
  <c r="U93" i="8" a="1"/>
  <c r="U93" i="8" s="1"/>
  <c r="V93" i="8" s="1"/>
  <c r="U92" i="8" a="1"/>
  <c r="U92" i="8" s="1"/>
  <c r="V92" i="8" s="1"/>
  <c r="U91" i="8" a="1"/>
  <c r="U91" i="8" s="1"/>
  <c r="V91" i="8" s="1"/>
  <c r="U90" i="8" a="1"/>
  <c r="U90" i="8" s="1"/>
  <c r="V90" i="8" s="1"/>
  <c r="U89" i="8" a="1"/>
  <c r="U89" i="8" s="1"/>
  <c r="V89" i="8" s="1"/>
  <c r="U88" i="8" a="1"/>
  <c r="U88" i="8" s="1"/>
  <c r="V88" i="8" s="1"/>
  <c r="U87" i="8" a="1"/>
  <c r="U87" i="8" s="1"/>
  <c r="V87" i="8" s="1"/>
  <c r="U86" i="8" a="1"/>
  <c r="U86" i="8" s="1"/>
  <c r="V86" i="8" s="1"/>
  <c r="U85" i="8" a="1"/>
  <c r="U85" i="8" s="1"/>
  <c r="V85" i="8" s="1"/>
  <c r="U84" i="8" a="1"/>
  <c r="U84" i="8" s="1"/>
  <c r="V84" i="8" s="1"/>
  <c r="U83" i="8" a="1"/>
  <c r="U83" i="8" s="1"/>
  <c r="V83" i="8" s="1"/>
  <c r="U82" i="8" a="1"/>
  <c r="U82" i="8" s="1"/>
  <c r="V82" i="8" s="1"/>
  <c r="U81" i="8" a="1"/>
  <c r="U81" i="8" s="1"/>
  <c r="V81" i="8" s="1"/>
  <c r="U80" i="8" a="1"/>
  <c r="U80" i="8" s="1"/>
  <c r="V80" i="8" s="1"/>
  <c r="U79" i="8" a="1"/>
  <c r="U79" i="8" s="1"/>
  <c r="V79" i="8" s="1"/>
  <c r="U78" i="8" a="1"/>
  <c r="U78" i="8" s="1"/>
  <c r="V78" i="8" s="1"/>
  <c r="U77" i="8" a="1"/>
  <c r="U77" i="8" s="1"/>
  <c r="V77" i="8" s="1"/>
  <c r="U76" i="8" a="1"/>
  <c r="U76" i="8" s="1"/>
  <c r="V76" i="8" s="1"/>
  <c r="U75" i="8" a="1"/>
  <c r="U75" i="8" s="1"/>
  <c r="V75" i="8" s="1"/>
  <c r="U74" i="8" a="1"/>
  <c r="U74" i="8" s="1"/>
  <c r="V74" i="8" s="1"/>
  <c r="U73" i="8" a="1"/>
  <c r="U73" i="8" s="1"/>
  <c r="V73" i="8" s="1"/>
  <c r="U72" i="8" a="1"/>
  <c r="U72" i="8" s="1"/>
  <c r="V72" i="8" s="1"/>
  <c r="U71" i="8" a="1"/>
  <c r="U71" i="8" s="1"/>
  <c r="V71" i="8" s="1"/>
  <c r="U70" i="8" a="1"/>
  <c r="U70" i="8" s="1"/>
  <c r="V70" i="8" s="1"/>
  <c r="U69" i="8" a="1"/>
  <c r="U69" i="8" s="1"/>
  <c r="V69" i="8" s="1"/>
  <c r="U68" i="8" a="1"/>
  <c r="U68" i="8" s="1"/>
  <c r="V68" i="8" s="1"/>
  <c r="U67" i="8" a="1"/>
  <c r="U67" i="8" s="1"/>
  <c r="V67" i="8" s="1"/>
  <c r="U66" i="8" a="1"/>
  <c r="U66" i="8" s="1"/>
  <c r="V66" i="8" s="1"/>
  <c r="U65" i="8" a="1"/>
  <c r="U65" i="8" s="1"/>
  <c r="V65" i="8" s="1"/>
  <c r="U64" i="8" a="1"/>
  <c r="U64" i="8" s="1"/>
  <c r="V64" i="8" s="1"/>
  <c r="U63" i="8" a="1"/>
  <c r="U63" i="8" s="1"/>
  <c r="V63" i="8" s="1"/>
  <c r="U62" i="8" a="1"/>
  <c r="U62" i="8" s="1"/>
  <c r="V62" i="8" s="1"/>
  <c r="U61" i="8" a="1"/>
  <c r="U61" i="8" s="1"/>
  <c r="V61" i="8" s="1"/>
  <c r="U60" i="8" a="1"/>
  <c r="U60" i="8" s="1"/>
  <c r="V60" i="8" s="1"/>
  <c r="U59" i="8" a="1"/>
  <c r="U59" i="8" s="1"/>
  <c r="V59" i="8" s="1"/>
  <c r="U58" i="8" a="1"/>
  <c r="U58" i="8" s="1"/>
  <c r="V58" i="8" s="1"/>
  <c r="U57" i="8" a="1"/>
  <c r="U57" i="8" s="1"/>
  <c r="V57" i="8" s="1"/>
  <c r="U56" i="8" a="1"/>
  <c r="U56" i="8" s="1"/>
  <c r="V56" i="8" s="1"/>
  <c r="U55" i="8" a="1"/>
  <c r="U55" i="8" s="1"/>
  <c r="V55" i="8" s="1"/>
  <c r="U54" i="8" a="1"/>
  <c r="U54" i="8" s="1"/>
  <c r="V54" i="8" s="1"/>
  <c r="U53" i="8" a="1"/>
  <c r="U53" i="8" s="1"/>
  <c r="V53" i="8" s="1"/>
  <c r="U52" i="8" a="1"/>
  <c r="U52" i="8" s="1"/>
  <c r="V52" i="8" s="1"/>
  <c r="U51" i="8" a="1"/>
  <c r="U51" i="8" s="1"/>
  <c r="V51" i="8" s="1"/>
  <c r="U50" i="8" a="1"/>
  <c r="U50" i="8" s="1"/>
  <c r="V50" i="8" s="1"/>
  <c r="U49" i="8" a="1"/>
  <c r="U49" i="8" s="1"/>
  <c r="V49" i="8" s="1"/>
  <c r="U48" i="8" a="1"/>
  <c r="U48" i="8" s="1"/>
  <c r="V48" i="8" s="1"/>
  <c r="U47" i="8" a="1"/>
  <c r="U47" i="8" s="1"/>
  <c r="V47" i="8" s="1"/>
  <c r="U46" i="8" a="1"/>
  <c r="U46" i="8" s="1"/>
  <c r="V46" i="8" s="1"/>
  <c r="U45" i="8" a="1"/>
  <c r="U45" i="8" s="1"/>
  <c r="V45" i="8" s="1"/>
  <c r="U44" i="8" a="1"/>
  <c r="U44" i="8" s="1"/>
  <c r="V44" i="8" s="1"/>
  <c r="U43" i="8" a="1"/>
  <c r="U43" i="8" s="1"/>
  <c r="V43" i="8" s="1"/>
  <c r="U42" i="8" a="1"/>
  <c r="U42" i="8" s="1"/>
  <c r="V42" i="8" s="1"/>
  <c r="U41" i="8" a="1"/>
  <c r="U41" i="8" s="1"/>
  <c r="V41" i="8" s="1"/>
  <c r="U40" i="8" a="1"/>
  <c r="U40" i="8" s="1"/>
  <c r="V40" i="8" s="1"/>
  <c r="U39" i="8" a="1"/>
  <c r="U39" i="8" s="1"/>
  <c r="V39" i="8" s="1"/>
  <c r="U38" i="8" a="1"/>
  <c r="U38" i="8" s="1"/>
  <c r="V38" i="8" s="1"/>
  <c r="U37" i="8" a="1"/>
  <c r="U37" i="8" s="1"/>
  <c r="V37" i="8" s="1"/>
  <c r="U36" i="8" a="1"/>
  <c r="U36" i="8" s="1"/>
  <c r="V36" i="8" s="1"/>
  <c r="U35" i="8" a="1"/>
  <c r="U35" i="8" s="1"/>
  <c r="V35" i="8" s="1"/>
  <c r="U34" i="8" a="1"/>
  <c r="U34" i="8" s="1"/>
  <c r="V34" i="8" s="1"/>
  <c r="U33" i="8" a="1"/>
  <c r="U33" i="8" s="1"/>
  <c r="V33" i="8" s="1"/>
  <c r="U32" i="8" a="1"/>
  <c r="U32" i="8" s="1"/>
  <c r="V32" i="8" s="1"/>
  <c r="U31" i="8" a="1"/>
  <c r="U31" i="8" s="1"/>
  <c r="V31" i="8" s="1"/>
  <c r="U30" i="8" a="1"/>
  <c r="U30" i="8" s="1"/>
  <c r="V30" i="8" s="1"/>
  <c r="U29" i="8" a="1"/>
  <c r="U29" i="8" s="1"/>
  <c r="V29" i="8" s="1"/>
  <c r="U28" i="8" a="1"/>
  <c r="U28" i="8" s="1"/>
  <c r="V28" i="8" s="1"/>
  <c r="U27" i="8" a="1"/>
  <c r="U27" i="8" s="1"/>
  <c r="V27" i="8" s="1"/>
  <c r="U26" i="8" a="1"/>
  <c r="U26" i="8" s="1"/>
  <c r="V26" i="8" s="1"/>
  <c r="U25" i="8" a="1"/>
  <c r="U25" i="8" s="1"/>
  <c r="V25" i="8" s="1"/>
  <c r="U24" i="8" a="1"/>
  <c r="U24" i="8" s="1"/>
  <c r="V24" i="8" s="1"/>
  <c r="U23" i="8" a="1"/>
  <c r="U23" i="8" s="1"/>
  <c r="V23" i="8" s="1"/>
  <c r="U22" i="8" a="1"/>
  <c r="U22" i="8" s="1"/>
  <c r="V22" i="8" s="1"/>
  <c r="U21" i="8" a="1"/>
  <c r="U21" i="8" s="1"/>
  <c r="V21" i="8" s="1"/>
  <c r="U20" i="8" a="1"/>
  <c r="U20" i="8" s="1"/>
  <c r="V20" i="8" s="1"/>
  <c r="U19" i="8" a="1"/>
  <c r="U19" i="8" s="1"/>
  <c r="V19" i="8" s="1"/>
  <c r="U18" i="8" a="1"/>
  <c r="U18" i="8" s="1"/>
  <c r="V18" i="8" s="1"/>
  <c r="U17" i="8" a="1"/>
  <c r="U17" i="8" s="1"/>
  <c r="V17" i="8" s="1"/>
  <c r="U16" i="8" a="1"/>
  <c r="U16" i="8" s="1"/>
  <c r="V16" i="8" s="1"/>
  <c r="U15" i="8" a="1"/>
  <c r="U15" i="8" s="1"/>
  <c r="V15" i="8" s="1"/>
  <c r="U14" i="8" a="1"/>
  <c r="U14" i="8" s="1"/>
  <c r="V14" i="8" s="1"/>
  <c r="U13" i="8" a="1"/>
  <c r="U13" i="8" s="1"/>
  <c r="V13" i="8" s="1"/>
  <c r="U12" i="8" a="1"/>
  <c r="U12" i="8" s="1"/>
  <c r="V12" i="8" s="1"/>
  <c r="U11" i="8" a="1"/>
  <c r="U11" i="8" s="1"/>
  <c r="V11" i="8" s="1"/>
  <c r="U10" i="8" a="1"/>
  <c r="U10" i="8" s="1"/>
  <c r="V10" i="8" s="1"/>
  <c r="U9" i="8" a="1"/>
  <c r="U9" i="8" s="1"/>
  <c r="V9" i="8" s="1"/>
  <c r="U8" i="8" a="1"/>
  <c r="U8" i="8" s="1"/>
  <c r="V8" i="8" s="1"/>
  <c r="U7" i="8" a="1"/>
  <c r="U7" i="8" s="1"/>
  <c r="V7" i="8" s="1"/>
  <c r="U6" i="8" a="1"/>
  <c r="U6" i="8" s="1"/>
  <c r="K114" i="8" a="1"/>
  <c r="K114" i="8" s="1"/>
  <c r="K113" i="8" a="1"/>
  <c r="K113" i="8" s="1"/>
  <c r="K112" i="8" a="1"/>
  <c r="K112" i="8" s="1"/>
  <c r="K111" i="8" a="1"/>
  <c r="K111" i="8" s="1"/>
  <c r="K110" i="8" a="1"/>
  <c r="K110" i="8" s="1"/>
  <c r="K109" i="8" a="1"/>
  <c r="K109" i="8" s="1"/>
  <c r="K108" i="8" a="1"/>
  <c r="K108" i="8" s="1"/>
  <c r="K107" i="8" a="1"/>
  <c r="K107" i="8" s="1"/>
  <c r="K106" i="8" a="1"/>
  <c r="K106" i="8" s="1"/>
  <c r="K105" i="8" a="1"/>
  <c r="K105" i="8" s="1"/>
  <c r="K104" i="8" a="1"/>
  <c r="K104" i="8" s="1"/>
  <c r="K103" i="8" a="1"/>
  <c r="K103" i="8" s="1"/>
  <c r="K102" i="8" a="1"/>
  <c r="K102" i="8" s="1"/>
  <c r="K101" i="8" a="1"/>
  <c r="K101" i="8" s="1"/>
  <c r="K100" i="8" a="1"/>
  <c r="K100" i="8" s="1"/>
  <c r="K99" i="8" a="1"/>
  <c r="K99" i="8" s="1"/>
  <c r="K98" i="8" a="1"/>
  <c r="K98" i="8" s="1"/>
  <c r="K97" i="8" a="1"/>
  <c r="K97" i="8" s="1"/>
  <c r="K96" i="8" a="1"/>
  <c r="K96" i="8" s="1"/>
  <c r="K95" i="8" a="1"/>
  <c r="K95" i="8" s="1"/>
  <c r="K94" i="8" a="1"/>
  <c r="K94" i="8" s="1"/>
  <c r="K93" i="8" a="1"/>
  <c r="K93" i="8" s="1"/>
  <c r="K92" i="8" a="1"/>
  <c r="K92" i="8" s="1"/>
  <c r="K91" i="8" a="1"/>
  <c r="K91" i="8" s="1"/>
  <c r="K90" i="8" a="1"/>
  <c r="K90" i="8" s="1"/>
  <c r="K89" i="8" a="1"/>
  <c r="K89" i="8" s="1"/>
  <c r="K88" i="8" a="1"/>
  <c r="K88" i="8" s="1"/>
  <c r="K87" i="8" a="1"/>
  <c r="K87" i="8" s="1"/>
  <c r="K86" i="8" a="1"/>
  <c r="K86" i="8" s="1"/>
  <c r="K85" i="8" a="1"/>
  <c r="K85" i="8" s="1"/>
  <c r="K84" i="8" a="1"/>
  <c r="K84" i="8" s="1"/>
  <c r="K83" i="8" a="1"/>
  <c r="K83" i="8" s="1"/>
  <c r="K82" i="8" a="1"/>
  <c r="K82" i="8" s="1"/>
  <c r="K81" i="8" a="1"/>
  <c r="K81" i="8" s="1"/>
  <c r="K80" i="8" a="1"/>
  <c r="K80" i="8" s="1"/>
  <c r="K79" i="8" a="1"/>
  <c r="K79" i="8" s="1"/>
  <c r="K78" i="8" a="1"/>
  <c r="K78" i="8" s="1"/>
  <c r="K77" i="8" a="1"/>
  <c r="K77" i="8" s="1"/>
  <c r="K76" i="8" a="1"/>
  <c r="K76" i="8" s="1"/>
  <c r="K75" i="8" a="1"/>
  <c r="K75" i="8" s="1"/>
  <c r="K74" i="8" a="1"/>
  <c r="K74" i="8" s="1"/>
  <c r="K73" i="8" a="1"/>
  <c r="K73" i="8" s="1"/>
  <c r="K72" i="8" a="1"/>
  <c r="K72" i="8" s="1"/>
  <c r="K71" i="8" a="1"/>
  <c r="K71" i="8" s="1"/>
  <c r="K70" i="8" a="1"/>
  <c r="K70" i="8" s="1"/>
  <c r="K69" i="8" a="1"/>
  <c r="K69" i="8" s="1"/>
  <c r="K68" i="8" a="1"/>
  <c r="K68" i="8" s="1"/>
  <c r="K67" i="8" a="1"/>
  <c r="K67" i="8" s="1"/>
  <c r="K66" i="8" a="1"/>
  <c r="K66" i="8" s="1"/>
  <c r="K65" i="8" a="1"/>
  <c r="K65" i="8" s="1"/>
  <c r="K64" i="8" a="1"/>
  <c r="K64" i="8" s="1"/>
  <c r="K63" i="8" a="1"/>
  <c r="K63" i="8" s="1"/>
  <c r="K62" i="8" a="1"/>
  <c r="K62" i="8" s="1"/>
  <c r="K61" i="8" a="1"/>
  <c r="K61" i="8" s="1"/>
  <c r="K60" i="8" a="1"/>
  <c r="K60" i="8" s="1"/>
  <c r="K59" i="8" a="1"/>
  <c r="K59" i="8" s="1"/>
  <c r="K58" i="8" a="1"/>
  <c r="K58" i="8" s="1"/>
  <c r="K57" i="8" a="1"/>
  <c r="K57" i="8" s="1"/>
  <c r="K56" i="8" a="1"/>
  <c r="K56" i="8" s="1"/>
  <c r="K55" i="8" a="1"/>
  <c r="K55" i="8" s="1"/>
  <c r="K54" i="8" a="1"/>
  <c r="K54" i="8" s="1"/>
  <c r="K53" i="8" a="1"/>
  <c r="K53" i="8" s="1"/>
  <c r="K52" i="8" a="1"/>
  <c r="K52" i="8" s="1"/>
  <c r="K51" i="8" a="1"/>
  <c r="K51" i="8" s="1"/>
  <c r="K50" i="8" a="1"/>
  <c r="K50" i="8" s="1"/>
  <c r="K49" i="8" a="1"/>
  <c r="K49" i="8" s="1"/>
  <c r="K48" i="8" a="1"/>
  <c r="K48" i="8" s="1"/>
  <c r="K47" i="8" a="1"/>
  <c r="K47" i="8" s="1"/>
  <c r="K46" i="8" a="1"/>
  <c r="K46" i="8" s="1"/>
  <c r="K45" i="8" a="1"/>
  <c r="K45" i="8" s="1"/>
  <c r="K44" i="8" a="1"/>
  <c r="K44" i="8" s="1"/>
  <c r="K43" i="8" a="1"/>
  <c r="K43" i="8" s="1"/>
  <c r="K42" i="8" a="1"/>
  <c r="K42" i="8" s="1"/>
  <c r="K41" i="8" a="1"/>
  <c r="K41" i="8" s="1"/>
  <c r="K40" i="8" a="1"/>
  <c r="K40" i="8" s="1"/>
  <c r="K39" i="8" a="1"/>
  <c r="K39" i="8" s="1"/>
  <c r="K38" i="8" a="1"/>
  <c r="K38" i="8" s="1"/>
  <c r="K37" i="8" a="1"/>
  <c r="K37" i="8" s="1"/>
  <c r="K36" i="8" a="1"/>
  <c r="K36" i="8" s="1"/>
  <c r="K35" i="8" a="1"/>
  <c r="K35" i="8" s="1"/>
  <c r="K34" i="8" a="1"/>
  <c r="K34" i="8" s="1"/>
  <c r="K33" i="8" a="1"/>
  <c r="K33" i="8" s="1"/>
  <c r="K32" i="8" a="1"/>
  <c r="K32" i="8" s="1"/>
  <c r="K31" i="8" a="1"/>
  <c r="K31" i="8" s="1"/>
  <c r="K30" i="8" a="1"/>
  <c r="K30" i="8" s="1"/>
  <c r="K29" i="8" a="1"/>
  <c r="K29" i="8" s="1"/>
  <c r="K28" i="8" a="1"/>
  <c r="K28" i="8" s="1"/>
  <c r="K27" i="8" a="1"/>
  <c r="K27" i="8" s="1"/>
  <c r="K26" i="8" a="1"/>
  <c r="K26" i="8" s="1"/>
  <c r="K25" i="8" a="1"/>
  <c r="K25" i="8" s="1"/>
  <c r="K24" i="8" a="1"/>
  <c r="K24" i="8" s="1"/>
  <c r="K23" i="8" a="1"/>
  <c r="K23" i="8" s="1"/>
  <c r="K22" i="8" a="1"/>
  <c r="K22" i="8" s="1"/>
  <c r="K21" i="8" a="1"/>
  <c r="K21" i="8" s="1"/>
  <c r="K20" i="8" a="1"/>
  <c r="K20" i="8" s="1"/>
  <c r="K19" i="8" a="1"/>
  <c r="K19" i="8" s="1"/>
  <c r="K18" i="8" a="1"/>
  <c r="K18" i="8" s="1"/>
  <c r="K17" i="8" a="1"/>
  <c r="K17" i="8" s="1"/>
  <c r="K16" i="8" a="1"/>
  <c r="K16" i="8" s="1"/>
  <c r="K15" i="8" a="1"/>
  <c r="K15" i="8" s="1"/>
  <c r="K14" i="8" a="1"/>
  <c r="K14" i="8" s="1"/>
  <c r="K13" i="8" a="1"/>
  <c r="K13" i="8" s="1"/>
  <c r="K12" i="8" a="1"/>
  <c r="K12" i="8" s="1"/>
  <c r="K11" i="8" a="1"/>
  <c r="K11" i="8" s="1"/>
  <c r="K10" i="8" a="1"/>
  <c r="K10" i="8" s="1"/>
  <c r="K9" i="8" a="1"/>
  <c r="K9" i="8" s="1"/>
  <c r="K8" i="8" a="1"/>
  <c r="K8" i="8" s="1"/>
  <c r="K6" i="8" a="1"/>
  <c r="K6" i="8" s="1"/>
  <c r="K7" i="8" a="1"/>
  <c r="K7" i="8" s="1"/>
  <c r="D13" i="7"/>
  <c r="J4" i="10" a="1"/>
  <c r="J4" i="10" s="1"/>
  <c r="F3" i="7"/>
  <c r="C119" i="1"/>
  <c r="D116" i="1" a="1"/>
  <c r="D116" i="1" s="1"/>
  <c r="D114" i="1" a="1"/>
  <c r="D114" i="1" s="1"/>
  <c r="D113" i="1" a="1"/>
  <c r="D113" i="1" s="1"/>
  <c r="D110" i="1" a="1"/>
  <c r="D110" i="1" s="1"/>
  <c r="D112" i="1" a="1"/>
  <c r="D112" i="1" s="1"/>
  <c r="D109" i="1" a="1"/>
  <c r="D109" i="1" s="1"/>
  <c r="C106" i="1" a="1"/>
  <c r="C106" i="1" s="1"/>
  <c r="D107" i="1" a="1"/>
  <c r="D107" i="1" s="1"/>
  <c r="A5" i="8" a="1"/>
  <c r="A5" i="8" s="1"/>
  <c r="A4" i="7" a="1"/>
  <c r="A4" i="7" s="1"/>
  <c r="C12" i="7"/>
  <c r="L2" i="7" a="1"/>
  <c r="L2" i="7" s="1"/>
  <c r="O2" i="7" a="1"/>
  <c r="O2" i="7" s="1"/>
  <c r="N2" i="7" a="1"/>
  <c r="N2" i="7" s="1"/>
  <c r="M2" i="7" a="1"/>
  <c r="M2" i="7" s="1"/>
  <c r="P2" i="7" a="1"/>
  <c r="P2" i="7" s="1"/>
  <c r="R2" i="7" a="1"/>
  <c r="R2" i="7" s="1"/>
  <c r="E91" i="1" a="1"/>
  <c r="E91" i="1" s="1"/>
  <c r="D82" i="1" a="1"/>
  <c r="D82" i="1" s="1"/>
  <c r="D47" i="1" a="1"/>
  <c r="D47" i="1" s="1"/>
  <c r="D46" i="1" a="1"/>
  <c r="D46" i="1" s="1"/>
  <c r="D40" i="1" a="1"/>
  <c r="D40" i="1" s="1"/>
  <c r="D31" i="1" a="1"/>
  <c r="D31" i="1" s="1"/>
  <c r="D27" i="1" a="1"/>
  <c r="D27" i="1" s="1"/>
  <c r="F85" i="1" a="1"/>
  <c r="F85" i="1" s="1"/>
  <c r="D4" i="1" a="1"/>
  <c r="D4" i="1" s="1"/>
  <c r="D60" i="1" a="1"/>
  <c r="D60" i="1" s="1"/>
  <c r="D48" i="1" a="1"/>
  <c r="D48" i="1" s="1"/>
  <c r="D25" i="1" a="1"/>
  <c r="D25" i="1" s="1"/>
  <c r="D8" i="1" a="1"/>
  <c r="D8" i="1" s="1"/>
  <c r="C74" i="1"/>
  <c r="C64" i="1"/>
  <c r="D70" i="1" s="1"/>
  <c r="C10" i="7"/>
  <c r="C7" i="7"/>
  <c r="C8" i="7"/>
  <c r="C26" i="7"/>
  <c r="G8" i="8" l="1"/>
  <c r="G22" i="8"/>
  <c r="G103" i="8"/>
  <c r="G99" i="8"/>
  <c r="G95" i="8"/>
  <c r="G91" i="8"/>
  <c r="G87" i="8"/>
  <c r="G83" i="8"/>
  <c r="G79" i="8"/>
  <c r="G75" i="8"/>
  <c r="G71" i="8"/>
  <c r="G67" i="8"/>
  <c r="G63" i="8"/>
  <c r="G59" i="8"/>
  <c r="G55" i="8"/>
  <c r="G51" i="8"/>
  <c r="G47" i="8"/>
  <c r="G43" i="8"/>
  <c r="G39" i="8"/>
  <c r="G35" i="8"/>
  <c r="G31" i="8"/>
  <c r="G27" i="8"/>
  <c r="G23" i="8"/>
  <c r="G19" i="8"/>
  <c r="G15" i="8"/>
  <c r="G11" i="8"/>
  <c r="G7" i="8"/>
  <c r="G94" i="8"/>
  <c r="G66" i="8"/>
  <c r="G42" i="8"/>
  <c r="G10" i="8"/>
  <c r="G102" i="8"/>
  <c r="G86" i="8"/>
  <c r="G78" i="8"/>
  <c r="G54" i="8"/>
  <c r="G34" i="8"/>
  <c r="G18" i="8"/>
  <c r="G101" i="8"/>
  <c r="G97" i="8"/>
  <c r="G93" i="8"/>
  <c r="G89" i="8"/>
  <c r="G85" i="8"/>
  <c r="G81" i="8"/>
  <c r="G77" i="8"/>
  <c r="G73" i="8"/>
  <c r="G69" i="8"/>
  <c r="G65" i="8"/>
  <c r="G61" i="8"/>
  <c r="G57" i="8"/>
  <c r="G53" i="8"/>
  <c r="G49" i="8"/>
  <c r="G45" i="8"/>
  <c r="G41" i="8"/>
  <c r="G37" i="8"/>
  <c r="G33" i="8"/>
  <c r="G29" i="8"/>
  <c r="G25" i="8"/>
  <c r="G21" i="8"/>
  <c r="G17" i="8"/>
  <c r="G13" i="8"/>
  <c r="G9" i="8"/>
  <c r="G90" i="8"/>
  <c r="G70" i="8"/>
  <c r="G46" i="8"/>
  <c r="G14" i="8"/>
  <c r="G98" i="8"/>
  <c r="G82" i="8"/>
  <c r="G74" i="8"/>
  <c r="G62" i="8"/>
  <c r="G58" i="8"/>
  <c r="G50" i="8"/>
  <c r="G38" i="8"/>
  <c r="G30" i="8"/>
  <c r="G26" i="8"/>
  <c r="G104" i="8"/>
  <c r="G100" i="8"/>
  <c r="G96" i="8"/>
  <c r="G92" i="8"/>
  <c r="G88" i="8"/>
  <c r="G84" i="8"/>
  <c r="G80" i="8"/>
  <c r="G76" i="8"/>
  <c r="G72" i="8"/>
  <c r="G68" i="8"/>
  <c r="G64" i="8"/>
  <c r="G60" i="8"/>
  <c r="G56" i="8"/>
  <c r="G52" i="8"/>
  <c r="G48" i="8"/>
  <c r="G44" i="8"/>
  <c r="G40" i="8"/>
  <c r="G36" i="8"/>
  <c r="G32" i="8"/>
  <c r="G28" i="8"/>
  <c r="G24" i="8"/>
  <c r="G20" i="8"/>
  <c r="G16" i="8"/>
  <c r="G12" i="8"/>
  <c r="V6" i="8"/>
  <c r="L7" i="8"/>
  <c r="L6" i="8"/>
  <c r="I4" i="10" a="1"/>
  <c r="I4" i="10" s="1"/>
  <c r="C93" i="1"/>
  <c r="F101" i="1"/>
  <c r="F97" i="1" a="1"/>
  <c r="F97" i="1" s="1"/>
  <c r="F100" i="1" a="1"/>
  <c r="F100" i="1" s="1"/>
  <c r="F98" i="1" a="1"/>
  <c r="F98" i="1" s="1"/>
  <c r="F96" i="1" a="1"/>
  <c r="F96" i="1" s="1"/>
  <c r="F99" i="1"/>
  <c r="F87" i="1" a="1"/>
  <c r="F87" i="1" s="1"/>
  <c r="D69" i="1"/>
  <c r="F86" i="1" a="1"/>
  <c r="F86" i="1" s="1"/>
  <c r="F95" i="1" a="1"/>
  <c r="F95" i="1" s="1"/>
  <c r="D80" i="1"/>
  <c r="D71" i="1"/>
  <c r="D79" i="1"/>
  <c r="D72" i="1" a="1"/>
  <c r="D72" i="1" s="1"/>
  <c r="D81" i="1"/>
  <c r="F88" i="1" a="1"/>
  <c r="F88" i="1" s="1"/>
  <c r="C84" i="1"/>
  <c r="C27" i="7"/>
  <c r="L8" i="8" l="1"/>
  <c r="C13" i="7"/>
  <c r="C38" i="7"/>
  <c r="L9" i="8" l="1"/>
  <c r="C22" i="7"/>
  <c r="C20" i="7"/>
  <c r="D20" i="7" s="1" a="1"/>
  <c r="D20" i="7" s="1"/>
  <c r="L10" i="8" l="1"/>
  <c r="C21" i="7"/>
  <c r="D21" i="7" s="1"/>
  <c r="D22" i="7" s="1"/>
  <c r="D26" i="7" s="1" a="1"/>
  <c r="D26" i="7" s="1"/>
  <c r="K3" i="7" a="1"/>
  <c r="K3" i="7" s="1"/>
  <c r="R3" i="7" s="1" a="1"/>
  <c r="R3" i="7" s="1"/>
  <c r="Q3" i="7" s="1" a="1"/>
  <c r="Q3" i="7" s="1"/>
  <c r="L11" i="8" l="1"/>
  <c r="L3" i="7" a="1"/>
  <c r="L3" i="7" s="1"/>
  <c r="L12" i="8" l="1"/>
  <c r="L13" i="8" l="1"/>
  <c r="P3" i="7" l="1" a="1"/>
  <c r="P3" i="7" s="1"/>
  <c r="N3" i="7" s="1" a="1"/>
  <c r="N3" i="7" s="1"/>
  <c r="L14" i="8"/>
  <c r="O3" i="7" l="1" a="1"/>
  <c r="O3" i="7" s="1"/>
  <c r="M3" i="7" s="1" a="1"/>
  <c r="M3" i="7" s="1"/>
  <c r="D24" i="7" s="1" a="1"/>
  <c r="D24" i="7" s="1"/>
  <c r="L15" i="8"/>
  <c r="D27" i="7" l="1" a="1"/>
  <c r="D27" i="7" s="1"/>
  <c r="D23" i="7" a="1"/>
  <c r="D23" i="7" s="1"/>
  <c r="D25" i="7" s="1"/>
  <c r="L16" i="8"/>
  <c r="D30" i="7" l="1"/>
  <c r="C30" i="7"/>
  <c r="L17" i="8"/>
  <c r="L18" i="8" l="1"/>
  <c r="L19" i="8" l="1"/>
  <c r="L20" i="8" l="1"/>
  <c r="L21" i="8" l="1"/>
  <c r="L22" i="8" l="1"/>
  <c r="L23" i="8" l="1"/>
  <c r="L24" i="8" l="1"/>
  <c r="L25" i="8" l="1"/>
  <c r="L26" i="8" l="1"/>
  <c r="L27" i="8" l="1"/>
  <c r="L28" i="8" l="1"/>
  <c r="L29" i="8" l="1"/>
  <c r="L30" i="8" l="1"/>
  <c r="L31" i="8" l="1"/>
  <c r="L32" i="8" l="1"/>
  <c r="L33" i="8" l="1"/>
  <c r="L34" i="8" l="1"/>
  <c r="L35" i="8" l="1"/>
  <c r="L36" i="8" l="1"/>
  <c r="L37" i="8" l="1"/>
  <c r="L38" i="8" l="1"/>
  <c r="L39" i="8" l="1"/>
  <c r="L40" i="8" l="1"/>
  <c r="L41" i="8" l="1"/>
  <c r="L42" i="8" l="1"/>
  <c r="L43" i="8" l="1"/>
  <c r="L44" i="8" l="1"/>
  <c r="L45" i="8" l="1"/>
  <c r="L46" i="8" l="1"/>
  <c r="L47" i="8" l="1"/>
  <c r="L48" i="8" l="1"/>
  <c r="L49" i="8" l="1"/>
  <c r="L50" i="8" l="1"/>
  <c r="L51" i="8" l="1"/>
  <c r="L52" i="8" l="1"/>
  <c r="L53" i="8" l="1"/>
  <c r="L54" i="8" l="1"/>
  <c r="L55" i="8" l="1"/>
  <c r="L56" i="8" l="1"/>
  <c r="L57" i="8" l="1"/>
  <c r="L58" i="8" l="1"/>
  <c r="L59" i="8" l="1"/>
  <c r="L60" i="8" l="1"/>
  <c r="L61" i="8" l="1"/>
  <c r="L62" i="8" l="1"/>
  <c r="L63" i="8" l="1"/>
  <c r="L64" i="8" l="1"/>
  <c r="L65" i="8" l="1"/>
  <c r="L66" i="8" l="1"/>
  <c r="L67" i="8" l="1"/>
  <c r="L68" i="8" l="1"/>
  <c r="L69" i="8" l="1"/>
  <c r="L70" i="8" l="1"/>
  <c r="L71" i="8" l="1"/>
  <c r="L72" i="8" l="1"/>
  <c r="L73" i="8" l="1"/>
  <c r="L74" i="8" l="1"/>
  <c r="L75" i="8" l="1"/>
  <c r="L76" i="8" l="1"/>
  <c r="L77" i="8" l="1"/>
  <c r="L78" i="8" l="1"/>
  <c r="L79" i="8" l="1"/>
  <c r="L80" i="8" l="1"/>
  <c r="L81" i="8" l="1"/>
  <c r="L82" i="8" l="1"/>
  <c r="L83" i="8" l="1"/>
  <c r="L84" i="8" l="1"/>
  <c r="L85" i="8" l="1"/>
  <c r="L86" i="8" l="1"/>
  <c r="L87" i="8" l="1"/>
  <c r="L88" i="8" l="1"/>
  <c r="L89" i="8" l="1"/>
  <c r="L90" i="8" l="1"/>
  <c r="L91" i="8" l="1"/>
  <c r="L92" i="8" l="1"/>
  <c r="L93" i="8" l="1"/>
  <c r="L94" i="8" l="1"/>
  <c r="L95" i="8" l="1"/>
  <c r="L96" i="8" l="1"/>
  <c r="L97" i="8" l="1"/>
  <c r="L98" i="8" l="1"/>
  <c r="L99" i="8" l="1"/>
  <c r="L100" i="8" l="1"/>
  <c r="L101" i="8" l="1"/>
  <c r="L102" i="8" l="1"/>
  <c r="L103" i="8" l="1"/>
  <c r="L104" i="8" l="1"/>
  <c r="L105" i="8" l="1"/>
  <c r="L106" i="8" l="1"/>
  <c r="L107" i="8" l="1"/>
  <c r="L108" i="8" l="1"/>
  <c r="L109" i="8" l="1"/>
  <c r="L110" i="8" l="1"/>
  <c r="L111" i="8" l="1"/>
  <c r="L112" i="8" l="1"/>
  <c r="L113" i="8" l="1"/>
  <c r="L114"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tc={90C12D3E-8921-4830-80E4-CEE35BEA2D69}</author>
    <author>tc={57E16DA7-81AE-4BEA-B458-41E4A3D84E87}</author>
    <author>tc={E142E7C4-C28C-4377-854E-DCEB87A34C41}</author>
    <author>tc={38D93876-FE0A-4315-8FBE-A8DF30B5C3B4}</author>
    <author>tc={42A9AC70-7F51-4EC6-8266-4DB7E857E303}</author>
    <author>tc={54191FF6-A307-4467-B806-BF2F0AFA8BF8}</author>
    <author>tc={289D2D3E-F13F-4822-A3FD-16E082A6E07D}</author>
    <author>tc={4CC589B9-66E8-49E5-AA56-7275372BF3F3}</author>
  </authors>
  <commentList>
    <comment ref="E2" authorId="0" shapeId="0" xr:uid="{90C12D3E-8921-4830-80E4-CEE35BEA2D69}">
      <text>
        <t xml:space="preserve">[Threaded comment]
Your version of Excel allows you to read this threaded comment; however, any edits to it will get removed if the file is opened in a newer version of Excel. Learn more: https://go.microsoft.com/fwlink/?linkid=870924
Comment:
    Arizona Governing Comm. v. Norris :: 463 U.S. 1073 (1983) :: Justia US Supreme Court Center </t>
      </text>
    </comment>
    <comment ref="G3" authorId="1" shapeId="0" xr:uid="{57E16DA7-81AE-4BEA-B458-41E4A3D84E87}">
      <text>
        <t xml:space="preserve">[Threaded comment]
Your version of Excel allows you to read this threaded comment; however, any edits to it will get removed if the file is opened in a newer version of Excel. Learn more: https://go.microsoft.com/fwlink/?linkid=870924
Comment:
    (a) Valuation of annuities, interests for life or term of years, and remainder or reversionary interests for estates of decedents for which the valuation date of the gross estate is before January 1, 1952. Except as otherwise provided in § 20.2031–7(b), if the valuation date of the decedent's gross estate is before January 1, 1952, the present value of annuities, life estates, terms for years, remainders, and reversions is their present value determined under this section. If the valuation of the interest involved is dependent upon the continuation or termination of one or more lives or upon a term certain concurrent with one or more lives, the factor for the present value is computed on the basis of interest at the rate of 4 percent a year, compounded annually, and life contingencies as to each life involved from values that are based on the Actuaries' or Combined Experience Table of Mortality, as extended. This table and related factors are described in former § 81.10 (as contained in the 26 CFR part 81 edition revised as of April 1, 1958). The present value of an interest measured by a term of years is computed on the basis of interest at the rate of 4 percent a year. </t>
      </text>
    </comment>
    <comment ref="G4" authorId="2" shapeId="0" xr:uid="{E142E7C4-C28C-4377-854E-DCEB87A34C41}">
      <text>
        <t>[Threaded comment]
Your version of Excel allows you to read this threaded comment; however, any edits to it will get removed if the file is opened in a newer version of Excel. Learn more: https://go.microsoft.com/fwlink/?linkid=870924
Comment:
    (b) Valuation of annuities, interests for life or term of years, and remainder or reversionary interests for estates of decedents for which the valuation date of the gross estate is after December 31, 1951, and before January 1, 1971. Except as otherwise provided in § 20.2031–7(b), if the valuation date for the decedent's gross estate is after December 31, 1951, and before January 1, 1971, the present value of annuities, life estates, terms of years, remainders, and reversions is their present value determined under this section. If the valuation of the interest involved is dependent upon the continuation or termination of one or more lives, or upon a term certain concurrent with one or more lives, the factor for the present value is computed on the basis of interest at the rate of 3 ½ percent a year, compounded annually, and life contingencies as to each life involved are taken from U.S. Life Table 38. This table and related factors are set forth in former § 20.2031–7 (as contained in the 26 CFR part 20 edition revised as of April 1, 1984). Special factors involving one and two lives may be found in or computed with the use of tables contained in the publication entitled “Actuarial Values for Estate and Gift Tax,” Internal Revenue Service Publication Number 11 (Rev. 5–59). This publication is no longer available for purchase from the Superintendent of Documents. However, it may be obtained by requesting a copy from: CC:DOM:CORP:T:R (IRS Publication 11), room 5228, Internal Revenue Service, POB 7604, Ben Franklin Station, Washington, DC 20044. The present value of an interest measured by a term of years is computed on the basis of interest at the rate of 3 ½ percent a year. 
Reply:
    US Life Table 38 appears to refer to the 1939-41 life tables published by the PHS / NVS in 1947, located at https://www.cdc.gov/nchs/data/lifetables/life39-41_acturial.pdf. Footnote 35 of this 1970 law article corroborates the above. https://scholarship.law.vanderbilt.edu/cgi/viewcontent.cgi?article=3413&amp;context=vlr.</t>
      </text>
    </comment>
    <comment ref="G5" authorId="3" shapeId="0" xr:uid="{38D93876-FE0A-4315-8FBE-A8DF30B5C3B4}">
      <text>
        <t>[Threaded comment]
Your version of Excel allows you to read this threaded comment; however, any edits to it will get removed if the file is opened in a newer version of Excel. Learn more: https://go.microsoft.com/fwlink/?linkid=870924
Comment:
    (c) Valuation of annuities, interests for life or term of years, and remainder or reversionary interests for estates of decedents for which the valuation date of the gross estate is after December 31, 1970, and before December 1, 1983. Except as otherwise provided in § 20.2031–7(b), if the valuation date of the decedent's gross estate is after December 31, 1970, and before December 1, 1983, the present value of annuities, life estates, terms of years, remainders, and reversions is their present value determined under this section. If the valuation of the interest involved is dependent upon the continuation of or termination of one or more lives or upon a term certain concurrent with one or more lives, the factor for the present value is computed on the basis of interest at the rate of 6 percent a year, compounded annually, and life contingencies are determined as to each male and female life involved, from values that are set forth in Table LN. Table LN contains values that are taken from the life table for total males and the life table for total females appearing as Tables 2 and 3, respectively, in United States Life Tables: 1959–1960, published by the Department of Health and Human Services, Public Health Service. Table LN and related factors are set forth in former § 20.2031–10 (as contained in the 26 CFR part 20 edition revised as of April 1, 1994). Special factors involving one and two lives may be found in or computed with the use of tables contained in Internal Revenue Service Publication 723, “Actuarial Values I: Valuation of Last Survivor Charitable Remainders,” (12–70), and Internal Revenue Service Publication 723A, “Actuarial Values II: Factors at 6 Percent Involving One and Two Lives,” (12–70). These publications are no longer available for purchase from the Superintendent of Documents. However, a copy of each may be obtained from: CC:DOM:CORP:T:R (IRS Publication 723/723A), room 5228, Internal Revenue Service, POB 7604, Ben Franklin Station, Washington, DC 20044. 
Reply:
    Obtained from https://www.cdc.gov/nchs/data/lifetables/life59_1_6.pdf</t>
      </text>
    </comment>
    <comment ref="G6" authorId="4" shapeId="0" xr:uid="{42A9AC70-7F51-4EC6-8266-4DB7E857E303}">
      <text>
        <t>[Threaded comment]
Your version of Excel allows you to read this threaded comment; however, any edits to it will get removed if the file is opened in a newer version of Excel. Learn more: https://go.microsoft.com/fwlink/?linkid=870924
Comment:
    (5) Actuarial computations by the Internal Revenue Service. If the valuation of the interest involved is dependent upon the continuation or the termination of more than one life or upon a term certain concurrent with one or more lives a special factor must be used. The factor is to be computed on the basis of interest at the rate of 10 percent a year, compounded annually, and life contingencies determined, as to each person involved, from the values of lx that are set forth in column 2 of Table LN of paragraph (d)(6). Table LN contains values of lx taken from the life table for the total population appearing as Table 1 of United States Life Tables: 1969–71, published by the Department of Health and Human Services, Public Health Service. Many special factors involving one and two lives may be found in or computed with the use of the tables contained in Internal Revenue Service Publication 723E, “Actuarial Values II: Factors at 10 Percent Involving One and Two Lives,” (12–83). This publication is no longer available for purchase from the Superintendent of Documents. However, it may be obtained by requesting a copy from: CC:DOM:CORP:T:R (IRS Publication 723E), room 5228, Internal Revenue Service, POB 7604, Ben Franklin Station, Washington, DC 20044. However, if a special factor is required in the case of an actual decedent, the Commissioner will furnish the factor to the executor upon request. The request must be accompanied by a statement of the date of birth of each person, the duration of whose life may affect the value of the interest, and by copies of the relevant instruments. Special factors are not furnished for prospective transfers. (6) Tables. The following tables shall be used in the application of the provisions of this section:  [ … ] TABLE LN—APPLICABLE FOR TRANSFERS AFTER NOVEMBER 30, 1983, AND BEFORE MAY 1, 1989 
Reply:
    Agrees with https://www.cdc.gov/nchs/data/lifetables/life69_1_1.pdf</t>
      </text>
    </comment>
    <comment ref="G7" authorId="5" shapeId="0" xr:uid="{54191FF6-A307-4467-B806-BF2F0AFA8BF8}">
      <text>
        <t xml:space="preserve">[Threaded comment]
Your version of Excel allows you to read this threaded comment; however, any edits to it will get removed if the file is opened in a newer version of Excel. Learn more: https://go.microsoft.com/fwlink/?linkid=870924
Comment:
    (4) Actuarial tables. Except as provided in § 20.7520-3(b) (pertaining to certain limitations on the use of prescribed tables), Life Table 80CNSMT and Table S (Single life remainder factors applicable where the valuation date is after April 30, 1989, and before May 1, 1999), contained in this paragraph (e)(4), and Table B, Table J, and Table K set forth in § 20.2031-7(d)(6) must be used in the application of the provisions of this section when the section 7520 interest rate component is between 4.2 and 14 percent. Table S and Table 80CNSMT are as follows: </t>
      </text>
    </comment>
    <comment ref="G8" authorId="6" shapeId="0" xr:uid="{289D2D3E-F13F-4822-A3FD-16E082A6E07D}">
      <text>
        <t xml:space="preserve">[Threaded comment]
Your version of Excel allows you to read this threaded comment; however, any edits to it will get removed if the file is opened in a newer version of Excel. Learn more: https://go.microsoft.com/fwlink/?linkid=870924
Comment:
    (4) Actuarial tables. Except as provided in § 20.7520–3(b) (pertaining to certain limitations on the use of prescribed tables), Life Table 90CM and Table S (Single life remainder factors applicable where the valuation date is after April 30, 1999, and before May 1, 2009), contained in this paragraph (f)(4), and Table B, Table J, and Table K set forth in § 20.2031–7(d)(6) must be used in the application of the provisions of this section when the section 7520 interest rate component is between 4.2 and 14 percent. Table S and Table 90CM are as follows: </t>
      </text>
    </comment>
    <comment ref="G9" authorId="7" shapeId="0" xr:uid="{4CC589B9-66E8-49E5-AA56-7275372BF3F3}">
      <text>
        <t xml:space="preserve">[Threaded comment]
Your version of Excel allows you to read this threaded comment; however, any edits to it will get removed if the file is opened in a newer version of Excel. Learn more: https://go.microsoft.com/fwlink/?linkid=870924
Comment:
    (4) Actuarial tables. Except as provided in § 20.7520–3(b) (pertaining to certain limitations on the use of prescribed tables), actuarial factors based on Table 2000CM must be used in the application of the provisions of this section. The factor for determining the present value of a remainder interest that is dependent on the termination of the life of one individual may be computed by using the formula in § 20.2031–7(d)(2)(ii)(B) to derive a remainder factor from the appropriate mortality table to at least five decimal places. For the convenience of taxpayers, actuarial factors, when the section 7520 interest rate component is from 0.2 to 20 percent, inclusive, have been computed by the IRS and appear in Table S (applicable on and after May 1, 2009, and before June 1, 2023). These actuarial tables, as referenced and explained by IRS Publication 1457, Actuarial Valuations Version 3A, are available, at no charge, electronically via the IRS website at https://www.irs.gov/retirement-plans/actuarial-tables. Table S (notwithstanding the lack of the applicable termination date in its heading), where the section 7520 interest rate component is from 0.2 to 14 percent, inclusive, and Table 2000CM are as follows: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<sst xmlns="http://schemas.openxmlformats.org/spreadsheetml/2006/main" count="261" uniqueCount="191">
  <si>
    <t>2000CM</t>
  </si>
  <si>
    <t>x</t>
  </si>
  <si>
    <t>2010CM</t>
  </si>
  <si>
    <t>Type of trust</t>
  </si>
  <si>
    <t>Contingency</t>
  </si>
  <si>
    <t>§ 7520 interest rate</t>
  </si>
  <si>
    <t>T</t>
  </si>
  <si>
    <t>Selected</t>
  </si>
  <si>
    <t>Last-to-die</t>
  </si>
  <si>
    <t>Payout frequency</t>
  </si>
  <si>
    <t>Remainder factor for term certain</t>
  </si>
  <si>
    <t>Remainder factor for single life</t>
  </si>
  <si>
    <t>§ 20.2031–7</t>
  </si>
  <si>
    <t>(d)(2)(ii)(A)</t>
  </si>
  <si>
    <t>(d)(2)(ii)(B)</t>
  </si>
  <si>
    <t>(d)(2)(iv)(B)</t>
  </si>
  <si>
    <t>(d)(2)(iv)(C)</t>
  </si>
  <si>
    <t>§ 25.2512–5</t>
  </si>
  <si>
    <t>(d)(2)(v)(A)(1)(i)</t>
  </si>
  <si>
    <t>K = i / p(v^(-1/p) - 1)</t>
  </si>
  <si>
    <t>J = i / p(1 - v^(1/p)</t>
  </si>
  <si>
    <t>Frequency factor for annuities paid at end of period</t>
  </si>
  <si>
    <t>Frequency factor for term certain annuities paid at beginning of period</t>
  </si>
  <si>
    <t>For life contingent annuities paid at beginning of period</t>
  </si>
  <si>
    <t>add 1/p to the end-of-period factor</t>
  </si>
  <si>
    <t>Dx = v^x * L^x</t>
  </si>
  <si>
    <t>Nx = sum (t=0 to inf) Dx+t</t>
  </si>
  <si>
    <t>(d)(2)(v)(A)(2)</t>
  </si>
  <si>
    <t>(d)(2)(v)(B)(1)(i)</t>
  </si>
  <si>
    <t>Annuity commutation factors for a given life table L and interest rate i</t>
  </si>
  <si>
    <t>Unitrust commutation factors are identical to the annuity commutation factors</t>
  </si>
  <si>
    <t>except i and v are determined as a function of the payout rate r:</t>
  </si>
  <si>
    <t>ui = r / (1-r);  uv = 1-r</t>
  </si>
  <si>
    <t>Shorter-of term or 1-life annuity factor</t>
  </si>
  <si>
    <t>(d)(2)(v)(B)(2)(ii)</t>
  </si>
  <si>
    <t>Payout interest factor on shorter-of term or 1-life</t>
  </si>
  <si>
    <t>End</t>
  </si>
  <si>
    <t>Transactions of the SOA, 1952 vol 4 no 10 pg 574</t>
  </si>
  <si>
    <t>Basis for 1952 IRS estate and gift tax tables</t>
  </si>
  <si>
    <t>Formulas 1, 12, 13</t>
  </si>
  <si>
    <t>International Actuarial Notation</t>
  </si>
  <si>
    <t>Complete Annuities</t>
  </si>
  <si>
    <t>Society of Actuaries, 1949</t>
  </si>
  <si>
    <t>page 127</t>
  </si>
  <si>
    <t>Lxy = Lx * Ly</t>
  </si>
  <si>
    <t>dxy = Lxy - Lx+1y+1</t>
  </si>
  <si>
    <t>page 128</t>
  </si>
  <si>
    <t>Confirms multiplying Q's returns the last-to-die probabilities</t>
  </si>
  <si>
    <t>Dxy = Lxy v^avg(x+y)</t>
  </si>
  <si>
    <t>Confirms multiplying L's returns the joint-life (first-to-die) tables</t>
  </si>
  <si>
    <t>Based on the above guidance, the Estate.ly spreadsheet makes the following tables:</t>
  </si>
  <si>
    <t>tQx</t>
  </si>
  <si>
    <t>For each life, construct Qx tables starting from current age.</t>
  </si>
  <si>
    <t>tQx = 1 - L(x+t) / L(x+0)</t>
  </si>
  <si>
    <t>t : [0 .. (110 – the youngest age)]</t>
  </si>
  <si>
    <t>Last-to-die Q factor = product of each life's tQ factor</t>
  </si>
  <si>
    <t>Last to die factor:</t>
  </si>
  <si>
    <t>First to die factor:</t>
  </si>
  <si>
    <t>tPx</t>
  </si>
  <si>
    <t>First-to-die P factor = product of each life's tP factor</t>
  </si>
  <si>
    <t>tPx = L(x+t) / L(x+0)</t>
  </si>
  <si>
    <t>t : [0 .. (110 – the oldest age)]</t>
  </si>
  <si>
    <t>Determining the correct commutation formulas</t>
  </si>
  <si>
    <t>Adjusted annuity reflects factor J/K, and one add'l payment if life-contingent</t>
  </si>
  <si>
    <t>Interest and remainder factor are derived from the equivalence:</t>
  </si>
  <si>
    <t>Mx = sum (t=0 to inf) [v^x+t+1 * (Lx+t - Lx+t+1)]</t>
  </si>
  <si>
    <t>notation used in this program to denote "joint life, ages at val date"</t>
  </si>
  <si>
    <t>notation used in this program to denote "last survivor, ages at val date"</t>
  </si>
  <si>
    <t>v^n</t>
  </si>
  <si>
    <t>Term:</t>
  </si>
  <si>
    <t>Life:</t>
  </si>
  <si>
    <t>Shorter:</t>
  </si>
  <si>
    <t>Longer:</t>
  </si>
  <si>
    <t>Remainder (first principles)</t>
  </si>
  <si>
    <t>Annuity (first principles)</t>
  </si>
  <si>
    <t>Show tables based on:</t>
  </si>
  <si>
    <t>Check based on A = 1 - ia:</t>
  </si>
  <si>
    <t>Annuity</t>
  </si>
  <si>
    <t>scaled directly by a factor of Dx (such that D at time zero = 1).</t>
  </si>
  <si>
    <t>Depending on if expressing life tables as L's, P's or Q's, factors can be</t>
  </si>
  <si>
    <t>90CM</t>
  </si>
  <si>
    <t>80CNSMT</t>
  </si>
  <si>
    <t>delta</t>
  </si>
  <si>
    <t>Published</t>
  </si>
  <si>
    <t>Lx</t>
  </si>
  <si>
    <t>qX</t>
  </si>
  <si>
    <t>Male</t>
  </si>
  <si>
    <t>Female</t>
  </si>
  <si>
    <t>5 sig.fig.</t>
  </si>
  <si>
    <t>80CM5sf</t>
  </si>
  <si>
    <t>90CM5sf</t>
  </si>
  <si>
    <t>00CM5sf</t>
  </si>
  <si>
    <t>1000qX</t>
  </si>
  <si>
    <t>convert into a recursive definition as follows:</t>
  </si>
  <si>
    <t>Isolate the life values:</t>
  </si>
  <si>
    <t>0Qx is zero and 1Qx is the pure qx rate.</t>
  </si>
  <si>
    <t>Check</t>
  </si>
  <si>
    <t>ax(4%)</t>
  </si>
  <si>
    <t>Ax (4%)</t>
  </si>
  <si>
    <t>Ax=väx–ax</t>
  </si>
  <si>
    <t>ax = N(x+1)/Dx</t>
  </si>
  <si>
    <t xml:space="preserve">     = Dx+1/Dx + N(x+2)/Dx</t>
  </si>
  <si>
    <t xml:space="preserve">     = Dx+1/Dx (1 + ax+1)</t>
  </si>
  <si>
    <t xml:space="preserve">     =  1px * v (1 + ax+1)</t>
  </si>
  <si>
    <t>Solve for px</t>
  </si>
  <si>
    <t>px =  ax / (v(1+ax+1))</t>
  </si>
  <si>
    <t>Estate.ly v1.1</t>
  </si>
  <si>
    <t>Valuation date</t>
  </si>
  <si>
    <t>Effective</t>
  </si>
  <si>
    <t>Authority</t>
  </si>
  <si>
    <t>26 CFR § 20.2031–7A(a)</t>
  </si>
  <si>
    <t>26 CFR § 20.2031–7A(b)</t>
  </si>
  <si>
    <t>26 CFR § 20.2031–7A(d)(6)</t>
  </si>
  <si>
    <t>26 CFR § 20.2031–7A(c)</t>
  </si>
  <si>
    <t>26 CFR § 20.2031–7A(e)(4)</t>
  </si>
  <si>
    <t>26 CFR § 20.2031–7A(f)(4)</t>
  </si>
  <si>
    <t>26 CFR § 20.2031–7A(g)(4)</t>
  </si>
  <si>
    <t>26 CFR § 20.2031–7(d)(7)(ii)</t>
  </si>
  <si>
    <t>Interest</t>
  </si>
  <si>
    <t>Mortality</t>
  </si>
  <si>
    <t>Continuous annuity?</t>
  </si>
  <si>
    <t>Unisex?</t>
  </si>
  <si>
    <t>§ 7530</t>
  </si>
  <si>
    <t>38USLT</t>
  </si>
  <si>
    <t>59LN</t>
  </si>
  <si>
    <t>69LN</t>
  </si>
  <si>
    <t>sig figs</t>
  </si>
  <si>
    <t>Lx to 5</t>
  </si>
  <si>
    <t>pX to 5</t>
  </si>
  <si>
    <t>Table A from 26 CFR § 80.11 [1938] / § 81.11 [1949]</t>
  </si>
  <si>
    <t>Table 1, US Life 1939-41</t>
  </si>
  <si>
    <t>Table 2, US Life 1959-61</t>
  </si>
  <si>
    <t>Table 3, US Life 1959-61</t>
  </si>
  <si>
    <t>Table 1, US Life 1969-71</t>
  </si>
  <si>
    <t>Sec81.10</t>
  </si>
  <si>
    <t>Table 4, US Life 1939-41</t>
  </si>
  <si>
    <t>US38 White</t>
  </si>
  <si>
    <t>agrees to 5sf</t>
  </si>
  <si>
    <t>US38 Total</t>
  </si>
  <si>
    <t>59LN Total Male</t>
  </si>
  <si>
    <t>59LN Total Female</t>
  </si>
  <si>
    <t>69LN Total</t>
  </si>
  <si>
    <t>80CNSMT Total</t>
  </si>
  <si>
    <t>Sec81.10 annuity factors</t>
  </si>
  <si>
    <t>50 survives all the others</t>
  </si>
  <si>
    <t>60-70-80-90 status JLS</t>
  </si>
  <si>
    <t>50 status SLA</t>
  </si>
  <si>
    <t>JFS</t>
  </si>
  <si>
    <t>Status</t>
  </si>
  <si>
    <t>Overall</t>
  </si>
  <si>
    <t>JLS</t>
  </si>
  <si>
    <t>Jordan - can represent some but not all scenarios</t>
  </si>
  <si>
    <t>ID</t>
  </si>
  <si>
    <t>Sex</t>
  </si>
  <si>
    <t>annuity $ split X ways</t>
  </si>
  <si>
    <t>p1p2p3p4p5p6</t>
  </si>
  <si>
    <t>p1p2p3p4p5q6</t>
  </si>
  <si>
    <t>sum of these things</t>
  </si>
  <si>
    <t>weighted by Life</t>
  </si>
  <si>
    <t>sum [ weight * px or qx(1) * px or qx(2) * … px or qx(n) ] from 1 to 2^n</t>
  </si>
  <si>
    <t>Weight</t>
  </si>
  <si>
    <t>In terms of complex contingencies…</t>
  </si>
  <si>
    <t>note that</t>
  </si>
  <si>
    <t>aXYZbar (last survivor) = ax + ay + az - axy - ayz - azx + axyz (all joint probs)</t>
  </si>
  <si>
    <t>?</t>
  </si>
  <si>
    <t>also</t>
  </si>
  <si>
    <t>XYZ</t>
  </si>
  <si>
    <t>ppp</t>
  </si>
  <si>
    <t>ppq</t>
  </si>
  <si>
    <t>pqp</t>
  </si>
  <si>
    <t>pqq</t>
  </si>
  <si>
    <t>qpp</t>
  </si>
  <si>
    <t>qpq</t>
  </si>
  <si>
    <t>qqp</t>
  </si>
  <si>
    <t>qqq</t>
  </si>
  <si>
    <t>no</t>
  </si>
  <si>
    <t>yes</t>
  </si>
  <si>
    <t>xyz(LS)</t>
  </si>
  <si>
    <t>xyz</t>
  </si>
  <si>
    <t>xy(1-z)</t>
  </si>
  <si>
    <t>xz(1-y)</t>
  </si>
  <si>
    <t>yz(1-x)</t>
  </si>
  <si>
    <t>x(1-y)(1-z)</t>
  </si>
  <si>
    <t>y(1-x)(1-z)</t>
  </si>
  <si>
    <t>z(1-x)(1-y)</t>
  </si>
  <si>
    <t>(1-x)(1-y)(1-z)</t>
  </si>
  <si>
    <t>x + y + z - xy - yz - zx + xyz …</t>
  </si>
  <si>
    <t>P conting</t>
  </si>
  <si>
    <t>Shorter-of</t>
  </si>
  <si>
    <t>Annual</t>
  </si>
  <si>
    <t>-6.67% = 1.12/1.2 - 1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</si>
</sst>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_(&quot;$&quot;* \(#,##0\);_(&quot;$&quot;* &quot;-&quot;_);_(@_)"/>
    <numFmt numFmtId="41" formatCode="_(* #,##0_);_(* \(#,##0\);_(* &quot;-&quot;_);_(@_)"/>
    <numFmt numFmtId="164" formatCode="#,##0;\–#,##0"/>
    <numFmt numFmtId="165" formatCode="0.00000"/>
    <numFmt numFmtId="166" formatCode="0.0000"/>
    <numFmt numFmtId="167" formatCode="0.0##%"/>
    <numFmt numFmtId="168" formatCode="0.000000"/>
    <numFmt numFmtId="169" formatCode="yyyy/mmm"/>
    <numFmt numFmtId="170" formatCode="0.0%"/>
    <numFmt numFmtId="171" formatCode="0;&quot;Alive&quot;;&quot;Dead&quot;"/>
  </numFmts>
  <fonts count="24" x14ac:knownFonts="1">
    <font>
      <sz val="11"/>
      <color theme="1"/>
      <name val="Arial"/>
      <family val="2"/>
      <scheme val="minor"/>
    </font>
    <font>
      <sz val="11"/>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name val="Arial"/>
      <family val="2"/>
      <scheme val="minor"/>
    </font>
    <font>
      <sz val="11"/>
      <color rgb="FF0000FF"/>
      <name val="Arial"/>
      <family val="2"/>
      <scheme val="minor"/>
    </font>
    <font>
      <i/>
      <sz val="11"/>
      <color theme="1"/>
      <name val="Arial"/>
      <family val="2"/>
      <scheme val="minor"/>
    </font>
    <font>
      <u/>
      <sz val="11"/>
      <color theme="1"/>
      <name val="Arial"/>
      <family val="2"/>
      <scheme val="minor"/>
    </font>
    <font>
      <sz val="8"/>
      <name val="Arial"/>
      <family val="2"/>
      <scheme val="minor"/>
    </font>
    <font>
      <sz val="11"/>
      <color rgb="FF7030A0"/>
      <name val="Arial"/>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47">
    <xf numFmtId="0" fontId="0" fillId="0" borderId="0">
      <alignment vertical="top"/>
    </xf>
    <xf numFmtId="164" fontId="1" fillId="0" borderId="0" applyFont="0" applyFill="0" applyBorder="0" applyAlignment="0" applyProtection="0"/>
    <xf numFmtId="41"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10" applyNumberFormat="0" applyFont="0" applyProtection="0">
      <alignment vertical="top" wrapText="1"/>
    </xf>
  </cellStyleXfs>
  <cellXfs count="92">
    <xf numFmtId="0" fontId="0" fillId="0" borderId="0" xfId="0">
      <alignment vertical="top"/>
    </xf>
    <xf numFmtId="0" fontId="0" fillId="0" borderId="0" xfId="0" applyNumberFormat="1" applyBorder="1" applyAlignment="1">
      <alignment horizontal="center" vertical="top"/>
    </xf>
    <xf numFmtId="0" fontId="0" fillId="0" borderId="0" xfId="0" applyNumberFormat="1" applyFont="1" applyFill="1" applyBorder="1" applyAlignment="1">
      <alignment horizontal="center" vertical="top"/>
    </xf>
    <xf numFmtId="0" fontId="0" fillId="34" borderId="0" xfId="0" applyNumberFormat="1" applyFont="1" applyFill="1" applyBorder="1" applyAlignment="1">
      <alignment horizontal="center" vertical="top"/>
    </xf>
    <xf numFmtId="0" fontId="0" fillId="34" borderId="0" xfId="4" applyNumberFormat="1" applyFont="1" applyFill="1" applyBorder="1" applyAlignment="1">
      <alignment horizontal="center" vertical="top"/>
    </xf>
    <xf numFmtId="0" fontId="0" fillId="0" borderId="0" xfId="0" applyNumberFormat="1" applyBorder="1" applyAlignment="1">
      <alignment horizontal="left" vertical="top"/>
    </xf>
    <xf numFmtId="0" fontId="0" fillId="0" borderId="0" xfId="0" applyNumberFormat="1" applyBorder="1" applyAlignment="1">
      <alignment horizontal="center"/>
    </xf>
    <xf numFmtId="0" fontId="0" fillId="0" borderId="0" xfId="0" applyNumberFormat="1" applyFill="1" applyBorder="1" applyAlignment="1">
      <alignment horizontal="center" vertical="top"/>
    </xf>
    <xf numFmtId="0" fontId="0" fillId="34" borderId="0" xfId="0" applyNumberFormat="1" applyFill="1" applyBorder="1" applyAlignment="1">
      <alignment horizontal="center" vertical="top"/>
    </xf>
    <xf numFmtId="0" fontId="0" fillId="0" borderId="0" xfId="0" applyNumberFormat="1" applyFont="1" applyBorder="1" applyAlignment="1">
      <alignment horizontal="left" vertical="top"/>
    </xf>
    <xf numFmtId="0" fontId="18" fillId="0" borderId="0" xfId="0" applyNumberFormat="1" applyFont="1" applyFill="1" applyBorder="1" applyAlignment="1">
      <alignment horizontal="left" vertical="top"/>
    </xf>
    <xf numFmtId="0" fontId="0" fillId="0" borderId="0" xfId="0" applyNumberFormat="1" applyFill="1" applyBorder="1" applyAlignment="1">
      <alignment horizontal="center"/>
    </xf>
    <xf numFmtId="0" fontId="0" fillId="0" borderId="0" xfId="0" applyNumberFormat="1" applyFont="1" applyFill="1" applyBorder="1" applyAlignment="1">
      <alignment horizontal="center" wrapText="1"/>
    </xf>
    <xf numFmtId="0" fontId="0" fillId="0" borderId="0" xfId="0" applyNumberFormat="1" applyFont="1" applyFill="1" applyBorder="1" applyAlignment="1">
      <alignment horizontal="center"/>
    </xf>
    <xf numFmtId="0" fontId="0" fillId="0" borderId="0" xfId="0" applyNumberFormat="1" applyFill="1" applyBorder="1" applyAlignment="1">
      <alignment horizontal="left"/>
    </xf>
    <xf numFmtId="0" fontId="0" fillId="0" borderId="0" xfId="0" applyNumberFormat="1" applyFont="1" applyFill="1" applyBorder="1" applyAlignment="1">
      <alignment horizontal="left" wrapText="1"/>
    </xf>
    <xf numFmtId="0" fontId="0" fillId="0" borderId="0" xfId="0" applyNumberFormat="1" applyFont="1" applyFill="1" applyBorder="1" applyAlignment="1">
      <alignment horizontal="left"/>
    </xf>
    <xf numFmtId="0" fontId="20" fillId="0" borderId="0" xfId="0" quotePrefix="1" applyNumberFormat="1" applyFont="1" applyFill="1" applyBorder="1" applyAlignment="1">
      <alignment horizontal="left"/>
    </xf>
    <xf numFmtId="0" fontId="20" fillId="0" borderId="0" xfId="0" applyNumberFormat="1" applyFont="1" applyFill="1" applyBorder="1" applyAlignment="1">
      <alignment horizontal="left"/>
    </xf>
    <xf numFmtId="0" fontId="16" fillId="0" borderId="0" xfId="0" applyNumberFormat="1" applyFont="1" applyFill="1" applyBorder="1" applyAlignment="1">
      <alignment horizontal="left"/>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left"/>
    </xf>
    <xf numFmtId="0" fontId="0" fillId="0" borderId="0" xfId="0" applyNumberFormat="1" applyFill="1" applyBorder="1" applyAlignment="1">
      <alignment horizontal="left" vertical="top"/>
    </xf>
    <xf numFmtId="165" fontId="0" fillId="0" borderId="0" xfId="0" applyNumberFormat="1" applyBorder="1" applyAlignment="1">
      <alignment horizontal="center" vertical="top"/>
    </xf>
    <xf numFmtId="166" fontId="0" fillId="0" borderId="0" xfId="0" applyNumberFormat="1" applyBorder="1" applyAlignment="1">
      <alignment horizontal="center" vertical="top"/>
    </xf>
    <xf numFmtId="167" fontId="0" fillId="0" borderId="0" xfId="4" applyNumberFormat="1" applyFont="1" applyFill="1" applyBorder="1" applyAlignment="1">
      <alignment horizontal="center" vertical="top"/>
    </xf>
    <xf numFmtId="167" fontId="0" fillId="34" borderId="0" xfId="4" applyNumberFormat="1" applyFont="1" applyFill="1" applyBorder="1" applyAlignment="1">
      <alignment horizontal="center" vertical="top"/>
    </xf>
    <xf numFmtId="0" fontId="21" fillId="0" borderId="0" xfId="0" applyNumberFormat="1" applyFont="1" applyFill="1" applyBorder="1" applyAlignment="1">
      <alignment horizontal="left"/>
    </xf>
    <xf numFmtId="0" fontId="20" fillId="0" borderId="0" xfId="0" applyNumberFormat="1" applyFont="1" applyBorder="1" applyAlignment="1">
      <alignment horizontal="left" vertical="top"/>
    </xf>
    <xf numFmtId="0" fontId="18" fillId="34" borderId="0" xfId="4" applyNumberFormat="1" applyFont="1" applyFill="1" applyBorder="1" applyAlignment="1">
      <alignment horizontal="center" vertical="top"/>
    </xf>
    <xf numFmtId="0" fontId="0" fillId="0" borderId="0" xfId="0" applyNumberFormat="1" applyBorder="1" applyAlignment="1">
      <alignment horizontal="right" vertical="top"/>
    </xf>
    <xf numFmtId="0" fontId="16" fillId="0" borderId="0" xfId="0" applyNumberFormat="1" applyFont="1" applyBorder="1" applyAlignment="1">
      <alignment horizontal="left"/>
    </xf>
    <xf numFmtId="0" fontId="0" fillId="0" borderId="0" xfId="0" applyNumberFormat="1" applyFont="1" applyBorder="1" applyAlignment="1">
      <alignment horizontal="center" wrapText="1"/>
    </xf>
    <xf numFmtId="0" fontId="18" fillId="0" borderId="0" xfId="0" applyNumberFormat="1" applyFont="1" applyFill="1" applyBorder="1" applyAlignment="1">
      <alignment horizontal="center" wrapText="1"/>
    </xf>
    <xf numFmtId="0" fontId="0" fillId="0" borderId="0" xfId="0" applyNumberFormat="1" applyBorder="1" applyAlignment="1">
      <alignment horizontal="center" wrapText="1"/>
    </xf>
    <xf numFmtId="0" fontId="0" fillId="0" borderId="14" xfId="0" applyNumberFormat="1" applyBorder="1" applyAlignment="1">
      <alignment horizontal="center" vertical="top"/>
    </xf>
    <xf numFmtId="0" fontId="0" fillId="0" borderId="15" xfId="0" applyNumberFormat="1" applyFill="1" applyBorder="1" applyAlignment="1">
      <alignment horizontal="center" vertical="top"/>
    </xf>
    <xf numFmtId="0" fontId="0" fillId="0" borderId="16" xfId="0" applyNumberFormat="1" applyBorder="1" applyAlignment="1">
      <alignment horizontal="center" vertical="top"/>
    </xf>
    <xf numFmtId="0" fontId="0" fillId="0" borderId="11" xfId="0" applyNumberFormat="1" applyFill="1" applyBorder="1" applyAlignment="1">
      <alignment horizontal="center" vertical="top"/>
    </xf>
    <xf numFmtId="0" fontId="0" fillId="0" borderId="16" xfId="0" applyNumberFormat="1" applyBorder="1" applyAlignment="1">
      <alignment horizontal="left" vertical="top"/>
    </xf>
    <xf numFmtId="0" fontId="0" fillId="0" borderId="17" xfId="0" applyNumberFormat="1" applyBorder="1" applyAlignment="1">
      <alignment horizontal="left" vertical="top"/>
    </xf>
    <xf numFmtId="0" fontId="0" fillId="0" borderId="10" xfId="0" applyNumberFormat="1" applyBorder="1" applyAlignment="1">
      <alignment horizontal="left" vertical="top"/>
    </xf>
    <xf numFmtId="0" fontId="0" fillId="0" borderId="10" xfId="0" applyNumberFormat="1" applyBorder="1" applyAlignment="1">
      <alignment horizontal="center" vertical="top"/>
    </xf>
    <xf numFmtId="0" fontId="0" fillId="0" borderId="12" xfId="0" applyNumberFormat="1" applyFill="1" applyBorder="1" applyAlignment="1">
      <alignment horizontal="center" vertical="top"/>
    </xf>
    <xf numFmtId="0" fontId="0" fillId="0" borderId="13" xfId="0" applyNumberFormat="1" applyBorder="1" applyAlignment="1">
      <alignment horizontal="center" vertical="top"/>
    </xf>
    <xf numFmtId="0" fontId="0" fillId="0" borderId="14" xfId="0" applyNumberFormat="1" applyBorder="1" applyAlignment="1">
      <alignment horizontal="left" vertical="top"/>
    </xf>
    <xf numFmtId="0" fontId="14" fillId="0" borderId="16" xfId="0" applyNumberFormat="1" applyFont="1" applyBorder="1" applyAlignment="1">
      <alignment horizontal="center" vertical="top"/>
    </xf>
    <xf numFmtId="0" fontId="17" fillId="0" borderId="0" xfId="0" applyNumberFormat="1" applyFont="1" applyBorder="1" applyAlignment="1">
      <alignment horizontal="right" vertical="top"/>
    </xf>
    <xf numFmtId="168" fontId="0" fillId="0" borderId="0" xfId="1" applyNumberFormat="1" applyFont="1" applyBorder="1" applyAlignment="1">
      <alignment horizontal="center" vertical="top"/>
    </xf>
    <xf numFmtId="0" fontId="17" fillId="0" borderId="0" xfId="0" applyNumberFormat="1" applyFont="1" applyBorder="1" applyAlignment="1">
      <alignment horizontal="right"/>
    </xf>
    <xf numFmtId="169" fontId="0" fillId="0" borderId="0" xfId="0" applyNumberFormat="1" applyFill="1" applyBorder="1" applyAlignment="1">
      <alignment horizontal="center"/>
    </xf>
    <xf numFmtId="0" fontId="0" fillId="0" borderId="0" xfId="0" applyNumberFormat="1" applyFill="1" applyBorder="1" applyAlignment="1">
      <alignment horizontal="right"/>
    </xf>
    <xf numFmtId="0" fontId="0" fillId="0" borderId="0" xfId="0" applyAlignment="1">
      <alignment vertical="top"/>
    </xf>
    <xf numFmtId="0" fontId="20" fillId="0" borderId="0" xfId="0" applyNumberFormat="1" applyFont="1" applyFill="1" applyBorder="1" applyAlignment="1">
      <alignment horizontal="center"/>
    </xf>
    <xf numFmtId="14" fontId="0" fillId="34" borderId="0" xfId="0" applyNumberFormat="1" applyFill="1" applyBorder="1" applyAlignment="1">
      <alignment horizontal="center" vertical="top"/>
    </xf>
    <xf numFmtId="0" fontId="0" fillId="0" borderId="0" xfId="0" applyNumberFormat="1" applyFill="1" applyBorder="1" applyAlignment="1"/>
    <xf numFmtId="0" fontId="0" fillId="0" borderId="0" xfId="0" applyNumberFormat="1" applyFont="1" applyFill="1" applyBorder="1" applyAlignment="1"/>
    <xf numFmtId="169" fontId="0" fillId="0" borderId="0" xfId="0" applyNumberFormat="1" applyAlignment="1">
      <alignment vertical="top"/>
    </xf>
    <xf numFmtId="0" fontId="0" fillId="0" borderId="0" xfId="0" applyNumberFormat="1" applyAlignment="1">
      <alignment vertical="top"/>
    </xf>
    <xf numFmtId="0" fontId="0" fillId="0" borderId="0" xfId="0" applyNumberFormat="1" applyAlignment="1">
      <alignment horizontal="center" vertical="top"/>
    </xf>
    <xf numFmtId="0" fontId="0" fillId="0" borderId="0" xfId="0" applyAlignment="1">
      <alignment horizontal="left" vertical="top" wrapText="1"/>
    </xf>
    <xf numFmtId="0" fontId="0" fillId="0" borderId="0" xfId="0" applyNumberFormat="1" applyAlignment="1">
      <alignment horizontal="left" vertical="top" wrapText="1"/>
    </xf>
    <xf numFmtId="170" fontId="0" fillId="0" borderId="0" xfId="0" applyNumberFormat="1" applyAlignment="1">
      <alignment horizontal="center" vertical="top"/>
    </xf>
    <xf numFmtId="0" fontId="0" fillId="37" borderId="0" xfId="0" applyNumberFormat="1" applyFont="1" applyFill="1" applyBorder="1" applyAlignment="1">
      <alignment horizontal="center" vertical="top"/>
    </xf>
    <xf numFmtId="0" fontId="0" fillId="0" borderId="0" xfId="1" applyNumberFormat="1" applyFont="1" applyAlignment="1">
      <alignment vertical="top"/>
    </xf>
    <xf numFmtId="0" fontId="19" fillId="0" borderId="0" xfId="1" applyNumberFormat="1" applyFont="1" applyAlignment="1">
      <alignment vertical="top"/>
    </xf>
    <xf numFmtId="0" fontId="19" fillId="0" borderId="0" xfId="1" applyNumberFormat="1" applyFont="1" applyFill="1" applyAlignment="1">
      <alignment vertical="top"/>
    </xf>
    <xf numFmtId="0" fontId="0" fillId="35" borderId="10" xfId="1" applyNumberFormat="1" applyFont="1" applyFill="1" applyBorder="1" applyAlignment="1">
      <alignment vertical="top"/>
    </xf>
    <xf numFmtId="0" fontId="14" fillId="0" borderId="0" xfId="0" applyNumberFormat="1" applyFont="1" applyAlignment="1">
      <alignment vertical="top"/>
    </xf>
    <xf numFmtId="0" fontId="0" fillId="35" borderId="10" xfId="0" applyNumberFormat="1" applyFill="1" applyBorder="1" applyAlignment="1">
      <alignment wrapText="1"/>
    </xf>
    <xf numFmtId="0" fontId="0" fillId="35" borderId="10" xfId="0" applyNumberFormat="1" applyFill="1" applyBorder="1" applyAlignment="1">
      <alignment vertical="top"/>
    </xf>
    <xf numFmtId="0" fontId="0" fillId="0" borderId="0" xfId="0" applyNumberFormat="1" applyFill="1" applyBorder="1" applyAlignment="1">
      <alignment vertical="top"/>
    </xf>
    <xf numFmtId="0" fontId="19" fillId="0" borderId="0" xfId="0" applyNumberFormat="1" applyFont="1" applyAlignment="1">
      <alignment vertical="top"/>
    </xf>
    <xf numFmtId="0" fontId="19" fillId="0" borderId="0" xfId="0" applyNumberFormat="1" applyFont="1" applyFill="1" applyBorder="1" applyAlignment="1"/>
    <xf numFmtId="0" fontId="19" fillId="36" borderId="0" xfId="0" applyNumberFormat="1" applyFont="1" applyFill="1" applyAlignment="1">
      <alignment vertical="top"/>
    </xf>
    <xf numFmtId="0" fontId="20" fillId="0" borderId="0" xfId="0" applyNumberFormat="1" applyFont="1" applyAlignment="1">
      <alignment vertical="top"/>
    </xf>
    <xf numFmtId="0" fontId="16" fillId="0" borderId="0" xfId="0" applyNumberFormat="1" applyFont="1" applyFill="1" applyBorder="1" applyAlignment="1">
      <alignment horizontal="center"/>
    </xf>
    <xf numFmtId="0" fontId="14" fillId="0" borderId="0" xfId="0" applyNumberFormat="1" applyFont="1" applyFill="1" applyBorder="1" applyAlignment="1"/>
    <xf numFmtId="0" fontId="23" fillId="0" borderId="0" xfId="0" applyNumberFormat="1" applyFont="1" applyFill="1" applyBorder="1" applyAlignment="1">
      <alignment horizontal="center"/>
    </xf>
    <xf numFmtId="0" fontId="0" fillId="35" borderId="10" xfId="0" applyFill="1" applyBorder="1">
      <alignment vertical="top"/>
    </xf>
    <xf numFmtId="0" fontId="0" fillId="0" borderId="0" xfId="0" applyBorder="1">
      <alignment vertical="top"/>
    </xf>
    <xf numFmtId="0" fontId="0" fillId="0" borderId="0" xfId="0" applyAlignment="1">
      <alignment horizontal="center" vertical="top"/>
    </xf>
    <xf numFmtId="0" fontId="0" fillId="0" borderId="0" xfId="0" applyBorder="1" applyAlignment="1">
      <alignment horizontal="center" vertical="top"/>
    </xf>
    <xf numFmtId="0" fontId="14" fillId="0" borderId="0" xfId="0" applyFont="1" applyBorder="1">
      <alignment vertical="top"/>
    </xf>
    <xf numFmtId="0" fontId="21" fillId="0" borderId="0" xfId="0" applyFont="1" applyBorder="1" applyAlignment="1">
      <alignment horizontal="center" vertical="top"/>
    </xf>
    <xf numFmtId="171" fontId="0" fillId="0" borderId="0" xfId="0" applyNumberFormat="1">
      <alignment vertical="top"/>
    </xf>
    <xf numFmtId="171" fontId="0" fillId="35" borderId="0" xfId="0" applyNumberFormat="1" applyFill="1" applyAlignment="1">
      <alignment horizontal="center" vertical="top"/>
    </xf>
    <xf numFmtId="171" fontId="0" fillId="35" borderId="10" xfId="0" applyNumberFormat="1" applyFill="1" applyBorder="1" applyAlignment="1">
      <alignment horizontal="center" vertical="top"/>
    </xf>
    <xf numFmtId="171" fontId="0" fillId="0" borderId="10" xfId="0" applyNumberFormat="1" applyBorder="1" applyAlignment="1">
      <alignment horizontal="center" vertical="top"/>
    </xf>
    <xf numFmtId="171" fontId="0" fillId="0" borderId="0" xfId="0" applyNumberFormat="1" applyAlignment="1">
      <alignment horizontal="center" vertical="top"/>
    </xf>
    <xf numFmtId="0" fontId="0" fillId="35" borderId="0" xfId="0" applyNumberFormat="1" applyFill="1" applyBorder="1" applyAlignment="1">
      <alignment horizontal="center" vertical="top"/>
    </xf>
    <xf numFmtId="0" fontId="0" fillId="0" borderId="0" xfId="0" quotePrefix="1" applyNumberFormat="1" applyBorder="1" applyAlignment="1">
      <alignment horizontal="left" vertical="top"/>
    </xf>
  </cellXfs>
  <cellStyles count="47">
    <cellStyle name="20% - Accent1" xfId="23" builtinId="30" hidden="1"/>
    <cellStyle name="20% - Accent2" xfId="27" builtinId="34" hidden="1"/>
    <cellStyle name="20% - Accent3" xfId="31" builtinId="38" hidden="1"/>
    <cellStyle name="20% - Accent4" xfId="35" builtinId="42" hidden="1"/>
    <cellStyle name="20% - Accent5" xfId="39" builtinId="46" hidden="1"/>
    <cellStyle name="20% - Accent6" xfId="43" builtinId="50" hidden="1"/>
    <cellStyle name="40% - Accent1" xfId="24" builtinId="31" hidden="1"/>
    <cellStyle name="40% - Accent2" xfId="28" builtinId="35" hidden="1"/>
    <cellStyle name="40% - Accent3" xfId="32" builtinId="39" hidden="1"/>
    <cellStyle name="40% - Accent4" xfId="36" builtinId="43" hidden="1"/>
    <cellStyle name="40% - Accent5" xfId="40" builtinId="47" hidden="1"/>
    <cellStyle name="40% - Accent6" xfId="44" builtinId="51" hidden="1"/>
    <cellStyle name="60% - Accent1" xfId="25" builtinId="32" hidden="1"/>
    <cellStyle name="60% - Accent2" xfId="29" builtinId="36" hidden="1"/>
    <cellStyle name="60% - Accent3" xfId="33" builtinId="40" hidden="1"/>
    <cellStyle name="60% - Accent4" xfId="37" builtinId="44" hidden="1"/>
    <cellStyle name="60% - Accent5" xfId="41" builtinId="48" hidden="1"/>
    <cellStyle name="60% - Accent6" xfId="45" builtinId="52" hidden="1"/>
    <cellStyle name="Accent1" xfId="22" builtinId="29" hidden="1"/>
    <cellStyle name="Accent2" xfId="26" builtinId="33" hidden="1"/>
    <cellStyle name="Accent3" xfId="30" builtinId="37" hidden="1"/>
    <cellStyle name="Accent4" xfId="34" builtinId="41" hidden="1"/>
    <cellStyle name="Accent5" xfId="38" builtinId="45" hidden="1"/>
    <cellStyle name="Accent6" xfId="42" builtinId="49" hidden="1"/>
    <cellStyle name="Bad" xfId="11" builtinId="27" hidden="1"/>
    <cellStyle name="Calculation" xfId="15" builtinId="22" hidden="1"/>
    <cellStyle name="Check Cell" xfId="17" builtinId="23" hidden="1"/>
    <cellStyle name="Comma" xfId="1" builtinId="3" customBuiltin="1"/>
    <cellStyle name="Comma [0]" xfId="2" builtinId="6" hidden="1"/>
    <cellStyle name="Currency [0]" xfId="3" builtinId="7" hidden="1"/>
    <cellStyle name="Explanatory Text" xfId="20" builtinId="53" hidden="1"/>
    <cellStyle name="Good" xfId="10" builtinId="26" hidden="1"/>
    <cellStyle name="Header" xfId="46" xr:uid="{D664B0AE-CEF0-4999-84EB-EC4AE5F39B79}"/>
    <cellStyle name="Heading 1" xfId="6" builtinId="16" hidden="1"/>
    <cellStyle name="Heading 2" xfId="7" builtinId="17" hidden="1"/>
    <cellStyle name="Heading 3" xfId="8" builtinId="18" hidden="1"/>
    <cellStyle name="Heading 4" xfId="9" builtinId="19" hidden="1"/>
    <cellStyle name="Input" xfId="13" builtinId="20" hidden="1"/>
    <cellStyle name="Linked Cell" xfId="16" builtinId="24" hidden="1"/>
    <cellStyle name="Neutral" xfId="12" builtinId="28" hidden="1"/>
    <cellStyle name="Normal" xfId="0" builtinId="0" customBuiltin="1"/>
    <cellStyle name="Note" xfId="19" builtinId="10" hidden="1"/>
    <cellStyle name="Output" xfId="14" builtinId="21" hidden="1"/>
    <cellStyle name="Percent" xfId="4" builtinId="5"/>
    <cellStyle name="Title" xfId="5" builtinId="15" hidden="1"/>
    <cellStyle name="Total" xfId="21" builtinId="25" hidden="1"/>
    <cellStyle name="Warning Text" xfId="18" builtinId="11" hidden="1"/>
  </cellStyles>
  <dxfs count="16">
    <dxf>
      <numFmt numFmtId="0" formatCode="General"/>
      <alignment horizontal="general" textRotation="0" wrapText="0" indent="0" justifyLastLine="0" shrinkToFit="0" readingOrder="0"/>
    </dxf>
    <dxf>
      <numFmt numFmtId="0" formatCode="General"/>
      <alignment horizontal="general" textRotation="0" indent="0" justifyLastLine="0" shrinkToFit="0" readingOrder="0"/>
    </dxf>
    <dxf>
      <numFmt numFmtId="0" formatCode="General"/>
      <alignment horizontal="general" textRotation="0" indent="0" justifyLastLine="0" shrinkToFit="0" readingOrder="0"/>
    </dxf>
    <dxf>
      <numFmt numFmtId="0" formatCode="General"/>
      <alignment horizontal="general" textRotation="0" indent="0" justifyLastLine="0" shrinkToFit="0" readingOrder="0"/>
    </dxf>
    <dxf>
      <numFmt numFmtId="170" formatCode="0.0%"/>
      <alignment horizontal="center" vertical="top" textRotation="0" indent="0" justifyLastLine="0" shrinkToFit="0" readingOrder="0"/>
    </dxf>
    <dxf>
      <numFmt numFmtId="169" formatCode="yyyy/mmm"/>
      <alignment horizontal="general" textRotation="0" indent="0" justifyLastLine="0" shrinkToFit="0" readingOrder="0"/>
    </dxf>
    <dxf>
      <alignment horizontal="general" textRotation="0" indent="0" justifyLastLine="0" shrinkToFit="0" readingOrder="0"/>
    </dxf>
    <dxf>
      <alignment horizontal="left" vertical="top" textRotation="0" wrapText="1" indent="0" justifyLastLine="0" shrinkToFit="0" readingOrder="0"/>
    </dxf>
    <dxf>
      <font>
        <color theme="0"/>
      </font>
      <fill>
        <patternFill patternType="none">
          <bgColor auto="1"/>
        </patternFill>
      </fill>
    </dxf>
    <dxf>
      <font>
        <color theme="0"/>
      </font>
      <fill>
        <patternFill patternType="none">
          <bgColor auto="1"/>
        </patternFill>
      </fill>
    </dxf>
    <dxf>
      <font>
        <color theme="0"/>
      </font>
      <fill>
        <patternFill patternType="none">
          <bgColor auto="1"/>
        </patternFill>
      </fill>
    </dxf>
    <dxf>
      <fill>
        <patternFill>
          <bgColor theme="0" tint="-4.9989318521683403E-2"/>
        </patternFill>
      </fill>
    </dxf>
    <dxf>
      <border>
        <top style="thin">
          <color auto="1"/>
        </top>
        <vertical/>
        <horizontal/>
      </border>
    </dxf>
    <dxf>
      <border>
        <right style="thin">
          <color auto="1"/>
        </right>
        <vertical/>
        <horizontal/>
      </border>
    </dxf>
    <dxf>
      <font>
        <color theme="0"/>
      </font>
      <fill>
        <patternFill patternType="none">
          <bgColor auto="1"/>
        </patternFill>
      </fill>
    </dxf>
    <dxf>
      <font>
        <color theme="0"/>
      </font>
      <fill>
        <patternFill patternType="none">
          <bgColor auto="1"/>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Fox Nicholas K" id="{86D4760C-E77D-4733-A7C1-A4CC77DE843C}" userId="Fox Nicholas K"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CD6B8C-0C06-4F29-BAE9-86F7C18D1D11}" name="tblRegs" displayName="tblRegs" ref="B2:G10" totalsRowShown="0" headerRowDxfId="7" dataDxfId="6">
  <autoFilter ref="B2:G10" xr:uid="{6CCD6B8C-0C06-4F29-BAE9-86F7C18D1D11}"/>
  <tableColumns count="6">
    <tableColumn id="1" xr3:uid="{69501182-E358-43A2-8989-FDDA64726E54}" name="Effective" dataDxfId="5"/>
    <tableColumn id="3" xr3:uid="{9101966E-A094-41B8-A16D-734333ECCFCF}" name="Interest" dataDxfId="4"/>
    <tableColumn id="4" xr3:uid="{F47B260D-050C-4BC6-9B45-488B38945087}" name="Mortality" dataDxfId="3"/>
    <tableColumn id="6" xr3:uid="{8C26E216-CC2E-4E62-A9EC-AEF4473FC559}" name="Unisex?" dataDxfId="2"/>
    <tableColumn id="5" xr3:uid="{FA8B1AEB-56F6-42ED-81D3-20875A971F8A}" name="Continuous annuity?" dataDxfId="1"/>
    <tableColumn id="7" xr3:uid="{6A500E87-D7D4-4A99-A2C7-518E4C841CB9}" name="Auth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4-01-29T17:22:03.82" personId="{86D4760C-E77D-4733-A7C1-A4CC77DE843C}" id="{90C12D3E-8921-4830-80E4-CEE35BEA2D69}">
    <text xml:space="preserve">Arizona Governing Comm. v. Norris :: 463 U.S. 1073 (1983) :: Justia US Supreme Court Center </text>
    <extLst>
      <x:ext xmlns:xltc2="http://schemas.microsoft.com/office/spreadsheetml/2020/threadedcomments2" uri="{F7C98A9C-CBB3-438F-8F68-D28B6AF4A901}">
        <xltc2:checksum>1724473526</xltc2:checksum>
        <xltc2:hyperlink startIndex="0" length="91" url="https://supreme.justia.com/cases/federal/us/463/1073/#:~:text=U.S.%20Supreme%20Court,-Arizona%20Governing%20Comm&amp;text=The%20Court%20of%20Appeals%20affirmed,regard%20to%20the%20beneficiary%27s%20sex."/>
      </x:ext>
    </extLst>
  </threadedComment>
  <threadedComment ref="G3" dT="2024-01-26T16:13:40.05" personId="{86D4760C-E77D-4733-A7C1-A4CC77DE843C}" id="{57E16DA7-81AE-4BEA-B458-41E4A3D84E87}">
    <text xml:space="preserve">(a) Valuation of annuities, interests for life or term of years, and remainder or reversionary interests for estates of decedents for which the valuation date of the gross estate is before January 1, 1952. Except as otherwise provided in § 20.2031–7(b), if the valuation date of the decedent's gross estate is before January 1, 1952, the present value of annuities, life estates, terms for years, remainders, and reversions is their present value determined under this section. If the valuation of the interest involved is dependent upon the continuation or termination of one or more lives or upon a term certain concurrent with one or more lives, the factor for the present value is computed on the basis of interest at the rate of 4 percent a year, compounded annually, and life contingencies as to each life involved from values that are based on the Actuaries' or Combined Experience Table of Mortality, as extended. This table and related factors are described in former § 81.10 (as contained in the 26 CFR part 81 edition revised as of April 1, 1958). The present value of an interest measured by a term of years is computed on the basis of interest at the rate of 4 percent a year. </text>
    <extLst>
      <x:ext xmlns:xltc2="http://schemas.microsoft.com/office/spreadsheetml/2020/threadedcomments2" uri="{F7C98A9C-CBB3-438F-8F68-D28B6AF4A901}">
        <xltc2:checksum>3761610879</xltc2:checksum>
        <xltc2:hyperlink startIndex="238" length="14" url="https://1.next.westlaw.com/Link/Document/FullText?findType=L&amp;pubNum=1000547&amp;cite=26CFRS20.2031-7&amp;originatingDoc=N2FB37EA0052711EEA8A7CB6A96444928&amp;refType=VB&amp;originationContext=document&amp;transitionType=DocumentItem&amp;ppcid=bb05f8a5ece14a6a9bcb8dd251b1f4b0&amp;contextData=(sc.Category)#co_pp_a83b000018c76"/>
      </x:ext>
    </extLst>
  </threadedComment>
  <threadedComment ref="G4" dT="2024-01-26T16:13:49.88" personId="{86D4760C-E77D-4733-A7C1-A4CC77DE843C}" id="{E142E7C4-C28C-4377-854E-DCEB87A34C41}">
    <text xml:space="preserve">(b) Valuation of annuities, interests for life or term of years, and remainder or reversionary interests for estates of decedents for which the valuation date of the gross estate is after December 31, 1951, and before January 1, 1971. Except as otherwise provided in § 20.2031–7(b), if the valuation date for the decedent's gross estate is after December 31, 1951, and before January 1, 1971, the present value of annuities, life estates, terms of years, remainders, and reversions is their present value determined under this section. If the valuation of the interest involved is dependent upon the continuation or termination of one or more lives, or upon a term certain concurrent with one or more lives, the factor for the present value is computed on the basis of interest at the rate of 3 ½ percent a year, compounded annually, and life contingencies as to each life involved are taken from U.S. Life Table 38. This table and related factors are set forth in former § 20.2031–7 (as contained in the 26 CFR part 20 edition revised as of April 1, 1984). Special factors involving one and two lives may be found in or computed with the use of tables contained in the publication entitled “Actuarial Values for Estate and Gift Tax,” Internal Revenue Service Publication Number 11 (Rev. 5–59). This publication is no longer available for purchase from the Superintendent of Documents. However, it may be obtained by requesting a copy from: CC:DOM:CORP:T:R (IRS Publication 11), room 5228, Internal Revenue Service, POB 7604, Ben Franklin Station, Washington, DC 20044. The present value of an interest measured by a term of years is computed on the basis of interest at the rate of 3 ½ percent a year. </text>
    <extLst>
      <x:ext xmlns:xltc2="http://schemas.microsoft.com/office/spreadsheetml/2020/threadedcomments2" uri="{F7C98A9C-CBB3-438F-8F68-D28B6AF4A901}">
        <xltc2:checksum>3556002298</xltc2:checksum>
        <xltc2:hyperlink startIndex="267" length="14" url="https://1.next.westlaw.com/Link/Document/FullText?findType=L&amp;pubNum=1000547&amp;cite=26CFRS20.2031-7&amp;originatingDoc=N2FB37EA0052711EEA8A7CB6A96444928&amp;refType=VB&amp;originationContext=document&amp;transitionType=DocumentItem&amp;ppcid=bb05f8a5ece14a6a9bcb8dd251b1f4b0&amp;contextData=(sc.Category)#co_pp_a83b000018c76"/>
      </x:ext>
    </extLst>
  </threadedComment>
  <threadedComment ref="G4" dT="2024-01-26T18:37:53.72" personId="{86D4760C-E77D-4733-A7C1-A4CC77DE843C}" id="{2EE5963D-C400-4096-8C7A-0B5C6B52FAD6}" parentId="{E142E7C4-C28C-4377-854E-DCEB87A34C41}">
    <text>US Life Table 38 appears to refer to the 1939-41 life tables published by the PHS / NVS in 1947, located at https://www.cdc.gov/nchs/data/lifetables/life39-41_acturial.pdf. Footnote 35 of this 1970 law article corroborates the above. https://scholarship.law.vanderbilt.edu/cgi/viewcontent.cgi?article=3413&amp;context=vlr.</text>
    <extLst>
      <x:ext xmlns:xltc2="http://schemas.microsoft.com/office/spreadsheetml/2020/threadedcomments2" uri="{F7C98A9C-CBB3-438F-8F68-D28B6AF4A901}">
        <xltc2:checksum>1811375722</xltc2:checksum>
        <xltc2:hyperlink startIndex="108" length="63" url="https://www.cdc.gov/nchs/data/lifetables/life39-41_acturial.pdf"/>
        <xltc2:hyperlink startIndex="234" length="83" url="https://scholarship.law.vanderbilt.edu/cgi/viewcontent.cgi?article=3413&amp;context=vlr"/>
      </x:ext>
    </extLst>
  </threadedComment>
  <threadedComment ref="G5" dT="2024-01-26T16:14:01.97" personId="{86D4760C-E77D-4733-A7C1-A4CC77DE843C}" id="{38D93876-FE0A-4315-8FBE-A8DF30B5C3B4}">
    <text xml:space="preserve">(c) Valuation of annuities, interests for life or term of years, and remainder or reversionary interests for estates of decedents for which the valuation date of the gross estate is after December 31, 1970, and before December 1, 1983. Except as otherwise provided in § 20.2031–7(b), if the valuation date of the decedent's gross estate is after December 31, 1970, and before December 1, 1983, the present value of annuities, life estates, terms of years, remainders, and reversions is their present value determined under this section. If the valuation of the interest involved is dependent upon the continuation of or termination of one or more lives or upon a term certain concurrent with one or more lives, the factor for the present value is computed on the basis of interest at the rate of 6 percent a year, compounded annually, and life contingencies are determined as to each male and female life involved, from values that are set forth in Table LN. Table LN contains values that are taken from the life table for total males and the life table for total females appearing as Tables 2 and 3, respectively, in United States Life Tables: 1959–1960, published by the Department of Health and Human Services, Public Health Service. Table LN and related factors are set forth in former § 20.2031–10 (as contained in the 26 CFR part 20 edition revised as of April 1, 1994). Special factors involving one and two lives may be found in or computed with the use of tables contained in Internal Revenue Service Publication 723, “Actuarial Values I: Valuation of Last Survivor Charitable Remainders,” (12–70), and Internal Revenue Service Publication 723A, “Actuarial Values II: Factors at 6 Percent Involving One and Two Lives,” (12–70). These publications are no longer available for purchase from the Superintendent of Documents. However, a copy of each may be obtained from: CC:DOM:CORP:T:R (IRS Publication 723/723A), room 5228, Internal Revenue Service, POB 7604, Ben Franklin Station, Washington, DC 20044. </text>
    <extLst>
      <x:ext xmlns:xltc2="http://schemas.microsoft.com/office/spreadsheetml/2020/threadedcomments2" uri="{F7C98A9C-CBB3-438F-8F68-D28B6AF4A901}">
        <xltc2:checksum>4151857361</xltc2:checksum>
        <xltc2:hyperlink startIndex="268" length="14" url="https://1.next.westlaw.com/Link/Document/FullText?findType=L&amp;pubNum=1000547&amp;cite=26CFRS20.2031-7&amp;originatingDoc=N2FB37EA0052711EEA8A7CB6A96444928&amp;refType=VB&amp;originationContext=document&amp;transitionType=DocumentItem&amp;ppcid=bb05f8a5ece14a6a9bcb8dd251b1f4b0&amp;contextData=(sc.Category)#co_pp_a83b000018c76"/>
      </x:ext>
    </extLst>
  </threadedComment>
  <threadedComment ref="G5" dT="2024-01-26T16:32:16.79" personId="{86D4760C-E77D-4733-A7C1-A4CC77DE843C}" id="{B380AB7B-2274-4248-BF19-8BAEA37AF1B0}" parentId="{38D93876-FE0A-4315-8FBE-A8DF30B5C3B4}">
    <text>Obtained from https://www.cdc.gov/nchs/data/lifetables/life59_1_6.pdf</text>
    <extLst>
      <x:ext xmlns:xltc2="http://schemas.microsoft.com/office/spreadsheetml/2020/threadedcomments2" uri="{F7C98A9C-CBB3-438F-8F68-D28B6AF4A901}">
        <xltc2:checksum>116658093</xltc2:checksum>
        <xltc2:hyperlink startIndex="14" length="55" url="https://www.cdc.gov/nchs/data/lifetables/life59_1_6.pdf"/>
      </x:ext>
    </extLst>
  </threadedComment>
  <threadedComment ref="G6" dT="2024-01-26T16:16:24.93" personId="{86D4760C-E77D-4733-A7C1-A4CC77DE843C}" id="{42A9AC70-7F51-4EC6-8266-4DB7E857E303}">
    <text xml:space="preserve">(5) Actuarial computations by the Internal Revenue Service. If the valuation of the interest involved is dependent upon the continuation or the termination of more than one life or upon a term certain concurrent with one or more lives a special factor must be used. The factor is to be computed on the basis of interest at the rate of 10 percent a year, compounded annually, and life contingencies determined, as to each person involved, from the values of lx that are set forth in column 2 of Table LN of paragraph (d)(6). Table LN contains values of lx taken from the life table for the total population appearing as Table 1 of United States Life Tables: 1969–71, published by the Department of Health and Human Services, Public Health Service. Many special factors involving one and two lives may be found in or computed with the use of the tables contained in Internal Revenue Service Publication 723E, “Actuarial Values II: Factors at 10 Percent Involving One and Two Lives,” (12–83). This publication is no longer available for purchase from the Superintendent of Documents. However, it may be obtained by requesting a copy from: CC:DOM:CORP:T:R (IRS Publication 723E), room 5228, Internal Revenue Service, POB 7604, Ben Franklin Station, Washington, DC 20044. However, if a special factor is required in the case of an actual decedent, the Commissioner will furnish the factor to the executor upon request. The request must be accompanied by a statement of the date of birth of each person, the duration of whose life may affect the value of the interest, and by copies of the relevant instruments. Special factors are not furnished for prospective transfers. (6) Tables. The following tables shall be used in the application of the provisions of this section:  [ … ] TABLE LN—APPLICABLE FOR TRANSFERS AFTER NOVEMBER 30, 1983, AND BEFORE MAY 1, 1989 </text>
  </threadedComment>
  <threadedComment ref="G6" dT="2024-01-26T16:28:50.16" personId="{86D4760C-E77D-4733-A7C1-A4CC77DE843C}" id="{1CC9922B-2446-441E-8090-E3718AB77578}" parentId="{42A9AC70-7F51-4EC6-8266-4DB7E857E303}">
    <text>Agrees with https://www.cdc.gov/nchs/data/lifetables/life69_1_1.pdf</text>
    <extLst>
      <x:ext xmlns:xltc2="http://schemas.microsoft.com/office/spreadsheetml/2020/threadedcomments2" uri="{F7C98A9C-CBB3-438F-8F68-D28B6AF4A901}">
        <xltc2:checksum>1487690473</xltc2:checksum>
        <xltc2:hyperlink startIndex="12" length="55" url="https://www.cdc.gov/nchs/data/lifetables/life69_1_1.pdf"/>
      </x:ext>
    </extLst>
  </threadedComment>
  <threadedComment ref="G7" dT="2024-01-26T16:16:29.00" personId="{86D4760C-E77D-4733-A7C1-A4CC77DE843C}" id="{54191FF6-A307-4467-B806-BF2F0AFA8BF8}">
    <text xml:space="preserve">(4) Actuarial tables. Except as provided in § 20.7520-3(b) (pertaining to certain limitations on the use of prescribed tables), Life Table 80CNSMT and Table S (Single life remainder factors applicable where the valuation date is after April 30, 1989, and before May 1, 1999), contained in this paragraph (e)(4), and Table B, Table J, and Table K set forth in § 20.2031-7(d)(6) must be used in the application of the provisions of this section when the section 7520 interest rate component is between 4.2 and 14 percent. Table S and Table 80CNSMT are as follows: </text>
    <extLst>
      <x:ext xmlns:xltc2="http://schemas.microsoft.com/office/spreadsheetml/2020/threadedcomments2" uri="{F7C98A9C-CBB3-438F-8F68-D28B6AF4A901}">
        <xltc2:checksum>2754548632</xltc2:checksum>
        <xltc2:hyperlink startIndex="44" length="14" url="https://1.next.westlaw.com/Link/Document/FullText?findType=L&amp;pubNum=1000547&amp;cite=26CFRS20.7520-3&amp;originatingDoc=N2FB37EA0052711EEA8A7CB6A96444928&amp;refType=VB&amp;originationContext=document&amp;transitionType=DocumentItem&amp;ppcid=bb05f8a5ece14a6a9bcb8dd251b1f4b0&amp;contextData=(sc.Category)#co_pp_a83b000018c76"/>
        <xltc2:hyperlink startIndex="359" length="17" url="https://1.next.westlaw.com/Link/Document/FullText?findType=L&amp;pubNum=1000547&amp;cite=26CFRS20.2031-7&amp;originatingDoc=N2FB37EA0052711EEA8A7CB6A96444928&amp;refType=VB&amp;originationContext=document&amp;transitionType=DocumentItem&amp;ppcid=bb05f8a5ece14a6a9bcb8dd251b1f4b0&amp;contextData=(sc.Category)#co_pp_701700008cf77"/>
        <xltc2:hyperlink startIndex="452" length="12" url="https://1.next.westlaw.com/Link/Document/FullText?findType=L&amp;pubNum=1000546&amp;cite=26USCAS7520&amp;originatingDoc=N2FB37EA0052711EEA8A7CB6A96444928&amp;refType=LQ&amp;originationContext=document&amp;transitionType=DocumentItem&amp;ppcid=bb05f8a5ece14a6a9bcb8dd251b1f4b0&amp;contextData=(sc.Category)"/>
      </x:ext>
    </extLst>
  </threadedComment>
  <threadedComment ref="G8" dT="2024-01-26T16:17:12.56" personId="{86D4760C-E77D-4733-A7C1-A4CC77DE843C}" id="{289D2D3E-F13F-4822-A3FD-16E082A6E07D}">
    <text xml:space="preserve">(4) Actuarial tables. Except as provided in § 20.7520–3(b) (pertaining to certain limitations on the use of prescribed tables), Life Table 90CM and Table S (Single life remainder factors applicable where the valuation date is after April 30, 1999, and before May 1, 2009), contained in this paragraph (f)(4), and Table B, Table J, and Table K set forth in § 20.2031–7(d)(6) must be used in the application of the provisions of this section when the section 7520 interest rate component is between 4.2 and 14 percent. Table S and Table 90CM are as follows: </text>
    <extLst>
      <x:ext xmlns:xltc2="http://schemas.microsoft.com/office/spreadsheetml/2020/threadedcomments2" uri="{F7C98A9C-CBB3-438F-8F68-D28B6AF4A901}">
        <xltc2:checksum>362467032</xltc2:checksum>
        <xltc2:hyperlink startIndex="44" length="14" url="https://1.next.westlaw.com/Link/Document/FullText?findType=L&amp;pubNum=1000547&amp;cite=26CFRS20.7520-3&amp;originatingDoc=N2FB37EA0052711EEA8A7CB6A96444928&amp;refType=VB&amp;originationContext=document&amp;transitionType=DocumentItem&amp;ppcid=bb05f8a5ece14a6a9bcb8dd251b1f4b0&amp;contextData=(sc.Category)#co_pp_a83b000018c76"/>
        <xltc2:hyperlink startIndex="356" length="17" url="https://1.next.westlaw.com/Link/Document/FullText?findType=L&amp;pubNum=1000547&amp;cite=26CFRS20.2031-7&amp;originatingDoc=N2FB37EA0052711EEA8A7CB6A96444928&amp;refType=VB&amp;originationContext=document&amp;transitionType=DocumentItem&amp;ppcid=bb05f8a5ece14a6a9bcb8dd251b1f4b0&amp;contextData=(sc.Category)#co_pp_701700008cf77"/>
        <xltc2:hyperlink startIndex="449" length="12" url="https://1.next.westlaw.com/Link/Document/FullText?findType=L&amp;pubNum=1000546&amp;cite=26USCAS7520&amp;originatingDoc=N2FB37EA0052711EEA8A7CB6A96444928&amp;refType=LQ&amp;originationContext=document&amp;transitionType=DocumentItem&amp;ppcid=bb05f8a5ece14a6a9bcb8dd251b1f4b0&amp;contextData=(sc.Category)"/>
      </x:ext>
    </extLst>
  </threadedComment>
  <threadedComment ref="G9" dT="2024-01-26T16:17:33.09" personId="{86D4760C-E77D-4733-A7C1-A4CC77DE843C}" id="{4CC589B9-66E8-49E5-AA56-7275372BF3F3}">
    <text xml:space="preserve">(4) Actuarial tables. Except as provided in § 20.7520–3(b) (pertaining to certain limitations on the use of prescribed tables), actuarial factors based on Table 2000CM must be used in the application of the provisions of this section. The factor for determining the present value of a remainder interest that is dependent on the termination of the life of one individual may be computed by using the formula in § 20.2031–7(d)(2)(ii)(B) to derive a remainder factor from the appropriate mortality table to at least five decimal places. For the convenience of taxpayers, actuarial factors, when the section 7520 interest rate component is from 0.2 to 20 percent, inclusive, have been computed by the IRS and appear in Table S (applicable on and after May 1, 2009, and before June 1, 2023). These actuarial tables, as referenced and explained by IRS Publication 1457, Actuarial Valuations Version 3A, are available, at no charge, electronically via the IRS website at https://www.irs.gov/retirement-plans/actuarial-tables. Table S (notwithstanding the lack of the applicable termination date in its heading), where the section 7520 interest rate component is from 0.2 to 14 percent, inclusive, and Table 2000CM are as follows: </text>
    <extLst>
      <x:ext xmlns:xltc2="http://schemas.microsoft.com/office/spreadsheetml/2020/threadedcomments2" uri="{F7C98A9C-CBB3-438F-8F68-D28B6AF4A901}">
        <xltc2:checksum>648441956</xltc2:checksum>
        <xltc2:hyperlink startIndex="44" length="14" url="https://1.next.westlaw.com/Link/Document/FullText?findType=L&amp;pubNum=1000547&amp;cite=26CFRS20.7520-3&amp;originatingDoc=N2FB37EA0052711EEA8A7CB6A96444928&amp;refType=VB&amp;originationContext=document&amp;transitionType=DocumentItem&amp;ppcid=bb05f8a5ece14a6a9bcb8dd251b1f4b0&amp;contextData=(sc.Category)#co_pp_a83b000018c76"/>
        <xltc2:hyperlink startIndex="411" length="24" url="https://1.next.westlaw.com/Link/Document/FullText?findType=L&amp;pubNum=1000547&amp;cite=26CFRS20.2031-7&amp;originatingDoc=N2FB37EA0052711EEA8A7CB6A96444928&amp;refType=VB&amp;originationContext=document&amp;transitionType=DocumentItem&amp;ppcid=bb05f8a5ece14a6a9bcb8dd251b1f4b0&amp;contextData=(sc.Category)#co_pp_e9b10000144d2"/>
        <xltc2:hyperlink startIndex="597" length="12" url="https://1.next.westlaw.com/Link/Document/FullText?findType=L&amp;pubNum=1000546&amp;cite=26USCAS7520&amp;originatingDoc=N2FB37EA0052711EEA8A7CB6A96444928&amp;refType=LQ&amp;originationContext=document&amp;transitionType=DocumentItem&amp;ppcid=bb05f8a5ece14a6a9bcb8dd251b1f4b0&amp;contextData=(sc.Category)"/>
        <xltc2:hyperlink startIndex="1116" length="12" url="https://1.next.westlaw.com/Link/Document/FullText?findType=L&amp;pubNum=1000546&amp;cite=26USCAS7520&amp;originatingDoc=N2FB37EA0052711EEA8A7CB6A96444928&amp;refType=LQ&amp;originationContext=document&amp;transitionType=DocumentItem&amp;ppcid=bb05f8a5ece14a6a9bcb8dd251b1f4b0&amp;contextData=(sc.Category)"/>
      </x:ext>
    </extLs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50BA2-C92C-418A-B364-AE7FED8448BC}">
  <sheetPr codeName="Sheet1"/>
  <dimension ref="A1:AL115"/>
  <sheetViews>
    <sheetView tabSelected="1" topLeftCell="A2" workbookViewId="0">
      <selection activeCell="M3" sqref="M3"/>
    </sheetView>
  </sheetViews>
  <sheetFormatPr defaultColWidth="0" defaultRowHeight="13.8" zeroHeight="1" x14ac:dyDescent="0.25"/>
  <cols>
    <col min="1" max="1" width="2.59765625" style="47" customWidth="1"/>
    <col min="2" max="2" width="2.5" style="1" customWidth="1"/>
    <col min="3" max="3" width="24.296875" style="5" customWidth="1"/>
    <col min="4" max="4" width="10.09765625" style="1" customWidth="1"/>
    <col min="5" max="6" width="2.5" style="7" customWidth="1"/>
    <col min="7" max="8" width="4.5" style="7" customWidth="1"/>
    <col min="9" max="9" width="3.796875" style="7" customWidth="1"/>
    <col min="10" max="10" width="2.59765625" style="1" customWidth="1"/>
    <col min="11" max="11" width="3.796875" style="1" customWidth="1"/>
    <col min="12" max="15" width="12" style="1" customWidth="1"/>
    <col min="16" max="16" width="8.8984375" style="1" customWidth="1"/>
    <col min="17" max="17" width="12.09765625" style="1" customWidth="1"/>
    <col min="18" max="21" width="8.8984375" style="1" customWidth="1"/>
    <col min="22" max="31" width="8.69921875" style="1" customWidth="1"/>
    <col min="32" max="38" width="0" style="1" hidden="1" customWidth="1"/>
    <col min="39" max="16384" width="8.69921875" style="1" hidden="1"/>
  </cols>
  <sheetData>
    <row r="1" spans="1:18" ht="14.4" x14ac:dyDescent="0.25">
      <c r="C1" s="1"/>
      <c r="D1" s="6"/>
      <c r="E1" s="11"/>
      <c r="F1" s="11"/>
      <c r="L1" s="28"/>
      <c r="N1" s="30" t="s">
        <v>75</v>
      </c>
      <c r="O1" s="29" t="s">
        <v>58</v>
      </c>
    </row>
    <row r="2" spans="1:18" s="6" customFormat="1" x14ac:dyDescent="0.25">
      <c r="A2" s="49"/>
      <c r="B2" s="31" t="s">
        <v>106</v>
      </c>
      <c r="D2" s="1"/>
      <c r="E2" s="7"/>
      <c r="F2" s="22" t="str">
        <f>"              Optional"</f>
        <v xml:space="preserve">              Optional</v>
      </c>
      <c r="G2" s="7"/>
      <c r="H2" s="7"/>
      <c r="I2" s="7"/>
      <c r="K2" s="32" t="s">
        <v>6</v>
      </c>
      <c r="L2" s="33" t="str" cm="1">
        <f t="array" ref="L2">"v^"&amp;IF(AND(_contin&lt;&gt;"Fixed term",$O$1="Lx",_all&lt;&gt;0),_all&amp;"+","")&amp;"t"</f>
        <v>v^t</v>
      </c>
      <c r="M2" s="33" t="str" cm="1">
        <f t="array" ref="M2">IF($O$1="Lx","N"&amp;_circle&amp;_all&amp;"+t","t|a"&amp;_circle&amp;_all)</f>
        <v>t|å5</v>
      </c>
      <c r="N2" s="33" t="str" cm="1">
        <f t="array" ref="N2">IF($O$1="Lx","M"&amp;_all&amp;"+t","t|A"&amp;_all)</f>
        <v>t|A5</v>
      </c>
      <c r="O2" s="33" t="str" cm="1">
        <f t="array" ref="O2">"D"&amp;IF(_all=0,"t",_all&amp;"+t")&amp;IF(OR(_all=0,$O$1="Lx"),""," / "&amp;"D"&amp;_all)</f>
        <v>D5+t / D5</v>
      </c>
      <c r="P2" s="34" t="str" cm="1">
        <f t="array" ref="P2">IF($O$1="Lx","L"&amp;_all&amp;"+t","t"&amp;IF($O$1="tPx","P","Q")&amp;_all)</f>
        <v>tP5</v>
      </c>
      <c r="Q2" s="34" t="s">
        <v>187</v>
      </c>
      <c r="R2" s="34" t="str" cm="1">
        <f t="array" ref="R2">IF($O$1="Lx","L"&amp;_ages&amp;"+t","t"&amp;IF($O$1="tPx","P","Q")&amp;_ages)</f>
        <v>tP5</v>
      </c>
    </row>
    <row r="3" spans="1:18" x14ac:dyDescent="0.25">
      <c r="E3" s="22"/>
      <c r="F3" s="22" t="str">
        <f>"    Ages"</f>
        <v xml:space="preserve">    Ages</v>
      </c>
      <c r="H3" s="7" t="s">
        <v>152</v>
      </c>
      <c r="I3" s="7" t="s">
        <v>153</v>
      </c>
      <c r="J3" s="2"/>
      <c r="K3" s="2" cm="1">
        <f t="array" aca="1" ref="K3:K108" ca="1">_xlfn.LET(_xlpm.LifeTime, MATCH(0,_xlfn.ANCHORARRAY(Regs!I4),0)-1-IF(_contin="First-to-die",MAX(_ages),MIN(_ages)),
_xlpm.Tmax, IF(_contin="Fixed Term",_term,IF(_applyTerm="Longer-of",MAX(_term,_xlpm.LifeTime),_xlpm.LifeTime)),_xlfn.SEQUENCE(1+_xlpm.Tmax)-1)</f>
        <v>0</v>
      </c>
      <c r="L3" s="2" cm="1">
        <f t="array" aca="1" ref="L3:L108" ca="1">(1+_i)^-(_T+IF(AND(_contin&lt;&gt;"Fixed term",$O$1="Lx"),AVERAGE(_ages),0))</f>
        <v>1</v>
      </c>
      <c r="M3" s="2" cm="1">
        <f t="array" aca="1" ref="M3:M107" ca="1">_xlfn.BYROW(_xlfn.DROP(_T,1),_xlfn.LAMBDA(_xlpm.n,SUM(IFERROR(_xlfn.DROP(_DiscFac,_xlpm.n),0))))+_MortFac/2</f>
        <v>3256.9650137894446</v>
      </c>
      <c r="N3" s="2" cm="1">
        <f t="array" aca="1" ref="N3:N107" ca="1">_xlfn.LET(_xlpm.P_or_L,IF(AND($O$1&lt;&gt;"tPx",$O$1&lt;&gt;"Lx"),1-_Life,_Life),_xlfn.BYROW(_xlfn.DROP(_T,-1),_xlfn.LAMBDA(_xlpm.t,
    SUM(  _xlfn.DROP(_V,_xlpm.t+1)  *  (_xlfn.DROP(_xlfn.DROP(_xlpm.P_or_L,-1),_xlpm.t) - _xlfn.DROP(_xlpm.P_or_L,_xlpm.t+1))))))</f>
        <v>225.65275957168532</v>
      </c>
      <c r="O3" s="2" cm="1">
        <f t="array" aca="1" ref="O3:O107" ca="1">_xlfn.LET(_xlpm.P_or_L,IF(AND($O$1&lt;&gt;"tPx",$O$1&lt;&gt;"Lx"),1-_Life,_Life),_xlfn.DROP(_xlpm.P_or_L*_V,-1))</f>
        <v>1</v>
      </c>
      <c r="P3" s="1" cm="1">
        <f t="array" aca="1" ref="P3:P108" ca="1">_xlfn.LET(_xlpm.canMultTogether, _xlfn.XOR($O$1="tQx",_contin="First-to-Die"), _xlpm.direction,IF(_xlpm.canMultTogether,1,-1),
_xlpm.radix,IF(_xlpm.canMultTogether,0,IF($O$1="Lx",_xlfn.CHOOSEROWS(_xlfn.ANCHORARRAY(R3),1),1)),
(PRODUCT(_xlpm.radix)+_xlpm.direction*_xlfn.BYROW(_xlpm.radix+_xlpm.direction*_xlfn.ANCHORARRAY(R3),_xlfn.LAMBDA(_xlpm.a,PRODUCT(_xlpm.a)))))</f>
        <v>1</v>
      </c>
      <c r="Q3" s="90" cm="1">
        <f t="array" aca="1" ref="Q3:Q108" ca="1">_xlfn.LET(_xlpm.tblCont,_xlfn.ANCHORARRAY(Contingent!C3),_xlpm.tblP,_xlfn.ANCHORARRAY(R3),_xlpm.wgtCont,OFFSET(_xlpm.tblCont,0,-1,ROWS(_xlpm.tblCont),1),
_xlpm.comment,"for each age, get pX per person. Then =BYROW(Contingent!C3#,LAMBDA(c,PRODUCT((c=-1)*Z5#+(c=0)*Z6#)))",
_xlfn.BYROW(_T,_xlfn.LAMBDA(_xlpm.T,_xlfn.LET(_xlpm.P,_xlfn.CHOOSEROWS(_xlpm.tblP,_xlpm.T+1),_xlpm.Q,1-_xlpm.P,SUM(_xlpm.wgtCont*_xlfn.BYROW(_xlpm.tblCont,_xlfn.LAMBDA(_xlpm.bin,PRODUCT((_xlpm.bin&lt;&gt;0)*_xlpm.P+(_xlpm.bin=0)*_xlpm.Q))))))))</f>
        <v>1</v>
      </c>
      <c r="R3" s="1" cm="1">
        <f t="array" aca="1" ref="R3:R108" ca="1">_xlfn.LET(_xlpm.Lx, IFERROR( INDEX(_xlfn.ANCHORARRAY(Regs!$I$4),1+_ages+_T),0), _xlpm.Lzero, INDEX(_xlfn.ANCHORARRAY(Regs!$I$4),1+_ages),
IF($O$1="Lx",_xlpm.Lx,IF($O$1="tPx",_xlpm.Lx/_xlpm.Lzero,1-_xlpm.Lx/_xlpm.Lzero)))</f>
        <v>1</v>
      </c>
    </row>
    <row r="4" spans="1:18" x14ac:dyDescent="0.25">
      <c r="A4" s="47" t="str" cm="1">
        <f t="array" ref="A4:A5">_xlfn.LET(_xlpm.EB,{"End";"Beginning"},_xlpm.m,IF(_type="Annuity",12,_p),IF(_xlpm.m&gt;12,"n/a",IF(_xlpm.m&gt;6,_xlpm.EB,_xlfn.VSTACK(_xlpm.EB,"Delay "&amp;_xlfn.SEQUENCE(INT(12/_xlpm.m)-1)&amp;"mo"))))</f>
        <v>End</v>
      </c>
      <c r="C4" s="5" t="s">
        <v>107</v>
      </c>
      <c r="D4" s="54">
        <v>43914</v>
      </c>
      <c r="G4" s="8">
        <v>5</v>
      </c>
      <c r="H4" s="8"/>
      <c r="I4" s="8"/>
      <c r="K4" s="1">
        <f ca="1"/>
        <v>1</v>
      </c>
      <c r="L4" s="1">
        <f ca="1"/>
        <v>1.0714285714285712</v>
      </c>
      <c r="M4" s="1">
        <f ca="1"/>
        <v>3255.8936824477605</v>
      </c>
      <c r="N4" s="1">
        <f ca="1"/>
        <v>225.65256511219627</v>
      </c>
      <c r="O4" s="1">
        <f ca="1"/>
        <v>1.0712341119395243</v>
      </c>
      <c r="P4" s="1">
        <f ca="1"/>
        <v>0.99981850447688958</v>
      </c>
      <c r="Q4" s="90">
        <f ca="1"/>
        <v>1</v>
      </c>
      <c r="R4" s="1">
        <f ca="1"/>
        <v>0.99981850447688958</v>
      </c>
    </row>
    <row r="5" spans="1:18" x14ac:dyDescent="0.25">
      <c r="A5" s="47" t="str">
        <v>Beginning</v>
      </c>
      <c r="C5" s="5" t="s">
        <v>3</v>
      </c>
      <c r="D5" s="3" t="s">
        <v>77</v>
      </c>
      <c r="G5" s="8"/>
      <c r="H5" s="8"/>
      <c r="I5" s="8"/>
      <c r="K5" s="1">
        <f ca="1"/>
        <v>2</v>
      </c>
      <c r="L5" s="1">
        <f ca="1"/>
        <v>1.1479591836734691</v>
      </c>
      <c r="M5" s="1">
        <f ca="1"/>
        <v>3254.7460357882655</v>
      </c>
      <c r="N5" s="1">
        <f ca="1"/>
        <v>225.65235676274372</v>
      </c>
      <c r="O5" s="1">
        <f ca="1"/>
        <v>1.1475424847683686</v>
      </c>
      <c r="P5" s="1">
        <f ca="1"/>
        <v>0.99963700895377916</v>
      </c>
      <c r="Q5" s="90">
        <f ca="1"/>
        <v>1</v>
      </c>
      <c r="R5" s="1">
        <f ca="1"/>
        <v>0.99963700895377916</v>
      </c>
    </row>
    <row r="6" spans="1:18" x14ac:dyDescent="0.25">
      <c r="C6" s="5" t="s">
        <v>4</v>
      </c>
      <c r="D6" s="8" t="s">
        <v>8</v>
      </c>
      <c r="G6" s="8"/>
      <c r="H6" s="8"/>
      <c r="I6" s="8"/>
      <c r="K6" s="1">
        <f ca="1"/>
        <v>3</v>
      </c>
      <c r="L6" s="1">
        <f ca="1"/>
        <v>1.2299562682215737</v>
      </c>
      <c r="M6" s="1">
        <f ca="1"/>
        <v>3253.5166251971823</v>
      </c>
      <c r="N6" s="1">
        <f ca="1"/>
        <v>225.65215833469367</v>
      </c>
      <c r="O6" s="1">
        <f ca="1"/>
        <v>1.2293113770589181</v>
      </c>
      <c r="P6" s="1">
        <f ca="1"/>
        <v>0.99947567959990324</v>
      </c>
      <c r="Q6" s="90">
        <f ca="1"/>
        <v>1</v>
      </c>
      <c r="R6" s="1">
        <f ca="1"/>
        <v>0.99947567959990324</v>
      </c>
    </row>
    <row r="7" spans="1:18" x14ac:dyDescent="0.25">
      <c r="C7" s="5" t="str">
        <f>IF(_contin="Fixed term","","Combine with term period?")</f>
        <v>Combine with term period?</v>
      </c>
      <c r="D7" s="8" t="s">
        <v>188</v>
      </c>
      <c r="G7" s="8"/>
      <c r="H7" s="8"/>
      <c r="I7" s="8"/>
      <c r="K7" s="1">
        <f ca="1"/>
        <v>4</v>
      </c>
      <c r="L7" s="1">
        <f ca="1"/>
        <v>1.3178102873802573</v>
      </c>
      <c r="M7" s="1">
        <f ca="1"/>
        <v>3252.1995988777676</v>
      </c>
      <c r="N7" s="1">
        <f ca="1"/>
        <v>225.65197230839675</v>
      </c>
      <c r="O7" s="1">
        <f ca="1"/>
        <v>1.3169333062662065</v>
      </c>
      <c r="P7" s="1">
        <f ca="1"/>
        <v>0.99933451641526172</v>
      </c>
      <c r="Q7" s="90">
        <f ca="1"/>
        <v>1</v>
      </c>
      <c r="R7" s="1">
        <f ca="1"/>
        <v>0.99933451641526172</v>
      </c>
    </row>
    <row r="8" spans="1:18" x14ac:dyDescent="0.25">
      <c r="C8" s="5" t="str">
        <f>IF(OR(_contin="Fixed term",_applyTerm="Shorter-of",_applyTerm="Longer-of"),"Term length in years","")</f>
        <v>Term length in years</v>
      </c>
      <c r="D8" s="4">
        <v>96</v>
      </c>
      <c r="G8" s="8"/>
      <c r="H8" s="8"/>
      <c r="I8" s="8"/>
      <c r="K8" s="1">
        <f ca="1"/>
        <v>5</v>
      </c>
      <c r="L8" s="1">
        <f ca="1"/>
        <v>1.4119395936217041</v>
      </c>
      <c r="M8" s="1">
        <f ca="1"/>
        <v>3250.7886914453593</v>
      </c>
      <c r="N8" s="1">
        <f ca="1"/>
        <v>225.65178723121358</v>
      </c>
      <c r="O8" s="1">
        <f ca="1"/>
        <v>1.4108148938163467</v>
      </c>
      <c r="P8" s="1">
        <f ca="1"/>
        <v>0.99920343631523756</v>
      </c>
      <c r="Q8" s="90">
        <f ca="1"/>
        <v>1</v>
      </c>
      <c r="R8" s="1">
        <f ca="1"/>
        <v>0.99920343631523756</v>
      </c>
    </row>
    <row r="9" spans="1:18" x14ac:dyDescent="0.25">
      <c r="C9" s="5" t="s">
        <v>5</v>
      </c>
      <c r="D9" s="26">
        <f>1.12/1.2 - 1</f>
        <v>-6.6666666666666541E-2</v>
      </c>
      <c r="G9" s="8"/>
      <c r="H9" s="8"/>
      <c r="I9" s="8"/>
      <c r="K9" s="1">
        <f ca="1"/>
        <v>6</v>
      </c>
      <c r="L9" s="1">
        <f ca="1"/>
        <v>1.5127924217375399</v>
      </c>
      <c r="M9" s="1">
        <f ca="1"/>
        <v>3249.2771955808116</v>
      </c>
      <c r="N9" s="1">
        <f ca="1"/>
        <v>225.65160418784563</v>
      </c>
      <c r="O9" s="1">
        <f ca="1"/>
        <v>1.5114043428638395</v>
      </c>
      <c r="P9" s="1">
        <f ca="1"/>
        <v>0.99908243929983065</v>
      </c>
      <c r="Q9" s="90">
        <f ca="1"/>
        <v>1</v>
      </c>
      <c r="R9" s="1">
        <f ca="1"/>
        <v>0.99908243929983065</v>
      </c>
    </row>
    <row r="10" spans="1:18" x14ac:dyDescent="0.25">
      <c r="C10" s="5" t="str">
        <f>IF(_type="Unitrust","Payout rate / year","")</f>
        <v/>
      </c>
      <c r="D10" s="26"/>
      <c r="G10" s="8"/>
      <c r="H10" s="8"/>
      <c r="I10" s="8"/>
      <c r="K10" s="1">
        <f ca="1"/>
        <v>7</v>
      </c>
      <c r="L10" s="1">
        <f ca="1"/>
        <v>1.6208490232902211</v>
      </c>
      <c r="M10" s="1">
        <f ca="1"/>
        <v>3247.6579318438335</v>
      </c>
      <c r="N10" s="1">
        <f ca="1"/>
        <v>225.65140806995137</v>
      </c>
      <c r="O10" s="1">
        <f ca="1"/>
        <v>1.6191656780312986</v>
      </c>
      <c r="P10" s="1">
        <f ca="1"/>
        <v>0.99896144228442363</v>
      </c>
      <c r="Q10" s="90">
        <f ca="1"/>
        <v>1</v>
      </c>
      <c r="R10" s="1">
        <f ca="1"/>
        <v>0.99896144228442363</v>
      </c>
    </row>
    <row r="11" spans="1:18" x14ac:dyDescent="0.25">
      <c r="C11" s="5" t="s">
        <v>9</v>
      </c>
      <c r="D11" s="3" t="s">
        <v>189</v>
      </c>
      <c r="G11" s="8"/>
      <c r="H11" s="8"/>
      <c r="I11" s="8"/>
      <c r="K11" s="1">
        <f ca="1"/>
        <v>8</v>
      </c>
      <c r="L11" s="1">
        <f ca="1"/>
        <v>1.7366239535252366</v>
      </c>
      <c r="M11" s="1">
        <f ca="1"/>
        <v>3245.9232515587246</v>
      </c>
      <c r="N11" s="1">
        <f ca="1"/>
        <v>225.65112790153103</v>
      </c>
      <c r="O11" s="1">
        <f ca="1"/>
        <v>1.7345402008989006</v>
      </c>
      <c r="P11" s="1">
        <f ca="1"/>
        <v>0.99880011293054771</v>
      </c>
      <c r="Q11" s="90">
        <f ca="1"/>
        <v>1</v>
      </c>
      <c r="R11" s="1">
        <f ca="1"/>
        <v>0.99880011293054771</v>
      </c>
    </row>
    <row r="12" spans="1:18" x14ac:dyDescent="0.25">
      <c r="C12" s="5" t="str">
        <f>IF(AND(_type="Unitrust",$D$11="Weekly"),"","Payout timing")</f>
        <v>Payout timing</v>
      </c>
      <c r="D12" s="4" t="s">
        <v>36</v>
      </c>
      <c r="G12" s="8"/>
      <c r="H12" s="8"/>
      <c r="I12" s="8"/>
      <c r="K12" s="1">
        <f ca="1"/>
        <v>9</v>
      </c>
      <c r="L12" s="1">
        <f ca="1"/>
        <v>1.8606685216341818</v>
      </c>
      <c r="M12" s="1">
        <f ca="1"/>
        <v>3244.0650407645271</v>
      </c>
      <c r="N12" s="1">
        <f ca="1"/>
        <v>225.65067763085548</v>
      </c>
      <c r="O12" s="1">
        <f ca="1"/>
        <v>1.8579856588589772</v>
      </c>
      <c r="P12" s="1">
        <f ca="1"/>
        <v>0.99855811889973378</v>
      </c>
      <c r="Q12" s="90">
        <f ca="1"/>
        <v>1</v>
      </c>
      <c r="R12" s="1">
        <f ca="1"/>
        <v>0.99855811889973378</v>
      </c>
    </row>
    <row r="13" spans="1:18" x14ac:dyDescent="0.25">
      <c r="C13" s="9" t="str">
        <f>IF(_contin="Fixed term","","Mortality table")</f>
        <v>Mortality table</v>
      </c>
      <c r="D13" s="63" t="str">
        <f>INDEX(tblRegs[Mortality],MATCH($D$4,tblRegs[Effective],1))</f>
        <v>2000CM</v>
      </c>
      <c r="G13" s="8"/>
      <c r="H13" s="8"/>
      <c r="I13" s="8"/>
      <c r="K13" s="1">
        <f ca="1"/>
        <v>10</v>
      </c>
      <c r="L13" s="1">
        <f ca="1"/>
        <v>1.9935734160366227</v>
      </c>
      <c r="M13" s="1">
        <f ca="1"/>
        <v>3242.0746936182868</v>
      </c>
      <c r="N13" s="1">
        <f ca="1"/>
        <v>225.64997408292493</v>
      </c>
      <c r="O13" s="1">
        <f ca="1"/>
        <v>1.9899953722754857</v>
      </c>
      <c r="P13" s="1">
        <f ca="1"/>
        <v>0.99820521093813019</v>
      </c>
      <c r="Q13" s="90">
        <f ca="1"/>
        <v>1</v>
      </c>
      <c r="R13" s="1">
        <f ca="1"/>
        <v>0.99820521093813019</v>
      </c>
    </row>
    <row r="14" spans="1:18" x14ac:dyDescent="0.25">
      <c r="G14" s="8"/>
      <c r="H14" s="8"/>
      <c r="I14" s="8"/>
      <c r="K14" s="1">
        <f ca="1"/>
        <v>11</v>
      </c>
      <c r="L14" s="1">
        <f ca="1"/>
        <v>2.1359715171820959</v>
      </c>
      <c r="M14" s="1">
        <f ca="1"/>
        <v>3239.9430726117771</v>
      </c>
      <c r="N14" s="1">
        <f ca="1"/>
        <v>225.64894029821062</v>
      </c>
      <c r="O14" s="1">
        <f ca="1"/>
        <v>2.1311041141522988</v>
      </c>
      <c r="P14" s="1">
        <f ca="1"/>
        <v>0.99772122287650233</v>
      </c>
      <c r="Q14" s="90">
        <f ca="1"/>
        <v>1</v>
      </c>
      <c r="R14" s="1">
        <f ca="1"/>
        <v>0.99772122287650233</v>
      </c>
    </row>
    <row r="15" spans="1:18" x14ac:dyDescent="0.25">
      <c r="G15" s="8"/>
      <c r="H15" s="8"/>
      <c r="I15" s="8"/>
      <c r="K15" s="1">
        <f ca="1"/>
        <v>12</v>
      </c>
      <c r="L15" s="1">
        <f ca="1"/>
        <v>2.2885409112665309</v>
      </c>
      <c r="M15" s="1">
        <f ca="1"/>
        <v>3237.6604275039595</v>
      </c>
      <c r="N15" s="1">
        <f ca="1"/>
        <v>225.64757884066279</v>
      </c>
      <c r="O15" s="1">
        <f ca="1"/>
        <v>2.2819643790439068</v>
      </c>
      <c r="P15" s="1">
        <f ca="1"/>
        <v>0.99712632088408482</v>
      </c>
      <c r="Q15" s="90">
        <f ca="1"/>
        <v>1</v>
      </c>
      <c r="R15" s="1">
        <f ca="1"/>
        <v>0.99712632088408482</v>
      </c>
    </row>
    <row r="16" spans="1:18" x14ac:dyDescent="0.25">
      <c r="G16" s="8"/>
      <c r="H16" s="8"/>
      <c r="I16" s="8"/>
      <c r="K16" s="1">
        <f ca="1"/>
        <v>13</v>
      </c>
      <c r="L16" s="1">
        <f ca="1"/>
        <v>2.4520081192141396</v>
      </c>
      <c r="M16" s="1">
        <f ca="1"/>
        <v>3235.2163186405542</v>
      </c>
      <c r="N16" s="1">
        <f ca="1"/>
        <v>225.64587289809376</v>
      </c>
      <c r="O16" s="1">
        <f ca="1"/>
        <v>2.4432558921208729</v>
      </c>
      <c r="P16" s="1">
        <f ca="1"/>
        <v>0.99643058804549489</v>
      </c>
      <c r="Q16" s="90">
        <f ca="1"/>
        <v>1</v>
      </c>
      <c r="R16" s="1">
        <f ca="1"/>
        <v>0.99643058804549489</v>
      </c>
    </row>
    <row r="17" spans="2:18" x14ac:dyDescent="0.25">
      <c r="G17" s="8"/>
      <c r="H17" s="8"/>
      <c r="I17" s="8"/>
      <c r="K17" s="1">
        <f ca="1"/>
        <v>14</v>
      </c>
      <c r="L17" s="1">
        <f ca="1"/>
        <v>2.6271515563008632</v>
      </c>
      <c r="M17" s="1">
        <f ca="1"/>
        <v>3232.599564327395</v>
      </c>
      <c r="N17" s="1">
        <f ca="1"/>
        <v>225.64383318415253</v>
      </c>
      <c r="O17" s="1">
        <f ca="1"/>
        <v>2.6157344561882789</v>
      </c>
      <c r="P17" s="1">
        <f ca="1"/>
        <v>0.99565419052996695</v>
      </c>
      <c r="Q17" s="90">
        <f ca="1"/>
        <v>1</v>
      </c>
      <c r="R17" s="1">
        <f ca="1"/>
        <v>0.99565419052996695</v>
      </c>
    </row>
    <row r="18" spans="2:18" x14ac:dyDescent="0.25">
      <c r="G18" s="8"/>
      <c r="H18" s="8"/>
      <c r="I18" s="8"/>
      <c r="K18" s="1">
        <f ca="1"/>
        <v>15</v>
      </c>
      <c r="L18" s="1">
        <f ca="1"/>
        <v>2.8148052388937819</v>
      </c>
      <c r="M18" s="1">
        <f ca="1"/>
        <v>3229.798141163501</v>
      </c>
      <c r="N18" s="1">
        <f ca="1"/>
        <v>225.64153424868073</v>
      </c>
      <c r="O18" s="1">
        <f ca="1"/>
        <v>2.8002736961585071</v>
      </c>
      <c r="P18" s="1">
        <f ca="1"/>
        <v>0.99483746067597001</v>
      </c>
      <c r="Q18" s="90">
        <f ca="1"/>
        <v>1</v>
      </c>
      <c r="R18" s="1">
        <f ca="1"/>
        <v>0.99483746067597001</v>
      </c>
    </row>
    <row r="19" spans="2:18" x14ac:dyDescent="0.25">
      <c r="B19" s="44"/>
      <c r="C19" s="45"/>
      <c r="D19" s="35"/>
      <c r="E19" s="36"/>
      <c r="G19" s="8"/>
      <c r="H19" s="8"/>
      <c r="I19" s="8"/>
      <c r="K19" s="1">
        <f ca="1"/>
        <v>16</v>
      </c>
      <c r="L19" s="1">
        <f ca="1"/>
        <v>3.0158627559576234</v>
      </c>
      <c r="M19" s="1">
        <f ca="1"/>
        <v>3226.7991707177894</v>
      </c>
      <c r="N19" s="1">
        <f ca="1"/>
        <v>225.63888864833621</v>
      </c>
      <c r="O19" s="1">
        <f ca="1"/>
        <v>2.9976476455395926</v>
      </c>
      <c r="P19" s="1">
        <f ca="1"/>
        <v>0.99396023231426955</v>
      </c>
      <c r="Q19" s="90">
        <f ca="1"/>
        <v>1</v>
      </c>
      <c r="R19" s="1">
        <f ca="1"/>
        <v>0.99396023231426955</v>
      </c>
    </row>
    <row r="20" spans="2:18" x14ac:dyDescent="0.25">
      <c r="B20" s="37"/>
      <c r="C20" s="10" t="str">
        <f>IF(_type="Unitrust","Payout sequence factor (F)","")</f>
        <v/>
      </c>
      <c r="D20" s="48" t="str" cm="1">
        <f t="array" ref="D20">IF(C20="","",_xlfn.LET(_xlpm.Dover12,IF($D$12="End",_1overP, IF(RIGHT($D$12,2)="mo",VALUE(TRIM(LEFT(RIGHT($D$12,4),2)))/12,0)),_xlpm.iPlus1,(1+D9),_xlpm.iPlus1^_1overP*D9*_xlpm.iPlus1^-_xlpm.Dover12/(_p*_xlpm.iPlus1*(_xlpm.iPlus1^_1overP-1))))</f>
        <v/>
      </c>
      <c r="E20" s="38"/>
      <c r="G20" s="8"/>
      <c r="H20" s="8"/>
      <c r="I20" s="8"/>
      <c r="K20" s="1">
        <f ca="1"/>
        <v>17</v>
      </c>
      <c r="L20" s="1">
        <f ca="1"/>
        <v>3.2312815242403099</v>
      </c>
      <c r="M20" s="1">
        <f ca="1"/>
        <v>3223.5889041223941</v>
      </c>
      <c r="N20" s="1">
        <f ca="1"/>
        <v>225.63589117011335</v>
      </c>
      <c r="O20" s="1">
        <f ca="1"/>
        <v>3.2087678562838482</v>
      </c>
      <c r="P20" s="1">
        <f ca="1"/>
        <v>0.99303258852948295</v>
      </c>
      <c r="Q20" s="90">
        <f ca="1"/>
        <v>1</v>
      </c>
      <c r="R20" s="1">
        <f ca="1"/>
        <v>0.99303258852948295</v>
      </c>
    </row>
    <row r="21" spans="2:18" x14ac:dyDescent="0.25">
      <c r="B21" s="37"/>
      <c r="C21" s="10" t="str">
        <f>IF(C$20="","","Adjusted payout rate (r)")</f>
        <v/>
      </c>
      <c r="D21" s="25" t="str">
        <f>IF(C21="","",D10*D20)</f>
        <v/>
      </c>
      <c r="E21" s="38"/>
      <c r="G21" s="8"/>
      <c r="H21" s="8"/>
      <c r="I21" s="8"/>
      <c r="K21" s="1">
        <f ca="1"/>
        <v>18</v>
      </c>
      <c r="L21" s="1">
        <f ca="1"/>
        <v>3.462087347400332</v>
      </c>
      <c r="M21" s="1">
        <f ca="1"/>
        <v>3220.1525967167736</v>
      </c>
      <c r="N21" s="1">
        <f ca="1"/>
        <v>225.63257486074411</v>
      </c>
      <c r="O21" s="1">
        <f ca="1"/>
        <v>3.43464925093489</v>
      </c>
      <c r="P21" s="1">
        <f ca="1"/>
        <v>0.99207469549084459</v>
      </c>
      <c r="Q21" s="90">
        <f ca="1"/>
        <v>1</v>
      </c>
      <c r="R21" s="1">
        <f ca="1"/>
        <v>0.99207469549084459</v>
      </c>
    </row>
    <row r="22" spans="2:18" x14ac:dyDescent="0.25">
      <c r="B22" s="46"/>
      <c r="C22" s="5" t="str">
        <f>IF(_type="Annuity","","Equivalent interest rate (i)")</f>
        <v/>
      </c>
      <c r="D22" s="25">
        <f>IF(_type="Unitrust",D21/(1-D21),D9)</f>
        <v>-6.6666666666666541E-2</v>
      </c>
      <c r="E22" s="38"/>
      <c r="G22" s="8"/>
      <c r="H22" s="8"/>
      <c r="I22" s="8"/>
      <c r="K22" s="1">
        <f ca="1"/>
        <v>19</v>
      </c>
      <c r="L22" s="1">
        <f ca="1"/>
        <v>3.7093793007860691</v>
      </c>
      <c r="M22" s="1">
        <f ca="1"/>
        <v>3216.4743919707917</v>
      </c>
      <c r="N22" s="1">
        <f ca="1"/>
        <v>225.62902167213423</v>
      </c>
      <c r="O22" s="1">
        <f ca="1"/>
        <v>3.6764281516774888</v>
      </c>
      <c r="P22" s="1">
        <f ca="1"/>
        <v>0.99111680245220612</v>
      </c>
      <c r="Q22" s="90">
        <f ca="1"/>
        <v>1</v>
      </c>
      <c r="R22" s="1">
        <f ca="1"/>
        <v>0.99111680245220612</v>
      </c>
    </row>
    <row r="23" spans="2:18" x14ac:dyDescent="0.25">
      <c r="B23" s="37"/>
      <c r="C23" s="5" t="s">
        <v>73</v>
      </c>
      <c r="D23" s="23" cm="1">
        <f t="array" aca="1" ref="D23" ca="1">_xlfn.LET(_xlpm.bar,(1 + _i/2), _xlpm.V, INDEX(_V,1+_term) / INDEX(_V,1),  _xlpm.M, INDEX(_MortFac,1)*_xlpm.bar, _xlpm.D, INDEX(_DiscFac,1), _xlpm.Mt, INDEX(_MortFac,1+_term)*_xlpm.bar, _xlpm.Dt, INDEX(_DiscFac,1+_term),
     _xlfn.IFS(_contin="Fixed term", _xlpm.V,    _applyTerm="Longer-of", _xlpm.V + (_xlpm.Mt - _xlpm.Dt)/_xlpm.D,      _applyTerm="Shorter-of", (_xlpm.M-_xlpm.Mt+ _xlpm.Dt)/_xlpm.D,    _applyTerm="Life only", _xlpm.M / _xlpm.D))</f>
        <v>216.86759013333869</v>
      </c>
      <c r="E23" s="38"/>
      <c r="G23" s="8"/>
      <c r="H23" s="8"/>
      <c r="I23" s="8"/>
      <c r="K23" s="1">
        <f ca="1"/>
        <v>20</v>
      </c>
      <c r="L23" s="1">
        <f ca="1"/>
        <v>3.9743349651279303</v>
      </c>
      <c r="M23" s="1">
        <f ca="1"/>
        <v>3212.5372252286224</v>
      </c>
      <c r="N23" s="1">
        <f ca="1"/>
        <v>225.62529483144942</v>
      </c>
      <c r="O23" s="1">
        <f ca="1"/>
        <v>3.9353033218267828</v>
      </c>
      <c r="P23" s="1">
        <f ca="1"/>
        <v>0.99017907558280227</v>
      </c>
      <c r="Q23" s="90">
        <f ca="1"/>
        <v>1</v>
      </c>
      <c r="R23" s="1">
        <f ca="1"/>
        <v>0.99017907558280227</v>
      </c>
    </row>
    <row r="24" spans="2:18" x14ac:dyDescent="0.25">
      <c r="B24" s="37"/>
      <c r="C24" s="5" t="s">
        <v>74</v>
      </c>
      <c r="D24" s="24" cm="1">
        <f t="array" aca="1" ref="D24" ca="1">_xlfn.LET(_xlpm.CA,(1-(1+_i)^(-_term))/_i, _xlpm.N,INDEX(_NnuityFac,1), _xlpm.D, INDEX(_DiscFac,1), _xlpm.Nt, INDEX(_NnuityFac,1+_term),
     _xlfn.IFS(_contin="Fixed term", _xlpm.CA,   _applyTerm="Longer-of", _xlpm.CA + _xlpm.Nt/_xlpm.D,    _applyTerm="Shorter-of", (_xlpm.N-_xlpm.Nt)/_xlpm.D,  _applyTerm="Life only", _xlpm.N/_xlpm.D))</f>
        <v>3238.0138520000874</v>
      </c>
      <c r="E24" s="38"/>
      <c r="F24" s="1"/>
      <c r="K24" s="1">
        <f ca="1"/>
        <v>21</v>
      </c>
      <c r="L24" s="1">
        <f ca="1"/>
        <v>4.2582160340656392</v>
      </c>
      <c r="M24" s="1">
        <f ca="1"/>
        <v>3208.3227823982224</v>
      </c>
      <c r="N24" s="1">
        <f ca="1"/>
        <v>225.62138765976374</v>
      </c>
      <c r="O24" s="1">
        <f ca="1"/>
        <v>4.2124892445572915</v>
      </c>
      <c r="P24" s="1">
        <f ca="1"/>
        <v>0.98926151488263292</v>
      </c>
      <c r="Q24" s="90">
        <f ca="1"/>
        <v>1</v>
      </c>
      <c r="R24" s="1">
        <f ca="1"/>
        <v>0.98926151488263292</v>
      </c>
    </row>
    <row r="25" spans="2:18" x14ac:dyDescent="0.25">
      <c r="B25" s="37"/>
      <c r="C25" s="5" t="s">
        <v>76</v>
      </c>
      <c r="D25" s="23" t="b">
        <f ca="1">ABS(1-D24*_i-D23)&lt;0.00001</f>
        <v>1</v>
      </c>
      <c r="E25" s="38"/>
      <c r="K25" s="1">
        <f ca="1"/>
        <v>22</v>
      </c>
      <c r="L25" s="1">
        <f ca="1"/>
        <v>4.5623743222131843</v>
      </c>
      <c r="M25" s="1">
        <f ca="1"/>
        <v>3203.81144818965</v>
      </c>
      <c r="N25" s="1">
        <f ca="1"/>
        <v>225.61729340999889</v>
      </c>
      <c r="O25" s="1">
        <f ca="1"/>
        <v>4.5092870836894079</v>
      </c>
      <c r="P25" s="1">
        <f ca="1"/>
        <v>0.98836412035169796</v>
      </c>
      <c r="Q25" s="90">
        <f ca="1"/>
        <v>1</v>
      </c>
      <c r="R25" s="1">
        <f ca="1"/>
        <v>0.98836412035169796</v>
      </c>
    </row>
    <row r="26" spans="2:18" x14ac:dyDescent="0.25">
      <c r="B26" s="37"/>
      <c r="C26" s="5" t="str">
        <f>IF(_type="Annuity","Frequency factor ("&amp;IF(OR(_contin="Fixed term",D12="End"),"K","J")&amp;")","")</f>
        <v>Frequency factor (K)</v>
      </c>
      <c r="D26" s="24" cm="1">
        <f t="array" ref="D26">IF(C26="","", _i*_1overP/ IF(RIGHT(C26,3)="(J)", 1 - (1+_i)^-_1overP, (1+_i)^_1overP - 1))</f>
        <v>1</v>
      </c>
      <c r="E26" s="38"/>
      <c r="K26" s="1">
        <f ca="1"/>
        <v>23</v>
      </c>
      <c r="L26" s="1">
        <f ca="1"/>
        <v>4.8882582023712686</v>
      </c>
      <c r="M26" s="1">
        <f ca="1"/>
        <v>3198.9822378751401</v>
      </c>
      <c r="N26" s="1">
        <f ca="1"/>
        <v>225.61295600254337</v>
      </c>
      <c r="O26" s="1">
        <f ca="1"/>
        <v>4.8270416107831311</v>
      </c>
      <c r="P26" s="1">
        <f ca="1"/>
        <v>0.98747680890538037</v>
      </c>
      <c r="Q26" s="90">
        <f ca="1"/>
        <v>1</v>
      </c>
      <c r="R26" s="1">
        <f ca="1"/>
        <v>0.98747680890538037</v>
      </c>
    </row>
    <row r="27" spans="2:18" x14ac:dyDescent="0.25">
      <c r="B27" s="39"/>
      <c r="C27" s="5" t="str">
        <f>IF(_type="Annuity","Adjusted annuity factor","")</f>
        <v>Adjusted annuity factor</v>
      </c>
      <c r="D27" s="24" cm="1">
        <f t="array" aca="1" ref="D27" ca="1">IF(C27="",D24,D24*D26+IF($D$12="Beginning",_1overP,0))</f>
        <v>3238.0138520000874</v>
      </c>
      <c r="E27" s="38"/>
      <c r="K27" s="1">
        <f ca="1"/>
        <v>24</v>
      </c>
      <c r="L27" s="1">
        <f ca="1"/>
        <v>5.2374195025406438</v>
      </c>
      <c r="M27" s="1">
        <f ca="1"/>
        <v>3193.8127839983526</v>
      </c>
      <c r="N27" s="1">
        <f ca="1"/>
        <v>225.60820316158157</v>
      </c>
      <c r="O27" s="1">
        <f ca="1"/>
        <v>5.1670774563058277</v>
      </c>
      <c r="P27" s="1">
        <f ca="1"/>
        <v>0.98656933128982816</v>
      </c>
      <c r="Q27" s="90">
        <f ca="1"/>
        <v>1</v>
      </c>
      <c r="R27" s="1">
        <f ca="1"/>
        <v>0.98656933128982816</v>
      </c>
    </row>
    <row r="28" spans="2:18" x14ac:dyDescent="0.25">
      <c r="B28" s="40"/>
      <c r="C28" s="41"/>
      <c r="D28" s="42"/>
      <c r="E28" s="43"/>
      <c r="K28" s="1">
        <f ca="1"/>
        <v>25</v>
      </c>
      <c r="L28" s="1">
        <f ca="1"/>
        <v>5.6115208955792601</v>
      </c>
      <c r="M28" s="1">
        <f ca="1"/>
        <v>3188.2792889085626</v>
      </c>
      <c r="N28" s="1">
        <f ca="1"/>
        <v>225.60288450621954</v>
      </c>
      <c r="O28" s="1">
        <f ca="1"/>
        <v>5.5308357621085005</v>
      </c>
      <c r="P28" s="1">
        <f ca="1"/>
        <v>0.98562152133580705</v>
      </c>
      <c r="Q28" s="90">
        <f ca="1"/>
        <v>1</v>
      </c>
      <c r="R28" s="1">
        <f ca="1"/>
        <v>0.98562152133580705</v>
      </c>
    </row>
    <row r="29" spans="2:18" x14ac:dyDescent="0.25">
      <c r="K29" s="1">
        <f ca="1"/>
        <v>26</v>
      </c>
      <c r="L29" s="1">
        <f ca="1"/>
        <v>6.0123438166920629</v>
      </c>
      <c r="M29" s="1">
        <f ca="1"/>
        <v>3182.3563639747622</v>
      </c>
      <c r="N29" s="1">
        <f ca="1"/>
        <v>225.59694345501728</v>
      </c>
      <c r="O29" s="1">
        <f ca="1"/>
        <v>5.9199544081996986</v>
      </c>
      <c r="P29" s="1">
        <f ca="1"/>
        <v>0.98463337904331694</v>
      </c>
      <c r="Q29" s="90">
        <f ca="1"/>
        <v>1</v>
      </c>
      <c r="R29" s="1">
        <f ca="1"/>
        <v>0.98463337904331694</v>
      </c>
    </row>
    <row r="30" spans="2:18" x14ac:dyDescent="0.25">
      <c r="C30" s="5">
        <f ca="1">D27/1.2</f>
        <v>2698.3448766667398</v>
      </c>
      <c r="D30" s="1">
        <f ca="1">D27/1.2</f>
        <v>2698.3448766667398</v>
      </c>
      <c r="K30" s="1">
        <f ca="1"/>
        <v>27</v>
      </c>
      <c r="L30" s="1">
        <f ca="1"/>
        <v>6.4417969464557814</v>
      </c>
      <c r="M30" s="1">
        <f ca="1"/>
        <v>3176.0169007692234</v>
      </c>
      <c r="N30" s="1">
        <f ca="1"/>
        <v>225.59025327709637</v>
      </c>
      <c r="O30" s="1">
        <f ca="1"/>
        <v>6.336118116578759</v>
      </c>
      <c r="P30" s="1">
        <f ca="1"/>
        <v>0.98359482132774056</v>
      </c>
      <c r="Q30" s="90">
        <f ca="1"/>
        <v>1</v>
      </c>
      <c r="R30" s="1">
        <f ca="1"/>
        <v>0.98359482132774056</v>
      </c>
    </row>
    <row r="31" spans="2:18" x14ac:dyDescent="0.25">
      <c r="C31" s="91" t="s">
        <v>190</v>
      </c>
      <c r="K31" s="1">
        <f ca="1"/>
        <v>28</v>
      </c>
      <c r="L31" s="1">
        <f ca="1"/>
        <v>6.9019252997740503</v>
      </c>
      <c r="M31" s="1">
        <f ca="1"/>
        <v>3169.231960792803</v>
      </c>
      <c r="N31" s="1">
        <f ca="1"/>
        <v>225.58273726583985</v>
      </c>
      <c r="O31" s="1">
        <f ca="1"/>
        <v>6.7811819707921597</v>
      </c>
      <c r="P31" s="1">
        <f ca="1"/>
        <v>0.98250584818907805</v>
      </c>
      <c r="Q31" s="90">
        <f ca="1"/>
        <v>1</v>
      </c>
      <c r="R31" s="1">
        <f ca="1"/>
        <v>0.98250584818907805</v>
      </c>
    </row>
    <row r="32" spans="2:18" x14ac:dyDescent="0.25">
      <c r="K32" s="1">
        <f ca="1"/>
        <v>29</v>
      </c>
      <c r="L32" s="1">
        <f ca="1"/>
        <v>7.3949199640436243</v>
      </c>
      <c r="M32" s="1">
        <f ca="1"/>
        <v>3161.9707706520585</v>
      </c>
      <c r="N32" s="1">
        <f ca="1"/>
        <v>225.57401332420284</v>
      </c>
      <c r="O32" s="1">
        <f ca="1"/>
        <v>7.256828169926008</v>
      </c>
      <c r="P32" s="1">
        <f ca="1"/>
        <v>0.98132612728886026</v>
      </c>
      <c r="Q32" s="90">
        <f ca="1"/>
        <v>1</v>
      </c>
      <c r="R32" s="1">
        <f ca="1"/>
        <v>0.98132612728886026</v>
      </c>
    </row>
    <row r="33" spans="3:18" x14ac:dyDescent="0.25">
      <c r="K33" s="1">
        <f ca="1"/>
        <v>30</v>
      </c>
      <c r="L33" s="1">
        <f ca="1"/>
        <v>7.9231285329038803</v>
      </c>
      <c r="M33" s="1">
        <f ca="1"/>
        <v>3154.2005907113162</v>
      </c>
      <c r="N33" s="1">
        <f ca="1"/>
        <v>225.56402712727402</v>
      </c>
      <c r="O33" s="1">
        <f ca="1"/>
        <v>7.7651868422776102</v>
      </c>
      <c r="P33" s="1">
        <f ca="1"/>
        <v>0.98006574171170446</v>
      </c>
      <c r="Q33" s="90">
        <f ca="1"/>
        <v>1</v>
      </c>
      <c r="R33" s="1">
        <f ca="1"/>
        <v>0.98006574171170446</v>
      </c>
    </row>
    <row r="34" spans="3:18" x14ac:dyDescent="0.25">
      <c r="K34" s="1">
        <f ca="1"/>
        <v>31</v>
      </c>
      <c r="L34" s="1">
        <f ca="1"/>
        <v>8.4890662852541574</v>
      </c>
      <c r="M34" s="1">
        <f ca="1"/>
        <v>3145.8864825962551</v>
      </c>
      <c r="N34" s="1">
        <f ca="1"/>
        <v>225.55255726680147</v>
      </c>
      <c r="O34" s="1">
        <f ca="1"/>
        <v>8.3083731848249052</v>
      </c>
      <c r="P34" s="1">
        <f ca="1"/>
        <v>0.97871460837299351</v>
      </c>
      <c r="Q34" s="90">
        <f ca="1"/>
        <v>1</v>
      </c>
      <c r="R34" s="1">
        <f ca="1"/>
        <v>0.97871460837299351</v>
      </c>
    </row>
    <row r="35" spans="3:18" x14ac:dyDescent="0.25">
      <c r="K35" s="1">
        <f ca="1"/>
        <v>32</v>
      </c>
      <c r="L35" s="1">
        <f ca="1"/>
        <v>9.0954281627723113</v>
      </c>
      <c r="M35" s="1">
        <f ca="1"/>
        <v>3136.9912573019119</v>
      </c>
      <c r="N35" s="1">
        <f ca="1"/>
        <v>225.53935103086295</v>
      </c>
      <c r="O35" s="1">
        <f ca="1"/>
        <v>8.8886221763738718</v>
      </c>
      <c r="P35" s="1">
        <f ca="1"/>
        <v>0.97726264418811004</v>
      </c>
      <c r="Q35" s="90">
        <f ca="1"/>
        <v>1</v>
      </c>
      <c r="R35" s="1">
        <f ca="1"/>
        <v>0.97726264418811004</v>
      </c>
    </row>
    <row r="36" spans="3:18" x14ac:dyDescent="0.25">
      <c r="K36" s="1">
        <f ca="1"/>
        <v>33</v>
      </c>
      <c r="L36" s="1">
        <f ca="1"/>
        <v>9.7451016029703315</v>
      </c>
      <c r="M36" s="1">
        <f ca="1"/>
        <v>3127.4752996141842</v>
      </c>
      <c r="N36" s="1">
        <f ca="1"/>
        <v>225.52421888551672</v>
      </c>
      <c r="O36" s="1">
        <f ca="1"/>
        <v>9.5083916150543484</v>
      </c>
      <c r="P36" s="1">
        <f ca="1"/>
        <v>0.97570984915705417</v>
      </c>
      <c r="Q36" s="90">
        <f ca="1"/>
        <v>1</v>
      </c>
      <c r="R36" s="1">
        <f ca="1"/>
        <v>0.97570984915705417</v>
      </c>
    </row>
    <row r="37" spans="3:18" x14ac:dyDescent="0.25">
      <c r="K37" s="1">
        <f ca="1"/>
        <v>34</v>
      </c>
      <c r="L37" s="1">
        <f ca="1"/>
        <v>10.441180288896783</v>
      </c>
      <c r="M37" s="1">
        <f ca="1"/>
        <v>3117.2965279913974</v>
      </c>
      <c r="N37" s="1">
        <f ca="1"/>
        <v>225.50663724168911</v>
      </c>
      <c r="O37" s="1">
        <f ca="1"/>
        <v>10.169980800873489</v>
      </c>
      <c r="P37" s="1">
        <f ca="1"/>
        <v>0.97402597402597402</v>
      </c>
      <c r="Q37" s="90">
        <f ca="1"/>
        <v>1</v>
      </c>
      <c r="R37" s="1">
        <f ca="1"/>
        <v>0.97402597402597402</v>
      </c>
    </row>
    <row r="38" spans="3:18" x14ac:dyDescent="0.25">
      <c r="C38" s="5" t="str">
        <f>IF(_type="Unitrust","Payout deferred (months)","")</f>
        <v/>
      </c>
      <c r="D38" s="4">
        <v>3</v>
      </c>
      <c r="K38" s="1">
        <f ca="1"/>
        <v>35</v>
      </c>
      <c r="L38" s="1">
        <f ca="1"/>
        <v>11.186978880960837</v>
      </c>
      <c r="M38" s="1">
        <f ca="1"/>
        <v>3106.4103283230088</v>
      </c>
      <c r="N38" s="1">
        <f ca="1"/>
        <v>225.48622057659421</v>
      </c>
      <c r="O38" s="1">
        <f ca="1"/>
        <v>10.875991335840958</v>
      </c>
      <c r="P38" s="1">
        <f ca="1"/>
        <v>0.97220093571025246</v>
      </c>
      <c r="Q38" s="90">
        <f ca="1"/>
        <v>1</v>
      </c>
      <c r="R38" s="1">
        <f ca="1"/>
        <v>0.97220093571025246</v>
      </c>
    </row>
    <row r="39" spans="3:18" x14ac:dyDescent="0.25">
      <c r="C39" s="1"/>
      <c r="K39" s="1">
        <f ca="1"/>
        <v>36</v>
      </c>
      <c r="L39" s="1">
        <f ca="1"/>
        <v>11.986048801029467</v>
      </c>
      <c r="M39" s="1">
        <f ca="1"/>
        <v>3094.7693243849194</v>
      </c>
      <c r="N39" s="1">
        <f ca="1"/>
        <v>225.4625327331139</v>
      </c>
      <c r="O39" s="1">
        <f ca="1"/>
        <v>11.629160016349303</v>
      </c>
      <c r="P39" s="1">
        <f ca="1"/>
        <v>0.97022465112527223</v>
      </c>
      <c r="Q39" s="90">
        <f ca="1"/>
        <v>1</v>
      </c>
      <c r="R39" s="1">
        <f ca="1"/>
        <v>0.97022465112527223</v>
      </c>
    </row>
    <row r="40" spans="3:18" x14ac:dyDescent="0.25">
      <c r="C40" s="1"/>
      <c r="K40" s="1">
        <f ca="1"/>
        <v>37</v>
      </c>
      <c r="L40" s="1">
        <f ca="1"/>
        <v>12.842195143960138</v>
      </c>
      <c r="M40" s="1">
        <f ca="1"/>
        <v>3082.3233006538308</v>
      </c>
      <c r="N40" s="1">
        <f ca="1"/>
        <v>225.43495158882837</v>
      </c>
      <c r="O40" s="1">
        <f ca="1"/>
        <v>12.432233158945843</v>
      </c>
      <c r="P40" s="1">
        <f ca="1"/>
        <v>0.96807695410179884</v>
      </c>
      <c r="Q40" s="90">
        <f ca="1"/>
        <v>1</v>
      </c>
      <c r="R40" s="1">
        <f ca="1"/>
        <v>0.96807695410179884</v>
      </c>
    </row>
    <row r="41" spans="3:18" x14ac:dyDescent="0.25">
      <c r="C41" s="1"/>
      <c r="K41" s="1">
        <f ca="1"/>
        <v>38</v>
      </c>
      <c r="L41" s="1">
        <f ca="1"/>
        <v>13.759494797100146</v>
      </c>
      <c r="M41" s="1">
        <f ca="1"/>
        <v>3069.0188669898121</v>
      </c>
      <c r="N41" s="1">
        <f ca="1"/>
        <v>225.40331929055318</v>
      </c>
      <c r="O41" s="1">
        <f ca="1"/>
        <v>13.288617514881082</v>
      </c>
      <c r="P41" s="1">
        <f ca="1"/>
        <v>0.96577801080906667</v>
      </c>
      <c r="Q41" s="90">
        <f ca="1"/>
        <v>1</v>
      </c>
      <c r="R41" s="1">
        <f ca="1"/>
        <v>0.96577801080906667</v>
      </c>
    </row>
    <row r="42" spans="3:18" x14ac:dyDescent="0.25">
      <c r="C42" s="1"/>
      <c r="K42" s="1">
        <f ca="1"/>
        <v>39</v>
      </c>
      <c r="L42" s="1">
        <f ca="1"/>
        <v>14.742315854035869</v>
      </c>
      <c r="M42" s="1">
        <f ca="1"/>
        <v>3054.7994205398313</v>
      </c>
      <c r="N42" s="1">
        <f ca="1"/>
        <v>225.3666032300552</v>
      </c>
      <c r="O42" s="1">
        <f ca="1"/>
        <v>14.201088419731757</v>
      </c>
      <c r="P42" s="1">
        <f ca="1"/>
        <v>0.96328748890860694</v>
      </c>
      <c r="Q42" s="90">
        <f ca="1"/>
        <v>1</v>
      </c>
      <c r="R42" s="1">
        <f ca="1"/>
        <v>0.96328748890860694</v>
      </c>
    </row>
    <row r="43" spans="3:18" x14ac:dyDescent="0.25">
      <c r="C43" s="1"/>
      <c r="K43" s="1">
        <f ca="1"/>
        <v>40</v>
      </c>
      <c r="L43" s="1">
        <f ca="1"/>
        <v>15.79533841503843</v>
      </c>
      <c r="M43" s="1">
        <f ca="1"/>
        <v>3039.6052306370088</v>
      </c>
      <c r="N43" s="1">
        <f ca="1"/>
        <v>225.32407927913144</v>
      </c>
      <c r="O43" s="1">
        <f ca="1"/>
        <v>15.172927927360259</v>
      </c>
      <c r="P43" s="1">
        <f ca="1"/>
        <v>0.96059530531580217</v>
      </c>
      <c r="Q43" s="90">
        <f ca="1"/>
        <v>1</v>
      </c>
      <c r="R43" s="1">
        <f ca="1"/>
        <v>0.96059530531580217</v>
      </c>
    </row>
    <row r="44" spans="3:18" x14ac:dyDescent="0.25">
      <c r="C44" s="1"/>
      <c r="K44" s="1">
        <f ca="1"/>
        <v>41</v>
      </c>
      <c r="L44" s="1">
        <f ca="1"/>
        <v>16.92357687325546</v>
      </c>
      <c r="M44" s="1">
        <f ca="1"/>
        <v>3023.37300924998</v>
      </c>
      <c r="N44" s="1">
        <f ca="1"/>
        <v>225.2751050659889</v>
      </c>
      <c r="O44" s="1">
        <f ca="1"/>
        <v>16.207734280457739</v>
      </c>
      <c r="P44" s="1">
        <f ca="1"/>
        <v>0.9577014600306526</v>
      </c>
      <c r="Q44" s="90">
        <f ca="1"/>
        <v>1</v>
      </c>
      <c r="R44" s="1">
        <f ca="1"/>
        <v>0.9577014600306526</v>
      </c>
    </row>
    <row r="45" spans="3:18" x14ac:dyDescent="0.25">
      <c r="C45" s="1"/>
      <c r="K45" s="1">
        <f ca="1"/>
        <v>42</v>
      </c>
      <c r="L45" s="1">
        <f ca="1"/>
        <v>18.132403792773701</v>
      </c>
      <c r="M45" s="1">
        <f ca="1"/>
        <v>3006.0360098161282</v>
      </c>
      <c r="N45" s="1">
        <f ca="1"/>
        <v>225.21824476128262</v>
      </c>
      <c r="O45" s="1">
        <f ca="1"/>
        <v>17.308569281498411</v>
      </c>
      <c r="P45" s="1">
        <f ca="1"/>
        <v>0.95456562071468909</v>
      </c>
      <c r="Q45" s="90">
        <f ca="1"/>
        <v>1</v>
      </c>
      <c r="R45" s="1">
        <f ca="1"/>
        <v>0.95456562071468909</v>
      </c>
    </row>
    <row r="46" spans="3:18" x14ac:dyDescent="0.25">
      <c r="C46" s="1"/>
      <c r="K46" s="1">
        <f ca="1"/>
        <v>43</v>
      </c>
      <c r="L46" s="1">
        <f ca="1"/>
        <v>19.427575492257532</v>
      </c>
      <c r="M46" s="1">
        <f ca="1"/>
        <v>2987.5239257135527</v>
      </c>
      <c r="N46" s="1">
        <f ca="1"/>
        <v>225.15262164893781</v>
      </c>
      <c r="O46" s="1">
        <f ca="1"/>
        <v>18.479272546403507</v>
      </c>
      <c r="P46" s="1">
        <f ca="1"/>
        <v>0.95118778736791154</v>
      </c>
      <c r="Q46" s="90">
        <f ca="1"/>
        <v>1</v>
      </c>
      <c r="R46" s="1">
        <f ca="1"/>
        <v>0.95118778736791154</v>
      </c>
    </row>
    <row r="47" spans="3:18" x14ac:dyDescent="0.25">
      <c r="C47" s="1"/>
      <c r="K47" s="1">
        <f ca="1"/>
        <v>44</v>
      </c>
      <c r="L47" s="1">
        <f ca="1"/>
        <v>20.815259455990212</v>
      </c>
      <c r="M47" s="1">
        <f ca="1"/>
        <v>2967.7624838921565</v>
      </c>
      <c r="N47" s="1">
        <f ca="1"/>
        <v>225.07706412086495</v>
      </c>
      <c r="O47" s="1">
        <f ca="1"/>
        <v>19.723663057359445</v>
      </c>
      <c r="P47" s="1">
        <f ca="1"/>
        <v>0.94755787690570303</v>
      </c>
      <c r="Q47" s="90">
        <f ca="1"/>
        <v>1</v>
      </c>
      <c r="R47" s="1">
        <f ca="1"/>
        <v>0.94755787690570303</v>
      </c>
    </row>
    <row r="48" spans="3:18" x14ac:dyDescent="0.25">
      <c r="C48" s="1"/>
      <c r="K48" s="1">
        <f ca="1"/>
        <v>45</v>
      </c>
      <c r="L48" s="1">
        <f ca="1"/>
        <v>22.302063702846652</v>
      </c>
      <c r="M48" s="1">
        <f ca="1"/>
        <v>2946.6731634895991</v>
      </c>
      <c r="N48" s="1">
        <f ca="1"/>
        <v>224.99071266021022</v>
      </c>
      <c r="O48" s="1">
        <f ca="1"/>
        <v>21.04614467223039</v>
      </c>
      <c r="P48" s="1">
        <f ca="1"/>
        <v>0.94368597241268048</v>
      </c>
      <c r="Q48" s="90">
        <f ca="1"/>
        <v>1</v>
      </c>
      <c r="R48" s="1">
        <f ca="1"/>
        <v>0.94368597241268048</v>
      </c>
    </row>
    <row r="49" spans="3:18" x14ac:dyDescent="0.25">
      <c r="C49" s="1"/>
      <c r="K49" s="1">
        <f ca="1"/>
        <v>46</v>
      </c>
      <c r="L49" s="1">
        <f ca="1"/>
        <v>23.895068253049981</v>
      </c>
      <c r="M49" s="1">
        <f ca="1"/>
        <v>2924.1732351163514</v>
      </c>
      <c r="N49" s="1">
        <f ca="1"/>
        <v>224.89168796621163</v>
      </c>
      <c r="O49" s="1">
        <f ca="1"/>
        <v>22.450416026248259</v>
      </c>
      <c r="P49" s="1">
        <f ca="1"/>
        <v>0.93954182463499236</v>
      </c>
      <c r="Q49" s="90">
        <f ca="1"/>
        <v>1</v>
      </c>
      <c r="R49" s="1">
        <f ca="1"/>
        <v>0.93954182463499236</v>
      </c>
    </row>
    <row r="50" spans="3:18" x14ac:dyDescent="0.25">
      <c r="K50" s="1">
        <f ca="1"/>
        <v>47</v>
      </c>
      <c r="L50" s="1">
        <f ca="1"/>
        <v>25.601858842553543</v>
      </c>
      <c r="M50" s="1">
        <f ca="1"/>
        <v>2900.175880928512</v>
      </c>
      <c r="N50" s="1">
        <f ca="1"/>
        <v>224.77836199993067</v>
      </c>
      <c r="O50" s="1">
        <f ca="1"/>
        <v>23.940691204699306</v>
      </c>
      <c r="P50" s="1">
        <f ca="1"/>
        <v>0.9351153504880213</v>
      </c>
      <c r="Q50" s="90">
        <f ca="1"/>
        <v>1</v>
      </c>
      <c r="R50" s="1">
        <f ca="1"/>
        <v>0.9351153504880213</v>
      </c>
    </row>
    <row r="51" spans="3:18" x14ac:dyDescent="0.25">
      <c r="K51" s="1">
        <f ca="1"/>
        <v>48</v>
      </c>
      <c r="L51" s="1">
        <f ca="1"/>
        <v>27.430563045593086</v>
      </c>
      <c r="M51" s="1">
        <f ca="1"/>
        <v>2874.5902760461404</v>
      </c>
      <c r="N51" s="1">
        <f ca="1"/>
        <v>224.64809061174728</v>
      </c>
      <c r="O51" s="1">
        <f ca="1"/>
        <v>25.52046918828017</v>
      </c>
      <c r="P51" s="1">
        <f ca="1"/>
        <v>0.93036621763329841</v>
      </c>
      <c r="Q51" s="90">
        <f ca="1"/>
        <v>1</v>
      </c>
      <c r="R51" s="1">
        <f ca="1"/>
        <v>0.93036621763329841</v>
      </c>
    </row>
    <row r="52" spans="3:18" x14ac:dyDescent="0.25">
      <c r="K52" s="1">
        <f ca="1"/>
        <v>49</v>
      </c>
      <c r="L52" s="1">
        <f ca="1"/>
        <v>29.389888977421155</v>
      </c>
      <c r="M52" s="1">
        <f ca="1"/>
        <v>2847.322186748866</v>
      </c>
      <c r="N52" s="1">
        <f ca="1"/>
        <v>224.49754951712228</v>
      </c>
      <c r="O52" s="1">
        <f ca="1"/>
        <v>27.192818749960875</v>
      </c>
      <c r="P52" s="1">
        <f ca="1"/>
        <v>0.92524401064773731</v>
      </c>
      <c r="Q52" s="90">
        <f ca="1"/>
        <v>1</v>
      </c>
      <c r="R52" s="1">
        <f ca="1"/>
        <v>0.92524401064773731</v>
      </c>
    </row>
    <row r="53" spans="3:18" x14ac:dyDescent="0.25">
      <c r="K53" s="1">
        <f ca="1"/>
        <v>50</v>
      </c>
      <c r="L53" s="1">
        <f ca="1"/>
        <v>31.489166761522664</v>
      </c>
      <c r="M53" s="1">
        <f ca="1"/>
        <v>2818.2744972380165</v>
      </c>
      <c r="N53" s="1">
        <f ca="1"/>
        <v>224.32260264604864</v>
      </c>
      <c r="O53" s="1">
        <f ca="1"/>
        <v>28.960216075313017</v>
      </c>
      <c r="P53" s="1">
        <f ca="1"/>
        <v>0.91968823102363473</v>
      </c>
      <c r="Q53" s="90">
        <f ca="1"/>
        <v>1</v>
      </c>
      <c r="R53" s="1">
        <f ca="1"/>
        <v>0.91968823102363473</v>
      </c>
    </row>
    <row r="54" spans="3:18" x14ac:dyDescent="0.25">
      <c r="K54" s="1">
        <f ca="1"/>
        <v>51</v>
      </c>
      <c r="L54" s="1">
        <f ca="1"/>
        <v>33.738392958774277</v>
      </c>
      <c r="M54" s="1">
        <f ca="1"/>
        <v>2787.3484307956392</v>
      </c>
      <c r="N54" s="1">
        <f ca="1"/>
        <v>224.11712965513249</v>
      </c>
      <c r="O54" s="1">
        <f ca="1"/>
        <v>30.823329946919223</v>
      </c>
      <c r="P54" s="1">
        <f ca="1"/>
        <v>0.91359804791481813</v>
      </c>
      <c r="Q54" s="90">
        <f ca="1"/>
        <v>1</v>
      </c>
      <c r="R54" s="1">
        <f ca="1"/>
        <v>0.91359804791481813</v>
      </c>
    </row>
    <row r="55" spans="3:18" x14ac:dyDescent="0.25">
      <c r="K55" s="1">
        <f ca="1"/>
        <v>52</v>
      </c>
      <c r="L55" s="1">
        <f ca="1"/>
        <v>36.14827817011529</v>
      </c>
      <c r="M55" s="1">
        <f ca="1"/>
        <v>2754.4437148526335</v>
      </c>
      <c r="N55" s="1">
        <f ca="1"/>
        <v>223.87656879774485</v>
      </c>
      <c r="O55" s="1">
        <f ca="1"/>
        <v>32.784435514311525</v>
      </c>
      <c r="P55" s="1">
        <f ca="1"/>
        <v>0.90694321206743567</v>
      </c>
      <c r="Q55" s="90">
        <f ca="1"/>
        <v>1</v>
      </c>
      <c r="R55" s="1">
        <f ca="1"/>
        <v>0.90694321206743567</v>
      </c>
    </row>
    <row r="56" spans="3:18" x14ac:dyDescent="0.25">
      <c r="K56" s="1">
        <f ca="1"/>
        <v>53</v>
      </c>
      <c r="L56" s="1">
        <f ca="1"/>
        <v>38.730298039409234</v>
      </c>
      <c r="M56" s="1">
        <f ca="1"/>
        <v>2719.4585119793733</v>
      </c>
      <c r="N56" s="1">
        <f ca="1"/>
        <v>223.59461272788468</v>
      </c>
      <c r="O56" s="1">
        <f ca="1"/>
        <v>34.844224838330732</v>
      </c>
      <c r="P56" s="1">
        <f ca="1"/>
        <v>0.89966322497378393</v>
      </c>
      <c r="Q56" s="90">
        <f ca="1"/>
        <v>1</v>
      </c>
      <c r="R56" s="1">
        <f ca="1"/>
        <v>0.89966322497378393</v>
      </c>
    </row>
    <row r="57" spans="3:18" x14ac:dyDescent="0.25">
      <c r="K57" s="1">
        <f ca="1"/>
        <v>54</v>
      </c>
      <c r="L57" s="1">
        <f ca="1"/>
        <v>41.49674789936703</v>
      </c>
      <c r="M57" s="1">
        <f ca="1"/>
        <v>2682.2894327047052</v>
      </c>
      <c r="N57" s="1">
        <f ca="1"/>
        <v>223.26657519508336</v>
      </c>
      <c r="O57" s="1">
        <f ca="1"/>
        <v>37.00506050826732</v>
      </c>
      <c r="P57" s="1">
        <f ca="1"/>
        <v>0.89175808663386302</v>
      </c>
      <c r="Q57" s="90">
        <f ca="1"/>
        <v>1</v>
      </c>
      <c r="R57" s="1">
        <f ca="1"/>
        <v>0.89175808663386302</v>
      </c>
    </row>
    <row r="58" spans="3:18" x14ac:dyDescent="0.25">
      <c r="K58" s="1">
        <f ca="1"/>
        <v>55</v>
      </c>
      <c r="L58" s="1">
        <f ca="1"/>
        <v>44.460801320750384</v>
      </c>
      <c r="M58" s="1">
        <f ca="1"/>
        <v>2642.8307853439546</v>
      </c>
      <c r="N58" s="1">
        <f ca="1"/>
        <v>222.8873116845833</v>
      </c>
      <c r="O58" s="1">
        <f ca="1"/>
        <v>39.269015605500627</v>
      </c>
      <c r="P58" s="1">
        <f ca="1"/>
        <v>0.88322779704767285</v>
      </c>
      <c r="Q58" s="90">
        <f ca="1"/>
        <v>1</v>
      </c>
      <c r="R58" s="1">
        <f ca="1"/>
        <v>0.88322779704767285</v>
      </c>
    </row>
    <row r="59" spans="3:18" x14ac:dyDescent="0.25">
      <c r="K59" s="1">
        <f ca="1"/>
        <v>56</v>
      </c>
      <c r="L59" s="1">
        <f ca="1"/>
        <v>47.636572843661121</v>
      </c>
      <c r="M59" s="1">
        <f ca="1"/>
        <v>2600.9763479351968</v>
      </c>
      <c r="N59" s="1">
        <f ca="1"/>
        <v>222.44829591888285</v>
      </c>
      <c r="O59" s="1">
        <f ca="1"/>
        <v>41.634929525907374</v>
      </c>
      <c r="P59" s="1">
        <f ca="1"/>
        <v>0.87401185770750989</v>
      </c>
      <c r="Q59" s="90">
        <f ca="1"/>
        <v>1</v>
      </c>
      <c r="R59" s="1">
        <f ca="1"/>
        <v>0.87401185770750989</v>
      </c>
    </row>
    <row r="60" spans="3:18" x14ac:dyDescent="0.25">
      <c r="K60" s="1">
        <f ca="1"/>
        <v>57</v>
      </c>
      <c r="L60" s="1">
        <f ca="1"/>
        <v>51.039185189636903</v>
      </c>
      <c r="M60" s="1">
        <f ca="1"/>
        <v>2556.6222379211408</v>
      </c>
      <c r="N60" s="1">
        <f ca="1"/>
        <v>221.93880982005106</v>
      </c>
      <c r="O60" s="1">
        <f ca="1"/>
        <v>44.099366964640396</v>
      </c>
      <c r="P60" s="1">
        <f ca="1"/>
        <v>0.86402960393643624</v>
      </c>
      <c r="Q60" s="90">
        <f ca="1"/>
        <v>1</v>
      </c>
      <c r="R60" s="1">
        <f ca="1"/>
        <v>0.86402960393643624</v>
      </c>
    </row>
    <row r="61" spans="3:18" x14ac:dyDescent="0.25">
      <c r="K61" s="1">
        <f ca="1"/>
        <v>58</v>
      </c>
      <c r="L61" s="1">
        <f ca="1"/>
        <v>54.684841274610953</v>
      </c>
      <c r="M61" s="1">
        <f ca="1"/>
        <v>2509.6681865260439</v>
      </c>
      <c r="N61" s="1">
        <f ca="1"/>
        <v>221.34826911458697</v>
      </c>
      <c r="O61" s="1">
        <f ca="1"/>
        <v>46.658781042364872</v>
      </c>
      <c r="P61" s="1">
        <f ca="1"/>
        <v>0.85323062031136565</v>
      </c>
      <c r="Q61" s="90">
        <f ca="1"/>
        <v>1</v>
      </c>
      <c r="R61" s="1">
        <f ca="1"/>
        <v>0.85323062031136565</v>
      </c>
    </row>
    <row r="62" spans="3:18" x14ac:dyDescent="0.25">
      <c r="K62" s="1">
        <f ca="1"/>
        <v>59</v>
      </c>
      <c r="L62" s="1">
        <f ca="1"/>
        <v>58.590901365654581</v>
      </c>
      <c r="M62" s="1">
        <f ca="1"/>
        <v>2460.0178091361204</v>
      </c>
      <c r="N62" s="1">
        <f ca="1"/>
        <v>220.6659216607944</v>
      </c>
      <c r="O62" s="1">
        <f ca="1"/>
        <v>49.309203663026935</v>
      </c>
      <c r="P62" s="1">
        <f ca="1"/>
        <v>0.84158465757844636</v>
      </c>
      <c r="Q62" s="90">
        <f ca="1"/>
        <v>1</v>
      </c>
      <c r="R62" s="1">
        <f ca="1"/>
        <v>0.84158465757844636</v>
      </c>
    </row>
    <row r="63" spans="3:18" x14ac:dyDescent="0.25">
      <c r="K63" s="1">
        <f ca="1"/>
        <v>60</v>
      </c>
      <c r="L63" s="1">
        <f ca="1"/>
        <v>62.775965748915631</v>
      </c>
      <c r="M63" s="1">
        <f ca="1"/>
        <v>2407.5792807170874</v>
      </c>
      <c r="N63" s="1">
        <f ca="1"/>
        <v>219.880399220946</v>
      </c>
      <c r="O63" s="1">
        <f ca="1"/>
        <v>52.045767199109044</v>
      </c>
      <c r="P63" s="1">
        <f ca="1"/>
        <v>0.82907154956844398</v>
      </c>
      <c r="Q63" s="90">
        <f ca="1"/>
        <v>1</v>
      </c>
      <c r="R63" s="1">
        <f ca="1"/>
        <v>0.82907154956844398</v>
      </c>
    </row>
    <row r="64" spans="3:18" x14ac:dyDescent="0.25">
      <c r="K64" s="1">
        <f ca="1"/>
        <v>61</v>
      </c>
      <c r="L64" s="1">
        <f ca="1"/>
        <v>67.259963302409588</v>
      </c>
      <c r="M64" s="1">
        <f ca="1"/>
        <v>2352.2594936055129</v>
      </c>
      <c r="N64" s="1">
        <f ca="1"/>
        <v>218.99332944600499</v>
      </c>
      <c r="O64" s="1">
        <f ca="1"/>
        <v>54.876252224104363</v>
      </c>
      <c r="P64" s="1">
        <f ca="1"/>
        <v>0.81588287488908606</v>
      </c>
      <c r="Q64" s="90">
        <f ca="1"/>
        <v>1</v>
      </c>
      <c r="R64" s="1">
        <f ca="1"/>
        <v>0.81588287488908606</v>
      </c>
    </row>
    <row r="65" spans="11:18" x14ac:dyDescent="0.25">
      <c r="K65" s="1">
        <f ca="1"/>
        <v>62</v>
      </c>
      <c r="L65" s="1">
        <f ca="1"/>
        <v>72.064246395438815</v>
      </c>
      <c r="M65" s="1">
        <f ca="1"/>
        <v>2293.9670635964249</v>
      </c>
      <c r="N65" s="1">
        <f ca="1"/>
        <v>217.98622041252835</v>
      </c>
      <c r="O65" s="1">
        <f ca="1"/>
        <v>57.788875492349447</v>
      </c>
      <c r="P65" s="1">
        <f ca="1"/>
        <v>0.80190771960958296</v>
      </c>
      <c r="Q65" s="90">
        <f ca="1"/>
        <v>1</v>
      </c>
      <c r="R65" s="1">
        <f ca="1"/>
        <v>0.80190771960958296</v>
      </c>
    </row>
    <row r="66" spans="11:18" x14ac:dyDescent="0.25">
      <c r="K66" s="1">
        <f ca="1"/>
        <v>63</v>
      </c>
      <c r="L66" s="1">
        <f ca="1"/>
        <v>77.211692566541586</v>
      </c>
      <c r="M66" s="1">
        <f ca="1"/>
        <v>2232.6249679210305</v>
      </c>
      <c r="N66" s="1">
        <f ca="1"/>
        <v>216.83710713685466</v>
      </c>
      <c r="O66" s="1">
        <f ca="1"/>
        <v>60.767539037557853</v>
      </c>
      <c r="P66" s="1">
        <f ca="1"/>
        <v>0.78702508671452776</v>
      </c>
      <c r="Q66" s="90">
        <f ca="1"/>
        <v>1</v>
      </c>
      <c r="R66" s="1">
        <f ca="1"/>
        <v>0.78702508671452776</v>
      </c>
    </row>
    <row r="67" spans="11:18" x14ac:dyDescent="0.25">
      <c r="K67" s="1">
        <f ca="1"/>
        <v>64</v>
      </c>
      <c r="L67" s="1">
        <f ca="1"/>
        <v>82.726813464151689</v>
      </c>
      <c r="M67" s="1">
        <f ca="1"/>
        <v>2168.1741938514861</v>
      </c>
      <c r="N67" s="1">
        <f ca="1"/>
        <v>215.52250019546253</v>
      </c>
      <c r="O67" s="1">
        <f ca="1"/>
        <v>63.793470598848437</v>
      </c>
      <c r="P67" s="1">
        <f ca="1"/>
        <v>0.77113414535774782</v>
      </c>
      <c r="Q67" s="90">
        <f ca="1"/>
        <v>1</v>
      </c>
      <c r="R67" s="1">
        <f ca="1"/>
        <v>0.77113414535774782</v>
      </c>
    </row>
    <row r="68" spans="11:18" x14ac:dyDescent="0.25">
      <c r="K68" s="1">
        <f ca="1"/>
        <v>65</v>
      </c>
      <c r="L68" s="1">
        <f ca="1"/>
        <v>88.635871568733947</v>
      </c>
      <c r="M68" s="1">
        <f ca="1"/>
        <v>2100.5765615415244</v>
      </c>
      <c r="N68" s="1">
        <f ca="1"/>
        <v>214.01747067499642</v>
      </c>
      <c r="O68" s="1">
        <f ca="1"/>
        <v>66.845117549728627</v>
      </c>
      <c r="P68" s="1">
        <f ca="1"/>
        <v>0.75415423086230537</v>
      </c>
      <c r="Q68" s="90">
        <f ca="1"/>
        <v>1</v>
      </c>
      <c r="R68" s="1">
        <f ca="1"/>
        <v>0.75415423086230537</v>
      </c>
    </row>
    <row r="69" spans="11:18" x14ac:dyDescent="0.25">
      <c r="K69" s="1">
        <f ca="1"/>
        <v>66</v>
      </c>
      <c r="L69" s="1">
        <f ca="1"/>
        <v>94.967005252214918</v>
      </c>
      <c r="M69" s="1">
        <f ca="1"/>
        <v>2029.8152455918434</v>
      </c>
      <c r="N69" s="1">
        <f ca="1"/>
        <v>212.30056496779687</v>
      </c>
      <c r="O69" s="1">
        <f ca="1"/>
        <v>69.90286309608112</v>
      </c>
      <c r="P69" s="1">
        <f ca="1"/>
        <v>0.73607526014358315</v>
      </c>
      <c r="Q69" s="90">
        <f ca="1"/>
        <v>1</v>
      </c>
      <c r="R69" s="1">
        <f ca="1"/>
        <v>0.73607526014358315</v>
      </c>
    </row>
    <row r="70" spans="11:18" x14ac:dyDescent="0.25">
      <c r="K70" s="1">
        <f ca="1"/>
        <v>67</v>
      </c>
      <c r="L70" s="1">
        <f ca="1"/>
        <v>101.75036277023025</v>
      </c>
      <c r="M70" s="1">
        <f ca="1"/>
        <v>1955.8985972966368</v>
      </c>
      <c r="N70" s="1">
        <f ca="1"/>
        <v>210.3420120666074</v>
      </c>
      <c r="O70" s="1">
        <f ca="1"/>
        <v>72.93737184461169</v>
      </c>
      <c r="P70" s="1">
        <f ca="1"/>
        <v>0.71682665160926029</v>
      </c>
      <c r="Q70" s="90">
        <f ca="1"/>
        <v>1</v>
      </c>
      <c r="R70" s="1">
        <f ca="1"/>
        <v>0.71682665160926029</v>
      </c>
    </row>
    <row r="71" spans="11:18" x14ac:dyDescent="0.25">
      <c r="K71" s="1">
        <f ca="1"/>
        <v>68</v>
      </c>
      <c r="L71" s="1">
        <f ca="1"/>
        <v>109.01824582524669</v>
      </c>
      <c r="M71" s="1">
        <f ca="1"/>
        <v>1878.8704396984442</v>
      </c>
      <c r="N71" s="1">
        <f ca="1"/>
        <v>208.10395902453874</v>
      </c>
      <c r="O71" s="1">
        <f ca="1"/>
        <v>75.909131077158136</v>
      </c>
      <c r="P71" s="1">
        <f ca="1"/>
        <v>0.69629749132854724</v>
      </c>
      <c r="Q71" s="90">
        <f ca="1"/>
        <v>1</v>
      </c>
      <c r="R71" s="1">
        <f ca="1"/>
        <v>0.69629749132854724</v>
      </c>
    </row>
    <row r="72" spans="11:18" x14ac:dyDescent="0.25">
      <c r="K72" s="1">
        <f ca="1"/>
        <v>69</v>
      </c>
      <c r="L72" s="1">
        <f ca="1"/>
        <v>116.80526338419286</v>
      </c>
      <c r="M72" s="1">
        <f ca="1"/>
        <v>1798.8194500743396</v>
      </c>
      <c r="N72" s="1">
        <f ca="1"/>
        <v>205.54351453598068</v>
      </c>
      <c r="O72" s="1">
        <f ca="1"/>
        <v>78.770767379825628</v>
      </c>
      <c r="P72" s="1">
        <f ca="1"/>
        <v>0.67437686537065422</v>
      </c>
      <c r="Q72" s="90">
        <f ca="1"/>
        <v>1</v>
      </c>
      <c r="R72" s="1">
        <f ca="1"/>
        <v>0.67437686537065422</v>
      </c>
    </row>
    <row r="73" spans="11:18" x14ac:dyDescent="0.25">
      <c r="K73" s="1">
        <f ca="1"/>
        <v>70</v>
      </c>
      <c r="L73" s="1">
        <f ca="1"/>
        <v>125.14849648306375</v>
      </c>
      <c r="M73" s="1">
        <f ca="1"/>
        <v>1715.8866143922021</v>
      </c>
      <c r="N73" s="1">
        <f ca="1"/>
        <v>202.61468437205801</v>
      </c>
      <c r="O73" s="1">
        <f ca="1"/>
        <v>81.468420600176245</v>
      </c>
      <c r="P73" s="1">
        <f ca="1"/>
        <v>0.65097402597402598</v>
      </c>
      <c r="Q73" s="90">
        <f ca="1"/>
        <v>1</v>
      </c>
      <c r="R73" s="1">
        <f ca="1"/>
        <v>0.65097402597402598</v>
      </c>
    </row>
    <row r="74" spans="11:18" x14ac:dyDescent="0.25">
      <c r="K74" s="1">
        <f ca="1"/>
        <v>71</v>
      </c>
      <c r="L74" s="1">
        <f ca="1"/>
        <v>134.08767480328257</v>
      </c>
      <c r="M74" s="1">
        <f ca="1"/>
        <v>1630.2687623454099</v>
      </c>
      <c r="N74" s="1">
        <f ca="1"/>
        <v>199.27520146526498</v>
      </c>
      <c r="O74" s="1">
        <f ca="1"/>
        <v>83.948110593395768</v>
      </c>
      <c r="P74" s="1">
        <f ca="1"/>
        <v>0.62606880696942813</v>
      </c>
      <c r="Q74" s="90">
        <f ca="1"/>
        <v>1</v>
      </c>
      <c r="R74" s="1">
        <f ca="1"/>
        <v>0.62606880696942813</v>
      </c>
    </row>
    <row r="75" spans="11:18" x14ac:dyDescent="0.25">
      <c r="K75" s="1">
        <f ca="1"/>
        <v>72</v>
      </c>
      <c r="L75" s="1">
        <f ca="1"/>
        <v>143.66536586065988</v>
      </c>
      <c r="M75" s="1">
        <f ca="1"/>
        <v>1542.2183896162069</v>
      </c>
      <c r="N75" s="1">
        <f ca="1"/>
        <v>195.48713850925117</v>
      </c>
      <c r="O75" s="1">
        <f ca="1"/>
        <v>86.156341251195926</v>
      </c>
      <c r="P75" s="1">
        <f ca="1"/>
        <v>0.59970154069532955</v>
      </c>
      <c r="Q75" s="90">
        <f ca="1"/>
        <v>1</v>
      </c>
      <c r="R75" s="1">
        <f ca="1"/>
        <v>0.59970154069532955</v>
      </c>
    </row>
    <row r="76" spans="11:18" x14ac:dyDescent="0.25">
      <c r="K76" s="1">
        <f ca="1"/>
        <v>73</v>
      </c>
      <c r="L76" s="1">
        <f ca="1"/>
        <v>153.92717770784986</v>
      </c>
      <c r="M76" s="1">
        <f ca="1"/>
        <v>1452.0459876836878</v>
      </c>
      <c r="N76" s="1">
        <f ca="1"/>
        <v>191.21121112172671</v>
      </c>
      <c r="O76" s="1">
        <f ca="1"/>
        <v>88.034438238756877</v>
      </c>
      <c r="P76" s="1">
        <f ca="1"/>
        <v>0.57192264257481651</v>
      </c>
      <c r="Q76" s="90">
        <f ca="1"/>
        <v>1</v>
      </c>
      <c r="R76" s="1">
        <f ca="1"/>
        <v>0.57192264257481651</v>
      </c>
    </row>
    <row r="77" spans="11:18" x14ac:dyDescent="0.25">
      <c r="K77" s="1">
        <f ca="1"/>
        <v>74</v>
      </c>
      <c r="L77" s="1">
        <f ca="1"/>
        <v>164.92197611555338</v>
      </c>
      <c r="M77" s="1">
        <f ca="1"/>
        <v>1360.1246350001816</v>
      </c>
      <c r="N77" s="1">
        <f ca="1"/>
        <v>186.40869169140367</v>
      </c>
      <c r="O77" s="1">
        <f ca="1"/>
        <v>89.520092968345025</v>
      </c>
      <c r="P77" s="1">
        <f ca="1"/>
        <v>0.54280269420020977</v>
      </c>
      <c r="Q77" s="90">
        <f ca="1"/>
        <v>1</v>
      </c>
      <c r="R77" s="1">
        <f ca="1"/>
        <v>0.54280269420020977</v>
      </c>
    </row>
    <row r="78" spans="11:18" x14ac:dyDescent="0.25">
      <c r="K78" s="1">
        <f ca="1"/>
        <v>75</v>
      </c>
      <c r="L78" s="1">
        <f ca="1"/>
        <v>176.70211726666432</v>
      </c>
      <c r="M78" s="1">
        <f ca="1"/>
        <v>1266.8952751944273</v>
      </c>
      <c r="N78" s="1">
        <f ca="1"/>
        <v>181.03864065645843</v>
      </c>
      <c r="O78" s="1">
        <f ca="1"/>
        <v>90.544334288281576</v>
      </c>
      <c r="P78" s="1">
        <f ca="1"/>
        <v>0.51241227716382998</v>
      </c>
      <c r="Q78" s="90">
        <f ca="1"/>
        <v>1</v>
      </c>
      <c r="R78" s="1">
        <f ca="1"/>
        <v>0.51241227716382998</v>
      </c>
    </row>
    <row r="79" spans="11:18" x14ac:dyDescent="0.25">
      <c r="K79" s="1">
        <f ca="1"/>
        <v>76</v>
      </c>
      <c r="L79" s="1">
        <f ca="1"/>
        <v>189.32369707142604</v>
      </c>
      <c r="M79" s="1">
        <f ca="1"/>
        <v>1172.8662491720152</v>
      </c>
      <c r="N79" s="1">
        <f ca="1"/>
        <v>175.07311922639263</v>
      </c>
      <c r="O79" s="1">
        <f ca="1"/>
        <v>91.046265307378746</v>
      </c>
      <c r="P79" s="1">
        <f ca="1"/>
        <v>0.48090263773493591</v>
      </c>
      <c r="Q79" s="90">
        <f ca="1"/>
        <v>1</v>
      </c>
      <c r="R79" s="1">
        <f ca="1"/>
        <v>0.48090263773493586</v>
      </c>
    </row>
    <row r="80" spans="11:18" x14ac:dyDescent="0.25">
      <c r="K80" s="1">
        <f ca="1"/>
        <v>77</v>
      </c>
      <c r="L80" s="1">
        <f ca="1"/>
        <v>202.84681829081356</v>
      </c>
      <c r="M80" s="1">
        <f ca="1"/>
        <v>1078.6086243684033</v>
      </c>
      <c r="N80" s="1">
        <f ca="1"/>
        <v>168.48922888923317</v>
      </c>
      <c r="O80" s="1">
        <f ca="1"/>
        <v>90.965679635031989</v>
      </c>
      <c r="P80" s="1">
        <f ca="1"/>
        <v>0.44844518835202063</v>
      </c>
      <c r="Q80" s="90">
        <f ca="1"/>
        <v>1</v>
      </c>
      <c r="R80" s="1">
        <f ca="1"/>
        <v>0.44844518835202063</v>
      </c>
    </row>
    <row r="81" spans="11:18" x14ac:dyDescent="0.25">
      <c r="K81" s="1">
        <f ca="1"/>
        <v>78</v>
      </c>
      <c r="L81" s="1">
        <f ca="1"/>
        <v>217.33587674015735</v>
      </c>
      <c r="M81" s="1">
        <f ca="1"/>
        <v>984.754658398537</v>
      </c>
      <c r="N81" s="1">
        <f ca="1"/>
        <v>161.27070446818291</v>
      </c>
      <c r="O81" s="1">
        <f ca="1"/>
        <v>90.244703759341149</v>
      </c>
      <c r="P81" s="1">
        <f ca="1"/>
        <v>0.41523150762281191</v>
      </c>
      <c r="Q81" s="90">
        <f ca="1"/>
        <v>1</v>
      </c>
      <c r="R81" s="1">
        <f ca="1"/>
        <v>0.41523150762281197</v>
      </c>
    </row>
    <row r="82" spans="11:18" x14ac:dyDescent="0.25">
      <c r="K82" s="1">
        <f ca="1"/>
        <v>79</v>
      </c>
      <c r="L82" s="1">
        <f ca="1"/>
        <v>232.85986793588282</v>
      </c>
      <c r="M82" s="1">
        <f ca="1"/>
        <v>891.98966966861451</v>
      </c>
      <c r="N82" s="1">
        <f ca="1"/>
        <v>153.41917387229691</v>
      </c>
      <c r="O82" s="1">
        <f ca="1"/>
        <v>88.839223431979505</v>
      </c>
      <c r="P82" s="1">
        <f ca="1"/>
        <v>0.38151367266274105</v>
      </c>
      <c r="Q82" s="90">
        <f ca="1"/>
        <v>1</v>
      </c>
      <c r="R82" s="1">
        <f ca="1"/>
        <v>0.381513672662741</v>
      </c>
    </row>
    <row r="83" spans="11:18" x14ac:dyDescent="0.25">
      <c r="K83" s="1">
        <f ca="1"/>
        <v>80</v>
      </c>
      <c r="L83" s="1">
        <f ca="1"/>
        <v>249.49271564558873</v>
      </c>
      <c r="M83" s="1">
        <f ca="1"/>
        <v>801.03863674279955</v>
      </c>
      <c r="N83" s="1">
        <f ca="1"/>
        <v>144.95147522682774</v>
      </c>
      <c r="O83" s="1">
        <f ca="1"/>
        <v>86.717183603080287</v>
      </c>
      <c r="P83" s="1">
        <f ca="1"/>
        <v>0.34757400984109066</v>
      </c>
      <c r="Q83" s="90">
        <f ca="1"/>
        <v>1</v>
      </c>
      <c r="R83" s="1">
        <f ca="1"/>
        <v>0.3475740098410906</v>
      </c>
    </row>
    <row r="84" spans="11:18" x14ac:dyDescent="0.25">
      <c r="K84" s="1">
        <f ca="1"/>
        <v>81</v>
      </c>
      <c r="L84" s="1">
        <f ca="1"/>
        <v>267.31362390598787</v>
      </c>
      <c r="M84" s="1">
        <f ca="1"/>
        <v>712.65150667164221</v>
      </c>
      <c r="N84" s="1">
        <f ca="1"/>
        <v>135.90319907682772</v>
      </c>
      <c r="O84" s="1">
        <f ca="1"/>
        <v>83.862991996157405</v>
      </c>
      <c r="P84" s="1">
        <f ca="1"/>
        <v>0.31372509478099542</v>
      </c>
      <c r="Q84" s="90">
        <f ca="1"/>
        <v>1</v>
      </c>
      <c r="R84" s="1">
        <f ca="1"/>
        <v>0.31372509478099542</v>
      </c>
    </row>
    <row r="85" spans="11:18" x14ac:dyDescent="0.25">
      <c r="K85" s="1">
        <f ca="1"/>
        <v>82</v>
      </c>
      <c r="L85" s="1">
        <f ca="1"/>
        <v>286.40745418498699</v>
      </c>
      <c r="M85" s="1">
        <f ca="1"/>
        <v>627.58494647360976</v>
      </c>
      <c r="N85" s="1">
        <f ca="1"/>
        <v>126.32990805255537</v>
      </c>
      <c r="O85" s="1">
        <f ca="1"/>
        <v>80.279914685896316</v>
      </c>
      <c r="P85" s="1">
        <f ca="1"/>
        <v>0.28029966927482453</v>
      </c>
      <c r="Q85" s="90">
        <f ca="1"/>
        <v>1</v>
      </c>
      <c r="R85" s="1">
        <f ca="1"/>
        <v>0.28029966927482458</v>
      </c>
    </row>
    <row r="86" spans="11:18" x14ac:dyDescent="0.25">
      <c r="K86" s="1">
        <f ca="1"/>
        <v>83</v>
      </c>
      <c r="L86" s="1">
        <f ca="1"/>
        <v>306.86512948391453</v>
      </c>
      <c r="M86" s="1">
        <f ca="1"/>
        <v>546.57553504762882</v>
      </c>
      <c r="N86" s="1">
        <f ca="1"/>
        <v>116.32034229188281</v>
      </c>
      <c r="O86" s="1">
        <f ca="1"/>
        <v>76.004628545644891</v>
      </c>
      <c r="P86" s="1">
        <f ca="1"/>
        <v>0.24768089053803344</v>
      </c>
      <c r="Q86" s="90">
        <f ca="1"/>
        <v>1</v>
      </c>
      <c r="R86" s="1">
        <f ca="1"/>
        <v>0.24768089053803338</v>
      </c>
    </row>
    <row r="87" spans="11:18" x14ac:dyDescent="0.25">
      <c r="K87" s="1">
        <f ca="1"/>
        <v>84</v>
      </c>
      <c r="L87" s="1">
        <f ca="1"/>
        <v>328.78406730419414</v>
      </c>
      <c r="M87" s="1">
        <f ca="1"/>
        <v>470.31530785322661</v>
      </c>
      <c r="N87" s="1">
        <f ca="1"/>
        <v>105.97373551144811</v>
      </c>
      <c r="O87" s="1">
        <f ca="1"/>
        <v>71.086923804184821</v>
      </c>
      <c r="P87" s="1">
        <f ca="1"/>
        <v>0.21621158344760827</v>
      </c>
      <c r="Q87" s="90">
        <f ca="1"/>
        <v>1</v>
      </c>
      <c r="R87" s="1">
        <f ca="1"/>
        <v>0.2162115834476083</v>
      </c>
    </row>
    <row r="88" spans="11:18" x14ac:dyDescent="0.25">
      <c r="K88" s="1">
        <f ca="1"/>
        <v>85</v>
      </c>
      <c r="L88" s="1">
        <f ca="1"/>
        <v>352.2686435402079</v>
      </c>
      <c r="M88" s="1">
        <f ca="1"/>
        <v>399.42717510484295</v>
      </c>
      <c r="N88" s="1">
        <f ca="1"/>
        <v>95.420878570676592</v>
      </c>
      <c r="O88" s="1">
        <f ca="1"/>
        <v>65.611704277997902</v>
      </c>
      <c r="P88" s="1">
        <f ca="1"/>
        <v>0.18625473904977008</v>
      </c>
      <c r="Q88" s="90">
        <f ca="1"/>
        <v>1</v>
      </c>
      <c r="R88" s="1">
        <f ca="1"/>
        <v>0.18625473904977011</v>
      </c>
    </row>
    <row r="89" spans="11:18" x14ac:dyDescent="0.25">
      <c r="K89" s="1">
        <f ca="1"/>
        <v>86</v>
      </c>
      <c r="L89" s="1">
        <f ca="1"/>
        <v>377.43068950736557</v>
      </c>
      <c r="M89" s="1">
        <f ca="1"/>
        <v>334.43211550623505</v>
      </c>
      <c r="N89" s="1">
        <f ca="1"/>
        <v>84.81448860075416</v>
      </c>
      <c r="O89" s="1">
        <f ca="1"/>
        <v>59.691864613646743</v>
      </c>
      <c r="P89" s="1">
        <f ca="1"/>
        <v>0.15815318222150521</v>
      </c>
      <c r="Q89" s="90">
        <f ca="1"/>
        <v>1</v>
      </c>
      <c r="R89" s="1">
        <f ca="1"/>
        <v>0.15815318222150521</v>
      </c>
    </row>
    <row r="90" spans="11:18" x14ac:dyDescent="0.25">
      <c r="K90" s="1">
        <f ca="1"/>
        <v>87</v>
      </c>
      <c r="L90" s="1">
        <f ca="1"/>
        <v>404.39002447217734</v>
      </c>
      <c r="M90" s="1">
        <f ca="1"/>
        <v>275.72428727813127</v>
      </c>
      <c r="N90" s="1">
        <f ca="1"/>
        <v>74.319006599147073</v>
      </c>
      <c r="O90" s="1">
        <f ca="1"/>
        <v>53.460087227300129</v>
      </c>
      <c r="P90" s="1">
        <f ca="1"/>
        <v>0.13219932241671373</v>
      </c>
      <c r="Q90" s="90">
        <f ca="1"/>
        <v>1</v>
      </c>
      <c r="R90" s="1">
        <f ca="1"/>
        <v>0.13219932241671373</v>
      </c>
    </row>
    <row r="91" spans="11:18" x14ac:dyDescent="0.25">
      <c r="K91" s="1">
        <f ca="1"/>
        <v>88</v>
      </c>
      <c r="L91" s="1">
        <f ca="1"/>
        <v>433.27502622019</v>
      </c>
      <c r="M91" s="1">
        <f ca="1"/>
        <v>223.55268968273003</v>
      </c>
      <c r="N91" s="1">
        <f ca="1"/>
        <v>64.104872017163487</v>
      </c>
      <c r="O91" s="1">
        <f ca="1"/>
        <v>47.064530304409402</v>
      </c>
      <c r="P91" s="1">
        <f ca="1"/>
        <v>0.10862507058159232</v>
      </c>
      <c r="Q91" s="90">
        <f ca="1"/>
        <v>1</v>
      </c>
      <c r="R91" s="1">
        <f ca="1"/>
        <v>0.10862507058159232</v>
      </c>
    </row>
    <row r="92" spans="11:18" x14ac:dyDescent="0.25">
      <c r="K92" s="1">
        <f ca="1"/>
        <v>89</v>
      </c>
      <c r="L92" s="1">
        <f ca="1"/>
        <v>464.2232423787749</v>
      </c>
      <c r="M92" s="1">
        <f ca="1"/>
        <v>178.00146274063673</v>
      </c>
      <c r="N92" s="1">
        <f ca="1"/>
        <v>54.354760963330008</v>
      </c>
      <c r="O92" s="1">
        <f ca="1"/>
        <v>40.676171415176583</v>
      </c>
      <c r="P92" s="1">
        <f ca="1"/>
        <v>8.7622005323868657E-2</v>
      </c>
      <c r="Q92" s="90">
        <f ca="1"/>
        <v>1</v>
      </c>
      <c r="R92" s="1">
        <f ca="1"/>
        <v>8.7622005323868685E-2</v>
      </c>
    </row>
    <row r="93" spans="11:18" x14ac:dyDescent="0.25">
      <c r="K93" s="1">
        <f ca="1"/>
        <v>90</v>
      </c>
      <c r="L93" s="1">
        <f ca="1"/>
        <v>497.38204540583007</v>
      </c>
      <c r="M93" s="1">
        <f ca="1"/>
        <v>138.98112511580757</v>
      </c>
      <c r="N93" s="1">
        <f ca="1"/>
        <v>45.232211751895754</v>
      </c>
      <c r="O93" s="1">
        <f ca="1"/>
        <v>34.459063019112065</v>
      </c>
      <c r="P93" s="1">
        <f ca="1"/>
        <v>6.9280874405098003E-2</v>
      </c>
      <c r="Q93" s="90">
        <f ca="1"/>
        <v>1</v>
      </c>
      <c r="R93" s="1">
        <f ca="1"/>
        <v>6.9280874405098003E-2</v>
      </c>
    </row>
    <row r="94" spans="11:18" x14ac:dyDescent="0.25">
      <c r="K94" s="1">
        <f ca="1"/>
        <v>91</v>
      </c>
      <c r="L94" s="1">
        <f ca="1"/>
        <v>532.90933436338935</v>
      </c>
      <c r="M94" s="1">
        <f ca="1"/>
        <v>106.24118224378077</v>
      </c>
      <c r="N94" s="1">
        <f ca="1"/>
        <v>36.87124816928069</v>
      </c>
      <c r="O94" s="1">
        <f ca="1"/>
        <v>28.559461080719295</v>
      </c>
      <c r="P94" s="1">
        <f ca="1"/>
        <v>5.3591594740663107E-2</v>
      </c>
      <c r="Q94" s="1">
        <f ca="1"/>
        <v>1</v>
      </c>
      <c r="R94" s="1">
        <f ca="1"/>
        <v>5.3591594740663065E-2</v>
      </c>
    </row>
    <row r="95" spans="11:18" x14ac:dyDescent="0.25">
      <c r="K95" s="1">
        <f ca="1"/>
        <v>92</v>
      </c>
      <c r="L95" s="1">
        <f ca="1"/>
        <v>570.97428681791712</v>
      </c>
      <c r="M95" s="1">
        <f ca="1"/>
        <v>79.381049397638606</v>
      </c>
      <c r="N95" s="1">
        <f ca="1"/>
        <v>29.392668688595052</v>
      </c>
      <c r="O95" s="1">
        <f ca="1"/>
        <v>23.120843105799324</v>
      </c>
      <c r="P95" s="1">
        <f ca="1"/>
        <v>4.0493667822860346E-2</v>
      </c>
      <c r="Q95" s="1">
        <f ca="1"/>
        <v>1</v>
      </c>
      <c r="R95" s="1">
        <f ca="1"/>
        <v>4.0493667822860367E-2</v>
      </c>
    </row>
    <row r="96" spans="11:18" x14ac:dyDescent="0.25">
      <c r="K96" s="1">
        <f ca="1"/>
        <v>93</v>
      </c>
      <c r="L96" s="1">
        <f ca="1"/>
        <v>611.75816444776831</v>
      </c>
      <c r="M96" s="1">
        <f ca="1"/>
        <v>57.868721833393288</v>
      </c>
      <c r="N96" s="1">
        <f ca="1"/>
        <v>22.872660018944259</v>
      </c>
      <c r="O96" s="1">
        <f ca="1"/>
        <v>18.252323229419911</v>
      </c>
      <c r="P96" s="1">
        <f ca="1"/>
        <v>2.983584738243128E-2</v>
      </c>
      <c r="Q96" s="1">
        <f ca="1"/>
        <v>1</v>
      </c>
      <c r="R96" s="1">
        <f ca="1"/>
        <v>2.9835847382431235E-2</v>
      </c>
    </row>
    <row r="97" spans="11:18" x14ac:dyDescent="0.25">
      <c r="K97" s="1">
        <f ca="1"/>
        <v>94</v>
      </c>
      <c r="L97" s="1">
        <f ca="1"/>
        <v>655.45517619403722</v>
      </c>
      <c r="M97" s="1">
        <f ca="1"/>
        <v>41.07853191727493</v>
      </c>
      <c r="N97" s="1">
        <f ca="1"/>
        <v>17.340918645281167</v>
      </c>
      <c r="O97" s="1">
        <f ca="1"/>
        <v>14.024319229286805</v>
      </c>
      <c r="P97" s="1">
        <f ca="1"/>
        <v>2.1396305557796258E-2</v>
      </c>
      <c r="Q97" s="1">
        <f ca="1"/>
        <v>1</v>
      </c>
      <c r="R97" s="1">
        <f ca="1"/>
        <v>2.1396305557796241E-2</v>
      </c>
    </row>
    <row r="98" spans="11:18" x14ac:dyDescent="0.25">
      <c r="K98" s="1">
        <f ca="1"/>
        <v>95</v>
      </c>
      <c r="L98" s="1">
        <f ca="1"/>
        <v>702.27340306503982</v>
      </c>
      <c r="M98" s="1">
        <f ca="1"/>
        <v>28.336124592765593</v>
      </c>
      <c r="N98" s="1">
        <f ca="1"/>
        <v>12.773620660113837</v>
      </c>
      <c r="O98" s="1">
        <f ca="1"/>
        <v>10.458758331925674</v>
      </c>
      <c r="P98" s="1">
        <f ca="1"/>
        <v>1.4892715979672455E-2</v>
      </c>
      <c r="Q98" s="1">
        <f ca="1"/>
        <v>1</v>
      </c>
      <c r="R98" s="1">
        <f ca="1"/>
        <v>1.4892715979672502E-2</v>
      </c>
    </row>
    <row r="99" spans="11:18" x14ac:dyDescent="0.25">
      <c r="K99" s="1">
        <f ca="1"/>
        <v>96</v>
      </c>
      <c r="L99" s="1">
        <f ca="1"/>
        <v>752.43578899825684</v>
      </c>
      <c r="M99" s="1">
        <f ca="1"/>
        <v>18.951161789357069</v>
      </c>
      <c r="N99" s="1">
        <f ca="1"/>
        <v>9.1319212699472931</v>
      </c>
      <c r="O99" s="1">
        <f ca="1"/>
        <v>7.5641131083252491</v>
      </c>
      <c r="P99" s="1">
        <f ca="1"/>
        <v>1.0052835363394408E-2</v>
      </c>
      <c r="Q99" s="1">
        <f ca="1"/>
        <v>1</v>
      </c>
      <c r="R99" s="1">
        <f ca="1"/>
        <v>1.005283536339437E-2</v>
      </c>
    </row>
    <row r="100" spans="11:18" x14ac:dyDescent="0.25">
      <c r="K100" s="1">
        <f ca="1"/>
        <v>97</v>
      </c>
      <c r="L100" s="1">
        <f ca="1"/>
        <v>806.18120249813228</v>
      </c>
      <c r="M100" s="1">
        <f ca="1"/>
        <v>12.257100521941439</v>
      </c>
      <c r="N100" s="1">
        <f ca="1"/>
        <v>6.3112300012244527</v>
      </c>
      <c r="O100" s="1">
        <f ca="1"/>
        <v>5.2837156330542108</v>
      </c>
      <c r="P100" s="1">
        <f ca="1"/>
        <v>6.5540050012099504E-3</v>
      </c>
      <c r="Q100" s="1">
        <f ca="1"/>
        <v>1</v>
      </c>
      <c r="R100" s="1">
        <f ca="1"/>
        <v>6.5540050012099704E-3</v>
      </c>
    </row>
    <row r="101" spans="11:18" x14ac:dyDescent="0.25">
      <c r="K101" s="1">
        <f ca="1"/>
        <v>98</v>
      </c>
      <c r="L101" s="1">
        <f ca="1"/>
        <v>863.76557410514158</v>
      </c>
      <c r="M101" s="1">
        <f ca="1"/>
        <v>7.64110719416332</v>
      </c>
      <c r="N101" s="1">
        <f ca="1"/>
        <v>4.2209688716645282</v>
      </c>
      <c r="O101" s="1">
        <f ca="1"/>
        <v>3.5708627629981571</v>
      </c>
      <c r="P101" s="1">
        <f ca="1"/>
        <v>4.1340646930708713E-3</v>
      </c>
      <c r="Q101" s="1">
        <f ca="1"/>
        <v>1</v>
      </c>
      <c r="R101" s="1">
        <f ca="1"/>
        <v>4.1340646930709043E-3</v>
      </c>
    </row>
    <row r="102" spans="11:18" x14ac:dyDescent="0.25">
      <c r="K102" s="1">
        <f ca="1"/>
        <v>99</v>
      </c>
      <c r="L102" s="1">
        <f ca="1"/>
        <v>925.46311511265151</v>
      </c>
      <c r="M102" s="1">
        <f ca="1"/>
        <v>4.5710361601222385</v>
      </c>
      <c r="N102" s="1">
        <f ca="1"/>
        <v>2.7092621618935007</v>
      </c>
      <c r="O102" s="1">
        <f ca="1"/>
        <v>2.3142176791555689</v>
      </c>
      <c r="P102" s="1">
        <f ca="1"/>
        <v>2.5006049850769818E-3</v>
      </c>
      <c r="Q102" s="1">
        <f ca="1"/>
        <v>1</v>
      </c>
      <c r="R102" s="1">
        <f ca="1"/>
        <v>2.5006049850770347E-3</v>
      </c>
    </row>
    <row r="103" spans="11:18" x14ac:dyDescent="0.25">
      <c r="K103" s="1">
        <f ca="1"/>
        <v>100</v>
      </c>
      <c r="L103" s="1">
        <f ca="1"/>
        <v>991.56762333498364</v>
      </c>
      <c r="M103" s="1">
        <f ca="1"/>
        <v>2.6114163511598312</v>
      </c>
      <c r="N103" s="1">
        <f ca="1"/>
        <v>1.6694638959135246</v>
      </c>
      <c r="O103" s="1">
        <f ca="1"/>
        <v>1.4397206759724188</v>
      </c>
      <c r="P103" s="1">
        <f ca="1"/>
        <v>1.4519641848834697E-3</v>
      </c>
      <c r="Q103" s="1">
        <f ca="1"/>
        <v>1</v>
      </c>
      <c r="R103" s="1">
        <f ca="1"/>
        <v>1.4519641848834395E-3</v>
      </c>
    </row>
    <row r="104" spans="11:18" x14ac:dyDescent="0.25">
      <c r="K104" s="1">
        <f ca="1"/>
        <v>101</v>
      </c>
      <c r="L104" s="1">
        <f ca="1"/>
        <v>1062.3938821446252</v>
      </c>
      <c r="M104" s="1">
        <f ca="1"/>
        <v>1.406293017477565</v>
      </c>
      <c r="N104" s="1">
        <f ca="1"/>
        <v>0.99459482905144592</v>
      </c>
      <c r="O104" s="1">
        <f ca="1"/>
        <v>0.86768880025122708</v>
      </c>
      <c r="P104" s="1">
        <f ca="1"/>
        <v>8.1672985399694475E-4</v>
      </c>
      <c r="Q104" s="1">
        <f ca="1"/>
        <v>1</v>
      </c>
      <c r="R104" s="1">
        <f ca="1"/>
        <v>8.1672985399693478E-4</v>
      </c>
    </row>
    <row r="105" spans="11:18" x14ac:dyDescent="0.25">
      <c r="K105" s="1">
        <f ca="1"/>
        <v>102</v>
      </c>
      <c r="L105" s="1">
        <f ca="1"/>
        <v>1138.2791594406694</v>
      </c>
      <c r="M105" s="1">
        <f ca="1"/>
        <v>0.69469638235088982</v>
      </c>
      <c r="N105" s="1">
        <f ca="1"/>
        <v>0.5584549559093106</v>
      </c>
      <c r="O105" s="1">
        <f ca="1"/>
        <v>0.49352669855560755</v>
      </c>
      <c r="P105" s="1">
        <f ca="1"/>
        <v>4.3357263854160166E-4</v>
      </c>
      <c r="Q105" s="1">
        <f ca="1"/>
        <v>1</v>
      </c>
      <c r="R105" s="1">
        <f ca="1"/>
        <v>4.3357263854158263E-4</v>
      </c>
    </row>
    <row r="106" spans="11:18" x14ac:dyDescent="0.25">
      <c r="K106" s="1">
        <f ca="1"/>
        <v>103</v>
      </c>
      <c r="L106" s="1">
        <f ca="1"/>
        <v>1219.5848136864315</v>
      </c>
      <c r="M106" s="1">
        <f ca="1"/>
        <v>0.29503813393584061</v>
      </c>
      <c r="N106" s="1">
        <f ca="1"/>
        <v>0.30021424154882137</v>
      </c>
      <c r="O106" s="1">
        <f ca="1"/>
        <v>0.27053789123480459</v>
      </c>
      <c r="P106" s="1">
        <f ca="1"/>
        <v>2.2182786157942669E-4</v>
      </c>
      <c r="Q106" s="1">
        <f ca="1"/>
        <v>1</v>
      </c>
      <c r="R106" s="1">
        <f ca="1"/>
        <v>2.2182786157941438E-4</v>
      </c>
    </row>
    <row r="107" spans="11:18" x14ac:dyDescent="0.25">
      <c r="K107" s="1">
        <f ca="1"/>
        <v>104</v>
      </c>
      <c r="L107" s="1">
        <f ca="1"/>
        <v>1306.6980146640337</v>
      </c>
      <c r="M107" s="1">
        <f ca="1"/>
        <v>7.7641614193623171E-2</v>
      </c>
      <c r="N107" s="1">
        <f ca="1"/>
        <v>0.15528322838724634</v>
      </c>
      <c r="O107" s="1">
        <f ca="1"/>
        <v>0.14493101316142992</v>
      </c>
      <c r="P107" s="1">
        <f ca="1"/>
        <v>1.1091393078965783E-4</v>
      </c>
      <c r="Q107" s="1">
        <f ca="1"/>
        <v>1</v>
      </c>
      <c r="R107" s="1">
        <f ca="1"/>
        <v>1.1091393078970719E-4</v>
      </c>
    </row>
    <row r="108" spans="11:18" x14ac:dyDescent="0.25">
      <c r="K108" s="1">
        <f ca="1"/>
        <v>105</v>
      </c>
      <c r="L108" s="1">
        <f ca="1"/>
        <v>1400.0335871400359</v>
      </c>
      <c r="P108" s="1">
        <f ca="1"/>
        <v>0</v>
      </c>
      <c r="Q108" s="1">
        <f ca="1"/>
        <v>1</v>
      </c>
      <c r="R108" s="1">
        <f ca="1"/>
        <v>0</v>
      </c>
    </row>
    <row r="109" spans="11:18" x14ac:dyDescent="0.25"/>
    <row r="110" spans="11:18" x14ac:dyDescent="0.25"/>
    <row r="111" spans="11:18" x14ac:dyDescent="0.25"/>
    <row r="112" spans="11:18" x14ac:dyDescent="0.25"/>
    <row r="113" x14ac:dyDescent="0.25"/>
    <row r="114" x14ac:dyDescent="0.25"/>
    <row r="115" x14ac:dyDescent="0.25"/>
  </sheetData>
  <conditionalFormatting sqref="M1:AD1048576">
    <cfRule type="expression" dxfId="15" priority="4" stopIfTrue="1">
      <formula>_contin="Fixed term"</formula>
    </cfRule>
  </conditionalFormatting>
  <conditionalFormatting sqref="D1:D3 D20:D28 D5:D13 D38:D1048576">
    <cfRule type="expression" dxfId="14" priority="2" stopIfTrue="1">
      <formula>$C1=""</formula>
    </cfRule>
  </conditionalFormatting>
  <conditionalFormatting sqref="K1:K1048576">
    <cfRule type="notContainsBlanks" dxfId="13" priority="8">
      <formula>LEN(TRIM(K1))&gt;0</formula>
    </cfRule>
  </conditionalFormatting>
  <conditionalFormatting sqref="A3:XFD3">
    <cfRule type="expression" dxfId="12" priority="7">
      <formula>ISNUMBER(A$3)</formula>
    </cfRule>
  </conditionalFormatting>
  <conditionalFormatting sqref="L1:AD1048576">
    <cfRule type="expression" dxfId="11" priority="45">
      <formula>AND(ISODD($K1),L$2&lt;&gt;"")</formula>
    </cfRule>
  </conditionalFormatting>
  <conditionalFormatting sqref="R1:AD1048576">
    <cfRule type="expression" dxfId="10" priority="5" stopIfTrue="1">
      <formula>COUNTA(_ages)&lt;=1</formula>
    </cfRule>
  </conditionalFormatting>
  <conditionalFormatting sqref="D29:D37">
    <cfRule type="expression" dxfId="9" priority="47" stopIfTrue="1">
      <formula>$A8=""</formula>
    </cfRule>
  </conditionalFormatting>
  <conditionalFormatting sqref="D12">
    <cfRule type="expression" dxfId="8" priority="53" stopIfTrue="1">
      <formula>$A4=""</formula>
    </cfRule>
  </conditionalFormatting>
  <dataValidations count="6">
    <dataValidation type="list" allowBlank="1" showInputMessage="1" showErrorMessage="1" sqref="D5" xr:uid="{4B3285BA-CB37-43B2-97AA-574D97DED462}">
      <formula1>"Annuity,Unitrust"</formula1>
    </dataValidation>
    <dataValidation type="list" allowBlank="1" showInputMessage="1" showErrorMessage="1" sqref="D7" xr:uid="{8987B6A9-6445-4A85-8894-9E164FD90BE9}">
      <formula1>"Life only,Shorter-of,Longer-of"</formula1>
    </dataValidation>
    <dataValidation type="list" allowBlank="1" showInputMessage="1" showErrorMessage="1" sqref="D12" xr:uid="{4858C547-E861-4BC8-8387-099182997142}">
      <formula1>_dd</formula1>
    </dataValidation>
    <dataValidation type="list" allowBlank="1" showInputMessage="1" showErrorMessage="1" sqref="D11" xr:uid="{A6EB19CD-0D25-4F20-B333-56AB39A3FFC5}">
      <formula1>"Annual,Semiannual,Quarterly,Monthly,Weekly"</formula1>
    </dataValidation>
    <dataValidation type="list" allowBlank="1" showInputMessage="1" showErrorMessage="1" sqref="D6" xr:uid="{E0D5FA9B-39D0-4E0C-9F53-4AE9AB6F43F9}">
      <formula1>"Fixed term,Last-to-die,First-to-die"</formula1>
    </dataValidation>
    <dataValidation type="list" allowBlank="1" showInputMessage="1" showErrorMessage="1" sqref="O1" xr:uid="{AA735C0E-BEDA-4C1F-B307-4873414359E9}">
      <formula1>"Lx,tPx,tQx"</formula1>
    </dataValidation>
  </dataValidation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0E00A-BAE1-4B19-B113-5EDDCC0A1446}">
  <dimension ref="A1:S65"/>
  <sheetViews>
    <sheetView topLeftCell="A2" workbookViewId="0">
      <selection activeCell="H16" sqref="H16"/>
    </sheetView>
  </sheetViews>
  <sheetFormatPr defaultRowHeight="13.8" x14ac:dyDescent="0.25"/>
  <cols>
    <col min="1" max="1" width="4.69921875" style="85" customWidth="1"/>
    <col min="2" max="2" width="6.5" style="86" bestFit="1" customWidth="1"/>
    <col min="3" max="8" width="5.5" style="89" customWidth="1"/>
    <col min="9" max="9" width="6.69921875" style="81" customWidth="1"/>
    <col min="10" max="13" width="5.5" style="81" customWidth="1"/>
    <col min="14" max="14" width="51.19921875" customWidth="1"/>
    <col min="15" max="15" width="18.296875" bestFit="1" customWidth="1"/>
    <col min="16" max="16" width="11.19921875" customWidth="1"/>
    <col min="17" max="17" width="6.59765625" customWidth="1"/>
    <col min="18" max="18" width="6.19921875" customWidth="1"/>
    <col min="19" max="19" width="21.796875" customWidth="1"/>
    <col min="20" max="20" width="1.59765625" customWidth="1"/>
  </cols>
  <sheetData>
    <row r="1" spans="2:19" x14ac:dyDescent="0.25">
      <c r="C1" s="86"/>
      <c r="D1" s="86"/>
      <c r="E1" s="86"/>
      <c r="F1" s="86"/>
      <c r="G1" s="86"/>
      <c r="H1" s="86"/>
      <c r="J1" s="81" t="s">
        <v>157</v>
      </c>
      <c r="R1" t="s">
        <v>151</v>
      </c>
    </row>
    <row r="2" spans="2:19" x14ac:dyDescent="0.25">
      <c r="B2" s="87" t="s">
        <v>160</v>
      </c>
      <c r="C2" s="88" cm="1">
        <f t="array" ref="C2">_ages</f>
        <v>5</v>
      </c>
      <c r="D2" s="88"/>
      <c r="E2" s="88"/>
      <c r="F2" s="88"/>
      <c r="G2" s="88"/>
      <c r="H2" s="88"/>
      <c r="I2" s="82"/>
      <c r="J2" s="84" t="s">
        <v>158</v>
      </c>
      <c r="K2" s="82"/>
      <c r="L2" s="82"/>
      <c r="M2" s="82"/>
      <c r="N2" s="80"/>
      <c r="O2" s="83" t="s">
        <v>154</v>
      </c>
      <c r="P2" s="80"/>
    </row>
    <row r="3" spans="2:19" x14ac:dyDescent="0.25">
      <c r="B3" s="86">
        <v>1</v>
      </c>
      <c r="C3" s="89" cm="1">
        <f t="array" ref="C3:C4">_xlfn.LET(_xlpm.N, COUNTA(_ages), _xlfn.MAKEARRAY(2^_xlpm.N,_xlpm.N,_xlfn.LAMBDA(_xlpm.r,_xlpm.c,VALUE(MID(DEC2BIN(_xlpm.r-1,_xlpm.N),_xlpm.c,1))-1)))</f>
        <v>-1</v>
      </c>
      <c r="J3" s="81" t="s">
        <v>155</v>
      </c>
      <c r="L3" s="81">
        <f>_xlfn.LET(_xlpm.contingency,B3:B66,_xlpm.rowOfOptions,_xlfn.BYROW(_xlfn.ANCHORARRAY(C3),_xlfn.LAMBDA(_xlpm.r,_xlfn.LET(_xlpm.a,0,0))),0)</f>
        <v>0</v>
      </c>
      <c r="R3" t="s">
        <v>144</v>
      </c>
    </row>
    <row r="4" spans="2:19" x14ac:dyDescent="0.25">
      <c r="B4" s="86">
        <v>1</v>
      </c>
      <c r="C4" s="89">
        <v>0</v>
      </c>
      <c r="J4" s="81" t="s">
        <v>156</v>
      </c>
      <c r="R4" t="s">
        <v>147</v>
      </c>
      <c r="S4" t="s">
        <v>146</v>
      </c>
    </row>
    <row r="5" spans="2:19" x14ac:dyDescent="0.25">
      <c r="B5" s="86">
        <v>1</v>
      </c>
      <c r="M5" s="81" t="s">
        <v>84</v>
      </c>
      <c r="N5" t="s">
        <v>159</v>
      </c>
      <c r="S5" t="s">
        <v>145</v>
      </c>
    </row>
    <row r="6" spans="2:19" x14ac:dyDescent="0.25">
      <c r="B6" s="86">
        <v>1</v>
      </c>
    </row>
    <row r="7" spans="2:19" x14ac:dyDescent="0.25">
      <c r="B7" s="86">
        <v>1</v>
      </c>
      <c r="R7" t="s">
        <v>148</v>
      </c>
    </row>
    <row r="8" spans="2:19" x14ac:dyDescent="0.25">
      <c r="B8" s="86">
        <v>1</v>
      </c>
      <c r="Q8" cm="1">
        <f t="array" ref="Q8">TRANSPOSE((_ages))</f>
        <v>5</v>
      </c>
      <c r="R8">
        <v>1</v>
      </c>
    </row>
    <row r="9" spans="2:19" x14ac:dyDescent="0.25">
      <c r="B9" s="86">
        <v>1</v>
      </c>
      <c r="R9">
        <v>2</v>
      </c>
    </row>
    <row r="10" spans="2:19" x14ac:dyDescent="0.25">
      <c r="B10" s="86">
        <v>1</v>
      </c>
      <c r="R10">
        <v>2</v>
      </c>
    </row>
    <row r="11" spans="2:19" x14ac:dyDescent="0.25">
      <c r="B11" s="86">
        <v>1</v>
      </c>
      <c r="R11">
        <v>2</v>
      </c>
    </row>
    <row r="12" spans="2:19" x14ac:dyDescent="0.25">
      <c r="B12" s="86">
        <v>1</v>
      </c>
      <c r="R12">
        <v>2</v>
      </c>
    </row>
    <row r="13" spans="2:19" x14ac:dyDescent="0.25">
      <c r="B13" s="86">
        <v>1</v>
      </c>
    </row>
    <row r="14" spans="2:19" x14ac:dyDescent="0.25">
      <c r="B14" s="86">
        <v>1</v>
      </c>
      <c r="Q14" s="79" t="s">
        <v>149</v>
      </c>
      <c r="R14" s="79" t="s">
        <v>147</v>
      </c>
    </row>
    <row r="15" spans="2:19" x14ac:dyDescent="0.25">
      <c r="Q15">
        <v>1</v>
      </c>
      <c r="R15" t="s">
        <v>150</v>
      </c>
    </row>
    <row r="16" spans="2:19" x14ac:dyDescent="0.25">
      <c r="Q16">
        <v>2</v>
      </c>
      <c r="R16" t="s">
        <v>150</v>
      </c>
    </row>
    <row r="42" spans="2:2" x14ac:dyDescent="0.25">
      <c r="B42" s="86">
        <v>1</v>
      </c>
    </row>
    <row r="43" spans="2:2" x14ac:dyDescent="0.25">
      <c r="B43" s="86">
        <v>1</v>
      </c>
    </row>
    <row r="44" spans="2:2" x14ac:dyDescent="0.25">
      <c r="B44" s="86">
        <v>1</v>
      </c>
    </row>
    <row r="45" spans="2:2" x14ac:dyDescent="0.25">
      <c r="B45" s="86">
        <v>1</v>
      </c>
    </row>
    <row r="46" spans="2:2" x14ac:dyDescent="0.25">
      <c r="B46" s="86">
        <v>1</v>
      </c>
    </row>
    <row r="47" spans="2:2" x14ac:dyDescent="0.25">
      <c r="B47" s="86">
        <v>1</v>
      </c>
    </row>
    <row r="48" spans="2:2" x14ac:dyDescent="0.25">
      <c r="B48" s="86">
        <v>1</v>
      </c>
    </row>
    <row r="49" spans="2:2" x14ac:dyDescent="0.25">
      <c r="B49" s="86">
        <v>1</v>
      </c>
    </row>
    <row r="50" spans="2:2" x14ac:dyDescent="0.25">
      <c r="B50" s="86">
        <v>1</v>
      </c>
    </row>
    <row r="51" spans="2:2" x14ac:dyDescent="0.25">
      <c r="B51" s="86">
        <v>1</v>
      </c>
    </row>
    <row r="52" spans="2:2" x14ac:dyDescent="0.25">
      <c r="B52" s="86">
        <v>1</v>
      </c>
    </row>
    <row r="53" spans="2:2" x14ac:dyDescent="0.25">
      <c r="B53" s="86">
        <v>1</v>
      </c>
    </row>
    <row r="54" spans="2:2" x14ac:dyDescent="0.25">
      <c r="B54" s="86">
        <v>1</v>
      </c>
    </row>
    <row r="55" spans="2:2" x14ac:dyDescent="0.25">
      <c r="B55" s="86">
        <v>1</v>
      </c>
    </row>
    <row r="56" spans="2:2" x14ac:dyDescent="0.25">
      <c r="B56" s="86">
        <v>1</v>
      </c>
    </row>
    <row r="57" spans="2:2" x14ac:dyDescent="0.25">
      <c r="B57" s="86">
        <v>1</v>
      </c>
    </row>
    <row r="58" spans="2:2" x14ac:dyDescent="0.25">
      <c r="B58" s="86">
        <v>1</v>
      </c>
    </row>
    <row r="59" spans="2:2" x14ac:dyDescent="0.25">
      <c r="B59" s="86">
        <v>1</v>
      </c>
    </row>
    <row r="60" spans="2:2" x14ac:dyDescent="0.25">
      <c r="B60" s="86">
        <v>1</v>
      </c>
    </row>
    <row r="61" spans="2:2" x14ac:dyDescent="0.25">
      <c r="B61" s="86">
        <v>1</v>
      </c>
    </row>
    <row r="62" spans="2:2" x14ac:dyDescent="0.25">
      <c r="B62" s="86">
        <v>1</v>
      </c>
    </row>
    <row r="63" spans="2:2" x14ac:dyDescent="0.25">
      <c r="B63" s="86">
        <v>1</v>
      </c>
    </row>
    <row r="64" spans="2:2" x14ac:dyDescent="0.25">
      <c r="B64" s="86">
        <v>1</v>
      </c>
    </row>
    <row r="65" spans="2:2" x14ac:dyDescent="0.25">
      <c r="B65" s="86">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87782-6FA3-4E73-A011-BFCF8FF9B2D6}">
  <sheetPr codeName="Sheet2"/>
  <dimension ref="B1:V114"/>
  <sheetViews>
    <sheetView topLeftCell="H1" workbookViewId="0">
      <selection activeCell="Q3" sqref="Q3"/>
    </sheetView>
  </sheetViews>
  <sheetFormatPr defaultRowHeight="13.8" x14ac:dyDescent="0.25"/>
  <cols>
    <col min="1" max="1" width="2.69921875" customWidth="1"/>
    <col min="2" max="2" width="9.09765625" style="52" customWidth="1"/>
    <col min="3" max="3" width="9.796875" style="59" bestFit="1" customWidth="1"/>
    <col min="4" max="4" width="10.09765625" style="58" customWidth="1"/>
    <col min="5" max="5" width="9.296875" style="58" customWidth="1"/>
    <col min="6" max="6" width="11.296875" style="58" customWidth="1"/>
    <col min="7" max="7" width="24.796875" style="58" customWidth="1"/>
    <col min="8" max="8" width="2.8984375" customWidth="1"/>
    <col min="9" max="9" width="9.59765625" style="13" customWidth="1"/>
    <col min="10" max="10" width="3.796875" style="11" bestFit="1" customWidth="1"/>
    <col min="11" max="11" width="9" style="11" customWidth="1"/>
    <col min="12" max="12" width="9.19921875" style="11" customWidth="1"/>
    <col min="13" max="17" width="9.796875" style="11" customWidth="1"/>
    <col min="18" max="22" width="9.796875" style="13" customWidth="1"/>
  </cols>
  <sheetData>
    <row r="1" spans="2:22" x14ac:dyDescent="0.25">
      <c r="J1" s="51"/>
      <c r="O1" s="50"/>
    </row>
    <row r="2" spans="2:22" s="52" customFormat="1" ht="28.95" customHeight="1" x14ac:dyDescent="0.3">
      <c r="B2" s="60" t="s">
        <v>108</v>
      </c>
      <c r="C2" s="61" t="s">
        <v>118</v>
      </c>
      <c r="D2" s="61" t="s">
        <v>119</v>
      </c>
      <c r="E2" s="61" t="s">
        <v>121</v>
      </c>
      <c r="F2" s="61" t="s">
        <v>120</v>
      </c>
      <c r="G2" s="61" t="s">
        <v>109</v>
      </c>
      <c r="I2" s="53"/>
      <c r="J2" s="53"/>
      <c r="K2" s="53"/>
      <c r="L2" s="53"/>
      <c r="M2" s="53" t="s">
        <v>86</v>
      </c>
      <c r="N2" s="53" t="s">
        <v>87</v>
      </c>
      <c r="O2" s="53"/>
      <c r="P2" s="53"/>
      <c r="Q2" s="53" t="s">
        <v>88</v>
      </c>
      <c r="R2" s="53"/>
      <c r="S2" s="53" t="s">
        <v>88</v>
      </c>
      <c r="T2" s="53"/>
      <c r="U2" s="53" t="s">
        <v>88</v>
      </c>
      <c r="V2" s="53"/>
    </row>
    <row r="3" spans="2:22" s="52" customFormat="1" x14ac:dyDescent="0.25">
      <c r="B3" s="57">
        <v>14287</v>
      </c>
      <c r="C3" s="62">
        <v>0.04</v>
      </c>
      <c r="D3" s="58" t="s">
        <v>134</v>
      </c>
      <c r="E3" s="58" t="b">
        <v>1</v>
      </c>
      <c r="F3" s="58" t="b">
        <v>0</v>
      </c>
      <c r="G3" s="55" t="s">
        <v>110</v>
      </c>
      <c r="I3" s="76" t="s">
        <v>7</v>
      </c>
      <c r="J3" s="11" t="s">
        <v>1</v>
      </c>
      <c r="K3" s="11" t="s">
        <v>134</v>
      </c>
      <c r="L3" s="11" t="s">
        <v>123</v>
      </c>
      <c r="M3" s="11" t="s">
        <v>124</v>
      </c>
      <c r="N3" s="11" t="s">
        <v>124</v>
      </c>
      <c r="O3" s="11" t="s">
        <v>125</v>
      </c>
      <c r="P3" s="11" t="s">
        <v>81</v>
      </c>
      <c r="Q3" s="11" t="s">
        <v>89</v>
      </c>
      <c r="R3" s="11" t="s">
        <v>80</v>
      </c>
      <c r="S3" s="11" t="s">
        <v>90</v>
      </c>
      <c r="T3" s="11" t="s">
        <v>0</v>
      </c>
      <c r="U3" s="11" t="s">
        <v>91</v>
      </c>
      <c r="V3" s="11" t="s">
        <v>2</v>
      </c>
    </row>
    <row r="4" spans="2:22" x14ac:dyDescent="0.25">
      <c r="B4" s="57">
        <v>18994</v>
      </c>
      <c r="C4" s="62">
        <v>3.5000000000000003E-2</v>
      </c>
      <c r="D4" s="58" t="s">
        <v>123</v>
      </c>
      <c r="E4" s="58" t="b">
        <v>1</v>
      </c>
      <c r="F4" s="58" t="b">
        <v>1</v>
      </c>
      <c r="G4" s="55" t="s">
        <v>111</v>
      </c>
      <c r="I4" s="13" cm="1">
        <f t="array" aca="1" ref="I4:I114" ca="1">OFFSET(_xlfn.ANCHORARRAY($J$4),,MATCH(Estate.ly!$D$13,$K$3:$V$3,0))</f>
        <v>100000</v>
      </c>
      <c r="J4" s="11" cm="1">
        <f t="array" ref="J4:J114">_xlfn.SEQUENCE(111,,0)</f>
        <v>0</v>
      </c>
      <c r="K4" s="20">
        <v>100000</v>
      </c>
      <c r="L4" s="20">
        <v>100000</v>
      </c>
      <c r="M4" s="20">
        <v>100000</v>
      </c>
      <c r="N4" s="20">
        <v>100000</v>
      </c>
      <c r="O4" s="20">
        <v>100000</v>
      </c>
      <c r="P4" s="20">
        <v>100000</v>
      </c>
      <c r="Q4" s="20"/>
      <c r="R4" s="20">
        <v>100000</v>
      </c>
      <c r="S4" s="20"/>
      <c r="T4" s="20">
        <v>100000</v>
      </c>
      <c r="U4" s="20"/>
      <c r="V4" s="20">
        <v>10000</v>
      </c>
    </row>
    <row r="5" spans="2:22" x14ac:dyDescent="0.25">
      <c r="B5" s="57">
        <v>25934</v>
      </c>
      <c r="C5" s="62">
        <v>0.06</v>
      </c>
      <c r="D5" s="58" t="s">
        <v>124</v>
      </c>
      <c r="E5" s="58" t="b">
        <v>0</v>
      </c>
      <c r="F5" s="58" t="b">
        <v>1</v>
      </c>
      <c r="G5" s="55" t="s">
        <v>113</v>
      </c>
      <c r="I5" s="13">
        <f ca="1"/>
        <v>99305</v>
      </c>
      <c r="J5" s="11">
        <v>1</v>
      </c>
      <c r="K5" s="20">
        <v>83667</v>
      </c>
      <c r="L5" s="20">
        <v>95290</v>
      </c>
      <c r="M5" s="20">
        <v>97087</v>
      </c>
      <c r="N5" s="20">
        <v>97744</v>
      </c>
      <c r="O5" s="20">
        <v>97998</v>
      </c>
      <c r="P5" s="20">
        <v>98740</v>
      </c>
      <c r="Q5" s="20"/>
      <c r="R5" s="20">
        <v>99064</v>
      </c>
      <c r="S5" s="20"/>
      <c r="T5" s="20">
        <v>99305</v>
      </c>
      <c r="U5" s="20"/>
      <c r="V5" s="20">
        <v>9938.2279999999992</v>
      </c>
    </row>
    <row r="6" spans="2:22" x14ac:dyDescent="0.25">
      <c r="B6" s="57">
        <v>30651</v>
      </c>
      <c r="C6" s="62">
        <v>0.1</v>
      </c>
      <c r="D6" s="58" t="s">
        <v>125</v>
      </c>
      <c r="E6" s="58" t="b">
        <v>1</v>
      </c>
      <c r="F6" s="58" t="b">
        <v>1</v>
      </c>
      <c r="G6" s="55" t="s">
        <v>112</v>
      </c>
      <c r="I6" s="13">
        <f ca="1"/>
        <v>99255</v>
      </c>
      <c r="J6" s="11">
        <v>2</v>
      </c>
      <c r="K6" s="20">
        <v>76463</v>
      </c>
      <c r="L6" s="20">
        <v>94794</v>
      </c>
      <c r="M6" s="20">
        <v>96911</v>
      </c>
      <c r="N6" s="20">
        <v>97589</v>
      </c>
      <c r="O6" s="20">
        <v>97876</v>
      </c>
      <c r="P6" s="20">
        <v>98648</v>
      </c>
      <c r="Q6" s="20"/>
      <c r="R6" s="20">
        <v>98992</v>
      </c>
      <c r="S6" s="20"/>
      <c r="T6" s="20">
        <v>99255</v>
      </c>
      <c r="U6" s="20"/>
      <c r="V6" s="20">
        <v>9934.116</v>
      </c>
    </row>
    <row r="7" spans="2:22" x14ac:dyDescent="0.25">
      <c r="B7" s="57">
        <v>32629</v>
      </c>
      <c r="C7" s="62" t="s">
        <v>122</v>
      </c>
      <c r="D7" s="58" t="s">
        <v>81</v>
      </c>
      <c r="E7" s="58" t="b">
        <v>1</v>
      </c>
      <c r="F7" s="58" t="b">
        <v>1</v>
      </c>
      <c r="G7" s="55" t="s">
        <v>114</v>
      </c>
      <c r="I7" s="13">
        <f ca="1"/>
        <v>99222</v>
      </c>
      <c r="J7" s="11">
        <v>3</v>
      </c>
      <c r="K7" s="20">
        <v>73750</v>
      </c>
      <c r="L7" s="20">
        <v>94540</v>
      </c>
      <c r="M7" s="20">
        <v>96800</v>
      </c>
      <c r="N7" s="20">
        <v>97498</v>
      </c>
      <c r="O7" s="20">
        <v>97792</v>
      </c>
      <c r="P7" s="20">
        <v>98584</v>
      </c>
      <c r="Q7" s="20"/>
      <c r="R7" s="20">
        <v>98944</v>
      </c>
      <c r="S7" s="20"/>
      <c r="T7" s="20">
        <v>99222</v>
      </c>
      <c r="U7" s="20"/>
      <c r="V7" s="20">
        <v>9931.380000000001</v>
      </c>
    </row>
    <row r="8" spans="2:22" x14ac:dyDescent="0.25">
      <c r="B8" s="57">
        <v>36281</v>
      </c>
      <c r="C8" s="62" t="s">
        <v>122</v>
      </c>
      <c r="D8" s="58" t="s">
        <v>80</v>
      </c>
      <c r="E8" s="58" t="b">
        <v>1</v>
      </c>
      <c r="F8" s="58" t="b">
        <v>1</v>
      </c>
      <c r="G8" s="56" t="s">
        <v>115</v>
      </c>
      <c r="I8" s="13">
        <f ca="1"/>
        <v>99197</v>
      </c>
      <c r="J8" s="11">
        <v>4</v>
      </c>
      <c r="K8" s="20">
        <v>71991</v>
      </c>
      <c r="L8" s="20">
        <v>94363</v>
      </c>
      <c r="M8" s="20">
        <v>96714</v>
      </c>
      <c r="N8" s="20">
        <v>97429</v>
      </c>
      <c r="O8" s="20">
        <v>97724</v>
      </c>
      <c r="P8" s="20">
        <v>98535</v>
      </c>
      <c r="Q8" s="20"/>
      <c r="R8" s="20">
        <v>98907</v>
      </c>
      <c r="S8" s="20"/>
      <c r="T8" s="20">
        <v>99197</v>
      </c>
      <c r="U8" s="20"/>
      <c r="V8" s="20">
        <v>9929.2720000000008</v>
      </c>
    </row>
    <row r="9" spans="2:22" x14ac:dyDescent="0.25">
      <c r="B9" s="57">
        <v>39934</v>
      </c>
      <c r="C9" s="62" t="s">
        <v>122</v>
      </c>
      <c r="D9" s="58" t="s">
        <v>0</v>
      </c>
      <c r="E9" s="58" t="b">
        <v>1</v>
      </c>
      <c r="F9" s="58" t="b">
        <v>1</v>
      </c>
      <c r="G9" s="56" t="s">
        <v>116</v>
      </c>
      <c r="I9" s="13">
        <f ca="1"/>
        <v>99176</v>
      </c>
      <c r="J9" s="11">
        <v>5</v>
      </c>
      <c r="K9" s="20">
        <v>70715</v>
      </c>
      <c r="L9" s="20">
        <v>94220</v>
      </c>
      <c r="M9" s="20">
        <v>96643</v>
      </c>
      <c r="N9" s="20">
        <v>97371</v>
      </c>
      <c r="O9" s="20">
        <v>97668</v>
      </c>
      <c r="P9" s="20">
        <v>98495</v>
      </c>
      <c r="Q9" s="20"/>
      <c r="R9" s="20">
        <v>98877</v>
      </c>
      <c r="S9" s="20"/>
      <c r="T9" s="20">
        <v>99176</v>
      </c>
      <c r="U9" s="20"/>
      <c r="V9" s="20">
        <v>9927.6450000000004</v>
      </c>
    </row>
    <row r="10" spans="2:22" x14ac:dyDescent="0.25">
      <c r="B10" s="57">
        <v>45078</v>
      </c>
      <c r="C10" s="62" t="s">
        <v>122</v>
      </c>
      <c r="D10" s="58" t="s">
        <v>2</v>
      </c>
      <c r="E10" s="58" t="b">
        <v>1</v>
      </c>
      <c r="F10" s="58" t="b">
        <v>1</v>
      </c>
      <c r="G10" s="58" t="s">
        <v>117</v>
      </c>
      <c r="I10" s="13">
        <f ca="1"/>
        <v>99158</v>
      </c>
      <c r="J10" s="11">
        <v>6</v>
      </c>
      <c r="K10" s="20">
        <v>69747</v>
      </c>
      <c r="L10" s="20">
        <v>94095</v>
      </c>
      <c r="M10" s="20">
        <v>96580</v>
      </c>
      <c r="N10" s="20">
        <v>97320</v>
      </c>
      <c r="O10" s="20">
        <v>97619</v>
      </c>
      <c r="P10" s="20">
        <v>98459</v>
      </c>
      <c r="Q10" s="20"/>
      <c r="R10" s="20">
        <v>98850</v>
      </c>
      <c r="S10" s="20"/>
      <c r="T10" s="20">
        <v>99158</v>
      </c>
      <c r="U10" s="20"/>
      <c r="V10" s="20">
        <v>9926.1550000000007</v>
      </c>
    </row>
    <row r="11" spans="2:22" x14ac:dyDescent="0.25">
      <c r="I11" s="13">
        <f ca="1"/>
        <v>99140</v>
      </c>
      <c r="J11" s="11">
        <v>7</v>
      </c>
      <c r="K11" s="20">
        <v>68993</v>
      </c>
      <c r="L11" s="20">
        <v>93985</v>
      </c>
      <c r="M11" s="20">
        <v>96522</v>
      </c>
      <c r="N11" s="20">
        <v>97277</v>
      </c>
      <c r="O11" s="20">
        <v>97573</v>
      </c>
      <c r="P11" s="20">
        <v>98426</v>
      </c>
      <c r="Q11" s="20"/>
      <c r="R11" s="20">
        <v>98826</v>
      </c>
      <c r="S11" s="20"/>
      <c r="T11" s="20">
        <v>99140</v>
      </c>
      <c r="U11" s="20"/>
      <c r="V11" s="20">
        <v>9924.8330000000005</v>
      </c>
    </row>
    <row r="12" spans="2:22" x14ac:dyDescent="0.25">
      <c r="I12" s="13">
        <f ca="1"/>
        <v>99124</v>
      </c>
      <c r="J12" s="11">
        <v>8</v>
      </c>
      <c r="K12" s="20">
        <v>68320</v>
      </c>
      <c r="L12" s="20">
        <v>93887</v>
      </c>
      <c r="M12" s="20">
        <v>96469</v>
      </c>
      <c r="N12" s="20">
        <v>97238</v>
      </c>
      <c r="O12" s="20">
        <v>97531</v>
      </c>
      <c r="P12" s="20">
        <v>98396</v>
      </c>
      <c r="Q12" s="20"/>
      <c r="R12" s="20">
        <v>98803</v>
      </c>
      <c r="S12" s="20"/>
      <c r="T12" s="20">
        <v>99124</v>
      </c>
      <c r="U12" s="20"/>
      <c r="V12" s="20">
        <v>9923.65</v>
      </c>
    </row>
    <row r="13" spans="2:22" x14ac:dyDescent="0.25">
      <c r="I13" s="13">
        <f ca="1"/>
        <v>99110</v>
      </c>
      <c r="J13" s="11">
        <v>9</v>
      </c>
      <c r="K13" s="20">
        <v>67858</v>
      </c>
      <c r="L13" s="20">
        <v>93796</v>
      </c>
      <c r="M13" s="20">
        <v>96420</v>
      </c>
      <c r="N13" s="20">
        <v>97204</v>
      </c>
      <c r="O13" s="20">
        <v>97494</v>
      </c>
      <c r="P13" s="20">
        <v>98370</v>
      </c>
      <c r="Q13" s="20"/>
      <c r="R13" s="20">
        <v>98783</v>
      </c>
      <c r="S13" s="20"/>
      <c r="T13" s="20">
        <v>99110</v>
      </c>
      <c r="U13" s="20"/>
      <c r="V13" s="20">
        <v>9922.6090000000004</v>
      </c>
    </row>
    <row r="14" spans="2:22" x14ac:dyDescent="0.25">
      <c r="I14" s="13">
        <f ca="1"/>
        <v>99097</v>
      </c>
      <c r="J14" s="11">
        <v>10</v>
      </c>
      <c r="K14" s="20">
        <v>67400</v>
      </c>
      <c r="L14" s="20">
        <v>93710</v>
      </c>
      <c r="M14" s="20">
        <v>96375</v>
      </c>
      <c r="N14" s="20">
        <v>97173</v>
      </c>
      <c r="O14" s="20">
        <v>97460</v>
      </c>
      <c r="P14" s="20">
        <v>98347</v>
      </c>
      <c r="Q14" s="20"/>
      <c r="R14" s="20">
        <v>98766</v>
      </c>
      <c r="S14" s="20"/>
      <c r="T14" s="20">
        <v>99097</v>
      </c>
      <c r="U14" s="20"/>
      <c r="V14" s="20">
        <v>9921.7029999999995</v>
      </c>
    </row>
    <row r="15" spans="2:22" x14ac:dyDescent="0.25">
      <c r="I15" s="13">
        <f ca="1"/>
        <v>99085</v>
      </c>
      <c r="J15" s="11">
        <v>11</v>
      </c>
      <c r="K15" s="20">
        <v>66945</v>
      </c>
      <c r="L15" s="20">
        <v>93626</v>
      </c>
      <c r="M15" s="20">
        <v>96333</v>
      </c>
      <c r="N15" s="20">
        <v>97144</v>
      </c>
      <c r="O15" s="20">
        <v>97430</v>
      </c>
      <c r="P15" s="20">
        <v>98328</v>
      </c>
      <c r="Q15" s="20"/>
      <c r="R15" s="20">
        <v>98750</v>
      </c>
      <c r="S15" s="20"/>
      <c r="T15" s="20">
        <v>99085</v>
      </c>
      <c r="U15" s="20"/>
      <c r="V15" s="20">
        <v>9920.880000000001</v>
      </c>
    </row>
    <row r="16" spans="2:22" x14ac:dyDescent="0.25">
      <c r="I16" s="13">
        <f ca="1"/>
        <v>99073</v>
      </c>
      <c r="J16" s="11">
        <v>12</v>
      </c>
      <c r="K16" s="20">
        <v>66490</v>
      </c>
      <c r="L16" s="20">
        <v>93540</v>
      </c>
      <c r="M16" s="20">
        <v>96290</v>
      </c>
      <c r="N16" s="20">
        <v>97116</v>
      </c>
      <c r="O16" s="20">
        <v>97401</v>
      </c>
      <c r="P16" s="20">
        <v>98309</v>
      </c>
      <c r="Q16" s="20"/>
      <c r="R16" s="20">
        <v>98734</v>
      </c>
      <c r="S16" s="20"/>
      <c r="T16" s="20">
        <v>99073</v>
      </c>
      <c r="U16" s="20"/>
      <c r="V16" s="20">
        <v>9919.9979999999996</v>
      </c>
    </row>
    <row r="17" spans="9:22" x14ac:dyDescent="0.25">
      <c r="I17" s="13">
        <f ca="1"/>
        <v>99057</v>
      </c>
      <c r="J17" s="11">
        <v>13</v>
      </c>
      <c r="K17" s="20">
        <v>66037</v>
      </c>
      <c r="L17" s="20">
        <v>93449</v>
      </c>
      <c r="M17" s="20">
        <v>96242</v>
      </c>
      <c r="N17" s="20">
        <v>97086</v>
      </c>
      <c r="O17" s="20">
        <v>97367</v>
      </c>
      <c r="P17" s="20">
        <v>98285</v>
      </c>
      <c r="Q17" s="20"/>
      <c r="R17" s="20">
        <v>98713</v>
      </c>
      <c r="S17" s="20"/>
      <c r="T17" s="20">
        <v>99057</v>
      </c>
      <c r="U17" s="20"/>
      <c r="V17" s="20">
        <v>9918.8209999999999</v>
      </c>
    </row>
    <row r="18" spans="9:22" x14ac:dyDescent="0.25">
      <c r="I18" s="13">
        <f ca="1"/>
        <v>99033</v>
      </c>
      <c r="J18" s="11">
        <v>14</v>
      </c>
      <c r="K18" s="20">
        <v>65585</v>
      </c>
      <c r="L18" s="20">
        <v>93349</v>
      </c>
      <c r="M18" s="20">
        <v>96182</v>
      </c>
      <c r="N18" s="20">
        <v>97053</v>
      </c>
      <c r="O18" s="20">
        <v>97322</v>
      </c>
      <c r="P18" s="20">
        <v>98248</v>
      </c>
      <c r="Q18" s="20"/>
      <c r="R18" s="20">
        <v>98681</v>
      </c>
      <c r="S18" s="20"/>
      <c r="T18" s="20">
        <v>99033</v>
      </c>
      <c r="U18" s="20"/>
      <c r="V18" s="20">
        <v>9917.0640000000003</v>
      </c>
    </row>
    <row r="19" spans="9:22" x14ac:dyDescent="0.25">
      <c r="I19" s="13">
        <f ca="1"/>
        <v>98998</v>
      </c>
      <c r="J19" s="11">
        <v>15</v>
      </c>
      <c r="K19" s="20">
        <v>65132</v>
      </c>
      <c r="L19" s="20">
        <v>93235</v>
      </c>
      <c r="M19" s="20">
        <v>96107</v>
      </c>
      <c r="N19" s="20">
        <v>97016</v>
      </c>
      <c r="O19" s="20">
        <v>97261</v>
      </c>
      <c r="P19" s="20">
        <v>98196</v>
      </c>
      <c r="Q19" s="20"/>
      <c r="R19" s="20">
        <v>98635</v>
      </c>
      <c r="S19" s="20"/>
      <c r="T19" s="20">
        <v>98998</v>
      </c>
      <c r="U19" s="20"/>
      <c r="V19" s="20">
        <v>9914.5339999999997</v>
      </c>
    </row>
    <row r="20" spans="9:22" x14ac:dyDescent="0.25">
      <c r="I20" s="13">
        <f ca="1"/>
        <v>98950</v>
      </c>
      <c r="J20" s="11">
        <v>16</v>
      </c>
      <c r="K20" s="20">
        <v>64680</v>
      </c>
      <c r="L20" s="20">
        <v>93105</v>
      </c>
      <c r="M20" s="20">
        <v>96014</v>
      </c>
      <c r="N20" s="20">
        <v>96973</v>
      </c>
      <c r="O20" s="20">
        <v>97181</v>
      </c>
      <c r="P20" s="20">
        <v>98129</v>
      </c>
      <c r="Q20" s="20"/>
      <c r="R20" s="20">
        <v>98573</v>
      </c>
      <c r="S20" s="20"/>
      <c r="T20" s="20">
        <v>98950</v>
      </c>
      <c r="U20" s="20"/>
      <c r="V20" s="20">
        <v>9911.1910000000007</v>
      </c>
    </row>
    <row r="21" spans="9:22" x14ac:dyDescent="0.25">
      <c r="I21" s="13">
        <f ca="1"/>
        <v>98891</v>
      </c>
      <c r="J21" s="11">
        <v>17</v>
      </c>
      <c r="K21" s="20">
        <v>64228</v>
      </c>
      <c r="L21" s="20">
        <v>92959</v>
      </c>
      <c r="M21" s="20">
        <v>95905</v>
      </c>
      <c r="N21" s="20">
        <v>96925</v>
      </c>
      <c r="O21" s="20">
        <v>97083</v>
      </c>
      <c r="P21" s="20">
        <v>98047</v>
      </c>
      <c r="Q21" s="20"/>
      <c r="R21" s="20">
        <v>98497</v>
      </c>
      <c r="S21" s="20"/>
      <c r="T21" s="20">
        <v>98891</v>
      </c>
      <c r="U21" s="20"/>
      <c r="V21" s="20">
        <v>9907.0689999999995</v>
      </c>
    </row>
    <row r="22" spans="9:22" x14ac:dyDescent="0.25">
      <c r="I22" s="13">
        <f ca="1"/>
        <v>98822</v>
      </c>
      <c r="J22" s="11">
        <v>18</v>
      </c>
      <c r="K22" s="20">
        <v>63774</v>
      </c>
      <c r="L22" s="20">
        <v>92797</v>
      </c>
      <c r="M22" s="20">
        <v>95779</v>
      </c>
      <c r="N22" s="20">
        <v>96872</v>
      </c>
      <c r="O22" s="20">
        <v>96970</v>
      </c>
      <c r="P22" s="20">
        <v>97953</v>
      </c>
      <c r="Q22" s="20"/>
      <c r="R22" s="20">
        <v>98409</v>
      </c>
      <c r="S22" s="20"/>
      <c r="T22" s="20">
        <v>98822</v>
      </c>
      <c r="U22" s="20"/>
      <c r="V22" s="20">
        <v>9902.15</v>
      </c>
    </row>
    <row r="23" spans="9:22" x14ac:dyDescent="0.25">
      <c r="I23" s="13">
        <f ca="1"/>
        <v>98745</v>
      </c>
      <c r="J23" s="11">
        <v>19</v>
      </c>
      <c r="K23" s="20">
        <v>63320</v>
      </c>
      <c r="L23" s="20">
        <v>92623</v>
      </c>
      <c r="M23" s="20">
        <v>95641</v>
      </c>
      <c r="N23" s="20">
        <v>96815</v>
      </c>
      <c r="O23" s="20">
        <v>96846</v>
      </c>
      <c r="P23" s="20">
        <v>97851</v>
      </c>
      <c r="Q23" s="20"/>
      <c r="R23" s="20">
        <v>98314</v>
      </c>
      <c r="S23" s="20"/>
      <c r="T23" s="20">
        <v>98745</v>
      </c>
      <c r="U23" s="20"/>
      <c r="V23" s="20">
        <v>9896.4160000000011</v>
      </c>
    </row>
    <row r="24" spans="9:22" x14ac:dyDescent="0.25">
      <c r="I24" s="13">
        <f ca="1"/>
        <v>98664</v>
      </c>
      <c r="J24" s="11">
        <v>20</v>
      </c>
      <c r="K24" s="20">
        <v>62863</v>
      </c>
      <c r="L24" s="20">
        <v>92435</v>
      </c>
      <c r="M24" s="20">
        <v>95491</v>
      </c>
      <c r="N24" s="20">
        <v>96756</v>
      </c>
      <c r="O24" s="20">
        <v>96716</v>
      </c>
      <c r="P24" s="20">
        <v>97741</v>
      </c>
      <c r="Q24" s="20"/>
      <c r="R24" s="20">
        <v>98215</v>
      </c>
      <c r="S24" s="20"/>
      <c r="T24" s="20">
        <v>98664</v>
      </c>
      <c r="U24" s="20"/>
      <c r="V24" s="20">
        <v>9889.8610000000008</v>
      </c>
    </row>
    <row r="25" spans="9:22" x14ac:dyDescent="0.25">
      <c r="I25" s="13">
        <f ca="1"/>
        <v>98577</v>
      </c>
      <c r="J25" s="11">
        <v>21</v>
      </c>
      <c r="K25" s="20">
        <v>62405</v>
      </c>
      <c r="L25" s="20">
        <v>92234</v>
      </c>
      <c r="M25" s="20">
        <v>95330</v>
      </c>
      <c r="N25" s="20">
        <v>96694</v>
      </c>
      <c r="O25" s="20">
        <v>96580</v>
      </c>
      <c r="P25" s="20">
        <v>97623</v>
      </c>
      <c r="Q25" s="20"/>
      <c r="R25" s="20">
        <v>98113</v>
      </c>
      <c r="S25" s="20"/>
      <c r="T25" s="20">
        <v>98577</v>
      </c>
      <c r="U25" s="20"/>
      <c r="V25" s="20">
        <v>9882.42</v>
      </c>
    </row>
    <row r="26" spans="9:22" x14ac:dyDescent="0.25">
      <c r="I26" s="13">
        <f ca="1"/>
        <v>98485</v>
      </c>
      <c r="J26" s="11">
        <v>22</v>
      </c>
      <c r="K26" s="20">
        <v>61944</v>
      </c>
      <c r="L26" s="20">
        <v>92022</v>
      </c>
      <c r="M26" s="20">
        <v>95158</v>
      </c>
      <c r="N26" s="20">
        <v>96629</v>
      </c>
      <c r="O26" s="20">
        <v>96438</v>
      </c>
      <c r="P26" s="20">
        <v>97499</v>
      </c>
      <c r="Q26" s="20"/>
      <c r="R26" s="20">
        <v>98006</v>
      </c>
      <c r="S26" s="20"/>
      <c r="T26" s="20">
        <v>98485</v>
      </c>
      <c r="U26" s="20"/>
      <c r="V26" s="20">
        <v>9874.1320000000014</v>
      </c>
    </row>
    <row r="27" spans="9:22" x14ac:dyDescent="0.25">
      <c r="I27" s="13">
        <f ca="1"/>
        <v>98390</v>
      </c>
      <c r="J27" s="11">
        <v>23</v>
      </c>
      <c r="K27" s="20">
        <v>61482</v>
      </c>
      <c r="L27" s="20">
        <v>91799</v>
      </c>
      <c r="M27" s="20">
        <v>94981</v>
      </c>
      <c r="N27" s="20">
        <v>96561</v>
      </c>
      <c r="O27" s="20">
        <v>96292</v>
      </c>
      <c r="P27" s="20">
        <v>97370</v>
      </c>
      <c r="Q27" s="20"/>
      <c r="R27" s="20">
        <v>97896</v>
      </c>
      <c r="S27" s="20"/>
      <c r="T27" s="20">
        <v>98390</v>
      </c>
      <c r="U27" s="20"/>
      <c r="V27" s="20">
        <v>9865.2160000000003</v>
      </c>
    </row>
    <row r="28" spans="9:22" x14ac:dyDescent="0.25">
      <c r="I28" s="13">
        <f ca="1"/>
        <v>98295</v>
      </c>
      <c r="J28" s="11">
        <v>24</v>
      </c>
      <c r="K28" s="20">
        <v>61017</v>
      </c>
      <c r="L28" s="20">
        <v>91570</v>
      </c>
      <c r="M28" s="20">
        <v>94803</v>
      </c>
      <c r="N28" s="20">
        <v>96491</v>
      </c>
      <c r="O28" s="20">
        <v>96145</v>
      </c>
      <c r="P28" s="20">
        <v>97240</v>
      </c>
      <c r="Q28" s="20"/>
      <c r="R28" s="20">
        <v>97784</v>
      </c>
      <c r="S28" s="20"/>
      <c r="T28" s="20">
        <v>98295</v>
      </c>
      <c r="U28" s="20"/>
      <c r="V28" s="20">
        <v>9855.9869999999992</v>
      </c>
    </row>
    <row r="29" spans="9:22" x14ac:dyDescent="0.25">
      <c r="I29" s="13">
        <f ca="1"/>
        <v>98202</v>
      </c>
      <c r="J29" s="11">
        <v>25</v>
      </c>
      <c r="K29" s="20">
        <v>60549</v>
      </c>
      <c r="L29" s="20">
        <v>91335</v>
      </c>
      <c r="M29" s="20">
        <v>94631</v>
      </c>
      <c r="N29" s="20">
        <v>96418</v>
      </c>
      <c r="O29" s="20">
        <v>96000</v>
      </c>
      <c r="P29" s="20">
        <v>97110</v>
      </c>
      <c r="Q29" s="20"/>
      <c r="R29" s="20">
        <v>97671</v>
      </c>
      <c r="S29" s="20"/>
      <c r="T29" s="20">
        <v>98202</v>
      </c>
      <c r="U29" s="20"/>
      <c r="V29" s="20">
        <v>9846.68</v>
      </c>
    </row>
    <row r="30" spans="9:22" x14ac:dyDescent="0.25">
      <c r="I30" s="13">
        <f ca="1"/>
        <v>98111</v>
      </c>
      <c r="J30" s="11">
        <v>26</v>
      </c>
      <c r="K30" s="20">
        <v>60079</v>
      </c>
      <c r="L30" s="20">
        <v>91096</v>
      </c>
      <c r="M30" s="20">
        <v>94466</v>
      </c>
      <c r="N30" s="20">
        <v>96342</v>
      </c>
      <c r="O30" s="20">
        <v>95859</v>
      </c>
      <c r="P30" s="20">
        <v>96982</v>
      </c>
      <c r="Q30" s="20"/>
      <c r="R30" s="20">
        <v>97556</v>
      </c>
      <c r="S30" s="20"/>
      <c r="T30" s="20">
        <v>98111</v>
      </c>
      <c r="U30" s="20"/>
      <c r="V30" s="20">
        <v>9837.371000000001</v>
      </c>
    </row>
    <row r="31" spans="9:22" x14ac:dyDescent="0.25">
      <c r="I31" s="13">
        <f ca="1"/>
        <v>98022</v>
      </c>
      <c r="J31" s="11">
        <v>27</v>
      </c>
      <c r="K31" s="20">
        <v>59605</v>
      </c>
      <c r="L31" s="20">
        <v>90853</v>
      </c>
      <c r="M31" s="20">
        <v>94306</v>
      </c>
      <c r="N31" s="20">
        <v>96262</v>
      </c>
      <c r="O31" s="20">
        <v>95721</v>
      </c>
      <c r="P31" s="20">
        <v>96856</v>
      </c>
      <c r="Q31" s="20"/>
      <c r="R31" s="20">
        <v>97441</v>
      </c>
      <c r="S31" s="20"/>
      <c r="T31" s="20">
        <v>98022</v>
      </c>
      <c r="U31" s="20"/>
      <c r="V31" s="20">
        <v>9828.009</v>
      </c>
    </row>
    <row r="32" spans="9:22" x14ac:dyDescent="0.25">
      <c r="I32" s="13">
        <f ca="1"/>
        <v>97934</v>
      </c>
      <c r="J32" s="11">
        <v>28</v>
      </c>
      <c r="K32" s="20">
        <v>59128</v>
      </c>
      <c r="L32" s="20">
        <v>90603</v>
      </c>
      <c r="M32" s="20">
        <v>94148</v>
      </c>
      <c r="N32" s="20">
        <v>96179</v>
      </c>
      <c r="O32" s="20">
        <v>95586</v>
      </c>
      <c r="P32" s="20">
        <v>96730</v>
      </c>
      <c r="Q32" s="20"/>
      <c r="R32" s="20">
        <v>97322</v>
      </c>
      <c r="S32" s="20"/>
      <c r="T32" s="20">
        <v>97934</v>
      </c>
      <c r="U32" s="20"/>
      <c r="V32" s="20">
        <v>9818.5509999999995</v>
      </c>
    </row>
    <row r="33" spans="9:22" x14ac:dyDescent="0.25">
      <c r="I33" s="13">
        <f ca="1"/>
        <v>97844</v>
      </c>
      <c r="J33" s="11">
        <v>29</v>
      </c>
      <c r="K33" s="20">
        <v>58647</v>
      </c>
      <c r="L33" s="20">
        <v>90345</v>
      </c>
      <c r="M33" s="20">
        <v>93990</v>
      </c>
      <c r="N33" s="20">
        <v>96090</v>
      </c>
      <c r="O33" s="20">
        <v>95448</v>
      </c>
      <c r="P33" s="20">
        <v>96604</v>
      </c>
      <c r="Q33" s="20"/>
      <c r="R33" s="20">
        <v>97199</v>
      </c>
      <c r="S33" s="20"/>
      <c r="T33" s="20">
        <v>97844</v>
      </c>
      <c r="U33" s="20"/>
      <c r="V33" s="20">
        <v>9808.9050000000007</v>
      </c>
    </row>
    <row r="34" spans="9:22" x14ac:dyDescent="0.25">
      <c r="I34" s="13">
        <f ca="1"/>
        <v>97750</v>
      </c>
      <c r="J34" s="11">
        <v>30</v>
      </c>
      <c r="K34" s="20">
        <v>58162</v>
      </c>
      <c r="L34" s="20">
        <v>90078</v>
      </c>
      <c r="M34" s="20">
        <v>93826</v>
      </c>
      <c r="N34" s="20">
        <v>95996</v>
      </c>
      <c r="O34" s="20">
        <v>95307</v>
      </c>
      <c r="P34" s="20">
        <v>96477</v>
      </c>
      <c r="Q34" s="20"/>
      <c r="R34" s="20">
        <v>97070</v>
      </c>
      <c r="S34" s="20"/>
      <c r="T34" s="20">
        <v>97750</v>
      </c>
      <c r="U34" s="20"/>
      <c r="V34" s="20">
        <v>9798.99</v>
      </c>
    </row>
    <row r="35" spans="9:22" x14ac:dyDescent="0.25">
      <c r="I35" s="13">
        <f ca="1"/>
        <v>97652</v>
      </c>
      <c r="J35" s="11">
        <v>31</v>
      </c>
      <c r="K35" s="20">
        <v>57672</v>
      </c>
      <c r="L35" s="20">
        <v>89802</v>
      </c>
      <c r="M35" s="20">
        <v>93656</v>
      </c>
      <c r="N35" s="20">
        <v>95894</v>
      </c>
      <c r="O35" s="20">
        <v>95158</v>
      </c>
      <c r="P35" s="20">
        <v>96350</v>
      </c>
      <c r="Q35" s="20"/>
      <c r="R35" s="20">
        <v>96934</v>
      </c>
      <c r="S35" s="20"/>
      <c r="T35" s="20">
        <v>97652</v>
      </c>
      <c r="U35" s="20"/>
      <c r="V35" s="20">
        <v>9788.7469999999994</v>
      </c>
    </row>
    <row r="36" spans="9:22" x14ac:dyDescent="0.25">
      <c r="I36" s="13">
        <f ca="1"/>
        <v>97549</v>
      </c>
      <c r="J36" s="11">
        <v>32</v>
      </c>
      <c r="K36" s="20">
        <v>57177</v>
      </c>
      <c r="L36" s="20">
        <v>89514</v>
      </c>
      <c r="M36" s="20">
        <v>93479</v>
      </c>
      <c r="N36" s="20">
        <v>95785</v>
      </c>
      <c r="O36" s="20">
        <v>95003</v>
      </c>
      <c r="P36" s="20">
        <v>96220</v>
      </c>
      <c r="Q36" s="20"/>
      <c r="R36" s="20">
        <v>96791</v>
      </c>
      <c r="S36" s="20"/>
      <c r="T36" s="20">
        <v>97549</v>
      </c>
      <c r="U36" s="20"/>
      <c r="V36" s="20">
        <v>9778.1579999999994</v>
      </c>
    </row>
    <row r="37" spans="9:22" x14ac:dyDescent="0.25">
      <c r="I37" s="13">
        <f ca="1"/>
        <v>97441</v>
      </c>
      <c r="J37" s="11">
        <v>33</v>
      </c>
      <c r="K37" s="20">
        <v>56677</v>
      </c>
      <c r="L37" s="20">
        <v>89215</v>
      </c>
      <c r="M37" s="20">
        <v>93293</v>
      </c>
      <c r="N37" s="20">
        <v>95668</v>
      </c>
      <c r="O37" s="20">
        <v>94840</v>
      </c>
      <c r="P37" s="20">
        <v>96088</v>
      </c>
      <c r="Q37" s="20"/>
      <c r="R37" s="20">
        <v>96642</v>
      </c>
      <c r="S37" s="20"/>
      <c r="T37" s="20">
        <v>97441</v>
      </c>
      <c r="U37" s="20"/>
      <c r="V37" s="20">
        <v>9767.2129999999997</v>
      </c>
    </row>
    <row r="38" spans="9:22" x14ac:dyDescent="0.25">
      <c r="I38" s="13">
        <f ca="1"/>
        <v>97324</v>
      </c>
      <c r="J38" s="11">
        <v>34</v>
      </c>
      <c r="K38" s="20">
        <v>56171</v>
      </c>
      <c r="L38" s="20">
        <v>88902</v>
      </c>
      <c r="M38" s="20">
        <v>93097</v>
      </c>
      <c r="N38" s="20">
        <v>95543</v>
      </c>
      <c r="O38" s="20">
        <v>94666</v>
      </c>
      <c r="P38" s="20">
        <v>95951</v>
      </c>
      <c r="Q38" s="20"/>
      <c r="R38" s="20">
        <v>96485</v>
      </c>
      <c r="S38" s="20"/>
      <c r="T38" s="20">
        <v>97324</v>
      </c>
      <c r="U38" s="20"/>
      <c r="V38" s="20">
        <v>9755.92</v>
      </c>
    </row>
    <row r="39" spans="9:22" x14ac:dyDescent="0.25">
      <c r="I39" s="13">
        <f ca="1"/>
        <v>97199</v>
      </c>
      <c r="J39" s="11">
        <v>35</v>
      </c>
      <c r="K39" s="20">
        <v>55660</v>
      </c>
      <c r="L39" s="20">
        <v>88573</v>
      </c>
      <c r="M39" s="20">
        <v>92889</v>
      </c>
      <c r="N39" s="20">
        <v>95409</v>
      </c>
      <c r="O39" s="20">
        <v>94482</v>
      </c>
      <c r="P39" s="20">
        <v>95808</v>
      </c>
      <c r="Q39" s="20"/>
      <c r="R39" s="20">
        <v>96322</v>
      </c>
      <c r="S39" s="20"/>
      <c r="T39" s="20">
        <v>97199</v>
      </c>
      <c r="U39" s="20"/>
      <c r="V39" s="20">
        <v>9744.2530000000006</v>
      </c>
    </row>
    <row r="40" spans="9:22" x14ac:dyDescent="0.25">
      <c r="I40" s="13">
        <f ca="1"/>
        <v>97065</v>
      </c>
      <c r="J40" s="11">
        <v>36</v>
      </c>
      <c r="K40" s="20">
        <v>55143</v>
      </c>
      <c r="L40" s="20">
        <v>88228</v>
      </c>
      <c r="M40" s="20">
        <v>92666</v>
      </c>
      <c r="N40" s="20">
        <v>95265</v>
      </c>
      <c r="O40" s="20">
        <v>94285</v>
      </c>
      <c r="P40" s="20">
        <v>95655</v>
      </c>
      <c r="Q40" s="20"/>
      <c r="R40" s="20">
        <v>96150</v>
      </c>
      <c r="S40" s="20"/>
      <c r="T40" s="20">
        <v>97065</v>
      </c>
      <c r="U40" s="20"/>
      <c r="V40" s="20">
        <v>9732.1139999999996</v>
      </c>
    </row>
    <row r="41" spans="9:22" x14ac:dyDescent="0.25">
      <c r="I41" s="13">
        <f ca="1"/>
        <v>96921</v>
      </c>
      <c r="J41" s="11">
        <v>37</v>
      </c>
      <c r="K41" s="20">
        <v>54620</v>
      </c>
      <c r="L41" s="20">
        <v>87865</v>
      </c>
      <c r="M41" s="20">
        <v>92426</v>
      </c>
      <c r="N41" s="20">
        <v>95110</v>
      </c>
      <c r="O41" s="20">
        <v>94073</v>
      </c>
      <c r="P41" s="20">
        <v>95492</v>
      </c>
      <c r="Q41" s="20"/>
      <c r="R41" s="20">
        <v>95969</v>
      </c>
      <c r="S41" s="20"/>
      <c r="T41" s="20">
        <v>96921</v>
      </c>
      <c r="U41" s="20"/>
      <c r="V41" s="20">
        <v>9719.366</v>
      </c>
    </row>
    <row r="42" spans="9:22" x14ac:dyDescent="0.25">
      <c r="I42" s="13">
        <f ca="1"/>
        <v>96767</v>
      </c>
      <c r="J42" s="11">
        <v>38</v>
      </c>
      <c r="K42" s="20">
        <v>54091</v>
      </c>
      <c r="L42" s="20">
        <v>87482</v>
      </c>
      <c r="M42" s="20">
        <v>92166</v>
      </c>
      <c r="N42" s="20">
        <v>94942</v>
      </c>
      <c r="O42" s="20">
        <v>93843</v>
      </c>
      <c r="P42" s="20">
        <v>95317</v>
      </c>
      <c r="Q42" s="20"/>
      <c r="R42" s="20">
        <v>95780</v>
      </c>
      <c r="S42" s="20"/>
      <c r="T42" s="20">
        <v>96767</v>
      </c>
      <c r="U42" s="20"/>
      <c r="V42" s="20">
        <v>9705.884</v>
      </c>
    </row>
    <row r="43" spans="9:22" x14ac:dyDescent="0.25">
      <c r="I43" s="13">
        <f ca="1"/>
        <v>96600</v>
      </c>
      <c r="J43" s="11">
        <v>39</v>
      </c>
      <c r="K43" s="20">
        <v>53555</v>
      </c>
      <c r="L43" s="20">
        <v>87078</v>
      </c>
      <c r="M43" s="20">
        <v>91883</v>
      </c>
      <c r="N43" s="20">
        <v>94759</v>
      </c>
      <c r="O43" s="20">
        <v>93593</v>
      </c>
      <c r="P43" s="20">
        <v>95129</v>
      </c>
      <c r="Q43" s="20"/>
      <c r="R43" s="20">
        <v>95581</v>
      </c>
      <c r="S43" s="20"/>
      <c r="T43" s="20">
        <v>96600</v>
      </c>
      <c r="U43" s="20"/>
      <c r="V43" s="20">
        <v>9691.5249999999996</v>
      </c>
    </row>
    <row r="44" spans="9:22" x14ac:dyDescent="0.25">
      <c r="I44" s="13">
        <f ca="1"/>
        <v>96419</v>
      </c>
      <c r="J44" s="11">
        <v>40</v>
      </c>
      <c r="K44" s="20">
        <v>53012</v>
      </c>
      <c r="L44" s="20">
        <v>86650</v>
      </c>
      <c r="M44" s="20">
        <v>91572</v>
      </c>
      <c r="N44" s="20">
        <v>94560</v>
      </c>
      <c r="O44" s="20">
        <v>93322</v>
      </c>
      <c r="P44" s="20">
        <v>94926</v>
      </c>
      <c r="Q44" s="20"/>
      <c r="R44" s="20">
        <v>95373</v>
      </c>
      <c r="S44" s="20"/>
      <c r="T44" s="20">
        <v>96419</v>
      </c>
      <c r="U44" s="20"/>
      <c r="V44" s="20">
        <v>9676.119999999999</v>
      </c>
    </row>
    <row r="45" spans="9:22" x14ac:dyDescent="0.25">
      <c r="I45" s="13">
        <f ca="1"/>
        <v>96223</v>
      </c>
      <c r="J45" s="11">
        <v>41</v>
      </c>
      <c r="K45" s="20">
        <v>52463</v>
      </c>
      <c r="L45" s="20">
        <v>86196</v>
      </c>
      <c r="M45" s="20">
        <v>91230</v>
      </c>
      <c r="N45" s="20">
        <v>94343</v>
      </c>
      <c r="O45" s="20">
        <v>93028</v>
      </c>
      <c r="P45" s="20">
        <v>94706</v>
      </c>
      <c r="Q45" s="20"/>
      <c r="R45" s="20">
        <v>95156</v>
      </c>
      <c r="S45" s="20"/>
      <c r="T45" s="20">
        <v>96223</v>
      </c>
      <c r="U45" s="20"/>
      <c r="V45" s="20">
        <v>9659.5509999999995</v>
      </c>
    </row>
    <row r="46" spans="9:22" x14ac:dyDescent="0.25">
      <c r="I46" s="13">
        <f ca="1"/>
        <v>96010</v>
      </c>
      <c r="J46" s="11">
        <v>42</v>
      </c>
      <c r="K46" s="20">
        <v>51907</v>
      </c>
      <c r="L46" s="20">
        <v>85714</v>
      </c>
      <c r="M46" s="20">
        <v>90854</v>
      </c>
      <c r="N46" s="20">
        <v>94106</v>
      </c>
      <c r="O46" s="20">
        <v>92712</v>
      </c>
      <c r="P46" s="20">
        <v>94465</v>
      </c>
      <c r="Q46" s="20"/>
      <c r="R46" s="20">
        <v>94928</v>
      </c>
      <c r="S46" s="20"/>
      <c r="T46" s="20">
        <v>96010</v>
      </c>
      <c r="U46" s="20"/>
      <c r="V46" s="20">
        <v>9641.630000000001</v>
      </c>
    </row>
    <row r="47" spans="9:22" x14ac:dyDescent="0.25">
      <c r="I47" s="13">
        <f ca="1"/>
        <v>95782</v>
      </c>
      <c r="J47" s="11">
        <v>43</v>
      </c>
      <c r="K47" s="20">
        <v>51341</v>
      </c>
      <c r="L47" s="20">
        <v>85201</v>
      </c>
      <c r="M47" s="20">
        <v>90441</v>
      </c>
      <c r="N47" s="20">
        <v>93848</v>
      </c>
      <c r="O47" s="20">
        <v>92368</v>
      </c>
      <c r="P47" s="20">
        <v>94201</v>
      </c>
      <c r="Q47" s="20"/>
      <c r="R47" s="20">
        <v>94687</v>
      </c>
      <c r="S47" s="20"/>
      <c r="T47" s="20">
        <v>95782</v>
      </c>
      <c r="U47" s="20"/>
      <c r="V47" s="20">
        <v>9622.0609999999997</v>
      </c>
    </row>
    <row r="48" spans="9:22" x14ac:dyDescent="0.25">
      <c r="I48" s="13">
        <f ca="1"/>
        <v>95535</v>
      </c>
      <c r="J48" s="11">
        <v>44</v>
      </c>
      <c r="K48" s="20">
        <v>50764</v>
      </c>
      <c r="L48" s="20">
        <v>84653</v>
      </c>
      <c r="M48" s="20">
        <v>89988</v>
      </c>
      <c r="N48" s="20">
        <v>93568</v>
      </c>
      <c r="O48" s="20">
        <v>91995</v>
      </c>
      <c r="P48" s="20">
        <v>93913</v>
      </c>
      <c r="Q48" s="20"/>
      <c r="R48" s="20">
        <v>94431</v>
      </c>
      <c r="S48" s="20"/>
      <c r="T48" s="20">
        <v>95535</v>
      </c>
      <c r="U48" s="20"/>
      <c r="V48" s="20">
        <v>9600.5410000000011</v>
      </c>
    </row>
    <row r="49" spans="9:22" x14ac:dyDescent="0.25">
      <c r="I49" s="13">
        <f ca="1"/>
        <v>95268</v>
      </c>
      <c r="J49" s="11">
        <v>45</v>
      </c>
      <c r="K49" s="20">
        <v>50170</v>
      </c>
      <c r="L49" s="20">
        <v>84069</v>
      </c>
      <c r="M49" s="20">
        <v>89492</v>
      </c>
      <c r="N49" s="20">
        <v>93265</v>
      </c>
      <c r="O49" s="20">
        <v>91587</v>
      </c>
      <c r="P49" s="20">
        <v>93599</v>
      </c>
      <c r="Q49" s="20"/>
      <c r="R49" s="20">
        <v>94154</v>
      </c>
      <c r="S49" s="20"/>
      <c r="T49" s="20">
        <v>95268</v>
      </c>
      <c r="U49" s="20"/>
      <c r="V49" s="20">
        <v>9576.86</v>
      </c>
    </row>
    <row r="50" spans="9:22" x14ac:dyDescent="0.25">
      <c r="I50" s="13">
        <f ca="1"/>
        <v>94981</v>
      </c>
      <c r="J50" s="11">
        <v>46</v>
      </c>
      <c r="K50" s="20">
        <v>49557</v>
      </c>
      <c r="L50" s="20">
        <v>83443</v>
      </c>
      <c r="M50" s="20">
        <v>88950</v>
      </c>
      <c r="N50" s="20">
        <v>92938</v>
      </c>
      <c r="O50" s="20">
        <v>91144</v>
      </c>
      <c r="P50" s="20">
        <v>93256</v>
      </c>
      <c r="Q50" s="20"/>
      <c r="R50" s="20">
        <v>93855</v>
      </c>
      <c r="S50" s="20"/>
      <c r="T50" s="20">
        <v>94981</v>
      </c>
      <c r="U50" s="20"/>
      <c r="V50" s="20">
        <v>9550.9979999999996</v>
      </c>
    </row>
    <row r="51" spans="9:22" x14ac:dyDescent="0.25">
      <c r="I51" s="13">
        <f ca="1"/>
        <v>94670</v>
      </c>
      <c r="J51" s="11">
        <v>47</v>
      </c>
      <c r="K51" s="20">
        <v>48921</v>
      </c>
      <c r="L51" s="20">
        <v>82775</v>
      </c>
      <c r="M51" s="20">
        <v>88359</v>
      </c>
      <c r="N51" s="20">
        <v>92583</v>
      </c>
      <c r="O51" s="20">
        <v>90662</v>
      </c>
      <c r="P51" s="20">
        <v>92882</v>
      </c>
      <c r="Q51" s="20"/>
      <c r="R51" s="20">
        <v>93528</v>
      </c>
      <c r="S51" s="20"/>
      <c r="T51" s="20">
        <v>94670</v>
      </c>
      <c r="U51" s="20"/>
      <c r="V51" s="20">
        <v>9522.905999999999</v>
      </c>
    </row>
    <row r="52" spans="9:22" x14ac:dyDescent="0.25">
      <c r="I52" s="13">
        <f ca="1"/>
        <v>94335</v>
      </c>
      <c r="J52" s="11">
        <v>48</v>
      </c>
      <c r="K52" s="20">
        <v>48259</v>
      </c>
      <c r="L52" s="20">
        <v>82061</v>
      </c>
      <c r="M52" s="20">
        <v>87709</v>
      </c>
      <c r="N52" s="20">
        <v>92199</v>
      </c>
      <c r="O52" s="20">
        <v>90142</v>
      </c>
      <c r="P52" s="20">
        <v>92472</v>
      </c>
      <c r="Q52" s="20"/>
      <c r="R52" s="20">
        <v>93173</v>
      </c>
      <c r="S52" s="20"/>
      <c r="T52" s="20">
        <v>94335</v>
      </c>
      <c r="U52" s="20"/>
      <c r="V52" s="20">
        <v>9492.3449999999993</v>
      </c>
    </row>
    <row r="53" spans="9:22" x14ac:dyDescent="0.25">
      <c r="I53" s="13">
        <f ca="1"/>
        <v>93975</v>
      </c>
      <c r="J53" s="11">
        <v>49</v>
      </c>
      <c r="K53" s="20">
        <v>47571</v>
      </c>
      <c r="L53" s="20">
        <v>81300</v>
      </c>
      <c r="M53" s="20">
        <v>86992</v>
      </c>
      <c r="N53" s="20">
        <v>91781</v>
      </c>
      <c r="O53" s="20">
        <v>89579</v>
      </c>
      <c r="P53" s="20">
        <v>92021</v>
      </c>
      <c r="Q53" s="20"/>
      <c r="R53" s="20">
        <v>92787</v>
      </c>
      <c r="S53" s="20"/>
      <c r="T53" s="20">
        <v>93975</v>
      </c>
      <c r="U53" s="20"/>
      <c r="V53" s="20">
        <v>9458.9880000000012</v>
      </c>
    </row>
    <row r="54" spans="9:22" x14ac:dyDescent="0.25">
      <c r="I54" s="13">
        <f ca="1"/>
        <v>93591</v>
      </c>
      <c r="J54" s="11">
        <v>50</v>
      </c>
      <c r="K54" s="20">
        <v>46855</v>
      </c>
      <c r="L54" s="20">
        <v>80487</v>
      </c>
      <c r="M54" s="20">
        <v>86199</v>
      </c>
      <c r="N54" s="20">
        <v>91327</v>
      </c>
      <c r="O54" s="20">
        <v>88972</v>
      </c>
      <c r="P54" s="20">
        <v>91526</v>
      </c>
      <c r="Q54" s="20"/>
      <c r="R54" s="20">
        <v>92370</v>
      </c>
      <c r="S54" s="20"/>
      <c r="T54" s="20">
        <v>93591</v>
      </c>
      <c r="U54" s="20"/>
      <c r="V54" s="20">
        <v>9422.5499999999993</v>
      </c>
    </row>
    <row r="55" spans="9:22" x14ac:dyDescent="0.25">
      <c r="I55" s="13">
        <f ca="1"/>
        <v>93180</v>
      </c>
      <c r="J55" s="11">
        <v>51</v>
      </c>
      <c r="K55" s="20">
        <v>46108</v>
      </c>
      <c r="L55" s="20">
        <v>79621</v>
      </c>
      <c r="M55" s="20">
        <v>85325</v>
      </c>
      <c r="N55" s="20">
        <v>90833</v>
      </c>
      <c r="O55" s="20">
        <v>88315</v>
      </c>
      <c r="P55" s="20">
        <v>90986</v>
      </c>
      <c r="Q55" s="20"/>
      <c r="R55" s="20">
        <v>91918</v>
      </c>
      <c r="S55" s="20"/>
      <c r="T55" s="20">
        <v>93180</v>
      </c>
      <c r="U55" s="20"/>
      <c r="V55" s="20">
        <v>9382.8330000000005</v>
      </c>
    </row>
    <row r="56" spans="9:22" x14ac:dyDescent="0.25">
      <c r="I56" s="13">
        <f ca="1"/>
        <v>92741</v>
      </c>
      <c r="J56" s="11">
        <v>52</v>
      </c>
      <c r="K56" s="20">
        <v>45329</v>
      </c>
      <c r="L56" s="20">
        <v>78698</v>
      </c>
      <c r="M56" s="20">
        <v>84369</v>
      </c>
      <c r="N56" s="20">
        <v>90297</v>
      </c>
      <c r="O56" s="20">
        <v>87605</v>
      </c>
      <c r="P56" s="20">
        <v>90402</v>
      </c>
      <c r="Q56" s="20"/>
      <c r="R56" s="20">
        <v>91424</v>
      </c>
      <c r="S56" s="20"/>
      <c r="T56" s="20">
        <v>92741</v>
      </c>
      <c r="U56" s="20"/>
      <c r="V56" s="20">
        <v>9339.8009999999995</v>
      </c>
    </row>
    <row r="57" spans="9:22" x14ac:dyDescent="0.25">
      <c r="I57" s="13">
        <f ca="1"/>
        <v>92270</v>
      </c>
      <c r="J57" s="11">
        <v>53</v>
      </c>
      <c r="K57" s="20">
        <v>44515</v>
      </c>
      <c r="L57" s="20">
        <v>77716</v>
      </c>
      <c r="M57" s="20">
        <v>83333</v>
      </c>
      <c r="N57" s="20">
        <v>89720</v>
      </c>
      <c r="O57" s="20">
        <v>86838</v>
      </c>
      <c r="P57" s="20">
        <v>89771</v>
      </c>
      <c r="Q57" s="20"/>
      <c r="R57" s="20">
        <v>90885</v>
      </c>
      <c r="S57" s="20"/>
      <c r="T57" s="20">
        <v>92270</v>
      </c>
      <c r="U57" s="20"/>
      <c r="V57" s="20">
        <v>9293.4520000000011</v>
      </c>
    </row>
    <row r="58" spans="9:22" x14ac:dyDescent="0.25">
      <c r="I58" s="13">
        <f ca="1"/>
        <v>91762</v>
      </c>
      <c r="J58" s="11">
        <v>54</v>
      </c>
      <c r="K58" s="20">
        <v>43665</v>
      </c>
      <c r="L58" s="20">
        <v>76669</v>
      </c>
      <c r="M58" s="20">
        <v>82222</v>
      </c>
      <c r="N58" s="20">
        <v>89104</v>
      </c>
      <c r="O58" s="20">
        <v>86007</v>
      </c>
      <c r="P58" s="20">
        <v>89087</v>
      </c>
      <c r="Q58" s="20"/>
      <c r="R58" s="20">
        <v>90297</v>
      </c>
      <c r="S58" s="20"/>
      <c r="T58" s="20">
        <v>91762</v>
      </c>
      <c r="U58" s="20"/>
      <c r="V58" s="20">
        <v>9243.8080000000009</v>
      </c>
    </row>
    <row r="59" spans="9:22" x14ac:dyDescent="0.25">
      <c r="I59" s="13">
        <f ca="1"/>
        <v>91211</v>
      </c>
      <c r="J59" s="11">
        <v>55</v>
      </c>
      <c r="K59" s="20">
        <v>42779</v>
      </c>
      <c r="L59" s="20">
        <v>75557</v>
      </c>
      <c r="M59" s="20">
        <v>81039</v>
      </c>
      <c r="N59" s="20">
        <v>88451</v>
      </c>
      <c r="O59" s="20">
        <v>85110</v>
      </c>
      <c r="P59" s="20">
        <v>88348</v>
      </c>
      <c r="Q59" s="20"/>
      <c r="R59" s="20">
        <v>89658</v>
      </c>
      <c r="S59" s="20"/>
      <c r="T59" s="20">
        <v>91211</v>
      </c>
      <c r="U59" s="20"/>
      <c r="V59" s="20">
        <v>9190.7950000000001</v>
      </c>
    </row>
    <row r="60" spans="9:22" x14ac:dyDescent="0.25">
      <c r="I60" s="13">
        <f ca="1"/>
        <v>90607</v>
      </c>
      <c r="J60" s="11">
        <v>56</v>
      </c>
      <c r="K60" s="20">
        <v>41852</v>
      </c>
      <c r="L60" s="20">
        <v>74375</v>
      </c>
      <c r="M60" s="20">
        <v>79783</v>
      </c>
      <c r="N60" s="20">
        <v>87758</v>
      </c>
      <c r="O60" s="20">
        <v>84142</v>
      </c>
      <c r="P60" s="20">
        <v>87551</v>
      </c>
      <c r="Q60" s="20"/>
      <c r="R60" s="20">
        <v>88965</v>
      </c>
      <c r="S60" s="20"/>
      <c r="T60" s="20">
        <v>90607</v>
      </c>
      <c r="U60" s="20"/>
      <c r="V60" s="20">
        <v>9134.2020000000011</v>
      </c>
    </row>
    <row r="61" spans="9:22" x14ac:dyDescent="0.25">
      <c r="I61" s="13">
        <f ca="1"/>
        <v>89947</v>
      </c>
      <c r="J61" s="11">
        <v>57</v>
      </c>
      <c r="K61" s="20">
        <v>40884</v>
      </c>
      <c r="L61" s="20">
        <v>73123</v>
      </c>
      <c r="M61" s="20">
        <v>78451</v>
      </c>
      <c r="N61" s="20">
        <v>87020</v>
      </c>
      <c r="O61" s="20">
        <v>83103</v>
      </c>
      <c r="P61" s="20">
        <v>86695</v>
      </c>
      <c r="Q61" s="20"/>
      <c r="R61" s="20">
        <v>88214</v>
      </c>
      <c r="S61" s="20"/>
      <c r="T61" s="20">
        <v>89947</v>
      </c>
      <c r="U61" s="20"/>
      <c r="V61" s="20">
        <v>9073.7240000000002</v>
      </c>
    </row>
    <row r="62" spans="9:22" x14ac:dyDescent="0.25">
      <c r="I62" s="13">
        <f ca="1"/>
        <v>89225</v>
      </c>
      <c r="J62" s="11">
        <v>58</v>
      </c>
      <c r="K62" s="20">
        <v>39875</v>
      </c>
      <c r="L62" s="20">
        <v>71798</v>
      </c>
      <c r="M62" s="20">
        <v>77032</v>
      </c>
      <c r="N62" s="20">
        <v>86227</v>
      </c>
      <c r="O62" s="20">
        <v>81988</v>
      </c>
      <c r="P62" s="20">
        <v>85776</v>
      </c>
      <c r="Q62" s="20"/>
      <c r="R62" s="20">
        <v>87397</v>
      </c>
      <c r="S62" s="20"/>
      <c r="T62" s="20">
        <v>89225</v>
      </c>
      <c r="U62" s="20"/>
      <c r="V62" s="20">
        <v>9009.0969999999998</v>
      </c>
    </row>
    <row r="63" spans="9:22" x14ac:dyDescent="0.25">
      <c r="I63" s="13">
        <f ca="1"/>
        <v>88441</v>
      </c>
      <c r="J63" s="11">
        <v>59</v>
      </c>
      <c r="K63" s="20">
        <v>38823</v>
      </c>
      <c r="L63" s="20">
        <v>70398</v>
      </c>
      <c r="M63" s="20">
        <v>75513</v>
      </c>
      <c r="N63" s="20">
        <v>85367</v>
      </c>
      <c r="O63" s="20">
        <v>80798</v>
      </c>
      <c r="P63" s="20">
        <v>84789</v>
      </c>
      <c r="Q63" s="20"/>
      <c r="R63" s="20">
        <v>86506</v>
      </c>
      <c r="S63" s="20"/>
      <c r="T63" s="20">
        <v>88441</v>
      </c>
      <c r="U63" s="20"/>
      <c r="V63" s="20">
        <v>8940.1059999999998</v>
      </c>
    </row>
    <row r="64" spans="9:22" x14ac:dyDescent="0.25">
      <c r="I64" s="13">
        <f ca="1"/>
        <v>87595</v>
      </c>
      <c r="J64" s="11">
        <v>60</v>
      </c>
      <c r="K64" s="20">
        <v>37726</v>
      </c>
      <c r="L64" s="20">
        <v>68924</v>
      </c>
      <c r="M64" s="20">
        <v>73887</v>
      </c>
      <c r="N64" s="20">
        <v>84430</v>
      </c>
      <c r="O64" s="20">
        <v>79529</v>
      </c>
      <c r="P64" s="20">
        <v>83726</v>
      </c>
      <c r="Q64" s="20"/>
      <c r="R64" s="20">
        <v>85537</v>
      </c>
      <c r="S64" s="20"/>
      <c r="T64" s="20">
        <v>87595</v>
      </c>
      <c r="U64" s="20"/>
      <c r="V64" s="20">
        <v>8866.5949999999993</v>
      </c>
    </row>
    <row r="65" spans="9:22" x14ac:dyDescent="0.25">
      <c r="I65" s="13">
        <f ca="1"/>
        <v>86681</v>
      </c>
      <c r="J65" s="11">
        <v>61</v>
      </c>
      <c r="K65" s="20">
        <v>36581</v>
      </c>
      <c r="L65" s="20">
        <v>67372</v>
      </c>
      <c r="M65" s="20">
        <v>72151</v>
      </c>
      <c r="N65" s="20">
        <v>83409</v>
      </c>
      <c r="O65" s="20">
        <v>78181</v>
      </c>
      <c r="P65" s="20">
        <v>82581</v>
      </c>
      <c r="Q65" s="20"/>
      <c r="R65" s="20">
        <v>84490</v>
      </c>
      <c r="S65" s="20"/>
      <c r="T65" s="20">
        <v>86681</v>
      </c>
      <c r="U65" s="20"/>
      <c r="V65" s="20">
        <v>8788.366</v>
      </c>
    </row>
    <row r="66" spans="9:22" x14ac:dyDescent="0.25">
      <c r="I66" s="13">
        <f ca="1"/>
        <v>85691</v>
      </c>
      <c r="J66" s="11">
        <v>62</v>
      </c>
      <c r="K66" s="20">
        <v>35388</v>
      </c>
      <c r="L66" s="20">
        <v>65742</v>
      </c>
      <c r="M66" s="20">
        <v>70308</v>
      </c>
      <c r="N66" s="20">
        <v>82302</v>
      </c>
      <c r="O66" s="20">
        <v>76751</v>
      </c>
      <c r="P66" s="20">
        <v>81348</v>
      </c>
      <c r="Q66" s="20"/>
      <c r="R66" s="20">
        <v>83368</v>
      </c>
      <c r="S66" s="20"/>
      <c r="T66" s="20">
        <v>85691</v>
      </c>
      <c r="U66" s="20"/>
      <c r="V66" s="20">
        <v>8705.1880000000001</v>
      </c>
    </row>
    <row r="67" spans="9:22" x14ac:dyDescent="0.25">
      <c r="I67" s="13">
        <f ca="1"/>
        <v>84620</v>
      </c>
      <c r="J67" s="11">
        <v>63</v>
      </c>
      <c r="K67" s="20">
        <v>34145</v>
      </c>
      <c r="L67" s="20">
        <v>64032</v>
      </c>
      <c r="M67" s="20">
        <v>68361</v>
      </c>
      <c r="N67" s="20">
        <v>81108</v>
      </c>
      <c r="O67" s="20">
        <v>75236</v>
      </c>
      <c r="P67" s="20">
        <v>80024</v>
      </c>
      <c r="Q67" s="20"/>
      <c r="R67" s="20">
        <v>82169</v>
      </c>
      <c r="S67" s="20"/>
      <c r="T67" s="20">
        <v>84620</v>
      </c>
      <c r="U67" s="20"/>
      <c r="V67" s="20">
        <v>8616.7860000000001</v>
      </c>
    </row>
    <row r="68" spans="9:22" x14ac:dyDescent="0.25">
      <c r="I68" s="13">
        <f ca="1"/>
        <v>83465</v>
      </c>
      <c r="J68" s="11">
        <v>64</v>
      </c>
      <c r="K68" s="20">
        <v>32853</v>
      </c>
      <c r="L68" s="20">
        <v>62241</v>
      </c>
      <c r="M68" s="20">
        <v>66316</v>
      </c>
      <c r="N68" s="20">
        <v>79828</v>
      </c>
      <c r="O68" s="20">
        <v>73631</v>
      </c>
      <c r="P68" s="20">
        <v>78609</v>
      </c>
      <c r="Q68" s="20"/>
      <c r="R68" s="20">
        <v>80887</v>
      </c>
      <c r="S68" s="20"/>
      <c r="T68" s="20">
        <v>83465</v>
      </c>
      <c r="U68" s="20"/>
      <c r="V68" s="20">
        <v>8522.6769999999997</v>
      </c>
    </row>
    <row r="69" spans="9:22" x14ac:dyDescent="0.25">
      <c r="I69" s="13">
        <f ca="1"/>
        <v>82224</v>
      </c>
      <c r="J69" s="11">
        <v>65</v>
      </c>
      <c r="K69" s="20">
        <v>31512</v>
      </c>
      <c r="L69" s="20">
        <v>60366</v>
      </c>
      <c r="M69" s="20">
        <v>64177</v>
      </c>
      <c r="N69" s="20">
        <v>78462</v>
      </c>
      <c r="O69" s="20">
        <v>71933</v>
      </c>
      <c r="P69" s="20">
        <v>77107</v>
      </c>
      <c r="Q69" s="20"/>
      <c r="R69" s="20">
        <v>79519</v>
      </c>
      <c r="S69" s="20"/>
      <c r="T69" s="20">
        <v>82224</v>
      </c>
      <c r="U69" s="20"/>
      <c r="V69" s="20">
        <v>8422.1589999999997</v>
      </c>
    </row>
    <row r="70" spans="9:22" x14ac:dyDescent="0.25">
      <c r="I70" s="13">
        <f ca="1"/>
        <v>80916</v>
      </c>
      <c r="J70" s="11">
        <v>66</v>
      </c>
      <c r="K70" s="20">
        <v>30123</v>
      </c>
      <c r="L70" s="20">
        <v>58406</v>
      </c>
      <c r="M70" s="20">
        <v>61947</v>
      </c>
      <c r="N70" s="20">
        <v>77008</v>
      </c>
      <c r="O70" s="20">
        <v>70139</v>
      </c>
      <c r="P70" s="20">
        <v>75520</v>
      </c>
      <c r="Q70" s="20"/>
      <c r="R70" s="20">
        <v>78066</v>
      </c>
      <c r="S70" s="20"/>
      <c r="T70" s="20">
        <v>80916</v>
      </c>
      <c r="U70" s="20"/>
      <c r="V70" s="20">
        <v>8314.2340000000004</v>
      </c>
    </row>
    <row r="71" spans="9:22" x14ac:dyDescent="0.25">
      <c r="I71" s="13">
        <f ca="1"/>
        <v>79530</v>
      </c>
      <c r="J71" s="11">
        <v>67</v>
      </c>
      <c r="K71" s="20">
        <v>28689</v>
      </c>
      <c r="L71" s="20">
        <v>56356</v>
      </c>
      <c r="M71" s="20">
        <v>59631</v>
      </c>
      <c r="N71" s="20">
        <v>75457</v>
      </c>
      <c r="O71" s="20">
        <v>68246</v>
      </c>
      <c r="P71" s="20">
        <v>73846</v>
      </c>
      <c r="Q71" s="20"/>
      <c r="R71" s="20">
        <v>76531</v>
      </c>
      <c r="S71" s="20"/>
      <c r="T71" s="20">
        <v>79530</v>
      </c>
      <c r="U71" s="20"/>
      <c r="V71" s="20">
        <v>8197.8279999999995</v>
      </c>
    </row>
    <row r="72" spans="9:22" x14ac:dyDescent="0.25">
      <c r="I72" s="13">
        <f ca="1"/>
        <v>78054</v>
      </c>
      <c r="J72" s="11">
        <v>68</v>
      </c>
      <c r="K72" s="20">
        <v>27212</v>
      </c>
      <c r="L72" s="20">
        <v>54216</v>
      </c>
      <c r="M72" s="20">
        <v>57235</v>
      </c>
      <c r="N72" s="20">
        <v>73798</v>
      </c>
      <c r="O72" s="20">
        <v>66254</v>
      </c>
      <c r="P72" s="20">
        <v>72082</v>
      </c>
      <c r="Q72" s="20"/>
      <c r="R72" s="20">
        <v>74907</v>
      </c>
      <c r="S72" s="20"/>
      <c r="T72" s="20">
        <v>78054</v>
      </c>
      <c r="U72" s="20"/>
      <c r="V72" s="20">
        <v>8072.8829999999998</v>
      </c>
    </row>
    <row r="73" spans="9:22" x14ac:dyDescent="0.25">
      <c r="I73" s="13">
        <f ca="1"/>
        <v>76478</v>
      </c>
      <c r="J73" s="11">
        <v>69</v>
      </c>
      <c r="K73" s="20">
        <v>25698</v>
      </c>
      <c r="L73" s="20">
        <v>51982</v>
      </c>
      <c r="M73" s="20">
        <v>54770</v>
      </c>
      <c r="N73" s="20">
        <v>72016</v>
      </c>
      <c r="O73" s="20">
        <v>64166</v>
      </c>
      <c r="P73" s="20">
        <v>70218</v>
      </c>
      <c r="Q73" s="20"/>
      <c r="R73" s="20">
        <v>73186</v>
      </c>
      <c r="S73" s="20"/>
      <c r="T73" s="20">
        <v>76478</v>
      </c>
      <c r="U73" s="20"/>
      <c r="V73" s="20">
        <v>7938.7950000000001</v>
      </c>
    </row>
    <row r="74" spans="9:22" x14ac:dyDescent="0.25">
      <c r="I74" s="13">
        <f ca="1"/>
        <v>74794</v>
      </c>
      <c r="J74" s="11">
        <v>70</v>
      </c>
      <c r="K74" s="20">
        <v>24154</v>
      </c>
      <c r="L74" s="20">
        <v>49655</v>
      </c>
      <c r="M74" s="20">
        <v>52244</v>
      </c>
      <c r="N74" s="20">
        <v>70100</v>
      </c>
      <c r="O74" s="20">
        <v>61984</v>
      </c>
      <c r="P74" s="20">
        <v>68248</v>
      </c>
      <c r="Q74" s="20"/>
      <c r="R74" s="20">
        <v>71357</v>
      </c>
      <c r="S74" s="20"/>
      <c r="T74" s="20">
        <v>74794</v>
      </c>
      <c r="U74" s="20"/>
      <c r="V74" s="20">
        <v>7795.7529999999997</v>
      </c>
    </row>
    <row r="75" spans="9:22" x14ac:dyDescent="0.25">
      <c r="I75" s="13">
        <f ca="1"/>
        <v>73001</v>
      </c>
      <c r="J75" s="11">
        <v>71</v>
      </c>
      <c r="K75" s="20">
        <v>22586</v>
      </c>
      <c r="L75" s="20">
        <v>47235</v>
      </c>
      <c r="M75" s="20">
        <v>49665</v>
      </c>
      <c r="N75" s="20">
        <v>68047</v>
      </c>
      <c r="O75" s="20">
        <v>59715</v>
      </c>
      <c r="P75" s="20">
        <v>66165</v>
      </c>
      <c r="Q75" s="20"/>
      <c r="R75" s="20">
        <v>69411</v>
      </c>
      <c r="S75" s="20"/>
      <c r="T75" s="20">
        <v>73001</v>
      </c>
      <c r="U75" s="20"/>
      <c r="V75" s="20">
        <v>7642.9839999999995</v>
      </c>
    </row>
    <row r="76" spans="9:22" x14ac:dyDescent="0.25">
      <c r="I76" s="13">
        <f ca="1"/>
        <v>71092</v>
      </c>
      <c r="J76" s="11">
        <v>72</v>
      </c>
      <c r="K76" s="20">
        <v>21001</v>
      </c>
      <c r="L76" s="20">
        <v>44726</v>
      </c>
      <c r="M76" s="20">
        <v>47040</v>
      </c>
      <c r="N76" s="20">
        <v>65856</v>
      </c>
      <c r="O76" s="20">
        <v>57360</v>
      </c>
      <c r="P76" s="20">
        <v>63972</v>
      </c>
      <c r="Q76" s="20"/>
      <c r="R76" s="20">
        <v>67344</v>
      </c>
      <c r="S76" s="20"/>
      <c r="T76" s="20">
        <v>71092</v>
      </c>
      <c r="U76" s="20"/>
      <c r="V76" s="20">
        <v>7479.7630000000008</v>
      </c>
    </row>
    <row r="77" spans="9:22" x14ac:dyDescent="0.25">
      <c r="I77" s="13">
        <f ca="1"/>
        <v>69056</v>
      </c>
      <c r="J77" s="11">
        <v>73</v>
      </c>
      <c r="K77" s="20">
        <v>19409</v>
      </c>
      <c r="L77" s="20">
        <v>42133</v>
      </c>
      <c r="M77" s="20">
        <v>44375</v>
      </c>
      <c r="N77" s="20">
        <v>63521</v>
      </c>
      <c r="O77" s="20">
        <v>54913</v>
      </c>
      <c r="P77" s="20">
        <v>61673</v>
      </c>
      <c r="Q77" s="20"/>
      <c r="R77" s="20">
        <v>65154</v>
      </c>
      <c r="S77" s="20"/>
      <c r="T77" s="20">
        <v>69056</v>
      </c>
      <c r="U77" s="20"/>
      <c r="V77" s="20">
        <v>7304.933</v>
      </c>
    </row>
    <row r="78" spans="9:22" x14ac:dyDescent="0.25">
      <c r="I78" s="13">
        <f ca="1"/>
        <v>66882</v>
      </c>
      <c r="J78" s="11">
        <v>74</v>
      </c>
      <c r="K78" s="20">
        <v>17820</v>
      </c>
      <c r="L78" s="20">
        <v>39465</v>
      </c>
      <c r="M78" s="20">
        <v>41676</v>
      </c>
      <c r="N78" s="20">
        <v>61035</v>
      </c>
      <c r="O78" s="20">
        <v>52363</v>
      </c>
      <c r="P78" s="20">
        <v>59279</v>
      </c>
      <c r="Q78" s="20"/>
      <c r="R78" s="20">
        <v>62852</v>
      </c>
      <c r="S78" s="20"/>
      <c r="T78" s="20">
        <v>66882</v>
      </c>
      <c r="U78" s="20"/>
      <c r="V78" s="20">
        <v>7117.7550000000001</v>
      </c>
    </row>
    <row r="79" spans="9:22" x14ac:dyDescent="0.25">
      <c r="I79" s="13">
        <f ca="1"/>
        <v>64561</v>
      </c>
      <c r="J79" s="11">
        <v>75</v>
      </c>
      <c r="K79" s="20">
        <v>16243</v>
      </c>
      <c r="L79" s="20">
        <v>36735</v>
      </c>
      <c r="M79" s="20">
        <v>38950</v>
      </c>
      <c r="N79" s="20">
        <v>58394</v>
      </c>
      <c r="O79" s="20">
        <v>49705</v>
      </c>
      <c r="P79" s="20">
        <v>56799</v>
      </c>
      <c r="Q79" s="20"/>
      <c r="R79" s="20">
        <v>60449</v>
      </c>
      <c r="S79" s="20"/>
      <c r="T79" s="20">
        <v>64561</v>
      </c>
      <c r="U79" s="20"/>
      <c r="V79" s="20">
        <v>6917.4830000000002</v>
      </c>
    </row>
    <row r="80" spans="9:22" x14ac:dyDescent="0.25">
      <c r="I80" s="13">
        <f ca="1"/>
        <v>62091</v>
      </c>
      <c r="J80" s="11">
        <v>76</v>
      </c>
      <c r="K80" s="20">
        <v>14691</v>
      </c>
      <c r="L80" s="20">
        <v>33960</v>
      </c>
      <c r="M80" s="20">
        <v>36210</v>
      </c>
      <c r="N80" s="20">
        <v>55610</v>
      </c>
      <c r="O80" s="20">
        <v>46946</v>
      </c>
      <c r="P80" s="20">
        <v>54239</v>
      </c>
      <c r="Q80" s="20"/>
      <c r="R80" s="20">
        <v>57955</v>
      </c>
      <c r="S80" s="20"/>
      <c r="T80" s="20">
        <v>62091</v>
      </c>
      <c r="U80" s="20"/>
      <c r="V80" s="20">
        <v>6704.4589999999998</v>
      </c>
    </row>
    <row r="81" spans="9:22" x14ac:dyDescent="0.25">
      <c r="I81" s="13">
        <f ca="1"/>
        <v>59476</v>
      </c>
      <c r="J81" s="11">
        <v>77</v>
      </c>
      <c r="K81" s="20">
        <v>13175</v>
      </c>
      <c r="L81" s="20">
        <v>31162</v>
      </c>
      <c r="M81" s="20">
        <v>33468</v>
      </c>
      <c r="N81" s="20">
        <v>52693</v>
      </c>
      <c r="O81" s="20">
        <v>44101</v>
      </c>
      <c r="P81" s="20">
        <v>51599</v>
      </c>
      <c r="Q81" s="20"/>
      <c r="R81" s="20">
        <v>55373</v>
      </c>
      <c r="S81" s="20"/>
      <c r="T81" s="20">
        <v>59476</v>
      </c>
      <c r="U81" s="20"/>
      <c r="V81" s="20">
        <v>6477.393</v>
      </c>
    </row>
    <row r="82" spans="9:22" x14ac:dyDescent="0.25">
      <c r="I82" s="13">
        <f ca="1"/>
        <v>56721</v>
      </c>
      <c r="J82" s="11">
        <v>78</v>
      </c>
      <c r="K82" s="20">
        <v>11707</v>
      </c>
      <c r="L82" s="20">
        <v>28365</v>
      </c>
      <c r="M82" s="20">
        <v>30732</v>
      </c>
      <c r="N82" s="20">
        <v>49635</v>
      </c>
      <c r="O82" s="20">
        <v>41192</v>
      </c>
      <c r="P82" s="20">
        <v>48878</v>
      </c>
      <c r="Q82" s="20"/>
      <c r="R82" s="20">
        <v>52704</v>
      </c>
      <c r="S82" s="20"/>
      <c r="T82" s="20">
        <v>56721</v>
      </c>
      <c r="U82" s="20"/>
      <c r="V82" s="20">
        <v>6236.6050000000005</v>
      </c>
    </row>
    <row r="83" spans="9:22" x14ac:dyDescent="0.25">
      <c r="I83" s="13">
        <f ca="1"/>
        <v>53833</v>
      </c>
      <c r="J83" s="11">
        <v>79</v>
      </c>
      <c r="K83" s="20">
        <v>10297</v>
      </c>
      <c r="L83" s="20">
        <v>25596</v>
      </c>
      <c r="M83" s="20">
        <v>28006</v>
      </c>
      <c r="N83" s="20">
        <v>46424</v>
      </c>
      <c r="O83" s="20">
        <v>38245</v>
      </c>
      <c r="P83" s="20">
        <v>46071</v>
      </c>
      <c r="Q83" s="20"/>
      <c r="R83" s="20">
        <v>49943</v>
      </c>
      <c r="S83" s="20"/>
      <c r="T83" s="20">
        <v>53833</v>
      </c>
      <c r="U83" s="20"/>
      <c r="V83" s="20">
        <v>5979.55</v>
      </c>
    </row>
    <row r="84" spans="9:22" x14ac:dyDescent="0.25">
      <c r="I84" s="13">
        <f ca="1"/>
        <v>50819</v>
      </c>
      <c r="J84" s="11">
        <v>80</v>
      </c>
      <c r="K84" s="78">
        <v>8957.5</v>
      </c>
      <c r="L84" s="20">
        <v>22883</v>
      </c>
      <c r="M84" s="20">
        <v>25300</v>
      </c>
      <c r="N84" s="20">
        <v>43063</v>
      </c>
      <c r="O84" s="20">
        <v>35285</v>
      </c>
      <c r="P84" s="20">
        <v>43180</v>
      </c>
      <c r="Q84" s="20"/>
      <c r="R84" s="20">
        <v>47084</v>
      </c>
      <c r="S84" s="20"/>
      <c r="T84" s="20">
        <v>50819</v>
      </c>
      <c r="U84" s="20"/>
      <c r="V84" s="20">
        <v>5708.0839999999998</v>
      </c>
    </row>
    <row r="85" spans="9:22" x14ac:dyDescent="0.25">
      <c r="I85" s="13">
        <f ca="1"/>
        <v>47694</v>
      </c>
      <c r="J85" s="11">
        <v>81</v>
      </c>
      <c r="K85" s="78">
        <v>7699.8</v>
      </c>
      <c r="L85" s="20">
        <v>20254</v>
      </c>
      <c r="M85" s="20">
        <v>22619</v>
      </c>
      <c r="N85" s="20">
        <v>39555</v>
      </c>
      <c r="O85" s="20">
        <v>32323</v>
      </c>
      <c r="P85" s="20">
        <v>40208</v>
      </c>
      <c r="Q85" s="20"/>
      <c r="R85" s="20">
        <v>44129</v>
      </c>
      <c r="S85" s="20"/>
      <c r="T85" s="20">
        <v>47694</v>
      </c>
      <c r="U85" s="20"/>
      <c r="V85" s="20">
        <v>5421.3710000000001</v>
      </c>
    </row>
    <row r="86" spans="9:22" x14ac:dyDescent="0.25">
      <c r="I86" s="13">
        <f ca="1"/>
        <v>44475</v>
      </c>
      <c r="J86" s="11">
        <v>82</v>
      </c>
      <c r="K86" s="78">
        <v>6533.7</v>
      </c>
      <c r="L86" s="20">
        <v>17735</v>
      </c>
      <c r="M86" s="20">
        <v>19983</v>
      </c>
      <c r="N86" s="20">
        <v>35939</v>
      </c>
      <c r="O86" s="20">
        <v>29375</v>
      </c>
      <c r="P86" s="20">
        <v>37172</v>
      </c>
      <c r="Q86" s="20"/>
      <c r="R86" s="20">
        <v>41091</v>
      </c>
      <c r="S86" s="20"/>
      <c r="T86" s="20">
        <v>44475</v>
      </c>
      <c r="U86" s="20"/>
      <c r="V86" s="20">
        <v>5120.527</v>
      </c>
    </row>
    <row r="87" spans="9:22" x14ac:dyDescent="0.25">
      <c r="I87" s="13">
        <f ca="1"/>
        <v>41181</v>
      </c>
      <c r="J87" s="11">
        <v>83</v>
      </c>
      <c r="K87" s="78">
        <v>5467.4</v>
      </c>
      <c r="L87" s="20">
        <v>15350</v>
      </c>
      <c r="M87" s="20">
        <v>17439</v>
      </c>
      <c r="N87" s="20">
        <v>32290</v>
      </c>
      <c r="O87" s="20">
        <v>26469</v>
      </c>
      <c r="P87" s="20">
        <v>34095</v>
      </c>
      <c r="Q87" s="20"/>
      <c r="R87" s="20">
        <v>37994</v>
      </c>
      <c r="S87" s="20"/>
      <c r="T87" s="20">
        <v>41181</v>
      </c>
      <c r="U87" s="20"/>
      <c r="V87" s="20">
        <v>4805.9879999999994</v>
      </c>
    </row>
    <row r="88" spans="9:22" x14ac:dyDescent="0.25">
      <c r="I88" s="13">
        <f ca="1"/>
        <v>37837</v>
      </c>
      <c r="J88" s="11">
        <v>84</v>
      </c>
      <c r="K88" s="78">
        <v>4505.7</v>
      </c>
      <c r="L88" s="20">
        <v>13124</v>
      </c>
      <c r="M88" s="20">
        <v>15045</v>
      </c>
      <c r="N88" s="20">
        <v>28707</v>
      </c>
      <c r="O88" s="20">
        <v>23638</v>
      </c>
      <c r="P88" s="20">
        <v>31012</v>
      </c>
      <c r="Q88" s="20"/>
      <c r="R88" s="20">
        <v>34876</v>
      </c>
      <c r="S88" s="20"/>
      <c r="T88" s="20">
        <v>37837</v>
      </c>
      <c r="U88" s="20"/>
      <c r="V88" s="20">
        <v>4480.8510000000006</v>
      </c>
    </row>
    <row r="89" spans="9:22" x14ac:dyDescent="0.25">
      <c r="I89" s="13">
        <f ca="1"/>
        <v>34471</v>
      </c>
      <c r="J89" s="11">
        <v>85</v>
      </c>
      <c r="K89" s="78">
        <v>3651</v>
      </c>
      <c r="L89" s="20">
        <v>11073</v>
      </c>
      <c r="M89" s="20">
        <v>12845</v>
      </c>
      <c r="N89" s="20">
        <v>25269</v>
      </c>
      <c r="O89" s="20">
        <v>20908</v>
      </c>
      <c r="P89" s="20">
        <v>27960</v>
      </c>
      <c r="Q89" s="20"/>
      <c r="R89" s="20">
        <v>31770</v>
      </c>
      <c r="S89" s="20"/>
      <c r="T89" s="20">
        <v>34471</v>
      </c>
      <c r="U89" s="20"/>
      <c r="V89" s="20">
        <v>4139.9790000000003</v>
      </c>
    </row>
    <row r="90" spans="9:22" x14ac:dyDescent="0.25">
      <c r="I90" s="13">
        <f ca="1"/>
        <v>31114</v>
      </c>
      <c r="J90" s="11">
        <v>86</v>
      </c>
      <c r="K90" s="78">
        <v>2902.2</v>
      </c>
      <c r="L90" s="78">
        <v>9214.1</v>
      </c>
      <c r="M90" s="20">
        <v>10819</v>
      </c>
      <c r="N90" s="20">
        <v>21877</v>
      </c>
      <c r="O90" s="20">
        <v>18282</v>
      </c>
      <c r="P90" s="20">
        <v>24961</v>
      </c>
      <c r="Q90" s="20"/>
      <c r="R90" s="20">
        <v>28687</v>
      </c>
      <c r="S90" s="20"/>
      <c r="T90" s="20">
        <v>31114</v>
      </c>
      <c r="U90" s="20"/>
      <c r="V90" s="20">
        <v>3789.5250000000001</v>
      </c>
    </row>
    <row r="91" spans="9:22" x14ac:dyDescent="0.25">
      <c r="I91" s="13">
        <f ca="1"/>
        <v>27799</v>
      </c>
      <c r="J91" s="11">
        <v>87</v>
      </c>
      <c r="K91" s="78">
        <v>2256.5</v>
      </c>
      <c r="L91" s="78">
        <v>7556.3</v>
      </c>
      <c r="M91" s="78">
        <v>8979.6</v>
      </c>
      <c r="N91" s="20">
        <v>18593</v>
      </c>
      <c r="O91" s="20">
        <v>15769</v>
      </c>
      <c r="P91" s="20">
        <v>22038</v>
      </c>
      <c r="Q91" s="20"/>
      <c r="R91" s="20">
        <v>25638</v>
      </c>
      <c r="S91" s="20"/>
      <c r="T91" s="20">
        <v>27799</v>
      </c>
      <c r="U91" s="20"/>
      <c r="V91" s="20">
        <v>3431.3980000000001</v>
      </c>
    </row>
    <row r="92" spans="9:22" x14ac:dyDescent="0.25">
      <c r="I92" s="13">
        <f ca="1"/>
        <v>24564</v>
      </c>
      <c r="J92" s="11">
        <v>88</v>
      </c>
      <c r="K92" s="78">
        <v>1709.9</v>
      </c>
      <c r="L92" s="78">
        <v>6103.3</v>
      </c>
      <c r="M92" s="78">
        <v>7332.5</v>
      </c>
      <c r="N92" s="20">
        <v>15490</v>
      </c>
      <c r="O92" s="20">
        <v>13407</v>
      </c>
      <c r="P92" s="20">
        <v>19235</v>
      </c>
      <c r="Q92" s="20"/>
      <c r="R92" s="20">
        <v>22658</v>
      </c>
      <c r="S92" s="20"/>
      <c r="T92" s="20">
        <v>24564</v>
      </c>
      <c r="U92" s="20"/>
      <c r="V92" s="20">
        <v>3070.0819999999999</v>
      </c>
    </row>
    <row r="93" spans="9:22" x14ac:dyDescent="0.25">
      <c r="I93" s="13">
        <f ca="1"/>
        <v>21443</v>
      </c>
      <c r="J93" s="11">
        <v>89</v>
      </c>
      <c r="K93" s="78">
        <v>1256.3</v>
      </c>
      <c r="L93" s="78">
        <v>4852.6000000000004</v>
      </c>
      <c r="M93" s="78">
        <v>5875.7</v>
      </c>
      <c r="N93" s="20">
        <v>12628</v>
      </c>
      <c r="O93" s="20">
        <v>11240</v>
      </c>
      <c r="P93" s="20">
        <v>16598</v>
      </c>
      <c r="Q93" s="20"/>
      <c r="R93" s="20">
        <v>19783</v>
      </c>
      <c r="S93" s="20"/>
      <c r="T93" s="20">
        <v>21443</v>
      </c>
      <c r="U93" s="20"/>
      <c r="V93" s="20">
        <v>2710.6680000000001</v>
      </c>
    </row>
    <row r="94" spans="9:22" x14ac:dyDescent="0.25">
      <c r="I94" s="13">
        <f ca="1"/>
        <v>18472</v>
      </c>
      <c r="J94" s="11">
        <v>90</v>
      </c>
      <c r="K94" s="78">
        <v>889</v>
      </c>
      <c r="L94" s="78">
        <v>3795.7</v>
      </c>
      <c r="M94" s="78">
        <v>4608.7</v>
      </c>
      <c r="N94" s="20">
        <v>10056</v>
      </c>
      <c r="O94" s="78">
        <v>9296.4</v>
      </c>
      <c r="P94" s="20">
        <v>14154</v>
      </c>
      <c r="Q94" s="20"/>
      <c r="R94" s="20">
        <v>17046</v>
      </c>
      <c r="S94" s="20"/>
      <c r="T94" s="20">
        <v>18472</v>
      </c>
      <c r="U94" s="20"/>
      <c r="V94" s="20">
        <v>2358.6750000000002</v>
      </c>
    </row>
    <row r="95" spans="9:22" x14ac:dyDescent="0.25">
      <c r="I95" s="13">
        <f ca="1"/>
        <v>15685</v>
      </c>
      <c r="J95" s="11">
        <v>91</v>
      </c>
      <c r="K95" s="78">
        <v>601.21</v>
      </c>
      <c r="L95" s="78">
        <v>2919.6</v>
      </c>
      <c r="M95" s="78">
        <v>3534</v>
      </c>
      <c r="N95" s="78">
        <v>7810.6</v>
      </c>
      <c r="O95" s="78">
        <v>7576.4</v>
      </c>
      <c r="P95" s="20">
        <v>11908</v>
      </c>
      <c r="Q95" s="20"/>
      <c r="R95" s="20">
        <v>14466</v>
      </c>
      <c r="S95" s="20"/>
      <c r="T95" s="20">
        <v>15685</v>
      </c>
      <c r="U95" s="20"/>
      <c r="V95" s="20">
        <v>2019.8020000000001</v>
      </c>
    </row>
    <row r="96" spans="9:22" x14ac:dyDescent="0.25">
      <c r="I96" s="13">
        <f ca="1"/>
        <v>13111</v>
      </c>
      <c r="J96" s="11">
        <v>92</v>
      </c>
      <c r="K96" s="78">
        <v>384.18</v>
      </c>
      <c r="L96" s="78">
        <v>2207.4</v>
      </c>
      <c r="M96" s="78">
        <v>2648.5</v>
      </c>
      <c r="N96" s="78">
        <v>5910.5</v>
      </c>
      <c r="O96" s="78">
        <v>6069.6</v>
      </c>
      <c r="P96" s="20">
        <v>9863</v>
      </c>
      <c r="Q96" s="20"/>
      <c r="R96" s="20">
        <v>12066</v>
      </c>
      <c r="S96" s="20"/>
      <c r="T96" s="20">
        <v>13111</v>
      </c>
      <c r="U96" s="20"/>
      <c r="V96" s="20">
        <v>1699.6169999999997</v>
      </c>
    </row>
    <row r="97" spans="9:22" x14ac:dyDescent="0.25">
      <c r="I97" s="13">
        <f ca="1"/>
        <v>10773</v>
      </c>
      <c r="J97" s="11">
        <v>93</v>
      </c>
      <c r="K97" s="78">
        <v>228.49</v>
      </c>
      <c r="L97" s="78">
        <v>1639.9</v>
      </c>
      <c r="M97" s="78">
        <v>1938.9</v>
      </c>
      <c r="N97" s="78">
        <v>4355.8999999999996</v>
      </c>
      <c r="O97" s="78">
        <v>4773</v>
      </c>
      <c r="P97" s="20">
        <v>8032</v>
      </c>
      <c r="Q97" s="20"/>
      <c r="R97" s="20">
        <v>9884</v>
      </c>
      <c r="S97" s="20"/>
      <c r="T97" s="20">
        <v>10773</v>
      </c>
      <c r="U97" s="20"/>
      <c r="V97" s="20">
        <v>1403.2080000000001</v>
      </c>
    </row>
    <row r="98" spans="9:22" x14ac:dyDescent="0.25">
      <c r="I98" s="13">
        <f ca="1"/>
        <v>8690</v>
      </c>
      <c r="J98" s="11">
        <v>94</v>
      </c>
      <c r="K98" s="78">
        <v>124.02</v>
      </c>
      <c r="L98" s="78">
        <v>1196.5999999999999</v>
      </c>
      <c r="M98" s="78">
        <v>1386.7</v>
      </c>
      <c r="N98" s="78">
        <v>3128.4</v>
      </c>
      <c r="O98" s="78">
        <v>3681.4</v>
      </c>
      <c r="P98" s="20">
        <v>6424</v>
      </c>
      <c r="Q98" s="20"/>
      <c r="R98" s="20">
        <v>7951</v>
      </c>
      <c r="S98" s="20"/>
      <c r="T98" s="20">
        <v>8690</v>
      </c>
      <c r="U98" s="20"/>
      <c r="V98" s="20">
        <v>1134.8229999999999</v>
      </c>
    </row>
    <row r="99" spans="9:22" x14ac:dyDescent="0.25">
      <c r="I99" s="13">
        <f ca="1"/>
        <v>6871</v>
      </c>
      <c r="J99" s="11">
        <v>95</v>
      </c>
      <c r="K99" s="78">
        <v>59.985999999999997</v>
      </c>
      <c r="L99" s="78">
        <v>857.43</v>
      </c>
      <c r="M99" s="78">
        <v>970</v>
      </c>
      <c r="N99" s="78">
        <v>2192.9</v>
      </c>
      <c r="O99" s="78">
        <v>2785.5</v>
      </c>
      <c r="P99" s="20">
        <v>5043</v>
      </c>
      <c r="Q99" s="20"/>
      <c r="R99" s="20">
        <v>6282</v>
      </c>
      <c r="S99" s="20"/>
      <c r="T99" s="20">
        <v>6871</v>
      </c>
      <c r="U99" s="20"/>
      <c r="V99" s="20">
        <v>897.56610000000001</v>
      </c>
    </row>
    <row r="100" spans="9:22" x14ac:dyDescent="0.25">
      <c r="I100" s="13">
        <f ca="1"/>
        <v>5315</v>
      </c>
      <c r="J100" s="11">
        <v>96</v>
      </c>
      <c r="K100" s="78">
        <v>24.937999999999999</v>
      </c>
      <c r="L100" s="78">
        <v>603.24</v>
      </c>
      <c r="M100" s="78">
        <v>665.26</v>
      </c>
      <c r="N100" s="78">
        <v>1504</v>
      </c>
      <c r="O100" s="78">
        <v>2068.4</v>
      </c>
      <c r="P100" s="20">
        <v>3884</v>
      </c>
      <c r="Q100" s="20"/>
      <c r="R100" s="20">
        <v>4868</v>
      </c>
      <c r="S100" s="20"/>
      <c r="T100" s="20">
        <v>5315</v>
      </c>
      <c r="U100" s="20"/>
      <c r="V100" s="20">
        <v>693.15589999999997</v>
      </c>
    </row>
    <row r="101" spans="9:22" x14ac:dyDescent="0.25">
      <c r="I101" s="13">
        <f ca="1"/>
        <v>4016</v>
      </c>
      <c r="J101" s="11">
        <v>97</v>
      </c>
      <c r="K101" s="78">
        <v>8.7620000000000005</v>
      </c>
      <c r="L101" s="78">
        <v>416.63</v>
      </c>
      <c r="M101" s="78">
        <v>446.29</v>
      </c>
      <c r="N101" s="78">
        <v>1009</v>
      </c>
      <c r="O101" s="78">
        <v>1510.8</v>
      </c>
      <c r="P101" s="20">
        <v>2939</v>
      </c>
      <c r="Q101" s="20"/>
      <c r="R101" s="20">
        <v>3694</v>
      </c>
      <c r="S101" s="20"/>
      <c r="T101" s="20">
        <v>4016</v>
      </c>
      <c r="U101" s="20"/>
      <c r="V101" s="20">
        <v>521.8261</v>
      </c>
    </row>
    <row r="102" spans="9:22" x14ac:dyDescent="0.25">
      <c r="I102" s="13">
        <f ca="1"/>
        <v>2959</v>
      </c>
      <c r="J102" s="11">
        <v>98</v>
      </c>
      <c r="K102" s="78">
        <v>2.6960999999999999</v>
      </c>
      <c r="L102" s="78">
        <v>282.43</v>
      </c>
      <c r="M102" s="78">
        <v>292.54000000000002</v>
      </c>
      <c r="N102" s="78">
        <v>661.4</v>
      </c>
      <c r="O102" s="78">
        <v>1087.4000000000001</v>
      </c>
      <c r="P102" s="20">
        <v>2185</v>
      </c>
      <c r="Q102" s="20"/>
      <c r="R102" s="20">
        <v>2745</v>
      </c>
      <c r="S102" s="20"/>
      <c r="T102" s="20">
        <v>2959</v>
      </c>
      <c r="U102" s="20"/>
      <c r="V102" s="20">
        <v>382.36419999999998</v>
      </c>
    </row>
    <row r="103" spans="9:22" x14ac:dyDescent="0.25">
      <c r="I103" s="13">
        <f ca="1"/>
        <v>2122</v>
      </c>
      <c r="J103" s="11">
        <v>99</v>
      </c>
      <c r="K103" s="78">
        <v>0.67401</v>
      </c>
      <c r="L103" s="78">
        <v>187.89</v>
      </c>
      <c r="M103" s="78">
        <v>187.17</v>
      </c>
      <c r="N103" s="78">
        <v>423.18</v>
      </c>
      <c r="O103" s="78">
        <v>772.3</v>
      </c>
      <c r="P103" s="20">
        <v>1598</v>
      </c>
      <c r="Q103" s="20"/>
      <c r="R103" s="20">
        <v>1999</v>
      </c>
      <c r="S103" s="20"/>
      <c r="T103" s="20">
        <v>2122</v>
      </c>
      <c r="U103" s="20"/>
      <c r="V103" s="20">
        <v>272.29939999999999</v>
      </c>
    </row>
    <row r="104" spans="9:22" x14ac:dyDescent="0.25">
      <c r="I104" s="13">
        <f ca="1"/>
        <v>1477</v>
      </c>
      <c r="J104" s="11">
        <v>100</v>
      </c>
      <c r="K104" s="20">
        <v>0</v>
      </c>
      <c r="L104" s="78">
        <v>122.62</v>
      </c>
      <c r="M104" s="78">
        <v>116.76</v>
      </c>
      <c r="N104" s="78">
        <v>264</v>
      </c>
      <c r="O104" s="78">
        <v>541.62</v>
      </c>
      <c r="P104" s="20">
        <v>1150</v>
      </c>
      <c r="Q104" s="20"/>
      <c r="R104" s="20">
        <v>1424</v>
      </c>
      <c r="S104" s="20"/>
      <c r="T104" s="20">
        <v>1477</v>
      </c>
      <c r="U104" s="20"/>
      <c r="V104" s="20">
        <v>188.21080000000001</v>
      </c>
    </row>
    <row r="105" spans="9:22" x14ac:dyDescent="0.25">
      <c r="I105" s="13">
        <f ca="1"/>
        <v>997</v>
      </c>
      <c r="J105" s="11">
        <v>101</v>
      </c>
      <c r="K105" s="20">
        <v>0</v>
      </c>
      <c r="L105" s="78">
        <v>78.471999999999994</v>
      </c>
      <c r="M105" s="78">
        <v>70.941000000000003</v>
      </c>
      <c r="N105" s="78">
        <v>160.4</v>
      </c>
      <c r="O105" s="78">
        <v>375.36</v>
      </c>
      <c r="P105" s="20">
        <v>815</v>
      </c>
      <c r="Q105" s="20"/>
      <c r="R105" s="20">
        <v>991</v>
      </c>
      <c r="S105" s="20"/>
      <c r="T105" s="20">
        <v>997</v>
      </c>
      <c r="U105" s="20"/>
      <c r="V105" s="20">
        <v>126.10830000000001</v>
      </c>
    </row>
    <row r="106" spans="9:22" x14ac:dyDescent="0.25">
      <c r="I106" s="13">
        <f ca="1"/>
        <v>650</v>
      </c>
      <c r="J106" s="11">
        <v>102</v>
      </c>
      <c r="K106" s="20">
        <v>0</v>
      </c>
      <c r="L106" s="78">
        <v>49.204000000000001</v>
      </c>
      <c r="M106" s="78">
        <v>41.933</v>
      </c>
      <c r="N106" s="78">
        <v>94.811000000000007</v>
      </c>
      <c r="O106" s="78">
        <v>257.27</v>
      </c>
      <c r="P106" s="20">
        <v>570</v>
      </c>
      <c r="Q106" s="20"/>
      <c r="R106" s="20">
        <v>672</v>
      </c>
      <c r="S106" s="20"/>
      <c r="T106" s="20">
        <v>650</v>
      </c>
      <c r="U106" s="20"/>
      <c r="V106" s="20">
        <v>81.826409999999996</v>
      </c>
    </row>
    <row r="107" spans="9:22" x14ac:dyDescent="0.25">
      <c r="I107" s="13">
        <f ca="1"/>
        <v>410</v>
      </c>
      <c r="J107" s="11">
        <v>103</v>
      </c>
      <c r="K107" s="20">
        <v>0</v>
      </c>
      <c r="L107" s="78">
        <v>30.193999999999999</v>
      </c>
      <c r="M107" s="78">
        <v>24.085000000000001</v>
      </c>
      <c r="N107" s="78">
        <v>54.457999999999998</v>
      </c>
      <c r="O107" s="78">
        <v>174.51</v>
      </c>
      <c r="P107" s="20">
        <v>393</v>
      </c>
      <c r="Q107" s="20"/>
      <c r="R107" s="20">
        <v>443</v>
      </c>
      <c r="S107" s="20"/>
      <c r="T107" s="20">
        <v>410</v>
      </c>
      <c r="U107" s="20"/>
      <c r="V107" s="20">
        <v>51.37236</v>
      </c>
    </row>
    <row r="108" spans="9:22" x14ac:dyDescent="0.25">
      <c r="I108" s="13">
        <f ca="1"/>
        <v>248</v>
      </c>
      <c r="J108" s="11">
        <v>104</v>
      </c>
      <c r="K108" s="20">
        <v>0</v>
      </c>
      <c r="L108" s="78">
        <v>18.106000000000002</v>
      </c>
      <c r="M108" s="78">
        <v>13.427</v>
      </c>
      <c r="N108" s="78">
        <v>30.36</v>
      </c>
      <c r="O108" s="78">
        <v>117.24</v>
      </c>
      <c r="P108" s="20">
        <v>267</v>
      </c>
      <c r="Q108" s="20"/>
      <c r="R108" s="20">
        <v>284</v>
      </c>
      <c r="S108" s="20"/>
      <c r="T108" s="20">
        <v>248</v>
      </c>
      <c r="U108" s="20"/>
      <c r="V108" s="20">
        <v>31.187840000000001</v>
      </c>
    </row>
    <row r="109" spans="9:22" x14ac:dyDescent="0.25">
      <c r="I109" s="13">
        <f ca="1"/>
        <v>144</v>
      </c>
      <c r="J109" s="11">
        <v>105</v>
      </c>
      <c r="K109" s="20">
        <v>0</v>
      </c>
      <c r="L109" s="78">
        <v>10.587</v>
      </c>
      <c r="M109" s="78">
        <v>7.2572000000000001</v>
      </c>
      <c r="N109" s="78">
        <v>16.408999999999999</v>
      </c>
      <c r="O109" s="78">
        <v>78.064999999999998</v>
      </c>
      <c r="P109" s="20">
        <v>179</v>
      </c>
      <c r="Q109" s="20"/>
      <c r="R109" s="20">
        <v>175</v>
      </c>
      <c r="S109" s="20"/>
      <c r="T109" s="20">
        <v>144</v>
      </c>
      <c r="U109" s="20"/>
      <c r="V109" s="20">
        <v>18.302</v>
      </c>
    </row>
    <row r="110" spans="9:22" x14ac:dyDescent="0.25">
      <c r="I110" s="13">
        <f ca="1"/>
        <v>81</v>
      </c>
      <c r="J110" s="11">
        <v>106</v>
      </c>
      <c r="K110" s="20">
        <v>0</v>
      </c>
      <c r="L110" s="78">
        <v>6.0224000000000002</v>
      </c>
      <c r="M110" s="78">
        <v>3.7982999999999998</v>
      </c>
      <c r="N110" s="78">
        <v>8.5881000000000007</v>
      </c>
      <c r="O110" s="78">
        <v>51.585000000000001</v>
      </c>
      <c r="P110" s="20">
        <v>119</v>
      </c>
      <c r="Q110" s="20"/>
      <c r="R110" s="20">
        <v>105</v>
      </c>
      <c r="S110" s="20"/>
      <c r="T110" s="20">
        <v>81</v>
      </c>
      <c r="U110" s="20"/>
      <c r="V110" s="20">
        <v>10.380459999999999</v>
      </c>
    </row>
    <row r="111" spans="9:22" x14ac:dyDescent="0.25">
      <c r="I111" s="13">
        <f ca="1"/>
        <v>43</v>
      </c>
      <c r="J111" s="11">
        <v>107</v>
      </c>
      <c r="K111" s="20">
        <v>0</v>
      </c>
      <c r="L111" s="78">
        <v>3.3231999999999999</v>
      </c>
      <c r="M111" s="78">
        <v>1.9228000000000001</v>
      </c>
      <c r="N111" s="78">
        <v>4.3475000000000001</v>
      </c>
      <c r="O111" s="78">
        <v>33.808999999999997</v>
      </c>
      <c r="P111" s="20">
        <v>78</v>
      </c>
      <c r="Q111" s="20"/>
      <c r="R111" s="20">
        <v>60</v>
      </c>
      <c r="S111" s="20"/>
      <c r="T111" s="20">
        <v>43</v>
      </c>
      <c r="U111" s="20"/>
      <c r="V111" s="20">
        <v>5.6911059999999996</v>
      </c>
    </row>
    <row r="112" spans="9:22" x14ac:dyDescent="0.25">
      <c r="I112" s="13">
        <f ca="1"/>
        <v>22</v>
      </c>
      <c r="J112" s="11">
        <v>108</v>
      </c>
      <c r="K112" s="20">
        <v>0</v>
      </c>
      <c r="L112" s="78">
        <v>1.7735000000000001</v>
      </c>
      <c r="M112" s="78">
        <v>0.94035000000000002</v>
      </c>
      <c r="N112" s="78">
        <v>2.1261000000000001</v>
      </c>
      <c r="O112" s="78">
        <v>22.004000000000001</v>
      </c>
      <c r="P112" s="20">
        <v>51</v>
      </c>
      <c r="Q112" s="20"/>
      <c r="R112" s="20">
        <v>33</v>
      </c>
      <c r="S112" s="20"/>
      <c r="T112" s="20">
        <v>22</v>
      </c>
      <c r="U112" s="20"/>
      <c r="V112" s="20">
        <v>3.0172140000000001</v>
      </c>
    </row>
    <row r="113" spans="9:22" x14ac:dyDescent="0.25">
      <c r="I113" s="13">
        <f ca="1"/>
        <v>11</v>
      </c>
      <c r="J113" s="11">
        <v>109</v>
      </c>
      <c r="K113" s="20">
        <v>0</v>
      </c>
      <c r="L113" s="78">
        <v>0.91264000000000001</v>
      </c>
      <c r="M113" s="78">
        <v>0.44374999999999998</v>
      </c>
      <c r="N113" s="78">
        <v>1.0033000000000001</v>
      </c>
      <c r="O113" s="78">
        <v>14.228999999999999</v>
      </c>
      <c r="P113" s="20">
        <v>33</v>
      </c>
      <c r="Q113" s="20"/>
      <c r="R113" s="20">
        <v>17</v>
      </c>
      <c r="S113" s="20"/>
      <c r="T113" s="20">
        <v>11</v>
      </c>
      <c r="U113" s="20"/>
      <c r="V113" s="20">
        <v>1.547804</v>
      </c>
    </row>
    <row r="114" spans="9:22" x14ac:dyDescent="0.25">
      <c r="I114" s="13">
        <f ca="1"/>
        <v>0</v>
      </c>
      <c r="J114" s="11">
        <v>110</v>
      </c>
      <c r="K114" s="20">
        <v>0</v>
      </c>
      <c r="L114" s="20">
        <v>0</v>
      </c>
      <c r="M114" s="20">
        <v>0</v>
      </c>
      <c r="N114" s="20">
        <v>0</v>
      </c>
      <c r="O114" s="20">
        <v>0</v>
      </c>
      <c r="P114" s="20">
        <v>0</v>
      </c>
      <c r="Q114" s="20"/>
      <c r="R114" s="20">
        <v>0</v>
      </c>
      <c r="S114" s="20"/>
      <c r="T114" s="20">
        <v>0</v>
      </c>
      <c r="U114" s="20"/>
      <c r="V114" s="20">
        <v>0</v>
      </c>
    </row>
  </sheetData>
  <phoneticPr fontId="22" type="noConversion"/>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C68EF-7B14-4C13-B7DA-A80B4D21694B}">
  <sheetPr codeName="Sheet3"/>
  <dimension ref="A1:AK115"/>
  <sheetViews>
    <sheetView workbookViewId="0">
      <pane xSplit="1" ySplit="4" topLeftCell="B5" activePane="bottomRight" state="frozen"/>
      <selection pane="topRight" activeCell="B1" sqref="B1"/>
      <selection pane="bottomLeft" activeCell="A5" sqref="A5"/>
      <selection pane="bottomRight" activeCell="C4" sqref="C4"/>
    </sheetView>
  </sheetViews>
  <sheetFormatPr defaultColWidth="8.69921875" defaultRowHeight="13.8" x14ac:dyDescent="0.25"/>
  <cols>
    <col min="1" max="1" width="3.69921875" style="58" bestFit="1" customWidth="1"/>
    <col min="2" max="2" width="2.19921875" style="58" customWidth="1"/>
    <col min="3" max="3" width="9.5" style="58" customWidth="1"/>
    <col min="4" max="4" width="9.5" style="64" customWidth="1"/>
    <col min="5" max="5" width="9.8984375" style="64" customWidth="1"/>
    <col min="6" max="6" width="8.5" style="58" customWidth="1"/>
    <col min="7" max="7" width="7.5" style="58" customWidth="1"/>
    <col min="8" max="8" width="2.19921875" style="68" customWidth="1"/>
    <col min="9" max="10" width="8.59765625" style="58" customWidth="1"/>
    <col min="11" max="11" width="7.19921875" style="58" customWidth="1"/>
    <col min="12" max="12" width="5.19921875" style="58" customWidth="1"/>
    <col min="13" max="13" width="2.19921875" style="68" customWidth="1"/>
    <col min="14" max="15" width="8.59765625" style="58" customWidth="1"/>
    <col min="16" max="16" width="7.19921875" style="58" customWidth="1"/>
    <col min="17" max="17" width="5.19921875" style="58" customWidth="1"/>
    <col min="18" max="18" width="2.19921875" style="68" customWidth="1"/>
    <col min="19" max="19" width="9.5" style="58" bestFit="1" customWidth="1"/>
    <col min="20" max="20" width="8.796875" style="58" customWidth="1"/>
    <col min="21" max="21" width="7.69921875" style="58" customWidth="1"/>
    <col min="22" max="22" width="5.19921875" style="58" customWidth="1"/>
    <col min="23" max="23" width="2.19921875" style="58" customWidth="1"/>
    <col min="24" max="25" width="8.69921875" style="58"/>
    <col min="26" max="26" width="7.5" style="58" customWidth="1"/>
    <col min="27" max="27" width="5.296875" style="58" customWidth="1"/>
    <col min="28" max="28" width="2.19921875" style="58" customWidth="1"/>
    <col min="29" max="30" width="8.69921875" style="58"/>
    <col min="31" max="31" width="7.796875" style="58" customWidth="1"/>
    <col min="32" max="32" width="5.296875" style="58" customWidth="1"/>
    <col min="33" max="33" width="2.19921875" style="58" customWidth="1"/>
    <col min="34" max="35" width="8.69921875" style="58"/>
    <col min="36" max="36" width="7.796875" style="58" customWidth="1"/>
    <col min="37" max="37" width="5.296875" style="58" customWidth="1"/>
    <col min="38" max="16384" width="8.69921875" style="58"/>
  </cols>
  <sheetData>
    <row r="1" spans="1:37" x14ac:dyDescent="0.25">
      <c r="C1" s="58" t="s">
        <v>143</v>
      </c>
      <c r="I1" s="58" t="s">
        <v>138</v>
      </c>
      <c r="N1" s="58" t="s">
        <v>136</v>
      </c>
      <c r="S1" s="58" t="s">
        <v>139</v>
      </c>
      <c r="U1" s="68" t="s">
        <v>137</v>
      </c>
      <c r="X1" s="58" t="s">
        <v>140</v>
      </c>
      <c r="Z1" s="68" t="s">
        <v>137</v>
      </c>
      <c r="AC1" s="58" t="s">
        <v>141</v>
      </c>
      <c r="AH1" s="58" t="s">
        <v>142</v>
      </c>
    </row>
    <row r="2" spans="1:37" ht="14.4" x14ac:dyDescent="0.25">
      <c r="C2" s="75" t="s">
        <v>129</v>
      </c>
      <c r="I2" s="75" t="s">
        <v>130</v>
      </c>
      <c r="M2" s="75"/>
      <c r="N2" s="75" t="s">
        <v>135</v>
      </c>
      <c r="R2" s="75"/>
      <c r="S2" s="75" t="s">
        <v>131</v>
      </c>
      <c r="X2" s="75" t="s">
        <v>132</v>
      </c>
      <c r="AC2" s="75" t="s">
        <v>133</v>
      </c>
    </row>
    <row r="3" spans="1:37" x14ac:dyDescent="0.25">
      <c r="C3" s="58" t="s">
        <v>83</v>
      </c>
      <c r="D3" s="58" t="s">
        <v>83</v>
      </c>
      <c r="E3" s="64" t="s">
        <v>96</v>
      </c>
      <c r="F3" s="58" t="s">
        <v>128</v>
      </c>
      <c r="G3" s="58" t="s">
        <v>127</v>
      </c>
      <c r="I3" s="58" t="s">
        <v>83</v>
      </c>
      <c r="J3" s="58" t="s">
        <v>83</v>
      </c>
      <c r="K3" s="58" t="s">
        <v>96</v>
      </c>
      <c r="N3" s="58" t="s">
        <v>83</v>
      </c>
      <c r="O3" s="58" t="s">
        <v>83</v>
      </c>
      <c r="P3" s="58" t="s">
        <v>96</v>
      </c>
      <c r="S3" s="58" t="s">
        <v>83</v>
      </c>
      <c r="T3" s="58" t="s">
        <v>83</v>
      </c>
      <c r="U3" s="58" t="s">
        <v>96</v>
      </c>
      <c r="X3" s="58" t="s">
        <v>83</v>
      </c>
      <c r="Y3" s="58" t="s">
        <v>83</v>
      </c>
      <c r="Z3" s="58" t="s">
        <v>96</v>
      </c>
      <c r="AC3" s="58" t="s">
        <v>83</v>
      </c>
      <c r="AD3" s="58" t="s">
        <v>83</v>
      </c>
      <c r="AE3" s="58" t="s">
        <v>96</v>
      </c>
      <c r="AH3" s="58" t="s">
        <v>83</v>
      </c>
      <c r="AI3" s="58" t="s">
        <v>83</v>
      </c>
      <c r="AJ3" s="58" t="s">
        <v>96</v>
      </c>
    </row>
    <row r="4" spans="1:37" x14ac:dyDescent="0.25">
      <c r="A4" s="69" t="s">
        <v>1</v>
      </c>
      <c r="C4" s="67" t="s">
        <v>97</v>
      </c>
      <c r="D4" s="67" t="s">
        <v>98</v>
      </c>
      <c r="E4" s="67" t="s">
        <v>99</v>
      </c>
      <c r="F4" s="70" t="s">
        <v>126</v>
      </c>
      <c r="G4" s="70" t="s">
        <v>126</v>
      </c>
      <c r="I4" s="70" t="s">
        <v>92</v>
      </c>
      <c r="J4" s="70" t="s">
        <v>84</v>
      </c>
      <c r="K4" s="70" t="s">
        <v>84</v>
      </c>
      <c r="L4" s="70" t="s">
        <v>82</v>
      </c>
      <c r="N4" s="70" t="s">
        <v>92</v>
      </c>
      <c r="O4" s="70" t="s">
        <v>84</v>
      </c>
      <c r="P4" s="70" t="s">
        <v>84</v>
      </c>
      <c r="Q4" s="70" t="s">
        <v>82</v>
      </c>
      <c r="S4" s="70" t="s">
        <v>85</v>
      </c>
      <c r="T4" s="70" t="s">
        <v>84</v>
      </c>
      <c r="U4" s="70" t="s">
        <v>84</v>
      </c>
      <c r="V4" s="70" t="s">
        <v>82</v>
      </c>
      <c r="X4" s="70" t="s">
        <v>85</v>
      </c>
      <c r="Y4" s="70" t="s">
        <v>84</v>
      </c>
      <c r="Z4" s="70" t="s">
        <v>84</v>
      </c>
      <c r="AA4" s="70" t="s">
        <v>82</v>
      </c>
      <c r="AC4" s="70" t="s">
        <v>85</v>
      </c>
      <c r="AD4" s="70" t="s">
        <v>84</v>
      </c>
      <c r="AE4" s="70" t="s">
        <v>84</v>
      </c>
      <c r="AF4" s="70" t="s">
        <v>82</v>
      </c>
      <c r="AH4" s="70" t="s">
        <v>85</v>
      </c>
      <c r="AI4" s="70" t="s">
        <v>84</v>
      </c>
      <c r="AJ4" s="70" t="s">
        <v>84</v>
      </c>
      <c r="AK4" s="70" t="s">
        <v>82</v>
      </c>
    </row>
    <row r="5" spans="1:37" x14ac:dyDescent="0.25">
      <c r="A5" s="55" cm="1">
        <f t="array" ref="A5:A115">_xlfn.SEQUENCE(111,,0)</f>
        <v>0</v>
      </c>
      <c r="C5" s="65">
        <v>14.728289999999999</v>
      </c>
      <c r="D5" s="65">
        <v>0.39506999999999998</v>
      </c>
      <c r="E5" s="58" t="b">
        <f t="shared" ref="E5:E36" si="0">ABS((C5+1)/1.04 - C5 - D5)&lt;0.00001</f>
        <v>1</v>
      </c>
      <c r="F5" s="71">
        <f t="shared" ref="F5:F36" si="1">ROUND(1.04 * C5 / (1+C6),5)</f>
        <v>0.83667000000000002</v>
      </c>
      <c r="G5" s="72">
        <v>100000</v>
      </c>
      <c r="I5" s="65">
        <v>47.1</v>
      </c>
      <c r="J5" s="73">
        <v>100000</v>
      </c>
      <c r="K5" s="73">
        <v>100000</v>
      </c>
      <c r="N5" s="65"/>
      <c r="O5" s="77">
        <v>1000000</v>
      </c>
      <c r="P5" s="73"/>
      <c r="S5" s="72">
        <v>2.913E-2</v>
      </c>
      <c r="T5" s="73">
        <v>100000</v>
      </c>
      <c r="U5" s="73">
        <v>100000</v>
      </c>
      <c r="X5" s="72">
        <v>2.256E-2</v>
      </c>
      <c r="Y5" s="73">
        <v>100000</v>
      </c>
      <c r="Z5" s="73">
        <v>100000</v>
      </c>
      <c r="AC5" s="72">
        <v>2.002E-2</v>
      </c>
      <c r="AD5" s="73">
        <v>100000</v>
      </c>
      <c r="AE5" s="73">
        <v>100000</v>
      </c>
      <c r="AH5" s="72"/>
      <c r="AI5" s="73">
        <v>100000</v>
      </c>
      <c r="AJ5" s="73">
        <v>100000</v>
      </c>
    </row>
    <row r="6" spans="1:37" x14ac:dyDescent="0.25">
      <c r="A6" s="55">
        <v>1</v>
      </c>
      <c r="C6" s="65">
        <v>17.30771</v>
      </c>
      <c r="D6" s="65">
        <v>0.29586000000000001</v>
      </c>
      <c r="E6" s="58" t="b">
        <f t="shared" si="0"/>
        <v>1</v>
      </c>
      <c r="F6" s="71">
        <f t="shared" si="1"/>
        <v>0.91390000000000005</v>
      </c>
      <c r="G6" s="71">
        <f>_xlfn.LET(_xlpm.result,100000 * PRODUCT(F$5:F5),ROUND(_xlpm.result,4-INT(LN(_xlpm.result)/LN(10))))</f>
        <v>83667</v>
      </c>
      <c r="I6" s="65">
        <v>5.21</v>
      </c>
      <c r="J6" s="73">
        <v>95290</v>
      </c>
      <c r="K6" s="58" cm="1">
        <f t="array" ref="K6">_xlfn.LET(_xlpm.result,K$5*PRODUCT(1-I$5:I5/1000),ROUND(_xlpm.result,4-INT(LN(_xlpm.result)/LN(10))))</f>
        <v>95290</v>
      </c>
      <c r="L6" s="58">
        <f t="shared" ref="L6:L69" si="2">+K6-J6</f>
        <v>0</v>
      </c>
      <c r="N6" s="65"/>
      <c r="O6" s="77">
        <v>956852</v>
      </c>
      <c r="S6" s="72">
        <v>1.81E-3</v>
      </c>
      <c r="T6" s="73">
        <v>97087</v>
      </c>
      <c r="U6" s="58" cm="1">
        <f t="array" ref="U6">_xlfn.LET(_xlpm.result,U$5*PRODUCT(1-S$5:S5),ROUND(_xlpm.result,4-INT(LN(_xlpm.result)/LN(10))))</f>
        <v>97087</v>
      </c>
      <c r="V6" s="58">
        <f t="shared" ref="V6" si="3">+U6-T6</f>
        <v>0</v>
      </c>
      <c r="X6" s="72">
        <v>1.58E-3</v>
      </c>
      <c r="Y6" s="73">
        <v>97744</v>
      </c>
      <c r="Z6" s="58" cm="1">
        <f t="array" ref="Z6">_xlfn.LET(_xlpm.result,Z$5*PRODUCT(1-X$5:X5),ROUND(_xlpm.result,4-INT(LN(_xlpm.result)/LN(10))))</f>
        <v>97744</v>
      </c>
      <c r="AA6" s="58">
        <f t="shared" ref="AA6:AA69" si="4">+Z6-Y6</f>
        <v>0</v>
      </c>
      <c r="AC6" s="72">
        <v>1.25E-3</v>
      </c>
      <c r="AD6" s="73">
        <v>97998</v>
      </c>
      <c r="AE6" s="58" cm="1">
        <f t="array" ref="AE6">_xlfn.LET(_xlpm.result,AE$5*PRODUCT(1-AC$5:AC5),ROUND(_xlpm.result,4-INT(LN(_xlpm.result)/LN(10))))</f>
        <v>97998</v>
      </c>
      <c r="AF6" s="58">
        <f t="shared" ref="AF6:AF69" si="5">+AE6-AD6</f>
        <v>0</v>
      </c>
      <c r="AH6" s="72"/>
      <c r="AI6" s="73">
        <v>98740</v>
      </c>
      <c r="AJ6" s="58" cm="1">
        <f t="array" ref="AJ6">_xlfn.LET(_xlpm.result,AJ$5*PRODUCT(1-AH$5:AH5),ROUND(_xlpm.result,4-INT(LN(_xlpm.result)/LN(10))))</f>
        <v>100000</v>
      </c>
      <c r="AK6" s="58">
        <f t="shared" ref="AK6:AK69" si="6">+AJ6-AI6</f>
        <v>1260</v>
      </c>
    </row>
    <row r="7" spans="1:37" x14ac:dyDescent="0.25">
      <c r="A7" s="55">
        <v>2</v>
      </c>
      <c r="C7" s="65">
        <v>18.695779999999999</v>
      </c>
      <c r="D7" s="65">
        <v>0.24246999999999999</v>
      </c>
      <c r="E7" s="58" t="b">
        <f t="shared" si="0"/>
        <v>1</v>
      </c>
      <c r="F7" s="71">
        <f t="shared" si="1"/>
        <v>0.96450999999999998</v>
      </c>
      <c r="G7" s="71">
        <f>_xlfn.LET(_xlpm.result,100000 * PRODUCT(F$5:F6),ROUND(_xlpm.result,4-INT(LN(_xlpm.result)/LN(10))))</f>
        <v>76463</v>
      </c>
      <c r="I7" s="65">
        <v>2.67</v>
      </c>
      <c r="J7" s="73">
        <v>94794</v>
      </c>
      <c r="K7" s="58" cm="1">
        <f t="array" ref="K7">_xlfn.LET(_xlpm.result,K$5*PRODUCT(1-I$5:I6/1000),ROUND(_xlpm.result,4-INT(LN(_xlpm.result)/LN(10))))</f>
        <v>94794</v>
      </c>
      <c r="L7" s="58">
        <f t="shared" si="2"/>
        <v>0</v>
      </c>
      <c r="N7" s="65"/>
      <c r="O7" s="77">
        <v>952450</v>
      </c>
      <c r="S7" s="72">
        <v>1.15E-3</v>
      </c>
      <c r="T7" s="73">
        <v>96911</v>
      </c>
      <c r="U7" s="58" cm="1">
        <f t="array" ref="U7">_xlfn.LET(_xlpm.result,U$5*PRODUCT(1-S$5:S6),ROUND(_xlpm.result,4-INT(LN(_xlpm.result)/LN(10))))</f>
        <v>96911</v>
      </c>
      <c r="V7" s="58">
        <f t="shared" ref="V7:V70" si="7">+U7-T7</f>
        <v>0</v>
      </c>
      <c r="X7" s="72">
        <v>9.3000000000000005E-4</v>
      </c>
      <c r="Y7" s="73">
        <v>97589</v>
      </c>
      <c r="Z7" s="58" cm="1">
        <f t="array" ref="Z7">_xlfn.LET(_xlpm.result,Z$5*PRODUCT(1-X$5:X6),ROUND(_xlpm.result,4-INT(LN(_xlpm.result)/LN(10))))</f>
        <v>97590</v>
      </c>
      <c r="AA7" s="58">
        <f t="shared" si="4"/>
        <v>1</v>
      </c>
      <c r="AC7" s="72">
        <v>8.5999999999999998E-4</v>
      </c>
      <c r="AD7" s="73">
        <v>97876</v>
      </c>
      <c r="AE7" s="58" cm="1">
        <f t="array" ref="AE7">_xlfn.LET(_xlpm.result,AE$5*PRODUCT(1-AC$5:AC6),ROUND(_xlpm.result,4-INT(LN(_xlpm.result)/LN(10))))</f>
        <v>97876</v>
      </c>
      <c r="AF7" s="58">
        <f t="shared" si="5"/>
        <v>0</v>
      </c>
      <c r="AH7" s="72"/>
      <c r="AI7" s="73">
        <v>98648</v>
      </c>
      <c r="AJ7" s="58" cm="1">
        <f t="array" ref="AJ7">_xlfn.LET(_xlpm.result,AJ$5*PRODUCT(1-AH$5:AH6),ROUND(_xlpm.result,4-INT(LN(_xlpm.result)/LN(10))))</f>
        <v>100000</v>
      </c>
      <c r="AK7" s="58">
        <f t="shared" si="6"/>
        <v>1352</v>
      </c>
    </row>
    <row r="8" spans="1:37" x14ac:dyDescent="0.25">
      <c r="A8" s="55">
        <v>3</v>
      </c>
      <c r="C8" s="65">
        <v>19.159009999999999</v>
      </c>
      <c r="D8" s="65">
        <v>0.22464999999999999</v>
      </c>
      <c r="E8" s="58" t="b">
        <f t="shared" si="0"/>
        <v>1</v>
      </c>
      <c r="F8" s="71">
        <f t="shared" si="1"/>
        <v>0.97614999999999996</v>
      </c>
      <c r="G8" s="71">
        <f>_xlfn.LET(_xlpm.result,100000 * PRODUCT(F$5:F7),ROUND(_xlpm.result,4-INT(LN(_xlpm.result)/LN(10))))</f>
        <v>73750</v>
      </c>
      <c r="I8" s="65">
        <v>1.88</v>
      </c>
      <c r="J8" s="73">
        <v>94540</v>
      </c>
      <c r="K8" s="58" cm="1">
        <f t="array" ref="K8">_xlfn.LET(_xlpm.result,K$5*PRODUCT(1-I$5:I7/1000),ROUND(_xlpm.result,4-INT(LN(_xlpm.result)/LN(10))))</f>
        <v>94540</v>
      </c>
      <c r="L8" s="58">
        <f t="shared" si="2"/>
        <v>0</v>
      </c>
      <c r="N8" s="65"/>
      <c r="O8" s="77">
        <v>950138</v>
      </c>
      <c r="S8" s="72">
        <v>8.8000000000000003E-4</v>
      </c>
      <c r="T8" s="73">
        <v>96800</v>
      </c>
      <c r="U8" s="58" cm="1">
        <f t="array" ref="U8">_xlfn.LET(_xlpm.result,U$5*PRODUCT(1-S$5:S7),ROUND(_xlpm.result,4-INT(LN(_xlpm.result)/LN(10))))</f>
        <v>96800</v>
      </c>
      <c r="V8" s="58">
        <f t="shared" si="7"/>
        <v>0</v>
      </c>
      <c r="X8" s="72">
        <v>7.1000000000000002E-4</v>
      </c>
      <c r="Y8" s="73">
        <v>97498</v>
      </c>
      <c r="Z8" s="58" cm="1">
        <f t="array" ref="Z8">_xlfn.LET(_xlpm.result,Z$5*PRODUCT(1-X$5:X7),ROUND(_xlpm.result,4-INT(LN(_xlpm.result)/LN(10))))</f>
        <v>97499</v>
      </c>
      <c r="AA8" s="58">
        <f t="shared" si="4"/>
        <v>1</v>
      </c>
      <c r="AC8" s="72">
        <v>6.8999999999999997E-4</v>
      </c>
      <c r="AD8" s="73">
        <v>97792</v>
      </c>
      <c r="AE8" s="58" cm="1">
        <f t="array" ref="AE8">_xlfn.LET(_xlpm.result,AE$5*PRODUCT(1-AC$5:AC7),ROUND(_xlpm.result,4-INT(LN(_xlpm.result)/LN(10))))</f>
        <v>97791</v>
      </c>
      <c r="AF8" s="58">
        <f t="shared" si="5"/>
        <v>-1</v>
      </c>
      <c r="AH8" s="72"/>
      <c r="AI8" s="73">
        <v>98584</v>
      </c>
      <c r="AJ8" s="58" cm="1">
        <f t="array" ref="AJ8">_xlfn.LET(_xlpm.result,AJ$5*PRODUCT(1-AH$5:AH7),ROUND(_xlpm.result,4-INT(LN(_xlpm.result)/LN(10))))</f>
        <v>100000</v>
      </c>
      <c r="AK8" s="58">
        <f t="shared" si="6"/>
        <v>1416</v>
      </c>
    </row>
    <row r="9" spans="1:37" x14ac:dyDescent="0.25">
      <c r="A9" s="55">
        <v>4</v>
      </c>
      <c r="C9" s="65">
        <v>19.41226</v>
      </c>
      <c r="D9" s="65">
        <v>0.21490999999999999</v>
      </c>
      <c r="E9" s="58" t="b">
        <f t="shared" si="0"/>
        <v>1</v>
      </c>
      <c r="F9" s="71">
        <f t="shared" si="1"/>
        <v>0.98228000000000004</v>
      </c>
      <c r="G9" s="71">
        <f>_xlfn.LET(_xlpm.result,100000 * PRODUCT(F$5:F8),ROUND(_xlpm.result,4-INT(LN(_xlpm.result)/LN(10))))</f>
        <v>71991</v>
      </c>
      <c r="I9" s="65">
        <v>1.51</v>
      </c>
      <c r="J9" s="73">
        <v>94363</v>
      </c>
      <c r="K9" s="58" cm="1">
        <f t="array" ref="K9">_xlfn.LET(_xlpm.result,K$5*PRODUCT(1-I$5:I8/1000),ROUND(_xlpm.result,4-INT(LN(_xlpm.result)/LN(10))))</f>
        <v>94363</v>
      </c>
      <c r="L9" s="58">
        <f t="shared" si="2"/>
        <v>0</v>
      </c>
      <c r="N9" s="65"/>
      <c r="O9" s="77">
        <v>948469</v>
      </c>
      <c r="S9" s="72">
        <v>7.3999999999999999E-4</v>
      </c>
      <c r="T9" s="73">
        <v>96714</v>
      </c>
      <c r="U9" s="58" cm="1">
        <f t="array" ref="U9">_xlfn.LET(_xlpm.result,U$5*PRODUCT(1-S$5:S8),ROUND(_xlpm.result,4-INT(LN(_xlpm.result)/LN(10))))</f>
        <v>96715</v>
      </c>
      <c r="V9" s="58">
        <f t="shared" si="7"/>
        <v>1</v>
      </c>
      <c r="X9" s="72">
        <v>5.9999999999999995E-4</v>
      </c>
      <c r="Y9" s="73">
        <v>97429</v>
      </c>
      <c r="Z9" s="58" cm="1">
        <f t="array" ref="Z9">_xlfn.LET(_xlpm.result,Z$5*PRODUCT(1-X$5:X8),ROUND(_xlpm.result,4-INT(LN(_xlpm.result)/LN(10))))</f>
        <v>97430</v>
      </c>
      <c r="AA9" s="58">
        <f t="shared" si="4"/>
        <v>1</v>
      </c>
      <c r="AC9" s="72">
        <v>5.6999999999999998E-4</v>
      </c>
      <c r="AD9" s="73">
        <v>97724</v>
      </c>
      <c r="AE9" s="58" cm="1">
        <f t="array" ref="AE9">_xlfn.LET(_xlpm.result,AE$5*PRODUCT(1-AC$5:AC8),ROUND(_xlpm.result,4-INT(LN(_xlpm.result)/LN(10))))</f>
        <v>97724</v>
      </c>
      <c r="AF9" s="58">
        <f t="shared" si="5"/>
        <v>0</v>
      </c>
      <c r="AH9" s="72"/>
      <c r="AI9" s="73">
        <v>98535</v>
      </c>
      <c r="AJ9" s="58" cm="1">
        <f t="array" ref="AJ9">_xlfn.LET(_xlpm.result,AJ$5*PRODUCT(1-AH$5:AH8),ROUND(_xlpm.result,4-INT(LN(_xlpm.result)/LN(10))))</f>
        <v>100000</v>
      </c>
      <c r="AK9" s="58">
        <f t="shared" si="6"/>
        <v>1465</v>
      </c>
    </row>
    <row r="10" spans="1:37" x14ac:dyDescent="0.25">
      <c r="A10" s="55">
        <v>5</v>
      </c>
      <c r="C10" s="65">
        <v>19.55301</v>
      </c>
      <c r="D10" s="65">
        <v>0.20949999999999999</v>
      </c>
      <c r="E10" s="58" t="b">
        <f t="shared" si="0"/>
        <v>1</v>
      </c>
      <c r="F10" s="71">
        <f t="shared" si="1"/>
        <v>0.98631000000000002</v>
      </c>
      <c r="G10" s="71">
        <f>_xlfn.LET(_xlpm.result,100000 * PRODUCT(F$5:F9),ROUND(_xlpm.result,4-INT(LN(_xlpm.result)/LN(10))))</f>
        <v>70715</v>
      </c>
      <c r="I10" s="65">
        <v>1.32</v>
      </c>
      <c r="J10" s="73">
        <v>94220</v>
      </c>
      <c r="K10" s="58" cm="1">
        <f t="array" ref="K10">_xlfn.LET(_xlpm.result,K$5*PRODUCT(1-I$5:I9/1000),ROUND(_xlpm.result,4-INT(LN(_xlpm.result)/LN(10))))</f>
        <v>94220</v>
      </c>
      <c r="L10" s="58">
        <f t="shared" si="2"/>
        <v>0</v>
      </c>
      <c r="N10" s="65"/>
      <c r="O10" s="77">
        <v>947129</v>
      </c>
      <c r="S10" s="72">
        <v>6.6E-4</v>
      </c>
      <c r="T10" s="73">
        <v>96643</v>
      </c>
      <c r="U10" s="58" cm="1">
        <f t="array" ref="U10">_xlfn.LET(_xlpm.result,U$5*PRODUCT(1-S$5:S9),ROUND(_xlpm.result,4-INT(LN(_xlpm.result)/LN(10))))</f>
        <v>96643</v>
      </c>
      <c r="V10" s="58">
        <f t="shared" si="7"/>
        <v>0</v>
      </c>
      <c r="X10" s="72">
        <v>5.1999999999999995E-4</v>
      </c>
      <c r="Y10" s="73">
        <v>97371</v>
      </c>
      <c r="Z10" s="58" cm="1">
        <f t="array" ref="Z10">_xlfn.LET(_xlpm.result,Z$5*PRODUCT(1-X$5:X9),ROUND(_xlpm.result,4-INT(LN(_xlpm.result)/LN(10))))</f>
        <v>97371</v>
      </c>
      <c r="AA10" s="58">
        <f t="shared" si="4"/>
        <v>0</v>
      </c>
      <c r="AC10" s="72">
        <v>5.1000000000000004E-4</v>
      </c>
      <c r="AD10" s="73">
        <v>97668</v>
      </c>
      <c r="AE10" s="58" cm="1">
        <f t="array" ref="AE10">_xlfn.LET(_xlpm.result,AE$5*PRODUCT(1-AC$5:AC9),ROUND(_xlpm.result,4-INT(LN(_xlpm.result)/LN(10))))</f>
        <v>97668</v>
      </c>
      <c r="AF10" s="58">
        <f t="shared" si="5"/>
        <v>0</v>
      </c>
      <c r="AH10" s="72"/>
      <c r="AI10" s="73">
        <v>98495</v>
      </c>
      <c r="AJ10" s="58" cm="1">
        <f t="array" ref="AJ10">_xlfn.LET(_xlpm.result,AJ$5*PRODUCT(1-AH$5:AH9),ROUND(_xlpm.result,4-INT(LN(_xlpm.result)/LN(10))))</f>
        <v>100000</v>
      </c>
      <c r="AK10" s="58">
        <f t="shared" si="6"/>
        <v>1505</v>
      </c>
    </row>
    <row r="11" spans="1:37" x14ac:dyDescent="0.25">
      <c r="A11" s="55">
        <v>6</v>
      </c>
      <c r="C11" s="65">
        <v>19.61731</v>
      </c>
      <c r="D11" s="65">
        <v>0.20702999999999999</v>
      </c>
      <c r="E11" s="58" t="b">
        <f t="shared" si="0"/>
        <v>1</v>
      </c>
      <c r="F11" s="71">
        <f t="shared" si="1"/>
        <v>0.98919000000000001</v>
      </c>
      <c r="G11" s="71">
        <f>_xlfn.LET(_xlpm.result,100000 * PRODUCT(F$5:F10),ROUND(_xlpm.result,4-INT(LN(_xlpm.result)/LN(10))))</f>
        <v>69747</v>
      </c>
      <c r="I11" s="65">
        <v>1.17</v>
      </c>
      <c r="J11" s="73">
        <v>94095</v>
      </c>
      <c r="K11" s="58" cm="1">
        <f t="array" ref="K11">_xlfn.LET(_xlpm.result,K$5*PRODUCT(1-I$5:I10/1000),ROUND(_xlpm.result,4-INT(LN(_xlpm.result)/LN(10))))</f>
        <v>94096</v>
      </c>
      <c r="L11" s="58">
        <f t="shared" si="2"/>
        <v>1</v>
      </c>
      <c r="N11" s="65"/>
      <c r="O11" s="77">
        <v>945953</v>
      </c>
      <c r="S11" s="72">
        <v>5.9999999999999995E-4</v>
      </c>
      <c r="T11" s="73">
        <v>96580</v>
      </c>
      <c r="U11" s="58" cm="1">
        <f t="array" ref="U11">_xlfn.LET(_xlpm.result,U$5*PRODUCT(1-S$5:S10),ROUND(_xlpm.result,4-INT(LN(_xlpm.result)/LN(10))))</f>
        <v>96579</v>
      </c>
      <c r="V11" s="58">
        <f t="shared" si="7"/>
        <v>-1</v>
      </c>
      <c r="X11" s="72">
        <v>4.4999999999999999E-4</v>
      </c>
      <c r="Y11" s="73">
        <v>97320</v>
      </c>
      <c r="Z11" s="58" cm="1">
        <f t="array" ref="Z11">_xlfn.LET(_xlpm.result,Z$5*PRODUCT(1-X$5:X10),ROUND(_xlpm.result,4-INT(LN(_xlpm.result)/LN(10))))</f>
        <v>97320</v>
      </c>
      <c r="AA11" s="58">
        <f t="shared" si="4"/>
        <v>0</v>
      </c>
      <c r="AC11" s="72">
        <v>4.6000000000000001E-4</v>
      </c>
      <c r="AD11" s="73">
        <v>97619</v>
      </c>
      <c r="AE11" s="58" cm="1">
        <f t="array" ref="AE11">_xlfn.LET(_xlpm.result,AE$5*PRODUCT(1-AC$5:AC10),ROUND(_xlpm.result,4-INT(LN(_xlpm.result)/LN(10))))</f>
        <v>97618</v>
      </c>
      <c r="AF11" s="58">
        <f t="shared" si="5"/>
        <v>-1</v>
      </c>
      <c r="AH11" s="72"/>
      <c r="AI11" s="73">
        <v>98459</v>
      </c>
      <c r="AJ11" s="58" cm="1">
        <f t="array" ref="AJ11">_xlfn.LET(_xlpm.result,AJ$5*PRODUCT(1-AH$5:AH10),ROUND(_xlpm.result,4-INT(LN(_xlpm.result)/LN(10))))</f>
        <v>100000</v>
      </c>
      <c r="AK11" s="58">
        <f t="shared" si="6"/>
        <v>1541</v>
      </c>
    </row>
    <row r="12" spans="1:37" x14ac:dyDescent="0.25">
      <c r="A12" s="55">
        <v>7</v>
      </c>
      <c r="C12" s="65">
        <v>19.625060000000001</v>
      </c>
      <c r="D12" s="65">
        <v>0.20673</v>
      </c>
      <c r="E12" s="58" t="b">
        <f t="shared" si="0"/>
        <v>1</v>
      </c>
      <c r="F12" s="71">
        <f t="shared" si="1"/>
        <v>0.99024999999999996</v>
      </c>
      <c r="G12" s="71">
        <f>_xlfn.LET(_xlpm.result,100000 * PRODUCT(F$5:F11),ROUND(_xlpm.result,4-INT(LN(_xlpm.result)/LN(10))))</f>
        <v>68993</v>
      </c>
      <c r="I12" s="65">
        <v>1.05</v>
      </c>
      <c r="J12" s="73">
        <v>93985</v>
      </c>
      <c r="K12" s="58" cm="1">
        <f t="array" ref="K12">_xlfn.LET(_xlpm.result,K$5*PRODUCT(1-I$5:I11/1000),ROUND(_xlpm.result,4-INT(LN(_xlpm.result)/LN(10))))</f>
        <v>93986</v>
      </c>
      <c r="L12" s="58">
        <f t="shared" si="2"/>
        <v>1</v>
      </c>
      <c r="N12" s="65"/>
      <c r="O12" s="77">
        <v>944909</v>
      </c>
      <c r="S12" s="72">
        <v>5.5000000000000003E-4</v>
      </c>
      <c r="T12" s="73">
        <v>96522</v>
      </c>
      <c r="U12" s="58" cm="1">
        <f t="array" ref="U12">_xlfn.LET(_xlpm.result,U$5*PRODUCT(1-S$5:S11),ROUND(_xlpm.result,4-INT(LN(_xlpm.result)/LN(10))))</f>
        <v>96521</v>
      </c>
      <c r="V12" s="58">
        <f t="shared" si="7"/>
        <v>-1</v>
      </c>
      <c r="X12" s="72">
        <v>3.8999999999999999E-4</v>
      </c>
      <c r="Y12" s="73">
        <v>97277</v>
      </c>
      <c r="Z12" s="58" cm="1">
        <f t="array" ref="Z12">_xlfn.LET(_xlpm.result,Z$5*PRODUCT(1-X$5:X11),ROUND(_xlpm.result,4-INT(LN(_xlpm.result)/LN(10))))</f>
        <v>97277</v>
      </c>
      <c r="AA12" s="58">
        <f t="shared" si="4"/>
        <v>0</v>
      </c>
      <c r="AC12" s="72">
        <v>4.2999999999999999E-4</v>
      </c>
      <c r="AD12" s="73">
        <v>97573</v>
      </c>
      <c r="AE12" s="58" cm="1">
        <f t="array" ref="AE12">_xlfn.LET(_xlpm.result,AE$5*PRODUCT(1-AC$5:AC11),ROUND(_xlpm.result,4-INT(LN(_xlpm.result)/LN(10))))</f>
        <v>97573</v>
      </c>
      <c r="AF12" s="58">
        <f t="shared" si="5"/>
        <v>0</v>
      </c>
      <c r="AH12" s="72"/>
      <c r="AI12" s="73">
        <v>98426</v>
      </c>
      <c r="AJ12" s="58" cm="1">
        <f t="array" ref="AJ12">_xlfn.LET(_xlpm.result,AJ$5*PRODUCT(1-AH$5:AH11),ROUND(_xlpm.result,4-INT(LN(_xlpm.result)/LN(10))))</f>
        <v>100000</v>
      </c>
      <c r="AK12" s="58">
        <f t="shared" si="6"/>
        <v>1574</v>
      </c>
    </row>
    <row r="13" spans="1:37" x14ac:dyDescent="0.25">
      <c r="A13" s="55">
        <v>8</v>
      </c>
      <c r="C13" s="65">
        <v>19.610969999999998</v>
      </c>
      <c r="D13" s="65">
        <v>0.20727000000000001</v>
      </c>
      <c r="E13" s="58" t="b">
        <f t="shared" si="0"/>
        <v>1</v>
      </c>
      <c r="F13" s="71">
        <f t="shared" si="1"/>
        <v>0.99324000000000001</v>
      </c>
      <c r="G13" s="71">
        <f>_xlfn.LET(_xlpm.result,100000 * PRODUCT(F$5:F12),ROUND(_xlpm.result,4-INT(LN(_xlpm.result)/LN(10))))</f>
        <v>68320</v>
      </c>
      <c r="I13" s="65">
        <v>0.96</v>
      </c>
      <c r="J13" s="73">
        <v>93887</v>
      </c>
      <c r="K13" s="58" cm="1">
        <f t="array" ref="K13">_xlfn.LET(_xlpm.result,K$5*PRODUCT(1-I$5:I12/1000),ROUND(_xlpm.result,4-INT(LN(_xlpm.result)/LN(10))))</f>
        <v>93887</v>
      </c>
      <c r="L13" s="58">
        <f t="shared" si="2"/>
        <v>0</v>
      </c>
      <c r="N13" s="65"/>
      <c r="O13" s="77">
        <v>943967</v>
      </c>
      <c r="S13" s="72">
        <v>5.1000000000000004E-4</v>
      </c>
      <c r="T13" s="73">
        <v>96469</v>
      </c>
      <c r="U13" s="58" cm="1">
        <f t="array" ref="U13">_xlfn.LET(_xlpm.result,U$5*PRODUCT(1-S$5:S12),ROUND(_xlpm.result,4-INT(LN(_xlpm.result)/LN(10))))</f>
        <v>96468</v>
      </c>
      <c r="V13" s="58">
        <f t="shared" si="7"/>
        <v>-1</v>
      </c>
      <c r="X13" s="72">
        <v>3.5E-4</v>
      </c>
      <c r="Y13" s="73">
        <v>97238</v>
      </c>
      <c r="Z13" s="58" cm="1">
        <f t="array" ref="Z13">_xlfn.LET(_xlpm.result,Z$5*PRODUCT(1-X$5:X12),ROUND(_xlpm.result,4-INT(LN(_xlpm.result)/LN(10))))</f>
        <v>97239</v>
      </c>
      <c r="AA13" s="58">
        <f t="shared" si="4"/>
        <v>1</v>
      </c>
      <c r="AC13" s="72">
        <v>3.8999999999999999E-4</v>
      </c>
      <c r="AD13" s="73">
        <v>97531</v>
      </c>
      <c r="AE13" s="58" cm="1">
        <f t="array" ref="AE13">_xlfn.LET(_xlpm.result,AE$5*PRODUCT(1-AC$5:AC12),ROUND(_xlpm.result,4-INT(LN(_xlpm.result)/LN(10))))</f>
        <v>97531</v>
      </c>
      <c r="AF13" s="58">
        <f t="shared" si="5"/>
        <v>0</v>
      </c>
      <c r="AH13" s="72"/>
      <c r="AI13" s="73">
        <v>98396</v>
      </c>
      <c r="AJ13" s="58" cm="1">
        <f t="array" ref="AJ13">_xlfn.LET(_xlpm.result,AJ$5*PRODUCT(1-AH$5:AH12),ROUND(_xlpm.result,4-INT(LN(_xlpm.result)/LN(10))))</f>
        <v>100000</v>
      </c>
      <c r="AK13" s="58">
        <f t="shared" si="6"/>
        <v>1604</v>
      </c>
    </row>
    <row r="14" spans="1:37" x14ac:dyDescent="0.25">
      <c r="A14" s="55">
        <v>9</v>
      </c>
      <c r="C14" s="65">
        <v>19.534130000000001</v>
      </c>
      <c r="D14" s="65">
        <v>0.21021999999999999</v>
      </c>
      <c r="E14" s="58" t="b">
        <f t="shared" si="0"/>
        <v>1</v>
      </c>
      <c r="F14" s="71">
        <f t="shared" si="1"/>
        <v>0.99324999999999997</v>
      </c>
      <c r="G14" s="71">
        <f>_xlfn.LET(_xlpm.result,100000 * PRODUCT(F$5:F13),ROUND(_xlpm.result,4-INT(LN(_xlpm.result)/LN(10))))</f>
        <v>67858</v>
      </c>
      <c r="I14" s="65">
        <v>0.91</v>
      </c>
      <c r="J14" s="73">
        <v>93796</v>
      </c>
      <c r="K14" s="58" cm="1">
        <f t="array" ref="K14">_xlfn.LET(_xlpm.result,K$5*PRODUCT(1-I$5:I13/1000),ROUND(_xlpm.result,4-INT(LN(_xlpm.result)/LN(10))))</f>
        <v>93797</v>
      </c>
      <c r="L14" s="58">
        <f t="shared" si="2"/>
        <v>1</v>
      </c>
      <c r="N14" s="65"/>
      <c r="O14" s="77">
        <v>943098</v>
      </c>
      <c r="S14" s="72">
        <v>4.6999999999999999E-4</v>
      </c>
      <c r="T14" s="73">
        <v>96420</v>
      </c>
      <c r="U14" s="58" cm="1">
        <f t="array" ref="U14">_xlfn.LET(_xlpm.result,U$5*PRODUCT(1-S$5:S13),ROUND(_xlpm.result,4-INT(LN(_xlpm.result)/LN(10))))</f>
        <v>96419</v>
      </c>
      <c r="V14" s="58">
        <f t="shared" si="7"/>
        <v>-1</v>
      </c>
      <c r="X14" s="72">
        <v>3.2000000000000003E-4</v>
      </c>
      <c r="Y14" s="73">
        <v>97204</v>
      </c>
      <c r="Z14" s="58" cm="1">
        <f t="array" ref="Z14">_xlfn.LET(_xlpm.result,Z$5*PRODUCT(1-X$5:X13),ROUND(_xlpm.result,4-INT(LN(_xlpm.result)/LN(10))))</f>
        <v>97205</v>
      </c>
      <c r="AA14" s="58">
        <f t="shared" si="4"/>
        <v>1</v>
      </c>
      <c r="AC14" s="72">
        <v>3.4000000000000002E-4</v>
      </c>
      <c r="AD14" s="73">
        <v>97494</v>
      </c>
      <c r="AE14" s="58" cm="1">
        <f t="array" ref="AE14">_xlfn.LET(_xlpm.result,AE$5*PRODUCT(1-AC$5:AC13),ROUND(_xlpm.result,4-INT(LN(_xlpm.result)/LN(10))))</f>
        <v>97493</v>
      </c>
      <c r="AF14" s="58">
        <f t="shared" si="5"/>
        <v>-1</v>
      </c>
      <c r="AH14" s="72"/>
      <c r="AI14" s="73">
        <v>98370</v>
      </c>
      <c r="AJ14" s="58" cm="1">
        <f t="array" ref="AJ14">_xlfn.LET(_xlpm.result,AJ$5*PRODUCT(1-AH$5:AH13),ROUND(_xlpm.result,4-INT(LN(_xlpm.result)/LN(10))))</f>
        <v>100000</v>
      </c>
      <c r="AK14" s="58">
        <f t="shared" si="6"/>
        <v>1630</v>
      </c>
    </row>
    <row r="15" spans="1:37" x14ac:dyDescent="0.25">
      <c r="A15" s="55">
        <v>10</v>
      </c>
      <c r="C15" s="65">
        <v>19.453589999999998</v>
      </c>
      <c r="D15" s="65">
        <v>0.21332000000000001</v>
      </c>
      <c r="E15" s="58" t="b">
        <f t="shared" si="0"/>
        <v>1</v>
      </c>
      <c r="F15" s="71">
        <f t="shared" si="1"/>
        <v>0.99324000000000001</v>
      </c>
      <c r="G15" s="71">
        <f>_xlfn.LET(_xlpm.result,100000 * PRODUCT(F$5:F14),ROUND(_xlpm.result,4-INT(LN(_xlpm.result)/LN(10))))</f>
        <v>67400</v>
      </c>
      <c r="I15" s="65">
        <v>0.9</v>
      </c>
      <c r="J15" s="73">
        <v>93710</v>
      </c>
      <c r="K15" s="58" cm="1">
        <f t="array" ref="K15">_xlfn.LET(_xlpm.result,K$5*PRODUCT(1-I$5:I14/1000),ROUND(_xlpm.result,4-INT(LN(_xlpm.result)/LN(10))))</f>
        <v>93712</v>
      </c>
      <c r="L15" s="58">
        <f t="shared" si="2"/>
        <v>2</v>
      </c>
      <c r="N15" s="65"/>
      <c r="O15" s="77">
        <v>942276</v>
      </c>
      <c r="S15" s="72">
        <v>4.4000000000000002E-4</v>
      </c>
      <c r="T15" s="73">
        <v>96375</v>
      </c>
      <c r="U15" s="58" cm="1">
        <f t="array" ref="U15">_xlfn.LET(_xlpm.result,U$5*PRODUCT(1-S$5:S14),ROUND(_xlpm.result,4-INT(LN(_xlpm.result)/LN(10))))</f>
        <v>96374</v>
      </c>
      <c r="V15" s="58">
        <f t="shared" si="7"/>
        <v>-1</v>
      </c>
      <c r="X15" s="72">
        <v>2.9999999999999997E-4</v>
      </c>
      <c r="Y15" s="73">
        <v>97173</v>
      </c>
      <c r="Z15" s="58" cm="1">
        <f t="array" ref="Z15">_xlfn.LET(_xlpm.result,Z$5*PRODUCT(1-X$5:X14),ROUND(_xlpm.result,4-INT(LN(_xlpm.result)/LN(10))))</f>
        <v>97174</v>
      </c>
      <c r="AA15" s="58">
        <f t="shared" si="4"/>
        <v>1</v>
      </c>
      <c r="AC15" s="72">
        <v>3.1E-4</v>
      </c>
      <c r="AD15" s="73">
        <v>97460</v>
      </c>
      <c r="AE15" s="58" cm="1">
        <f t="array" ref="AE15">_xlfn.LET(_xlpm.result,AE$5*PRODUCT(1-AC$5:AC14),ROUND(_xlpm.result,4-INT(LN(_xlpm.result)/LN(10))))</f>
        <v>97460</v>
      </c>
      <c r="AF15" s="58">
        <f t="shared" si="5"/>
        <v>0</v>
      </c>
      <c r="AH15" s="72"/>
      <c r="AI15" s="73">
        <v>98347</v>
      </c>
      <c r="AJ15" s="58" cm="1">
        <f t="array" ref="AJ15">_xlfn.LET(_xlpm.result,AJ$5*PRODUCT(1-AH$5:AH14),ROUND(_xlpm.result,4-INT(LN(_xlpm.result)/LN(10))))</f>
        <v>100000</v>
      </c>
      <c r="AK15" s="58">
        <f t="shared" si="6"/>
        <v>1653</v>
      </c>
    </row>
    <row r="16" spans="1:37" x14ac:dyDescent="0.25">
      <c r="A16" s="55">
        <v>11</v>
      </c>
      <c r="C16" s="65">
        <v>19.369430000000001</v>
      </c>
      <c r="D16" s="65">
        <v>0.21656</v>
      </c>
      <c r="E16" s="58" t="b">
        <f t="shared" si="0"/>
        <v>1</v>
      </c>
      <c r="F16" s="71">
        <f t="shared" si="1"/>
        <v>0.99321000000000004</v>
      </c>
      <c r="G16" s="71">
        <f>_xlfn.LET(_xlpm.result,100000 * PRODUCT(F$5:F15),ROUND(_xlpm.result,4-INT(LN(_xlpm.result)/LN(10))))</f>
        <v>66945</v>
      </c>
      <c r="I16" s="65">
        <v>0.92</v>
      </c>
      <c r="J16" s="73">
        <v>93626</v>
      </c>
      <c r="K16" s="58" cm="1">
        <f t="array" ref="K16">_xlfn.LET(_xlpm.result,K$5*PRODUCT(1-I$5:I15/1000),ROUND(_xlpm.result,4-INT(LN(_xlpm.result)/LN(10))))</f>
        <v>93627</v>
      </c>
      <c r="L16" s="58">
        <f t="shared" si="2"/>
        <v>1</v>
      </c>
      <c r="N16" s="65"/>
      <c r="O16" s="77">
        <v>941473</v>
      </c>
      <c r="S16" s="72">
        <v>4.4000000000000002E-4</v>
      </c>
      <c r="T16" s="73">
        <v>96333</v>
      </c>
      <c r="U16" s="58" cm="1">
        <f t="array" ref="U16">_xlfn.LET(_xlpm.result,U$5*PRODUCT(1-S$5:S15),ROUND(_xlpm.result,4-INT(LN(_xlpm.result)/LN(10))))</f>
        <v>96331</v>
      </c>
      <c r="V16" s="58">
        <f t="shared" si="7"/>
        <v>-2</v>
      </c>
      <c r="X16" s="72">
        <v>2.9E-4</v>
      </c>
      <c r="Y16" s="73">
        <v>97144</v>
      </c>
      <c r="Z16" s="58" cm="1">
        <f t="array" ref="Z16">_xlfn.LET(_xlpm.result,Z$5*PRODUCT(1-X$5:X15),ROUND(_xlpm.result,4-INT(LN(_xlpm.result)/LN(10))))</f>
        <v>97144</v>
      </c>
      <c r="AA16" s="58">
        <f t="shared" si="4"/>
        <v>0</v>
      </c>
      <c r="AC16" s="72">
        <v>2.9999999999999997E-4</v>
      </c>
      <c r="AD16" s="73">
        <v>97430</v>
      </c>
      <c r="AE16" s="58" cm="1">
        <f t="array" ref="AE16">_xlfn.LET(_xlpm.result,AE$5*PRODUCT(1-AC$5:AC15),ROUND(_xlpm.result,4-INT(LN(_xlpm.result)/LN(10))))</f>
        <v>97430</v>
      </c>
      <c r="AF16" s="58">
        <f t="shared" si="5"/>
        <v>0</v>
      </c>
      <c r="AH16" s="72"/>
      <c r="AI16" s="73">
        <v>98328</v>
      </c>
      <c r="AJ16" s="58" cm="1">
        <f t="array" ref="AJ16">_xlfn.LET(_xlpm.result,AJ$5*PRODUCT(1-AH$5:AH15),ROUND(_xlpm.result,4-INT(LN(_xlpm.result)/LN(10))))</f>
        <v>100000</v>
      </c>
      <c r="AK16" s="58">
        <f t="shared" si="6"/>
        <v>1672</v>
      </c>
    </row>
    <row r="17" spans="1:37" x14ac:dyDescent="0.25">
      <c r="A17" s="55">
        <v>12</v>
      </c>
      <c r="C17" s="65">
        <v>19.281839999999999</v>
      </c>
      <c r="D17" s="65">
        <v>0.21992999999999999</v>
      </c>
      <c r="E17" s="58" t="b">
        <f t="shared" si="0"/>
        <v>1</v>
      </c>
      <c r="F17" s="71">
        <f t="shared" si="1"/>
        <v>0.99319000000000002</v>
      </c>
      <c r="G17" s="71">
        <f>_xlfn.LET(_xlpm.result,100000 * PRODUCT(F$5:F16),ROUND(_xlpm.result,4-INT(LN(_xlpm.result)/LN(10))))</f>
        <v>66490</v>
      </c>
      <c r="I17" s="65">
        <v>0.97</v>
      </c>
      <c r="J17" s="73">
        <v>93540</v>
      </c>
      <c r="K17" s="58" cm="1">
        <f t="array" ref="K17">_xlfn.LET(_xlpm.result,K$5*PRODUCT(1-I$5:I16/1000),ROUND(_xlpm.result,4-INT(LN(_xlpm.result)/LN(10))))</f>
        <v>93541</v>
      </c>
      <c r="L17" s="58">
        <f t="shared" si="2"/>
        <v>1</v>
      </c>
      <c r="N17" s="65"/>
      <c r="O17" s="77">
        <v>940595</v>
      </c>
      <c r="S17" s="72">
        <v>5.0000000000000001E-4</v>
      </c>
      <c r="T17" s="73">
        <v>96290</v>
      </c>
      <c r="U17" s="58" cm="1">
        <f t="array" ref="U17">_xlfn.LET(_xlpm.result,U$5*PRODUCT(1-S$5:S16),ROUND(_xlpm.result,4-INT(LN(_xlpm.result)/LN(10))))</f>
        <v>96289</v>
      </c>
      <c r="V17" s="58">
        <f t="shared" si="7"/>
        <v>-1</v>
      </c>
      <c r="X17" s="72">
        <v>2.9999999999999997E-4</v>
      </c>
      <c r="Y17" s="73">
        <v>97116</v>
      </c>
      <c r="Z17" s="58" cm="1">
        <f t="array" ref="Z17">_xlfn.LET(_xlpm.result,Z$5*PRODUCT(1-X$5:X16),ROUND(_xlpm.result,4-INT(LN(_xlpm.result)/LN(10))))</f>
        <v>97116</v>
      </c>
      <c r="AA17" s="58">
        <f t="shared" si="4"/>
        <v>0</v>
      </c>
      <c r="AC17" s="72">
        <v>3.5E-4</v>
      </c>
      <c r="AD17" s="73">
        <v>97401</v>
      </c>
      <c r="AE17" s="58" cm="1">
        <f t="array" ref="AE17">_xlfn.LET(_xlpm.result,AE$5*PRODUCT(1-AC$5:AC16),ROUND(_xlpm.result,4-INT(LN(_xlpm.result)/LN(10))))</f>
        <v>97401</v>
      </c>
      <c r="AF17" s="58">
        <f t="shared" si="5"/>
        <v>0</v>
      </c>
      <c r="AH17" s="72"/>
      <c r="AI17" s="73">
        <v>98309</v>
      </c>
      <c r="AJ17" s="58" cm="1">
        <f t="array" ref="AJ17">_xlfn.LET(_xlpm.result,AJ$5*PRODUCT(1-AH$5:AH16),ROUND(_xlpm.result,4-INT(LN(_xlpm.result)/LN(10))))</f>
        <v>100000</v>
      </c>
      <c r="AK17" s="58">
        <f t="shared" si="6"/>
        <v>1691</v>
      </c>
    </row>
    <row r="18" spans="1:37" x14ac:dyDescent="0.25">
      <c r="A18" s="55">
        <v>13</v>
      </c>
      <c r="C18" s="65">
        <v>19.190650000000002</v>
      </c>
      <c r="D18" s="65">
        <v>0.22344</v>
      </c>
      <c r="E18" s="58" t="b">
        <f t="shared" si="0"/>
        <v>1</v>
      </c>
      <c r="F18" s="71">
        <f t="shared" si="1"/>
        <v>0.99314999999999998</v>
      </c>
      <c r="G18" s="71">
        <f>_xlfn.LET(_xlpm.result,100000 * PRODUCT(F$5:F17),ROUND(_xlpm.result,4-INT(LN(_xlpm.result)/LN(10))))</f>
        <v>66037</v>
      </c>
      <c r="I18" s="65">
        <v>1.07</v>
      </c>
      <c r="J18" s="73">
        <v>93449</v>
      </c>
      <c r="K18" s="58" cm="1">
        <f t="array" ref="K18">_xlfn.LET(_xlpm.result,K$5*PRODUCT(1-I$5:I17/1000),ROUND(_xlpm.result,4-INT(LN(_xlpm.result)/LN(10))))</f>
        <v>93450</v>
      </c>
      <c r="L18" s="58">
        <f t="shared" si="2"/>
        <v>1</v>
      </c>
      <c r="N18" s="65"/>
      <c r="O18" s="77">
        <v>939637</v>
      </c>
      <c r="S18" s="72">
        <v>6.2E-4</v>
      </c>
      <c r="T18" s="73">
        <v>96242</v>
      </c>
      <c r="U18" s="58" cm="1">
        <f t="array" ref="U18">_xlfn.LET(_xlpm.result,U$5*PRODUCT(1-S$5:S17),ROUND(_xlpm.result,4-INT(LN(_xlpm.result)/LN(10))))</f>
        <v>96241</v>
      </c>
      <c r="V18" s="58">
        <f t="shared" si="7"/>
        <v>-1</v>
      </c>
      <c r="X18" s="72">
        <v>3.4000000000000002E-4</v>
      </c>
      <c r="Y18" s="73">
        <v>97086</v>
      </c>
      <c r="Z18" s="58" cm="1">
        <f t="array" ref="Z18">_xlfn.LET(_xlpm.result,Z$5*PRODUCT(1-X$5:X17),ROUND(_xlpm.result,4-INT(LN(_xlpm.result)/LN(10))))</f>
        <v>97087</v>
      </c>
      <c r="AA18" s="58">
        <f t="shared" si="4"/>
        <v>1</v>
      </c>
      <c r="AC18" s="72">
        <v>4.6000000000000001E-4</v>
      </c>
      <c r="AD18" s="73">
        <v>97367</v>
      </c>
      <c r="AE18" s="58" cm="1">
        <f t="array" ref="AE18">_xlfn.LET(_xlpm.result,AE$5*PRODUCT(1-AC$5:AC17),ROUND(_xlpm.result,4-INT(LN(_xlpm.result)/LN(10))))</f>
        <v>97367</v>
      </c>
      <c r="AF18" s="58">
        <f t="shared" si="5"/>
        <v>0</v>
      </c>
      <c r="AH18" s="72"/>
      <c r="AI18" s="73">
        <v>98285</v>
      </c>
      <c r="AJ18" s="58" cm="1">
        <f t="array" ref="AJ18">_xlfn.LET(_xlpm.result,AJ$5*PRODUCT(1-AH$5:AH17),ROUND(_xlpm.result,4-INT(LN(_xlpm.result)/LN(10))))</f>
        <v>100000</v>
      </c>
      <c r="AK18" s="58">
        <f t="shared" si="6"/>
        <v>1715</v>
      </c>
    </row>
    <row r="19" spans="1:37" x14ac:dyDescent="0.25">
      <c r="A19" s="55">
        <v>14</v>
      </c>
      <c r="C19" s="65">
        <v>19.0959</v>
      </c>
      <c r="D19" s="65">
        <v>0.22708</v>
      </c>
      <c r="E19" s="58" t="b">
        <f t="shared" si="0"/>
        <v>1</v>
      </c>
      <c r="F19" s="71">
        <f t="shared" si="1"/>
        <v>0.99309999999999998</v>
      </c>
      <c r="G19" s="71">
        <f>_xlfn.LET(_xlpm.result,100000 * PRODUCT(F$5:F18),ROUND(_xlpm.result,4-INT(LN(_xlpm.result)/LN(10))))</f>
        <v>65585</v>
      </c>
      <c r="I19" s="65">
        <v>1.22</v>
      </c>
      <c r="J19" s="73">
        <v>93349</v>
      </c>
      <c r="K19" s="58" cm="1">
        <f t="array" ref="K19">_xlfn.LET(_xlpm.result,K$5*PRODUCT(1-I$5:I18/1000),ROUND(_xlpm.result,4-INT(LN(_xlpm.result)/LN(10))))</f>
        <v>93350</v>
      </c>
      <c r="L19" s="58">
        <f t="shared" si="2"/>
        <v>1</v>
      </c>
      <c r="N19" s="65"/>
      <c r="O19" s="77">
        <v>938594</v>
      </c>
      <c r="S19" s="72">
        <v>7.7999999999999999E-4</v>
      </c>
      <c r="T19" s="73">
        <v>96182</v>
      </c>
      <c r="U19" s="58" cm="1">
        <f t="array" ref="U19">_xlfn.LET(_xlpm.result,U$5*PRODUCT(1-S$5:S18),ROUND(_xlpm.result,4-INT(LN(_xlpm.result)/LN(10))))</f>
        <v>96181</v>
      </c>
      <c r="V19" s="58">
        <f t="shared" si="7"/>
        <v>-1</v>
      </c>
      <c r="X19" s="72">
        <v>3.8000000000000002E-4</v>
      </c>
      <c r="Y19" s="73">
        <v>97053</v>
      </c>
      <c r="Z19" s="58" cm="1">
        <f t="array" ref="Z19">_xlfn.LET(_xlpm.result,Z$5*PRODUCT(1-X$5:X18),ROUND(_xlpm.result,4-INT(LN(_xlpm.result)/LN(10))))</f>
        <v>97054</v>
      </c>
      <c r="AA19" s="58">
        <f t="shared" si="4"/>
        <v>1</v>
      </c>
      <c r="AC19" s="72">
        <v>6.3000000000000003E-4</v>
      </c>
      <c r="AD19" s="73">
        <v>97322</v>
      </c>
      <c r="AE19" s="58" cm="1">
        <f t="array" ref="AE19">_xlfn.LET(_xlpm.result,AE$5*PRODUCT(1-AC$5:AC18),ROUND(_xlpm.result,4-INT(LN(_xlpm.result)/LN(10))))</f>
        <v>97322</v>
      </c>
      <c r="AF19" s="58">
        <f t="shared" si="5"/>
        <v>0</v>
      </c>
      <c r="AH19" s="72"/>
      <c r="AI19" s="73">
        <v>98248</v>
      </c>
      <c r="AJ19" s="58" cm="1">
        <f t="array" ref="AJ19">_xlfn.LET(_xlpm.result,AJ$5*PRODUCT(1-AH$5:AH18),ROUND(_xlpm.result,4-INT(LN(_xlpm.result)/LN(10))))</f>
        <v>100000</v>
      </c>
      <c r="AK19" s="58">
        <f t="shared" si="6"/>
        <v>1752</v>
      </c>
    </row>
    <row r="20" spans="1:37" x14ac:dyDescent="0.25">
      <c r="A20" s="55">
        <v>15</v>
      </c>
      <c r="C20" s="65">
        <v>18.997640000000001</v>
      </c>
      <c r="D20" s="65">
        <v>0.23086000000000001</v>
      </c>
      <c r="E20" s="58" t="b">
        <f t="shared" si="0"/>
        <v>1</v>
      </c>
      <c r="F20" s="71">
        <f t="shared" si="1"/>
        <v>0.99306000000000005</v>
      </c>
      <c r="G20" s="71">
        <f>_xlfn.LET(_xlpm.result,100000 * PRODUCT(F$5:F19),ROUND(_xlpm.result,4-INT(LN(_xlpm.result)/LN(10))))</f>
        <v>65132</v>
      </c>
      <c r="I20" s="65">
        <v>1.39</v>
      </c>
      <c r="J20" s="73">
        <v>93235</v>
      </c>
      <c r="K20" s="58" cm="1">
        <f t="array" ref="K20">_xlfn.LET(_xlpm.result,K$5*PRODUCT(1-I$5:I19/1000),ROUND(_xlpm.result,4-INT(LN(_xlpm.result)/LN(10))))</f>
        <v>93236</v>
      </c>
      <c r="L20" s="58">
        <f t="shared" si="2"/>
        <v>1</v>
      </c>
      <c r="N20" s="65"/>
      <c r="O20" s="77">
        <v>937464</v>
      </c>
      <c r="S20" s="72">
        <v>9.7000000000000005E-4</v>
      </c>
      <c r="T20" s="73">
        <v>96107</v>
      </c>
      <c r="U20" s="58" cm="1">
        <f t="array" ref="U20">_xlfn.LET(_xlpm.result,U$5*PRODUCT(1-S$5:S19),ROUND(_xlpm.result,4-INT(LN(_xlpm.result)/LN(10))))</f>
        <v>96106</v>
      </c>
      <c r="V20" s="58">
        <f t="shared" si="7"/>
        <v>-1</v>
      </c>
      <c r="X20" s="72">
        <v>4.4000000000000002E-4</v>
      </c>
      <c r="Y20" s="73">
        <v>97016</v>
      </c>
      <c r="Z20" s="58" cm="1">
        <f t="array" ref="Z20">_xlfn.LET(_xlpm.result,Z$5*PRODUCT(1-X$5:X19),ROUND(_xlpm.result,4-INT(LN(_xlpm.result)/LN(10))))</f>
        <v>97017</v>
      </c>
      <c r="AA20" s="58">
        <f t="shared" si="4"/>
        <v>1</v>
      </c>
      <c r="AC20" s="72">
        <v>8.1999999999999998E-4</v>
      </c>
      <c r="AD20" s="73">
        <v>97261</v>
      </c>
      <c r="AE20" s="58" cm="1">
        <f t="array" ref="AE20">_xlfn.LET(_xlpm.result,AE$5*PRODUCT(1-AC$5:AC19),ROUND(_xlpm.result,4-INT(LN(_xlpm.result)/LN(10))))</f>
        <v>97261</v>
      </c>
      <c r="AF20" s="58">
        <f t="shared" si="5"/>
        <v>0</v>
      </c>
      <c r="AH20" s="72"/>
      <c r="AI20" s="73">
        <v>98196</v>
      </c>
      <c r="AJ20" s="58" cm="1">
        <f t="array" ref="AJ20">_xlfn.LET(_xlpm.result,AJ$5*PRODUCT(1-AH$5:AH19),ROUND(_xlpm.result,4-INT(LN(_xlpm.result)/LN(10))))</f>
        <v>100000</v>
      </c>
      <c r="AK20" s="58">
        <f t="shared" si="6"/>
        <v>1804</v>
      </c>
    </row>
    <row r="21" spans="1:37" x14ac:dyDescent="0.25">
      <c r="A21" s="55">
        <v>16</v>
      </c>
      <c r="C21" s="65">
        <v>18.895689999999998</v>
      </c>
      <c r="D21" s="65">
        <v>0.23477999999999999</v>
      </c>
      <c r="E21" s="58" t="b">
        <f t="shared" si="0"/>
        <v>1</v>
      </c>
      <c r="F21" s="71">
        <f t="shared" si="1"/>
        <v>0.99299999999999999</v>
      </c>
      <c r="G21" s="71">
        <f>_xlfn.LET(_xlpm.result,100000 * PRODUCT(F$5:F20),ROUND(_xlpm.result,4-INT(LN(_xlpm.result)/LN(10))))</f>
        <v>64680</v>
      </c>
      <c r="I21" s="65">
        <v>1.57</v>
      </c>
      <c r="J21" s="73">
        <v>93105</v>
      </c>
      <c r="K21" s="58" cm="1">
        <f t="array" ref="K21">_xlfn.LET(_xlpm.result,K$5*PRODUCT(1-I$5:I20/1000),ROUND(_xlpm.result,4-INT(LN(_xlpm.result)/LN(10))))</f>
        <v>93107</v>
      </c>
      <c r="L21" s="58">
        <f t="shared" si="2"/>
        <v>2</v>
      </c>
      <c r="N21" s="65"/>
      <c r="O21" s="77">
        <v>936242</v>
      </c>
      <c r="S21" s="72">
        <v>1.14E-3</v>
      </c>
      <c r="T21" s="73">
        <v>96014</v>
      </c>
      <c r="U21" s="58" cm="1">
        <f t="array" ref="U21">_xlfn.LET(_xlpm.result,U$5*PRODUCT(1-S$5:S20),ROUND(_xlpm.result,4-INT(LN(_xlpm.result)/LN(10))))</f>
        <v>96013</v>
      </c>
      <c r="V21" s="58">
        <f t="shared" si="7"/>
        <v>-1</v>
      </c>
      <c r="X21" s="72">
        <v>5.0000000000000001E-4</v>
      </c>
      <c r="Y21" s="73">
        <v>96973</v>
      </c>
      <c r="Z21" s="58" cm="1">
        <f t="array" ref="Z21">_xlfn.LET(_xlpm.result,Z$5*PRODUCT(1-X$5:X20),ROUND(_xlpm.result,4-INT(LN(_xlpm.result)/LN(10))))</f>
        <v>96975</v>
      </c>
      <c r="AA21" s="58">
        <f t="shared" si="4"/>
        <v>2</v>
      </c>
      <c r="AC21" s="72">
        <v>1.01E-3</v>
      </c>
      <c r="AD21" s="73">
        <v>97181</v>
      </c>
      <c r="AE21" s="58" cm="1">
        <f t="array" ref="AE21">_xlfn.LET(_xlpm.result,AE$5*PRODUCT(1-AC$5:AC20),ROUND(_xlpm.result,4-INT(LN(_xlpm.result)/LN(10))))</f>
        <v>97181</v>
      </c>
      <c r="AF21" s="58">
        <f t="shared" si="5"/>
        <v>0</v>
      </c>
      <c r="AH21" s="72"/>
      <c r="AI21" s="73">
        <v>98129</v>
      </c>
      <c r="AJ21" s="58" cm="1">
        <f t="array" ref="AJ21">_xlfn.LET(_xlpm.result,AJ$5*PRODUCT(1-AH$5:AH20),ROUND(_xlpm.result,4-INT(LN(_xlpm.result)/LN(10))))</f>
        <v>100000</v>
      </c>
      <c r="AK21" s="58">
        <f t="shared" si="6"/>
        <v>1871</v>
      </c>
    </row>
    <row r="22" spans="1:37" x14ac:dyDescent="0.25">
      <c r="A22" s="55">
        <v>17</v>
      </c>
      <c r="C22" s="65">
        <v>18.790099999999999</v>
      </c>
      <c r="D22" s="65">
        <v>0.23884</v>
      </c>
      <c r="E22" s="58" t="b">
        <f t="shared" si="0"/>
        <v>1</v>
      </c>
      <c r="F22" s="71">
        <f t="shared" si="1"/>
        <v>0.99294000000000004</v>
      </c>
      <c r="G22" s="71">
        <f>_xlfn.LET(_xlpm.result,100000 * PRODUCT(F$5:F21),ROUND(_xlpm.result,4-INT(LN(_xlpm.result)/LN(10))))</f>
        <v>64228</v>
      </c>
      <c r="I22" s="65">
        <v>1.73</v>
      </c>
      <c r="J22" s="73">
        <v>92959</v>
      </c>
      <c r="K22" s="58" cm="1">
        <f t="array" ref="K22">_xlfn.LET(_xlpm.result,K$5*PRODUCT(1-I$5:I21/1000),ROUND(_xlpm.result,4-INT(LN(_xlpm.result)/LN(10))))</f>
        <v>92961</v>
      </c>
      <c r="L22" s="58">
        <f t="shared" si="2"/>
        <v>2</v>
      </c>
      <c r="N22" s="65"/>
      <c r="O22" s="77">
        <v>934926</v>
      </c>
      <c r="S22" s="72">
        <v>1.31E-3</v>
      </c>
      <c r="T22" s="73">
        <v>95905</v>
      </c>
      <c r="U22" s="58" cm="1">
        <f t="array" ref="U22">_xlfn.LET(_xlpm.result,U$5*PRODUCT(1-S$5:S21),ROUND(_xlpm.result,4-INT(LN(_xlpm.result)/LN(10))))</f>
        <v>95903</v>
      </c>
      <c r="V22" s="58">
        <f t="shared" si="7"/>
        <v>-2</v>
      </c>
      <c r="X22" s="72">
        <v>5.5000000000000003E-4</v>
      </c>
      <c r="Y22" s="73">
        <v>96925</v>
      </c>
      <c r="Z22" s="58" cm="1">
        <f t="array" ref="Z22">_xlfn.LET(_xlpm.result,Z$5*PRODUCT(1-X$5:X21),ROUND(_xlpm.result,4-INT(LN(_xlpm.result)/LN(10))))</f>
        <v>96926</v>
      </c>
      <c r="AA22" s="58">
        <f t="shared" si="4"/>
        <v>1</v>
      </c>
      <c r="AC22" s="72">
        <v>1.17E-3</v>
      </c>
      <c r="AD22" s="73">
        <v>97083</v>
      </c>
      <c r="AE22" s="58" cm="1">
        <f t="array" ref="AE22">_xlfn.LET(_xlpm.result,AE$5*PRODUCT(1-AC$5:AC21),ROUND(_xlpm.result,4-INT(LN(_xlpm.result)/LN(10))))</f>
        <v>97083</v>
      </c>
      <c r="AF22" s="58">
        <f t="shared" si="5"/>
        <v>0</v>
      </c>
      <c r="AH22" s="72"/>
      <c r="AI22" s="73">
        <v>98047</v>
      </c>
      <c r="AJ22" s="58" cm="1">
        <f t="array" ref="AJ22">_xlfn.LET(_xlpm.result,AJ$5*PRODUCT(1-AH$5:AH21),ROUND(_xlpm.result,4-INT(LN(_xlpm.result)/LN(10))))</f>
        <v>100000</v>
      </c>
      <c r="AK22" s="58">
        <f t="shared" si="6"/>
        <v>1953</v>
      </c>
    </row>
    <row r="23" spans="1:37" x14ac:dyDescent="0.25">
      <c r="A23" s="55">
        <v>18</v>
      </c>
      <c r="C23" s="65">
        <v>18.680700000000002</v>
      </c>
      <c r="D23" s="65">
        <v>0.24304999999999999</v>
      </c>
      <c r="E23" s="58" t="b">
        <f t="shared" si="0"/>
        <v>1</v>
      </c>
      <c r="F23" s="71">
        <f t="shared" si="1"/>
        <v>0.99287000000000003</v>
      </c>
      <c r="G23" s="71">
        <f>_xlfn.LET(_xlpm.result,100000 * PRODUCT(F$5:F22),ROUND(_xlpm.result,4-INT(LN(_xlpm.result)/LN(10))))</f>
        <v>63774</v>
      </c>
      <c r="I23" s="65">
        <v>1.88</v>
      </c>
      <c r="J23" s="73">
        <v>92797</v>
      </c>
      <c r="K23" s="58" cm="1">
        <f t="array" ref="K23">_xlfn.LET(_xlpm.result,K$5*PRODUCT(1-I$5:I22/1000),ROUND(_xlpm.result,4-INT(LN(_xlpm.result)/LN(10))))</f>
        <v>92800</v>
      </c>
      <c r="L23" s="58">
        <f t="shared" si="2"/>
        <v>3</v>
      </c>
      <c r="N23" s="65"/>
      <c r="O23" s="77">
        <v>933509</v>
      </c>
      <c r="S23" s="72">
        <v>1.4499999999999999E-3</v>
      </c>
      <c r="T23" s="73">
        <v>95779</v>
      </c>
      <c r="U23" s="58" cm="1">
        <f t="array" ref="U23">_xlfn.LET(_xlpm.result,U$5*PRODUCT(1-S$5:S22),ROUND(_xlpm.result,4-INT(LN(_xlpm.result)/LN(10))))</f>
        <v>95778</v>
      </c>
      <c r="V23" s="58">
        <f t="shared" si="7"/>
        <v>-1</v>
      </c>
      <c r="X23" s="72">
        <v>5.9000000000000003E-4</v>
      </c>
      <c r="Y23" s="73">
        <v>96872</v>
      </c>
      <c r="Z23" s="58" cm="1">
        <f t="array" ref="Z23">_xlfn.LET(_xlpm.result,Z$5*PRODUCT(1-X$5:X22),ROUND(_xlpm.result,4-INT(LN(_xlpm.result)/LN(10))))</f>
        <v>96873</v>
      </c>
      <c r="AA23" s="58">
        <f t="shared" si="4"/>
        <v>1</v>
      </c>
      <c r="AC23" s="72">
        <v>1.2800000000000001E-3</v>
      </c>
      <c r="AD23" s="73">
        <v>96970</v>
      </c>
      <c r="AE23" s="58" cm="1">
        <f t="array" ref="AE23">_xlfn.LET(_xlpm.result,AE$5*PRODUCT(1-AC$5:AC22),ROUND(_xlpm.result,4-INT(LN(_xlpm.result)/LN(10))))</f>
        <v>96969</v>
      </c>
      <c r="AF23" s="58">
        <f t="shared" si="5"/>
        <v>-1</v>
      </c>
      <c r="AH23" s="72"/>
      <c r="AI23" s="73">
        <v>97953</v>
      </c>
      <c r="AJ23" s="58" cm="1">
        <f t="array" ref="AJ23">_xlfn.LET(_xlpm.result,AJ$5*PRODUCT(1-AH$5:AH22),ROUND(_xlpm.result,4-INT(LN(_xlpm.result)/LN(10))))</f>
        <v>100000</v>
      </c>
      <c r="AK23" s="58">
        <f t="shared" si="6"/>
        <v>2047</v>
      </c>
    </row>
    <row r="24" spans="1:37" x14ac:dyDescent="0.25">
      <c r="A24" s="55">
        <v>19</v>
      </c>
      <c r="C24" s="65">
        <v>18.567509999999999</v>
      </c>
      <c r="D24" s="65">
        <v>0.24740000000000001</v>
      </c>
      <c r="E24" s="58" t="b">
        <f t="shared" si="0"/>
        <v>1</v>
      </c>
      <c r="F24" s="71">
        <f t="shared" si="1"/>
        <v>0.99278999999999995</v>
      </c>
      <c r="G24" s="71">
        <f>_xlfn.LET(_xlpm.result,100000 * PRODUCT(F$5:F23),ROUND(_xlpm.result,4-INT(LN(_xlpm.result)/LN(10))))</f>
        <v>63320</v>
      </c>
      <c r="I24" s="65">
        <v>2.0299999999999998</v>
      </c>
      <c r="J24" s="73">
        <v>92623</v>
      </c>
      <c r="K24" s="58" cm="1">
        <f t="array" ref="K24">_xlfn.LET(_xlpm.result,K$5*PRODUCT(1-I$5:I23/1000),ROUND(_xlpm.result,4-INT(LN(_xlpm.result)/LN(10))))</f>
        <v>92625</v>
      </c>
      <c r="L24" s="58">
        <f t="shared" si="2"/>
        <v>2</v>
      </c>
      <c r="N24" s="65"/>
      <c r="O24" s="77">
        <v>932055</v>
      </c>
      <c r="S24" s="72">
        <v>1.56E-3</v>
      </c>
      <c r="T24" s="73">
        <v>95641</v>
      </c>
      <c r="U24" s="58" cm="1">
        <f t="array" ref="U24">_xlfn.LET(_xlpm.result,U$5*PRODUCT(1-S$5:S23),ROUND(_xlpm.result,4-INT(LN(_xlpm.result)/LN(10))))</f>
        <v>95639</v>
      </c>
      <c r="V24" s="58">
        <f t="shared" si="7"/>
        <v>-2</v>
      </c>
      <c r="X24" s="72">
        <v>6.0999999999999997E-4</v>
      </c>
      <c r="Y24" s="73">
        <v>96815</v>
      </c>
      <c r="Z24" s="58" cm="1">
        <f t="array" ref="Z24">_xlfn.LET(_xlpm.result,Z$5*PRODUCT(1-X$5:X23),ROUND(_xlpm.result,4-INT(LN(_xlpm.result)/LN(10))))</f>
        <v>96816</v>
      </c>
      <c r="AA24" s="58">
        <f t="shared" si="4"/>
        <v>1</v>
      </c>
      <c r="AC24" s="72">
        <v>1.34E-3</v>
      </c>
      <c r="AD24" s="73">
        <v>96846</v>
      </c>
      <c r="AE24" s="58" cm="1">
        <f t="array" ref="AE24">_xlfn.LET(_xlpm.result,AE$5*PRODUCT(1-AC$5:AC23),ROUND(_xlpm.result,4-INT(LN(_xlpm.result)/LN(10))))</f>
        <v>96845</v>
      </c>
      <c r="AF24" s="58">
        <f t="shared" si="5"/>
        <v>-1</v>
      </c>
      <c r="AH24" s="72"/>
      <c r="AI24" s="73">
        <v>97851</v>
      </c>
      <c r="AJ24" s="58" cm="1">
        <f t="array" ref="AJ24">_xlfn.LET(_xlpm.result,AJ$5*PRODUCT(1-AH$5:AH23),ROUND(_xlpm.result,4-INT(LN(_xlpm.result)/LN(10))))</f>
        <v>100000</v>
      </c>
      <c r="AK24" s="58">
        <f t="shared" si="6"/>
        <v>2149</v>
      </c>
    </row>
    <row r="25" spans="1:37" x14ac:dyDescent="0.25">
      <c r="A25" s="55">
        <v>20</v>
      </c>
      <c r="C25" s="65">
        <v>18.450379999999999</v>
      </c>
      <c r="D25" s="65">
        <v>0.25191000000000002</v>
      </c>
      <c r="E25" s="58" t="b">
        <f t="shared" si="0"/>
        <v>1</v>
      </c>
      <c r="F25" s="71">
        <f t="shared" si="1"/>
        <v>0.99270999999999998</v>
      </c>
      <c r="G25" s="71">
        <f>_xlfn.LET(_xlpm.result,100000 * PRODUCT(F$5:F24),ROUND(_xlpm.result,4-INT(LN(_xlpm.result)/LN(10))))</f>
        <v>62863</v>
      </c>
      <c r="I25" s="65">
        <v>2.17</v>
      </c>
      <c r="J25" s="73">
        <v>92435</v>
      </c>
      <c r="K25" s="58" cm="1">
        <f t="array" ref="K25">_xlfn.LET(_xlpm.result,K$5*PRODUCT(1-I$5:I24/1000),ROUND(_xlpm.result,4-INT(LN(_xlpm.result)/LN(10))))</f>
        <v>92437</v>
      </c>
      <c r="L25" s="58">
        <f t="shared" si="2"/>
        <v>2</v>
      </c>
      <c r="N25" s="65"/>
      <c r="O25" s="77">
        <v>930561</v>
      </c>
      <c r="S25" s="72">
        <v>1.6900000000000001E-3</v>
      </c>
      <c r="T25" s="73">
        <v>95491</v>
      </c>
      <c r="U25" s="58" cm="1">
        <f t="array" ref="U25">_xlfn.LET(_xlpm.result,U$5*PRODUCT(1-S$5:S24),ROUND(_xlpm.result,4-INT(LN(_xlpm.result)/LN(10))))</f>
        <v>95490</v>
      </c>
      <c r="V25" s="58">
        <f t="shared" si="7"/>
        <v>-1</v>
      </c>
      <c r="X25" s="72">
        <v>6.4000000000000005E-4</v>
      </c>
      <c r="Y25" s="73">
        <v>96756</v>
      </c>
      <c r="Z25" s="58" cm="1">
        <f t="array" ref="Z25">_xlfn.LET(_xlpm.result,Z$5*PRODUCT(1-X$5:X24),ROUND(_xlpm.result,4-INT(LN(_xlpm.result)/LN(10))))</f>
        <v>96757</v>
      </c>
      <c r="AA25" s="58">
        <f t="shared" si="4"/>
        <v>1</v>
      </c>
      <c r="AC25" s="72">
        <v>1.4E-3</v>
      </c>
      <c r="AD25" s="73">
        <v>96716</v>
      </c>
      <c r="AE25" s="58" cm="1">
        <f t="array" ref="AE25">_xlfn.LET(_xlpm.result,AE$5*PRODUCT(1-AC$5:AC24),ROUND(_xlpm.result,4-INT(LN(_xlpm.result)/LN(10))))</f>
        <v>96715</v>
      </c>
      <c r="AF25" s="58">
        <f t="shared" si="5"/>
        <v>-1</v>
      </c>
      <c r="AH25" s="72"/>
      <c r="AI25" s="73">
        <v>97741</v>
      </c>
      <c r="AJ25" s="58" cm="1">
        <f t="array" ref="AJ25">_xlfn.LET(_xlpm.result,AJ$5*PRODUCT(1-AH$5:AH24),ROUND(_xlpm.result,4-INT(LN(_xlpm.result)/LN(10))))</f>
        <v>100000</v>
      </c>
      <c r="AK25" s="58">
        <f t="shared" si="6"/>
        <v>2259</v>
      </c>
    </row>
    <row r="26" spans="1:37" x14ac:dyDescent="0.25">
      <c r="A26" s="55">
        <v>21</v>
      </c>
      <c r="C26" s="65">
        <v>18.329319999999999</v>
      </c>
      <c r="D26" s="65">
        <v>0.25656000000000001</v>
      </c>
      <c r="E26" s="58" t="b">
        <f t="shared" si="0"/>
        <v>1</v>
      </c>
      <c r="F26" s="71">
        <f t="shared" si="1"/>
        <v>0.99261999999999995</v>
      </c>
      <c r="G26" s="71">
        <f>_xlfn.LET(_xlpm.result,100000 * PRODUCT(F$5:F25),ROUND(_xlpm.result,4-INT(LN(_xlpm.result)/LN(10))))</f>
        <v>62405</v>
      </c>
      <c r="I26" s="65">
        <v>2.2999999999999998</v>
      </c>
      <c r="J26" s="73">
        <v>92234</v>
      </c>
      <c r="K26" s="58" cm="1">
        <f t="array" ref="K26">_xlfn.LET(_xlpm.result,K$5*PRODUCT(1-I$5:I25/1000),ROUND(_xlpm.result,4-INT(LN(_xlpm.result)/LN(10))))</f>
        <v>92237</v>
      </c>
      <c r="L26" s="58">
        <f t="shared" si="2"/>
        <v>3</v>
      </c>
      <c r="N26" s="65"/>
      <c r="O26" s="77">
        <v>929023</v>
      </c>
      <c r="S26" s="72">
        <v>1.8E-3</v>
      </c>
      <c r="T26" s="73">
        <v>95330</v>
      </c>
      <c r="U26" s="58" cm="1">
        <f t="array" ref="U26">_xlfn.LET(_xlpm.result,U$5*PRODUCT(1-S$5:S25),ROUND(_xlpm.result,4-INT(LN(_xlpm.result)/LN(10))))</f>
        <v>95328</v>
      </c>
      <c r="V26" s="58">
        <f t="shared" si="7"/>
        <v>-2</v>
      </c>
      <c r="X26" s="72">
        <v>6.7000000000000002E-4</v>
      </c>
      <c r="Y26" s="73">
        <v>96694</v>
      </c>
      <c r="Z26" s="58" cm="1">
        <f t="array" ref="Z26">_xlfn.LET(_xlpm.result,Z$5*PRODUCT(1-X$5:X25),ROUND(_xlpm.result,4-INT(LN(_xlpm.result)/LN(10))))</f>
        <v>96695</v>
      </c>
      <c r="AA26" s="58">
        <f t="shared" si="4"/>
        <v>1</v>
      </c>
      <c r="AC26" s="72">
        <v>1.47E-3</v>
      </c>
      <c r="AD26" s="73">
        <v>96580</v>
      </c>
      <c r="AE26" s="58" cm="1">
        <f t="array" ref="AE26">_xlfn.LET(_xlpm.result,AE$5*PRODUCT(1-AC$5:AC25),ROUND(_xlpm.result,4-INT(LN(_xlpm.result)/LN(10))))</f>
        <v>96580</v>
      </c>
      <c r="AF26" s="58">
        <f t="shared" si="5"/>
        <v>0</v>
      </c>
      <c r="AH26" s="72"/>
      <c r="AI26" s="73">
        <v>97623</v>
      </c>
      <c r="AJ26" s="58" cm="1">
        <f t="array" ref="AJ26">_xlfn.LET(_xlpm.result,AJ$5*PRODUCT(1-AH$5:AH25),ROUND(_xlpm.result,4-INT(LN(_xlpm.result)/LN(10))))</f>
        <v>100000</v>
      </c>
      <c r="AK26" s="58">
        <f t="shared" si="6"/>
        <v>2377</v>
      </c>
    </row>
    <row r="27" spans="1:37" x14ac:dyDescent="0.25">
      <c r="A27" s="55">
        <v>22</v>
      </c>
      <c r="C27" s="65">
        <v>18.204160000000002</v>
      </c>
      <c r="D27" s="65">
        <v>0.26138</v>
      </c>
      <c r="E27" s="58" t="b">
        <f t="shared" si="0"/>
        <v>1</v>
      </c>
      <c r="F27" s="71">
        <f t="shared" si="1"/>
        <v>0.99253999999999998</v>
      </c>
      <c r="G27" s="71">
        <f>_xlfn.LET(_xlpm.result,100000 * PRODUCT(F$5:F26),ROUND(_xlpm.result,4-INT(LN(_xlpm.result)/LN(10))))</f>
        <v>61944</v>
      </c>
      <c r="I27" s="65">
        <v>2.42</v>
      </c>
      <c r="J27" s="73">
        <v>92022</v>
      </c>
      <c r="K27" s="58" cm="1">
        <f t="array" ref="K27">_xlfn.LET(_xlpm.result,K$5*PRODUCT(1-I$5:I26/1000),ROUND(_xlpm.result,4-INT(LN(_xlpm.result)/LN(10))))</f>
        <v>92025</v>
      </c>
      <c r="L27" s="58">
        <f t="shared" si="2"/>
        <v>3</v>
      </c>
      <c r="N27" s="65"/>
      <c r="O27" s="77">
        <v>927436</v>
      </c>
      <c r="S27" s="72">
        <v>1.8699999999999999E-3</v>
      </c>
      <c r="T27" s="73">
        <v>95158</v>
      </c>
      <c r="U27" s="58" cm="1">
        <f t="array" ref="U27">_xlfn.LET(_xlpm.result,U$5*PRODUCT(1-S$5:S26),ROUND(_xlpm.result,4-INT(LN(_xlpm.result)/LN(10))))</f>
        <v>95157</v>
      </c>
      <c r="V27" s="58">
        <f t="shared" si="7"/>
        <v>-1</v>
      </c>
      <c r="X27" s="72">
        <v>6.9999999999999999E-4</v>
      </c>
      <c r="Y27" s="73">
        <v>96629</v>
      </c>
      <c r="Z27" s="58" cm="1">
        <f t="array" ref="Z27">_xlfn.LET(_xlpm.result,Z$5*PRODUCT(1-X$5:X26),ROUND(_xlpm.result,4-INT(LN(_xlpm.result)/LN(10))))</f>
        <v>96630</v>
      </c>
      <c r="AA27" s="58">
        <f t="shared" si="4"/>
        <v>1</v>
      </c>
      <c r="AC27" s="72">
        <v>1.5200000000000001E-3</v>
      </c>
      <c r="AD27" s="73">
        <v>96438</v>
      </c>
      <c r="AE27" s="58" cm="1">
        <f t="array" ref="AE27">_xlfn.LET(_xlpm.result,AE$5*PRODUCT(1-AC$5:AC26),ROUND(_xlpm.result,4-INT(LN(_xlpm.result)/LN(10))))</f>
        <v>96438</v>
      </c>
      <c r="AF27" s="58">
        <f t="shared" si="5"/>
        <v>0</v>
      </c>
      <c r="AH27" s="72"/>
      <c r="AI27" s="73">
        <v>97499</v>
      </c>
      <c r="AJ27" s="58" cm="1">
        <f t="array" ref="AJ27">_xlfn.LET(_xlpm.result,AJ$5*PRODUCT(1-AH$5:AH26),ROUND(_xlpm.result,4-INT(LN(_xlpm.result)/LN(10))))</f>
        <v>100000</v>
      </c>
      <c r="AK27" s="58">
        <f t="shared" si="6"/>
        <v>2501</v>
      </c>
    </row>
    <row r="28" spans="1:37" x14ac:dyDescent="0.25">
      <c r="A28" s="55">
        <v>23</v>
      </c>
      <c r="C28" s="65">
        <v>18.07471</v>
      </c>
      <c r="D28" s="65">
        <v>0.26635999999999999</v>
      </c>
      <c r="E28" s="58" t="b">
        <f t="shared" si="0"/>
        <v>1</v>
      </c>
      <c r="F28" s="71">
        <f t="shared" si="1"/>
        <v>0.99243999999999999</v>
      </c>
      <c r="G28" s="71">
        <f>_xlfn.LET(_xlpm.result,100000 * PRODUCT(F$5:F27),ROUND(_xlpm.result,4-INT(LN(_xlpm.result)/LN(10))))</f>
        <v>61482</v>
      </c>
      <c r="I28" s="65">
        <v>2.5</v>
      </c>
      <c r="J28" s="73">
        <v>91799</v>
      </c>
      <c r="K28" s="58" cm="1">
        <f t="array" ref="K28">_xlfn.LET(_xlpm.result,K$5*PRODUCT(1-I$5:I27/1000),ROUND(_xlpm.result,4-INT(LN(_xlpm.result)/LN(10))))</f>
        <v>91802</v>
      </c>
      <c r="L28" s="58">
        <f t="shared" si="2"/>
        <v>3</v>
      </c>
      <c r="N28" s="65"/>
      <c r="O28" s="77">
        <v>925796</v>
      </c>
      <c r="S28" s="72">
        <v>1.8699999999999999E-3</v>
      </c>
      <c r="T28" s="73">
        <v>94981</v>
      </c>
      <c r="U28" s="58" cm="1">
        <f t="array" ref="U28">_xlfn.LET(_xlpm.result,U$5*PRODUCT(1-S$5:S27),ROUND(_xlpm.result,4-INT(LN(_xlpm.result)/LN(10))))</f>
        <v>94979</v>
      </c>
      <c r="V28" s="58">
        <f t="shared" si="7"/>
        <v>-2</v>
      </c>
      <c r="X28" s="72">
        <v>7.2999999999999996E-4</v>
      </c>
      <c r="Y28" s="73">
        <v>96561</v>
      </c>
      <c r="Z28" s="58" cm="1">
        <f t="array" ref="Z28">_xlfn.LET(_xlpm.result,Z$5*PRODUCT(1-X$5:X27),ROUND(_xlpm.result,4-INT(LN(_xlpm.result)/LN(10))))</f>
        <v>96562</v>
      </c>
      <c r="AA28" s="58">
        <f t="shared" si="4"/>
        <v>1</v>
      </c>
      <c r="AC28" s="72">
        <v>1.5299999999999999E-3</v>
      </c>
      <c r="AD28" s="73">
        <v>96292</v>
      </c>
      <c r="AE28" s="58" cm="1">
        <f t="array" ref="AE28">_xlfn.LET(_xlpm.result,AE$5*PRODUCT(1-AC$5:AC27),ROUND(_xlpm.result,4-INT(LN(_xlpm.result)/LN(10))))</f>
        <v>96291</v>
      </c>
      <c r="AF28" s="58">
        <f t="shared" si="5"/>
        <v>-1</v>
      </c>
      <c r="AH28" s="72"/>
      <c r="AI28" s="73">
        <v>97370</v>
      </c>
      <c r="AJ28" s="58" cm="1">
        <f t="array" ref="AJ28">_xlfn.LET(_xlpm.result,AJ$5*PRODUCT(1-AH$5:AH27),ROUND(_xlpm.result,4-INT(LN(_xlpm.result)/LN(10))))</f>
        <v>100000</v>
      </c>
      <c r="AK28" s="58">
        <f t="shared" si="6"/>
        <v>2630</v>
      </c>
    </row>
    <row r="29" spans="1:37" x14ac:dyDescent="0.25">
      <c r="A29" s="55">
        <v>24</v>
      </c>
      <c r="C29" s="65">
        <v>17.94097</v>
      </c>
      <c r="D29" s="65">
        <v>0.27150000000000002</v>
      </c>
      <c r="E29" s="58" t="b">
        <f t="shared" si="0"/>
        <v>1</v>
      </c>
      <c r="F29" s="71">
        <f t="shared" si="1"/>
        <v>0.99233000000000005</v>
      </c>
      <c r="G29" s="71">
        <f>_xlfn.LET(_xlpm.result,100000 * PRODUCT(F$5:F28),ROUND(_xlpm.result,4-INT(LN(_xlpm.result)/LN(10))))</f>
        <v>61017</v>
      </c>
      <c r="I29" s="65">
        <v>2.56</v>
      </c>
      <c r="J29" s="73">
        <v>91570</v>
      </c>
      <c r="K29" s="58" cm="1">
        <f t="array" ref="K29">_xlfn.LET(_xlpm.result,K$5*PRODUCT(1-I$5:I28/1000),ROUND(_xlpm.result,4-INT(LN(_xlpm.result)/LN(10))))</f>
        <v>91572</v>
      </c>
      <c r="L29" s="58">
        <f t="shared" si="2"/>
        <v>2</v>
      </c>
      <c r="N29" s="65"/>
      <c r="O29" s="77">
        <v>924099</v>
      </c>
      <c r="S29" s="72">
        <v>1.81E-3</v>
      </c>
      <c r="T29" s="73">
        <v>94803</v>
      </c>
      <c r="U29" s="58" cm="1">
        <f t="array" ref="U29">_xlfn.LET(_xlpm.result,U$5*PRODUCT(1-S$5:S28),ROUND(_xlpm.result,4-INT(LN(_xlpm.result)/LN(10))))</f>
        <v>94801</v>
      </c>
      <c r="V29" s="58">
        <f t="shared" si="7"/>
        <v>-2</v>
      </c>
      <c r="X29" s="72">
        <v>7.6000000000000004E-4</v>
      </c>
      <c r="Y29" s="73">
        <v>96491</v>
      </c>
      <c r="Z29" s="58" cm="1">
        <f t="array" ref="Z29">_xlfn.LET(_xlpm.result,Z$5*PRODUCT(1-X$5:X28),ROUND(_xlpm.result,4-INT(LN(_xlpm.result)/LN(10))))</f>
        <v>96492</v>
      </c>
      <c r="AA29" s="58">
        <f t="shared" si="4"/>
        <v>1</v>
      </c>
      <c r="AC29" s="72">
        <v>1.5100000000000001E-3</v>
      </c>
      <c r="AD29" s="73">
        <v>96145</v>
      </c>
      <c r="AE29" s="58" cm="1">
        <f t="array" ref="AE29">_xlfn.LET(_xlpm.result,AE$5*PRODUCT(1-AC$5:AC28),ROUND(_xlpm.result,4-INT(LN(_xlpm.result)/LN(10))))</f>
        <v>96144</v>
      </c>
      <c r="AF29" s="58">
        <f t="shared" si="5"/>
        <v>-1</v>
      </c>
      <c r="AH29" s="72"/>
      <c r="AI29" s="73">
        <v>97240</v>
      </c>
      <c r="AJ29" s="58" cm="1">
        <f t="array" ref="AJ29">_xlfn.LET(_xlpm.result,AJ$5*PRODUCT(1-AH$5:AH28),ROUND(_xlpm.result,4-INT(LN(_xlpm.result)/LN(10))))</f>
        <v>100000</v>
      </c>
      <c r="AK29" s="58">
        <f t="shared" si="6"/>
        <v>2760</v>
      </c>
    </row>
    <row r="30" spans="1:37" x14ac:dyDescent="0.25">
      <c r="A30" s="55">
        <v>25</v>
      </c>
      <c r="C30" s="65">
        <v>17.80274</v>
      </c>
      <c r="D30" s="65">
        <v>0.27682000000000001</v>
      </c>
      <c r="E30" s="58" t="b">
        <f t="shared" si="0"/>
        <v>1</v>
      </c>
      <c r="F30" s="71">
        <f t="shared" si="1"/>
        <v>0.99222999999999995</v>
      </c>
      <c r="G30" s="71">
        <f>_xlfn.LET(_xlpm.result,100000 * PRODUCT(F$5:F29),ROUND(_xlpm.result,4-INT(LN(_xlpm.result)/LN(10))))</f>
        <v>60549</v>
      </c>
      <c r="I30" s="65">
        <v>2.62</v>
      </c>
      <c r="J30" s="73">
        <v>91335</v>
      </c>
      <c r="K30" s="58" cm="1">
        <f t="array" ref="K30">_xlfn.LET(_xlpm.result,K$5*PRODUCT(1-I$5:I29/1000),ROUND(_xlpm.result,4-INT(LN(_xlpm.result)/LN(10))))</f>
        <v>91338</v>
      </c>
      <c r="L30" s="58">
        <f t="shared" si="2"/>
        <v>3</v>
      </c>
      <c r="N30" s="65"/>
      <c r="O30" s="77">
        <v>922338</v>
      </c>
      <c r="S30" s="72">
        <v>1.75E-3</v>
      </c>
      <c r="T30" s="73">
        <v>94631</v>
      </c>
      <c r="U30" s="58" cm="1">
        <f t="array" ref="U30">_xlfn.LET(_xlpm.result,U$5*PRODUCT(1-S$5:S29),ROUND(_xlpm.result,4-INT(LN(_xlpm.result)/LN(10))))</f>
        <v>94630</v>
      </c>
      <c r="V30" s="58">
        <f t="shared" si="7"/>
        <v>-1</v>
      </c>
      <c r="X30" s="72">
        <v>7.9000000000000001E-4</v>
      </c>
      <c r="Y30" s="73">
        <v>96418</v>
      </c>
      <c r="Z30" s="58" cm="1">
        <f t="array" ref="Z30">_xlfn.LET(_xlpm.result,Z$5*PRODUCT(1-X$5:X29),ROUND(_xlpm.result,4-INT(LN(_xlpm.result)/LN(10))))</f>
        <v>96418</v>
      </c>
      <c r="AA30" s="58">
        <f t="shared" si="4"/>
        <v>0</v>
      </c>
      <c r="AC30" s="72">
        <v>1.47E-3</v>
      </c>
      <c r="AD30" s="73">
        <v>96000</v>
      </c>
      <c r="AE30" s="58" cm="1">
        <f t="array" ref="AE30">_xlfn.LET(_xlpm.result,AE$5*PRODUCT(1-AC$5:AC29),ROUND(_xlpm.result,4-INT(LN(_xlpm.result)/LN(10))))</f>
        <v>95999</v>
      </c>
      <c r="AF30" s="58">
        <f t="shared" si="5"/>
        <v>-1</v>
      </c>
      <c r="AH30" s="72"/>
      <c r="AI30" s="73">
        <v>97110</v>
      </c>
      <c r="AJ30" s="58" cm="1">
        <f t="array" ref="AJ30">_xlfn.LET(_xlpm.result,AJ$5*PRODUCT(1-AH$5:AH29),ROUND(_xlpm.result,4-INT(LN(_xlpm.result)/LN(10))))</f>
        <v>100000</v>
      </c>
      <c r="AK30" s="58">
        <f t="shared" si="6"/>
        <v>2890</v>
      </c>
    </row>
    <row r="31" spans="1:37" x14ac:dyDescent="0.25">
      <c r="A31" s="55">
        <v>26</v>
      </c>
      <c r="C31" s="65">
        <v>17.659839999999999</v>
      </c>
      <c r="D31" s="65">
        <v>0.28231000000000001</v>
      </c>
      <c r="E31" s="58" t="b">
        <f t="shared" si="0"/>
        <v>1</v>
      </c>
      <c r="F31" s="71">
        <f t="shared" si="1"/>
        <v>0.99211000000000005</v>
      </c>
      <c r="G31" s="71">
        <f>_xlfn.LET(_xlpm.result,100000 * PRODUCT(F$5:F30),ROUND(_xlpm.result,4-INT(LN(_xlpm.result)/LN(10))))</f>
        <v>60079</v>
      </c>
      <c r="I31" s="65">
        <v>2.67</v>
      </c>
      <c r="J31" s="73">
        <v>91096</v>
      </c>
      <c r="K31" s="58" cm="1">
        <f t="array" ref="K31">_xlfn.LET(_xlpm.result,K$5*PRODUCT(1-I$5:I30/1000),ROUND(_xlpm.result,4-INT(LN(_xlpm.result)/LN(10))))</f>
        <v>91099</v>
      </c>
      <c r="L31" s="58">
        <f t="shared" si="2"/>
        <v>3</v>
      </c>
      <c r="N31" s="65"/>
      <c r="O31" s="77">
        <v>920510</v>
      </c>
      <c r="S31" s="72">
        <v>1.6900000000000001E-3</v>
      </c>
      <c r="T31" s="73">
        <v>94466</v>
      </c>
      <c r="U31" s="58" cm="1">
        <f t="array" ref="U31">_xlfn.LET(_xlpm.result,U$5*PRODUCT(1-S$5:S30),ROUND(_xlpm.result,4-INT(LN(_xlpm.result)/LN(10))))</f>
        <v>94464</v>
      </c>
      <c r="V31" s="58">
        <f t="shared" si="7"/>
        <v>-2</v>
      </c>
      <c r="X31" s="72">
        <v>8.1999999999999998E-4</v>
      </c>
      <c r="Y31" s="73">
        <v>96342</v>
      </c>
      <c r="Z31" s="58" cm="1">
        <f t="array" ref="Z31">_xlfn.LET(_xlpm.result,Z$5*PRODUCT(1-X$5:X30),ROUND(_xlpm.result,4-INT(LN(_xlpm.result)/LN(10))))</f>
        <v>96342</v>
      </c>
      <c r="AA31" s="58">
        <f t="shared" si="4"/>
        <v>0</v>
      </c>
      <c r="AC31" s="72">
        <v>1.4300000000000001E-3</v>
      </c>
      <c r="AD31" s="73">
        <v>95859</v>
      </c>
      <c r="AE31" s="58" cm="1">
        <f t="array" ref="AE31">_xlfn.LET(_xlpm.result,AE$5*PRODUCT(1-AC$5:AC30),ROUND(_xlpm.result,4-INT(LN(_xlpm.result)/LN(10))))</f>
        <v>95858</v>
      </c>
      <c r="AF31" s="58">
        <f t="shared" si="5"/>
        <v>-1</v>
      </c>
      <c r="AH31" s="72"/>
      <c r="AI31" s="73">
        <v>96982</v>
      </c>
      <c r="AJ31" s="58" cm="1">
        <f t="array" ref="AJ31">_xlfn.LET(_xlpm.result,AJ$5*PRODUCT(1-AH$5:AH30),ROUND(_xlpm.result,4-INT(LN(_xlpm.result)/LN(10))))</f>
        <v>100000</v>
      </c>
      <c r="AK31" s="58">
        <f t="shared" si="6"/>
        <v>3018</v>
      </c>
    </row>
    <row r="32" spans="1:37" x14ac:dyDescent="0.25">
      <c r="A32" s="55">
        <v>27</v>
      </c>
      <c r="C32" s="65">
        <v>17.512239999999998</v>
      </c>
      <c r="D32" s="65">
        <v>0.28799000000000002</v>
      </c>
      <c r="E32" s="58" t="b">
        <f t="shared" si="0"/>
        <v>1</v>
      </c>
      <c r="F32" s="71">
        <f t="shared" si="1"/>
        <v>0.99199999999999999</v>
      </c>
      <c r="G32" s="71">
        <f>_xlfn.LET(_xlpm.result,100000 * PRODUCT(F$5:F31),ROUND(_xlpm.result,4-INT(LN(_xlpm.result)/LN(10))))</f>
        <v>59605</v>
      </c>
      <c r="I32" s="65">
        <v>2.75</v>
      </c>
      <c r="J32" s="73">
        <v>90853</v>
      </c>
      <c r="K32" s="58" cm="1">
        <f t="array" ref="K32">_xlfn.LET(_xlpm.result,K$5*PRODUCT(1-I$5:I31/1000),ROUND(_xlpm.result,4-INT(LN(_xlpm.result)/LN(10))))</f>
        <v>90855</v>
      </c>
      <c r="L32" s="58">
        <f t="shared" si="2"/>
        <v>2</v>
      </c>
      <c r="N32" s="65"/>
      <c r="O32" s="77">
        <v>918606</v>
      </c>
      <c r="S32" s="72">
        <v>1.67E-3</v>
      </c>
      <c r="T32" s="73">
        <v>94306</v>
      </c>
      <c r="U32" s="58" cm="1">
        <f t="array" ref="U32">_xlfn.LET(_xlpm.result,U$5*PRODUCT(1-S$5:S31),ROUND(_xlpm.result,4-INT(LN(_xlpm.result)/LN(10))))</f>
        <v>94304</v>
      </c>
      <c r="V32" s="58">
        <f t="shared" si="7"/>
        <v>-2</v>
      </c>
      <c r="X32" s="72">
        <v>8.7000000000000001E-4</v>
      </c>
      <c r="Y32" s="73">
        <v>96262</v>
      </c>
      <c r="Z32" s="58" cm="1">
        <f t="array" ref="Z32">_xlfn.LET(_xlpm.result,Z$5*PRODUCT(1-X$5:X31),ROUND(_xlpm.result,4-INT(LN(_xlpm.result)/LN(10))))</f>
        <v>96263</v>
      </c>
      <c r="AA32" s="58">
        <f t="shared" si="4"/>
        <v>1</v>
      </c>
      <c r="AC32" s="72">
        <v>1.42E-3</v>
      </c>
      <c r="AD32" s="73">
        <v>95721</v>
      </c>
      <c r="AE32" s="58" cm="1">
        <f t="array" ref="AE32">_xlfn.LET(_xlpm.result,AE$5*PRODUCT(1-AC$5:AC31),ROUND(_xlpm.result,4-INT(LN(_xlpm.result)/LN(10))))</f>
        <v>95721</v>
      </c>
      <c r="AF32" s="58">
        <f t="shared" si="5"/>
        <v>0</v>
      </c>
      <c r="AH32" s="72"/>
      <c r="AI32" s="73">
        <v>96856</v>
      </c>
      <c r="AJ32" s="58" cm="1">
        <f t="array" ref="AJ32">_xlfn.LET(_xlpm.result,AJ$5*PRODUCT(1-AH$5:AH31),ROUND(_xlpm.result,4-INT(LN(_xlpm.result)/LN(10))))</f>
        <v>100000</v>
      </c>
      <c r="AK32" s="58">
        <f t="shared" si="6"/>
        <v>3144</v>
      </c>
    </row>
    <row r="33" spans="1:37" x14ac:dyDescent="0.25">
      <c r="A33" s="55">
        <v>28</v>
      </c>
      <c r="C33" s="65">
        <v>17.359680000000001</v>
      </c>
      <c r="D33" s="65">
        <v>0.29386000000000001</v>
      </c>
      <c r="E33" s="58" t="b">
        <f t="shared" si="0"/>
        <v>1</v>
      </c>
      <c r="F33" s="71">
        <f t="shared" si="1"/>
        <v>0.99185999999999996</v>
      </c>
      <c r="G33" s="71">
        <f>_xlfn.LET(_xlpm.result,100000 * PRODUCT(F$5:F32),ROUND(_xlpm.result,4-INT(LN(_xlpm.result)/LN(10))))</f>
        <v>59128</v>
      </c>
      <c r="I33" s="65">
        <v>2.85</v>
      </c>
      <c r="J33" s="73">
        <v>90603</v>
      </c>
      <c r="K33" s="58" cm="1">
        <f t="array" ref="K33">_xlfn.LET(_xlpm.result,K$5*PRODUCT(1-I$5:I32/1000),ROUND(_xlpm.result,4-INT(LN(_xlpm.result)/LN(10))))</f>
        <v>90606</v>
      </c>
      <c r="L33" s="58">
        <f t="shared" si="2"/>
        <v>3</v>
      </c>
      <c r="N33" s="65"/>
      <c r="O33" s="77">
        <v>916621</v>
      </c>
      <c r="S33" s="72">
        <v>1.6900000000000001E-3</v>
      </c>
      <c r="T33" s="73">
        <v>94148</v>
      </c>
      <c r="U33" s="58" cm="1">
        <f t="array" ref="U33">_xlfn.LET(_xlpm.result,U$5*PRODUCT(1-S$5:S32),ROUND(_xlpm.result,4-INT(LN(_xlpm.result)/LN(10))))</f>
        <v>94147</v>
      </c>
      <c r="V33" s="58">
        <f t="shared" si="7"/>
        <v>-1</v>
      </c>
      <c r="X33" s="72">
        <v>9.2000000000000003E-4</v>
      </c>
      <c r="Y33" s="73">
        <v>96179</v>
      </c>
      <c r="Z33" s="58" cm="1">
        <f t="array" ref="Z33">_xlfn.LET(_xlpm.result,Z$5*PRODUCT(1-X$5:X32),ROUND(_xlpm.result,4-INT(LN(_xlpm.result)/LN(10))))</f>
        <v>96179</v>
      </c>
      <c r="AA33" s="58">
        <f t="shared" si="4"/>
        <v>0</v>
      </c>
      <c r="AC33" s="72">
        <v>1.4400000000000001E-3</v>
      </c>
      <c r="AD33" s="73">
        <v>95586</v>
      </c>
      <c r="AE33" s="58" cm="1">
        <f t="array" ref="AE33">_xlfn.LET(_xlpm.result,AE$5*PRODUCT(1-AC$5:AC32),ROUND(_xlpm.result,4-INT(LN(_xlpm.result)/LN(10))))</f>
        <v>95585</v>
      </c>
      <c r="AF33" s="58">
        <f t="shared" si="5"/>
        <v>-1</v>
      </c>
      <c r="AH33" s="72"/>
      <c r="AI33" s="73">
        <v>96730</v>
      </c>
      <c r="AJ33" s="58" cm="1">
        <f t="array" ref="AJ33">_xlfn.LET(_xlpm.result,AJ$5*PRODUCT(1-AH$5:AH32),ROUND(_xlpm.result,4-INT(LN(_xlpm.result)/LN(10))))</f>
        <v>100000</v>
      </c>
      <c r="AK33" s="58">
        <f t="shared" si="6"/>
        <v>3270</v>
      </c>
    </row>
    <row r="34" spans="1:37" x14ac:dyDescent="0.25">
      <c r="A34" s="55">
        <v>29</v>
      </c>
      <c r="C34" s="65">
        <v>17.202249999999999</v>
      </c>
      <c r="D34" s="65">
        <v>0.29991000000000001</v>
      </c>
      <c r="E34" s="58" t="b">
        <f t="shared" si="0"/>
        <v>1</v>
      </c>
      <c r="F34" s="71">
        <f t="shared" si="1"/>
        <v>0.99173</v>
      </c>
      <c r="G34" s="71">
        <f>_xlfn.LET(_xlpm.result,100000 * PRODUCT(F$5:F33),ROUND(_xlpm.result,4-INT(LN(_xlpm.result)/LN(10))))</f>
        <v>58647</v>
      </c>
      <c r="I34" s="65">
        <v>2.95</v>
      </c>
      <c r="J34" s="73">
        <v>90345</v>
      </c>
      <c r="K34" s="58" cm="1">
        <f t="array" ref="K34">_xlfn.LET(_xlpm.result,K$5*PRODUCT(1-I$5:I33/1000),ROUND(_xlpm.result,4-INT(LN(_xlpm.result)/LN(10))))</f>
        <v>90347</v>
      </c>
      <c r="L34" s="58">
        <f t="shared" si="2"/>
        <v>2</v>
      </c>
      <c r="N34" s="65"/>
      <c r="O34" s="77">
        <v>914546</v>
      </c>
      <c r="S34" s="72">
        <v>1.74E-3</v>
      </c>
      <c r="T34" s="73">
        <v>93990</v>
      </c>
      <c r="U34" s="58" cm="1">
        <f t="array" ref="U34">_xlfn.LET(_xlpm.result,U$5*PRODUCT(1-S$5:S33),ROUND(_xlpm.result,4-INT(LN(_xlpm.result)/LN(10))))</f>
        <v>93988</v>
      </c>
      <c r="V34" s="58">
        <f t="shared" si="7"/>
        <v>-2</v>
      </c>
      <c r="X34" s="72">
        <v>9.7999999999999997E-4</v>
      </c>
      <c r="Y34" s="73">
        <v>96090</v>
      </c>
      <c r="Z34" s="58" cm="1">
        <f t="array" ref="Z34">_xlfn.LET(_xlpm.result,Z$5*PRODUCT(1-X$5:X33),ROUND(_xlpm.result,4-INT(LN(_xlpm.result)/LN(10))))</f>
        <v>96091</v>
      </c>
      <c r="AA34" s="58">
        <f t="shared" si="4"/>
        <v>1</v>
      </c>
      <c r="AC34" s="72">
        <v>1.49E-3</v>
      </c>
      <c r="AD34" s="73">
        <v>95448</v>
      </c>
      <c r="AE34" s="58" cm="1">
        <f t="array" ref="AE34">_xlfn.LET(_xlpm.result,AE$5*PRODUCT(1-AC$5:AC33),ROUND(_xlpm.result,4-INT(LN(_xlpm.result)/LN(10))))</f>
        <v>95447</v>
      </c>
      <c r="AF34" s="58">
        <f t="shared" si="5"/>
        <v>-1</v>
      </c>
      <c r="AH34" s="72"/>
      <c r="AI34" s="73">
        <v>96604</v>
      </c>
      <c r="AJ34" s="58" cm="1">
        <f t="array" ref="AJ34">_xlfn.LET(_xlpm.result,AJ$5*PRODUCT(1-AH$5:AH33),ROUND(_xlpm.result,4-INT(LN(_xlpm.result)/LN(10))))</f>
        <v>100000</v>
      </c>
      <c r="AK34" s="58">
        <f t="shared" si="6"/>
        <v>3396</v>
      </c>
    </row>
    <row r="35" spans="1:37" x14ac:dyDescent="0.25">
      <c r="A35" s="55">
        <v>30</v>
      </c>
      <c r="C35" s="65">
        <v>17.03961</v>
      </c>
      <c r="D35" s="65">
        <v>0.30617</v>
      </c>
      <c r="E35" s="58" t="b">
        <f t="shared" si="0"/>
        <v>1</v>
      </c>
      <c r="F35" s="71">
        <f t="shared" si="1"/>
        <v>0.99158000000000002</v>
      </c>
      <c r="G35" s="71">
        <f>_xlfn.LET(_xlpm.result,100000 * PRODUCT(F$5:F34),ROUND(_xlpm.result,4-INT(LN(_xlpm.result)/LN(10))))</f>
        <v>58162</v>
      </c>
      <c r="I35" s="65">
        <v>3.07</v>
      </c>
      <c r="J35" s="73">
        <v>90078</v>
      </c>
      <c r="K35" s="58" cm="1">
        <f t="array" ref="K35">_xlfn.LET(_xlpm.result,K$5*PRODUCT(1-I$5:I34/1000),ROUND(_xlpm.result,4-INT(LN(_xlpm.result)/LN(10))))</f>
        <v>90081</v>
      </c>
      <c r="L35" s="58">
        <f t="shared" si="2"/>
        <v>3</v>
      </c>
      <c r="N35" s="65"/>
      <c r="O35" s="77">
        <v>912375</v>
      </c>
      <c r="S35" s="72">
        <v>1.81E-3</v>
      </c>
      <c r="T35" s="73">
        <v>93826</v>
      </c>
      <c r="U35" s="58" cm="1">
        <f t="array" ref="U35">_xlfn.LET(_xlpm.result,U$5*PRODUCT(1-S$5:S34),ROUND(_xlpm.result,4-INT(LN(_xlpm.result)/LN(10))))</f>
        <v>93824</v>
      </c>
      <c r="V35" s="58">
        <f t="shared" si="7"/>
        <v>-2</v>
      </c>
      <c r="X35" s="72">
        <v>1.06E-3</v>
      </c>
      <c r="Y35" s="73">
        <v>95996</v>
      </c>
      <c r="Z35" s="58" cm="1">
        <f t="array" ref="Z35">_xlfn.LET(_xlpm.result,Z$5*PRODUCT(1-X$5:X34),ROUND(_xlpm.result,4-INT(LN(_xlpm.result)/LN(10))))</f>
        <v>95997</v>
      </c>
      <c r="AA35" s="58">
        <f t="shared" si="4"/>
        <v>1</v>
      </c>
      <c r="AC35" s="72">
        <v>1.5499999999999999E-3</v>
      </c>
      <c r="AD35" s="73">
        <v>95307</v>
      </c>
      <c r="AE35" s="58" cm="1">
        <f t="array" ref="AE35">_xlfn.LET(_xlpm.result,AE$5*PRODUCT(1-AC$5:AC34),ROUND(_xlpm.result,4-INT(LN(_xlpm.result)/LN(10))))</f>
        <v>95305</v>
      </c>
      <c r="AF35" s="58">
        <f t="shared" si="5"/>
        <v>-2</v>
      </c>
      <c r="AH35" s="72"/>
      <c r="AI35" s="73">
        <v>96477</v>
      </c>
      <c r="AJ35" s="58" cm="1">
        <f t="array" ref="AJ35">_xlfn.LET(_xlpm.result,AJ$5*PRODUCT(1-AH$5:AH34),ROUND(_xlpm.result,4-INT(LN(_xlpm.result)/LN(10))))</f>
        <v>100000</v>
      </c>
      <c r="AK35" s="58">
        <f t="shared" si="6"/>
        <v>3523</v>
      </c>
    </row>
    <row r="36" spans="1:37" x14ac:dyDescent="0.25">
      <c r="A36" s="55">
        <v>31</v>
      </c>
      <c r="C36" s="65">
        <v>16.871759999999998</v>
      </c>
      <c r="D36" s="65">
        <v>0.31262000000000001</v>
      </c>
      <c r="E36" s="58" t="b">
        <f t="shared" si="0"/>
        <v>1</v>
      </c>
      <c r="F36" s="71">
        <f t="shared" si="1"/>
        <v>0.99141999999999997</v>
      </c>
      <c r="G36" s="71">
        <f>_xlfn.LET(_xlpm.result,100000 * PRODUCT(F$5:F35),ROUND(_xlpm.result,4-INT(LN(_xlpm.result)/LN(10))))</f>
        <v>57672</v>
      </c>
      <c r="I36" s="65">
        <v>3.2</v>
      </c>
      <c r="J36" s="73">
        <v>89802</v>
      </c>
      <c r="K36" s="58" cm="1">
        <f t="array" ref="K36">_xlfn.LET(_xlpm.result,K$5*PRODUCT(1-I$5:I35/1000),ROUND(_xlpm.result,4-INT(LN(_xlpm.result)/LN(10))))</f>
        <v>89804</v>
      </c>
      <c r="L36" s="58">
        <f t="shared" si="2"/>
        <v>2</v>
      </c>
      <c r="N36" s="65"/>
      <c r="O36" s="77">
        <v>910099</v>
      </c>
      <c r="S36" s="72">
        <v>1.89E-3</v>
      </c>
      <c r="T36" s="73">
        <v>93656</v>
      </c>
      <c r="U36" s="58" cm="1">
        <f t="array" ref="U36">_xlfn.LET(_xlpm.result,U$5*PRODUCT(1-S$5:S35),ROUND(_xlpm.result,4-INT(LN(_xlpm.result)/LN(10))))</f>
        <v>93654</v>
      </c>
      <c r="V36" s="58">
        <f t="shared" si="7"/>
        <v>-2</v>
      </c>
      <c r="X36" s="72">
        <v>1.14E-3</v>
      </c>
      <c r="Y36" s="73">
        <v>95894</v>
      </c>
      <c r="Z36" s="58" cm="1">
        <f t="array" ref="Z36">_xlfn.LET(_xlpm.result,Z$5*PRODUCT(1-X$5:X35),ROUND(_xlpm.result,4-INT(LN(_xlpm.result)/LN(10))))</f>
        <v>95895</v>
      </c>
      <c r="AA36" s="58">
        <f t="shared" si="4"/>
        <v>1</v>
      </c>
      <c r="AC36" s="72">
        <v>1.6299999999999999E-3</v>
      </c>
      <c r="AD36" s="73">
        <v>95158</v>
      </c>
      <c r="AE36" s="58" cm="1">
        <f t="array" ref="AE36">_xlfn.LET(_xlpm.result,AE$5*PRODUCT(1-AC$5:AC35),ROUND(_xlpm.result,4-INT(LN(_xlpm.result)/LN(10))))</f>
        <v>95157</v>
      </c>
      <c r="AF36" s="58">
        <f t="shared" si="5"/>
        <v>-1</v>
      </c>
      <c r="AH36" s="72"/>
      <c r="AI36" s="73">
        <v>96350</v>
      </c>
      <c r="AJ36" s="58" cm="1">
        <f t="array" ref="AJ36">_xlfn.LET(_xlpm.result,AJ$5*PRODUCT(1-AH$5:AH35),ROUND(_xlpm.result,4-INT(LN(_xlpm.result)/LN(10))))</f>
        <v>100000</v>
      </c>
      <c r="AK36" s="58">
        <f t="shared" si="6"/>
        <v>3650</v>
      </c>
    </row>
    <row r="37" spans="1:37" x14ac:dyDescent="0.25">
      <c r="A37" s="55">
        <v>32</v>
      </c>
      <c r="C37" s="65">
        <v>16.698460000000001</v>
      </c>
      <c r="D37" s="65">
        <v>0.31929000000000002</v>
      </c>
      <c r="E37" s="58" t="b">
        <f t="shared" ref="E37:E68" si="8">ABS((C37+1)/1.04 - C37 - D37)&lt;0.00001</f>
        <v>1</v>
      </c>
      <c r="F37" s="71">
        <f t="shared" ref="F37:F68" si="9">ROUND(1.04 * C37 / (1+C38),5)</f>
        <v>0.99124999999999996</v>
      </c>
      <c r="G37" s="71">
        <f>_xlfn.LET(_xlpm.result,100000 * PRODUCT(F$5:F36),ROUND(_xlpm.result,4-INT(LN(_xlpm.result)/LN(10))))</f>
        <v>57177</v>
      </c>
      <c r="I37" s="65">
        <v>3.35</v>
      </c>
      <c r="J37" s="73">
        <v>89514</v>
      </c>
      <c r="K37" s="58" cm="1">
        <f t="array" ref="K37">_xlfn.LET(_xlpm.result,K$5*PRODUCT(1-I$5:I36/1000),ROUND(_xlpm.result,4-INT(LN(_xlpm.result)/LN(10))))</f>
        <v>89517</v>
      </c>
      <c r="L37" s="58">
        <f t="shared" si="2"/>
        <v>3</v>
      </c>
      <c r="N37" s="65"/>
      <c r="O37" s="77">
        <v>907707</v>
      </c>
      <c r="S37" s="72">
        <v>1.99E-3</v>
      </c>
      <c r="T37" s="73">
        <v>93479</v>
      </c>
      <c r="U37" s="58" cm="1">
        <f t="array" ref="U37">_xlfn.LET(_xlpm.result,U$5*PRODUCT(1-S$5:S36),ROUND(_xlpm.result,4-INT(LN(_xlpm.result)/LN(10))))</f>
        <v>93477</v>
      </c>
      <c r="V37" s="58">
        <f t="shared" si="7"/>
        <v>-2</v>
      </c>
      <c r="X37" s="72">
        <v>1.2199999999999999E-3</v>
      </c>
      <c r="Y37" s="73">
        <v>95785</v>
      </c>
      <c r="Z37" s="58" cm="1">
        <f t="array" ref="Z37">_xlfn.LET(_xlpm.result,Z$5*PRODUCT(1-X$5:X36),ROUND(_xlpm.result,4-INT(LN(_xlpm.result)/LN(10))))</f>
        <v>95786</v>
      </c>
      <c r="AA37" s="58">
        <f t="shared" si="4"/>
        <v>1</v>
      </c>
      <c r="AC37" s="72">
        <v>1.72E-3</v>
      </c>
      <c r="AD37" s="73">
        <v>95003</v>
      </c>
      <c r="AE37" s="58" cm="1">
        <f t="array" ref="AE37">_xlfn.LET(_xlpm.result,AE$5*PRODUCT(1-AC$5:AC36),ROUND(_xlpm.result,4-INT(LN(_xlpm.result)/LN(10))))</f>
        <v>95002</v>
      </c>
      <c r="AF37" s="58">
        <f t="shared" si="5"/>
        <v>-1</v>
      </c>
      <c r="AH37" s="72"/>
      <c r="AI37" s="73">
        <v>96220</v>
      </c>
      <c r="AJ37" s="58" cm="1">
        <f t="array" ref="AJ37">_xlfn.LET(_xlpm.result,AJ$5*PRODUCT(1-AH$5:AH36),ROUND(_xlpm.result,4-INT(LN(_xlpm.result)/LN(10))))</f>
        <v>100000</v>
      </c>
      <c r="AK37" s="58">
        <f t="shared" si="6"/>
        <v>3780</v>
      </c>
    </row>
    <row r="38" spans="1:37" x14ac:dyDescent="0.25">
      <c r="A38" s="55">
        <v>33</v>
      </c>
      <c r="C38" s="65">
        <v>16.519639999999999</v>
      </c>
      <c r="D38" s="65">
        <v>0.32617000000000002</v>
      </c>
      <c r="E38" s="58" t="b">
        <f t="shared" si="8"/>
        <v>1</v>
      </c>
      <c r="F38" s="71">
        <f t="shared" si="9"/>
        <v>0.99107999999999996</v>
      </c>
      <c r="G38" s="71">
        <f>_xlfn.LET(_xlpm.result,100000 * PRODUCT(F$5:F37),ROUND(_xlpm.result,4-INT(LN(_xlpm.result)/LN(10))))</f>
        <v>56677</v>
      </c>
      <c r="I38" s="65">
        <v>3.51</v>
      </c>
      <c r="J38" s="73">
        <v>89215</v>
      </c>
      <c r="K38" s="58" cm="1">
        <f t="array" ref="K38">_xlfn.LET(_xlpm.result,K$5*PRODUCT(1-I$5:I37/1000),ROUND(_xlpm.result,4-INT(LN(_xlpm.result)/LN(10))))</f>
        <v>89217</v>
      </c>
      <c r="L38" s="58">
        <f t="shared" si="2"/>
        <v>2</v>
      </c>
      <c r="N38" s="65"/>
      <c r="O38" s="77">
        <v>905190</v>
      </c>
      <c r="S38" s="72">
        <v>2.0999999999999999E-3</v>
      </c>
      <c r="T38" s="73">
        <v>93293</v>
      </c>
      <c r="U38" s="58" cm="1">
        <f t="array" ref="U38">_xlfn.LET(_xlpm.result,U$5*PRODUCT(1-S$5:S37),ROUND(_xlpm.result,4-INT(LN(_xlpm.result)/LN(10))))</f>
        <v>93291</v>
      </c>
      <c r="V38" s="58">
        <f t="shared" si="7"/>
        <v>-2</v>
      </c>
      <c r="X38" s="72">
        <v>1.31E-3</v>
      </c>
      <c r="Y38" s="73">
        <v>95668</v>
      </c>
      <c r="Z38" s="58" cm="1">
        <f t="array" ref="Z38">_xlfn.LET(_xlpm.result,Z$5*PRODUCT(1-X$5:X37),ROUND(_xlpm.result,4-INT(LN(_xlpm.result)/LN(10))))</f>
        <v>95669</v>
      </c>
      <c r="AA38" s="58">
        <f t="shared" si="4"/>
        <v>1</v>
      </c>
      <c r="AC38" s="72">
        <v>1.83E-3</v>
      </c>
      <c r="AD38" s="73">
        <v>94840</v>
      </c>
      <c r="AE38" s="58" cm="1">
        <f t="array" ref="AE38">_xlfn.LET(_xlpm.result,AE$5*PRODUCT(1-AC$5:AC37),ROUND(_xlpm.result,4-INT(LN(_xlpm.result)/LN(10))))</f>
        <v>94839</v>
      </c>
      <c r="AF38" s="58">
        <f t="shared" si="5"/>
        <v>-1</v>
      </c>
      <c r="AH38" s="72"/>
      <c r="AI38" s="73">
        <v>96088</v>
      </c>
      <c r="AJ38" s="58" cm="1">
        <f t="array" ref="AJ38">_xlfn.LET(_xlpm.result,AJ$5*PRODUCT(1-AH$5:AH37),ROUND(_xlpm.result,4-INT(LN(_xlpm.result)/LN(10))))</f>
        <v>100000</v>
      </c>
      <c r="AK38" s="58">
        <f t="shared" si="6"/>
        <v>3912</v>
      </c>
    </row>
    <row r="39" spans="1:37" x14ac:dyDescent="0.25">
      <c r="A39" s="55">
        <v>34</v>
      </c>
      <c r="C39" s="65">
        <v>16.33503</v>
      </c>
      <c r="D39" s="65">
        <v>0.33327000000000001</v>
      </c>
      <c r="E39" s="58" t="b">
        <f t="shared" si="8"/>
        <v>1</v>
      </c>
      <c r="F39" s="71">
        <f t="shared" si="9"/>
        <v>0.9909</v>
      </c>
      <c r="G39" s="71">
        <f>_xlfn.LET(_xlpm.result,100000 * PRODUCT(F$5:F38),ROUND(_xlpm.result,4-INT(LN(_xlpm.result)/LN(10))))</f>
        <v>56171</v>
      </c>
      <c r="I39" s="65">
        <v>3.69</v>
      </c>
      <c r="J39" s="73">
        <v>88902</v>
      </c>
      <c r="K39" s="58" cm="1">
        <f t="array" ref="K39">_xlfn.LET(_xlpm.result,K$5*PRODUCT(1-I$5:I38/1000),ROUND(_xlpm.result,4-INT(LN(_xlpm.result)/LN(10))))</f>
        <v>88904</v>
      </c>
      <c r="L39" s="58">
        <f t="shared" si="2"/>
        <v>2</v>
      </c>
      <c r="N39" s="65"/>
      <c r="O39" s="77">
        <v>902537</v>
      </c>
      <c r="S39" s="72">
        <v>2.2399999999999998E-3</v>
      </c>
      <c r="T39" s="73">
        <v>93097</v>
      </c>
      <c r="U39" s="58" cm="1">
        <f t="array" ref="U39">_xlfn.LET(_xlpm.result,U$5*PRODUCT(1-S$5:S38),ROUND(_xlpm.result,4-INT(LN(_xlpm.result)/LN(10))))</f>
        <v>93095</v>
      </c>
      <c r="V39" s="58">
        <f t="shared" si="7"/>
        <v>-2</v>
      </c>
      <c r="X39" s="72">
        <v>1.4E-3</v>
      </c>
      <c r="Y39" s="73">
        <v>95543</v>
      </c>
      <c r="Z39" s="58" cm="1">
        <f t="array" ref="Z39">_xlfn.LET(_xlpm.result,Z$5*PRODUCT(1-X$5:X38),ROUND(_xlpm.result,4-INT(LN(_xlpm.result)/LN(10))))</f>
        <v>95544</v>
      </c>
      <c r="AA39" s="58">
        <f t="shared" si="4"/>
        <v>1</v>
      </c>
      <c r="AC39" s="72">
        <v>1.9499999999999999E-3</v>
      </c>
      <c r="AD39" s="73">
        <v>94666</v>
      </c>
      <c r="AE39" s="58" cm="1">
        <f t="array" ref="AE39">_xlfn.LET(_xlpm.result,AE$5*PRODUCT(1-AC$5:AC38),ROUND(_xlpm.result,4-INT(LN(_xlpm.result)/LN(10))))</f>
        <v>94665</v>
      </c>
      <c r="AF39" s="58">
        <f t="shared" si="5"/>
        <v>-1</v>
      </c>
      <c r="AH39" s="72"/>
      <c r="AI39" s="73">
        <v>95951</v>
      </c>
      <c r="AJ39" s="58" cm="1">
        <f t="array" ref="AJ39">_xlfn.LET(_xlpm.result,AJ$5*PRODUCT(1-AH$5:AH38),ROUND(_xlpm.result,4-INT(LN(_xlpm.result)/LN(10))))</f>
        <v>100000</v>
      </c>
      <c r="AK39" s="58">
        <f t="shared" si="6"/>
        <v>4049</v>
      </c>
    </row>
    <row r="40" spans="1:37" x14ac:dyDescent="0.25">
      <c r="A40" s="55">
        <v>35</v>
      </c>
      <c r="C40" s="65">
        <v>16.144369999999999</v>
      </c>
      <c r="D40" s="65">
        <v>0.34060000000000001</v>
      </c>
      <c r="E40" s="58" t="b">
        <f t="shared" si="8"/>
        <v>1</v>
      </c>
      <c r="F40" s="71">
        <f t="shared" si="9"/>
        <v>0.99070999999999998</v>
      </c>
      <c r="G40" s="71">
        <f>_xlfn.LET(_xlpm.result,100000 * PRODUCT(F$5:F39),ROUND(_xlpm.result,4-INT(LN(_xlpm.result)/LN(10))))</f>
        <v>55660</v>
      </c>
      <c r="I40" s="65">
        <v>3.9</v>
      </c>
      <c r="J40" s="73">
        <v>88573</v>
      </c>
      <c r="K40" s="58" cm="1">
        <f t="array" ref="K40">_xlfn.LET(_xlpm.result,K$5*PRODUCT(1-I$5:I39/1000),ROUND(_xlpm.result,4-INT(LN(_xlpm.result)/LN(10))))</f>
        <v>88576</v>
      </c>
      <c r="L40" s="58">
        <f t="shared" si="2"/>
        <v>3</v>
      </c>
      <c r="N40" s="65"/>
      <c r="O40" s="77">
        <v>899736</v>
      </c>
      <c r="S40" s="72">
        <v>2.3999999999999998E-3</v>
      </c>
      <c r="T40" s="73">
        <v>92889</v>
      </c>
      <c r="U40" s="58" cm="1">
        <f t="array" ref="U40">_xlfn.LET(_xlpm.result,U$5*PRODUCT(1-S$5:S39),ROUND(_xlpm.result,4-INT(LN(_xlpm.result)/LN(10))))</f>
        <v>92887</v>
      </c>
      <c r="V40" s="58">
        <f t="shared" si="7"/>
        <v>-2</v>
      </c>
      <c r="X40" s="72">
        <v>1.5100000000000001E-3</v>
      </c>
      <c r="Y40" s="73">
        <v>95409</v>
      </c>
      <c r="Z40" s="58" cm="1">
        <f t="array" ref="Z40">_xlfn.LET(_xlpm.result,Z$5*PRODUCT(1-X$5:X39),ROUND(_xlpm.result,4-INT(LN(_xlpm.result)/LN(10))))</f>
        <v>95410</v>
      </c>
      <c r="AA40" s="58">
        <f t="shared" si="4"/>
        <v>1</v>
      </c>
      <c r="AC40" s="72">
        <v>2.0899999999999998E-3</v>
      </c>
      <c r="AD40" s="73">
        <v>94482</v>
      </c>
      <c r="AE40" s="58" cm="1">
        <f t="array" ref="AE40">_xlfn.LET(_xlpm.result,AE$5*PRODUCT(1-AC$5:AC39),ROUND(_xlpm.result,4-INT(LN(_xlpm.result)/LN(10))))</f>
        <v>94480</v>
      </c>
      <c r="AF40" s="58">
        <f t="shared" si="5"/>
        <v>-2</v>
      </c>
      <c r="AH40" s="72"/>
      <c r="AI40" s="73">
        <v>95808</v>
      </c>
      <c r="AJ40" s="58" cm="1">
        <f t="array" ref="AJ40">_xlfn.LET(_xlpm.result,AJ$5*PRODUCT(1-AH$5:AH39),ROUND(_xlpm.result,4-INT(LN(_xlpm.result)/LN(10))))</f>
        <v>100000</v>
      </c>
      <c r="AK40" s="58">
        <f t="shared" si="6"/>
        <v>4192</v>
      </c>
    </row>
    <row r="41" spans="1:37" x14ac:dyDescent="0.25">
      <c r="A41" s="55">
        <v>36</v>
      </c>
      <c r="C41" s="65">
        <v>15.94755</v>
      </c>
      <c r="D41" s="65">
        <v>0.34816999999999998</v>
      </c>
      <c r="E41" s="58" t="b">
        <f t="shared" si="8"/>
        <v>1</v>
      </c>
      <c r="F41" s="71">
        <f t="shared" si="9"/>
        <v>0.99051999999999996</v>
      </c>
      <c r="G41" s="71">
        <f>_xlfn.LET(_xlpm.result,100000 * PRODUCT(F$5:F40),ROUND(_xlpm.result,4-INT(LN(_xlpm.result)/LN(10))))</f>
        <v>55143</v>
      </c>
      <c r="I41" s="65">
        <v>4.12</v>
      </c>
      <c r="J41" s="73">
        <v>88228</v>
      </c>
      <c r="K41" s="58" cm="1">
        <f t="array" ref="K41">_xlfn.LET(_xlpm.result,K$5*PRODUCT(1-I$5:I40/1000),ROUND(_xlpm.result,4-INT(LN(_xlpm.result)/LN(10))))</f>
        <v>88230</v>
      </c>
      <c r="L41" s="58">
        <f t="shared" si="2"/>
        <v>2</v>
      </c>
      <c r="N41" s="65"/>
      <c r="O41" s="77">
        <v>896774</v>
      </c>
      <c r="S41" s="72">
        <v>2.5899999999999999E-3</v>
      </c>
      <c r="T41" s="73">
        <v>92666</v>
      </c>
      <c r="U41" s="58" cm="1">
        <f t="array" ref="U41">_xlfn.LET(_xlpm.result,U$5*PRODUCT(1-S$5:S40),ROUND(_xlpm.result,4-INT(LN(_xlpm.result)/LN(10))))</f>
        <v>92664</v>
      </c>
      <c r="V41" s="58">
        <f t="shared" si="7"/>
        <v>-2</v>
      </c>
      <c r="X41" s="72">
        <v>1.6299999999999999E-3</v>
      </c>
      <c r="Y41" s="73">
        <v>95265</v>
      </c>
      <c r="Z41" s="58" cm="1">
        <f t="array" ref="Z41">_xlfn.LET(_xlpm.result,Z$5*PRODUCT(1-X$5:X40),ROUND(_xlpm.result,4-INT(LN(_xlpm.result)/LN(10))))</f>
        <v>95266</v>
      </c>
      <c r="AA41" s="58">
        <f t="shared" si="4"/>
        <v>1</v>
      </c>
      <c r="AC41" s="72">
        <v>2.2499999999999998E-3</v>
      </c>
      <c r="AD41" s="73">
        <v>94285</v>
      </c>
      <c r="AE41" s="58" cm="1">
        <f t="array" ref="AE41">_xlfn.LET(_xlpm.result,AE$5*PRODUCT(1-AC$5:AC40),ROUND(_xlpm.result,4-INT(LN(_xlpm.result)/LN(10))))</f>
        <v>94283</v>
      </c>
      <c r="AF41" s="58">
        <f t="shared" si="5"/>
        <v>-2</v>
      </c>
      <c r="AH41" s="72"/>
      <c r="AI41" s="73">
        <v>95655</v>
      </c>
      <c r="AJ41" s="58" cm="1">
        <f t="array" ref="AJ41">_xlfn.LET(_xlpm.result,AJ$5*PRODUCT(1-AH$5:AH40),ROUND(_xlpm.result,4-INT(LN(_xlpm.result)/LN(10))))</f>
        <v>100000</v>
      </c>
      <c r="AK41" s="58">
        <f t="shared" si="6"/>
        <v>4345</v>
      </c>
    </row>
    <row r="42" spans="1:37" x14ac:dyDescent="0.25">
      <c r="A42" s="55">
        <v>37</v>
      </c>
      <c r="C42" s="66">
        <v>15.74427</v>
      </c>
      <c r="D42" s="66">
        <v>0.35598999999999997</v>
      </c>
      <c r="E42" s="58" t="b">
        <f t="shared" si="8"/>
        <v>1</v>
      </c>
      <c r="F42" s="71">
        <f t="shared" si="9"/>
        <v>0.99031000000000002</v>
      </c>
      <c r="G42" s="71">
        <f>_xlfn.LET(_xlpm.result,100000 * PRODUCT(F$5:F41),ROUND(_xlpm.result,4-INT(LN(_xlpm.result)/LN(10))))</f>
        <v>54620</v>
      </c>
      <c r="I42" s="65">
        <v>4.3600000000000003</v>
      </c>
      <c r="J42" s="73">
        <v>87865</v>
      </c>
      <c r="K42" s="58" cm="1">
        <f t="array" ref="K42">_xlfn.LET(_xlpm.result,K$5*PRODUCT(1-I$5:I41/1000),ROUND(_xlpm.result,4-INT(LN(_xlpm.result)/LN(10))))</f>
        <v>87867</v>
      </c>
      <c r="L42" s="58">
        <f t="shared" si="2"/>
        <v>2</v>
      </c>
      <c r="N42" s="65"/>
      <c r="O42" s="77">
        <v>893637</v>
      </c>
      <c r="S42" s="72">
        <v>2.81E-3</v>
      </c>
      <c r="T42" s="73">
        <v>92426</v>
      </c>
      <c r="U42" s="58" cm="1">
        <f t="array" ref="U42">_xlfn.LET(_xlpm.result,U$5*PRODUCT(1-S$5:S41),ROUND(_xlpm.result,4-INT(LN(_xlpm.result)/LN(10))))</f>
        <v>92424</v>
      </c>
      <c r="V42" s="58">
        <f t="shared" si="7"/>
        <v>-2</v>
      </c>
      <c r="X42" s="72">
        <v>1.7700000000000001E-3</v>
      </c>
      <c r="Y42" s="73">
        <v>95110</v>
      </c>
      <c r="Z42" s="58" cm="1">
        <f t="array" ref="Z42">_xlfn.LET(_xlpm.result,Z$5*PRODUCT(1-X$5:X41),ROUND(_xlpm.result,4-INT(LN(_xlpm.result)/LN(10))))</f>
        <v>95110</v>
      </c>
      <c r="AA42" s="58">
        <f t="shared" si="4"/>
        <v>0</v>
      </c>
      <c r="AC42" s="72">
        <v>2.4399999999999999E-3</v>
      </c>
      <c r="AD42" s="73">
        <v>94073</v>
      </c>
      <c r="AE42" s="58" cm="1">
        <f t="array" ref="AE42">_xlfn.LET(_xlpm.result,AE$5*PRODUCT(1-AC$5:AC41),ROUND(_xlpm.result,4-INT(LN(_xlpm.result)/LN(10))))</f>
        <v>94071</v>
      </c>
      <c r="AF42" s="58">
        <f t="shared" si="5"/>
        <v>-2</v>
      </c>
      <c r="AH42" s="72"/>
      <c r="AI42" s="73">
        <v>95492</v>
      </c>
      <c r="AJ42" s="58" cm="1">
        <f t="array" ref="AJ42">_xlfn.LET(_xlpm.result,AJ$5*PRODUCT(1-AH$5:AH41),ROUND(_xlpm.result,4-INT(LN(_xlpm.result)/LN(10))))</f>
        <v>100000</v>
      </c>
      <c r="AK42" s="58">
        <f t="shared" si="6"/>
        <v>4508</v>
      </c>
    </row>
    <row r="43" spans="1:37" x14ac:dyDescent="0.25">
      <c r="A43" s="55">
        <v>38</v>
      </c>
      <c r="C43" s="65">
        <v>15.53421</v>
      </c>
      <c r="D43" s="65">
        <v>0.36407</v>
      </c>
      <c r="E43" s="58" t="b">
        <f t="shared" si="8"/>
        <v>1</v>
      </c>
      <c r="F43" s="71">
        <f t="shared" si="9"/>
        <v>0.99009000000000003</v>
      </c>
      <c r="G43" s="71">
        <f>_xlfn.LET(_xlpm.result,100000 * PRODUCT(F$5:F42),ROUND(_xlpm.result,4-INT(LN(_xlpm.result)/LN(10))))</f>
        <v>54091</v>
      </c>
      <c r="I43" s="65">
        <v>4.62</v>
      </c>
      <c r="J43" s="73">
        <v>87482</v>
      </c>
      <c r="K43" s="58" cm="1">
        <f t="array" ref="K43">_xlfn.LET(_xlpm.result,K$5*PRODUCT(1-I$5:I42/1000),ROUND(_xlpm.result,4-INT(LN(_xlpm.result)/LN(10))))</f>
        <v>87484</v>
      </c>
      <c r="L43" s="58">
        <f t="shared" si="2"/>
        <v>2</v>
      </c>
      <c r="N43" s="65"/>
      <c r="O43" s="77">
        <v>890309</v>
      </c>
      <c r="S43" s="72">
        <v>3.0799999999999998E-3</v>
      </c>
      <c r="T43" s="73">
        <v>92166</v>
      </c>
      <c r="U43" s="58" cm="1">
        <f t="array" ref="U43">_xlfn.LET(_xlpm.result,U$5*PRODUCT(1-S$5:S42),ROUND(_xlpm.result,4-INT(LN(_xlpm.result)/LN(10))))</f>
        <v>92164</v>
      </c>
      <c r="V43" s="58">
        <f t="shared" si="7"/>
        <v>-2</v>
      </c>
      <c r="X43" s="72">
        <v>1.92E-3</v>
      </c>
      <c r="Y43" s="73">
        <v>94942</v>
      </c>
      <c r="Z43" s="58" cm="1">
        <f t="array" ref="Z43">_xlfn.LET(_xlpm.result,Z$5*PRODUCT(1-X$5:X42),ROUND(_xlpm.result,4-INT(LN(_xlpm.result)/LN(10))))</f>
        <v>94942</v>
      </c>
      <c r="AA43" s="58">
        <f t="shared" si="4"/>
        <v>0</v>
      </c>
      <c r="AC43" s="72">
        <v>2.66E-3</v>
      </c>
      <c r="AD43" s="73">
        <v>93843</v>
      </c>
      <c r="AE43" s="58" cm="1">
        <f t="array" ref="AE43">_xlfn.LET(_xlpm.result,AE$5*PRODUCT(1-AC$5:AC42),ROUND(_xlpm.result,4-INT(LN(_xlpm.result)/LN(10))))</f>
        <v>93841</v>
      </c>
      <c r="AF43" s="58">
        <f t="shared" si="5"/>
        <v>-2</v>
      </c>
      <c r="AH43" s="72"/>
      <c r="AI43" s="73">
        <v>95317</v>
      </c>
      <c r="AJ43" s="58" cm="1">
        <f t="array" ref="AJ43">_xlfn.LET(_xlpm.result,AJ$5*PRODUCT(1-AH$5:AH42),ROUND(_xlpm.result,4-INT(LN(_xlpm.result)/LN(10))))</f>
        <v>100000</v>
      </c>
      <c r="AK43" s="58">
        <f t="shared" si="6"/>
        <v>4683</v>
      </c>
    </row>
    <row r="44" spans="1:37" x14ac:dyDescent="0.25">
      <c r="A44" s="55">
        <v>39</v>
      </c>
      <c r="C44" s="65">
        <v>15.317220000000001</v>
      </c>
      <c r="D44" s="65">
        <v>0.37241000000000002</v>
      </c>
      <c r="E44" s="58" t="b">
        <f t="shared" si="8"/>
        <v>1</v>
      </c>
      <c r="F44" s="71">
        <f t="shared" si="9"/>
        <v>0.98987000000000003</v>
      </c>
      <c r="G44" s="71">
        <f>_xlfn.LET(_xlpm.result,100000 * PRODUCT(F$5:F43),ROUND(_xlpm.result,4-INT(LN(_xlpm.result)/LN(10))))</f>
        <v>53555</v>
      </c>
      <c r="I44" s="65">
        <v>4.91</v>
      </c>
      <c r="J44" s="73">
        <v>87078</v>
      </c>
      <c r="K44" s="58" cm="1">
        <f t="array" ref="K44">_xlfn.LET(_xlpm.result,K$5*PRODUCT(1-I$5:I43/1000),ROUND(_xlpm.result,4-INT(LN(_xlpm.result)/LN(10))))</f>
        <v>87080</v>
      </c>
      <c r="L44" s="58">
        <f t="shared" si="2"/>
        <v>2</v>
      </c>
      <c r="N44" s="65"/>
      <c r="O44" s="77">
        <v>886775</v>
      </c>
      <c r="S44" s="72">
        <v>3.3800000000000002E-3</v>
      </c>
      <c r="T44" s="73">
        <v>91883</v>
      </c>
      <c r="U44" s="58" cm="1">
        <f t="array" ref="U44">_xlfn.LET(_xlpm.result,U$5*PRODUCT(1-S$5:S43),ROUND(_xlpm.result,4-INT(LN(_xlpm.result)/LN(10))))</f>
        <v>91880</v>
      </c>
      <c r="V44" s="58">
        <f t="shared" si="7"/>
        <v>-3</v>
      </c>
      <c r="X44" s="72">
        <v>2.0999999999999999E-3</v>
      </c>
      <c r="Y44" s="73">
        <v>94759</v>
      </c>
      <c r="Z44" s="58" cm="1">
        <f t="array" ref="Z44">_xlfn.LET(_xlpm.result,Z$5*PRODUCT(1-X$5:X43),ROUND(_xlpm.result,4-INT(LN(_xlpm.result)/LN(10))))</f>
        <v>94760</v>
      </c>
      <c r="AA44" s="58">
        <f t="shared" si="4"/>
        <v>1</v>
      </c>
      <c r="AC44" s="72">
        <v>2.8999999999999998E-3</v>
      </c>
      <c r="AD44" s="73">
        <v>93593</v>
      </c>
      <c r="AE44" s="58" cm="1">
        <f t="array" ref="AE44">_xlfn.LET(_xlpm.result,AE$5*PRODUCT(1-AC$5:AC43),ROUND(_xlpm.result,4-INT(LN(_xlpm.result)/LN(10))))</f>
        <v>93592</v>
      </c>
      <c r="AF44" s="58">
        <f t="shared" si="5"/>
        <v>-1</v>
      </c>
      <c r="AH44" s="72"/>
      <c r="AI44" s="73">
        <v>95129</v>
      </c>
      <c r="AJ44" s="58" cm="1">
        <f t="array" ref="AJ44">_xlfn.LET(_xlpm.result,AJ$5*PRODUCT(1-AH$5:AH43),ROUND(_xlpm.result,4-INT(LN(_xlpm.result)/LN(10))))</f>
        <v>100000</v>
      </c>
      <c r="AK44" s="58">
        <f t="shared" si="6"/>
        <v>4871</v>
      </c>
    </row>
    <row r="45" spans="1:37" x14ac:dyDescent="0.25">
      <c r="A45" s="55">
        <v>40</v>
      </c>
      <c r="C45" s="65">
        <v>15.09295</v>
      </c>
      <c r="D45" s="65">
        <v>0.38103999999999999</v>
      </c>
      <c r="E45" s="58" t="b">
        <f t="shared" si="8"/>
        <v>1</v>
      </c>
      <c r="F45" s="71">
        <f t="shared" si="9"/>
        <v>0.98963999999999996</v>
      </c>
      <c r="G45" s="71">
        <f>_xlfn.LET(_xlpm.result,100000 * PRODUCT(F$5:F44),ROUND(_xlpm.result,4-INT(LN(_xlpm.result)/LN(10))))</f>
        <v>53012</v>
      </c>
      <c r="I45" s="65">
        <v>5.24</v>
      </c>
      <c r="J45" s="73">
        <v>86650</v>
      </c>
      <c r="K45" s="58" cm="1">
        <f t="array" ref="K45">_xlfn.LET(_xlpm.result,K$5*PRODUCT(1-I$5:I44/1000),ROUND(_xlpm.result,4-INT(LN(_xlpm.result)/LN(10))))</f>
        <v>86652</v>
      </c>
      <c r="L45" s="58">
        <f t="shared" si="2"/>
        <v>2</v>
      </c>
      <c r="N45" s="65"/>
      <c r="O45" s="77">
        <v>883017</v>
      </c>
      <c r="S45" s="72">
        <v>3.7299999999999998E-3</v>
      </c>
      <c r="T45" s="73">
        <v>91572</v>
      </c>
      <c r="U45" s="58" cm="1">
        <f t="array" ref="U45">_xlfn.LET(_xlpm.result,U$5*PRODUCT(1-S$5:S44),ROUND(_xlpm.result,4-INT(LN(_xlpm.result)/LN(10))))</f>
        <v>91570</v>
      </c>
      <c r="V45" s="58">
        <f t="shared" si="7"/>
        <v>-2</v>
      </c>
      <c r="X45" s="72">
        <v>2.3E-3</v>
      </c>
      <c r="Y45" s="73">
        <v>94560</v>
      </c>
      <c r="Z45" s="58" cm="1">
        <f t="array" ref="Z45">_xlfn.LET(_xlpm.result,Z$5*PRODUCT(1-X$5:X44),ROUND(_xlpm.result,4-INT(LN(_xlpm.result)/LN(10))))</f>
        <v>94561</v>
      </c>
      <c r="AA45" s="58">
        <f t="shared" si="4"/>
        <v>1</v>
      </c>
      <c r="AC45" s="72">
        <v>3.14E-3</v>
      </c>
      <c r="AD45" s="73">
        <v>93322</v>
      </c>
      <c r="AE45" s="58" cm="1">
        <f t="array" ref="AE45">_xlfn.LET(_xlpm.result,AE$5*PRODUCT(1-AC$5:AC44),ROUND(_xlpm.result,4-INT(LN(_xlpm.result)/LN(10))))</f>
        <v>93320</v>
      </c>
      <c r="AF45" s="58">
        <f t="shared" si="5"/>
        <v>-2</v>
      </c>
      <c r="AH45" s="72"/>
      <c r="AI45" s="73">
        <v>94926</v>
      </c>
      <c r="AJ45" s="58" cm="1">
        <f t="array" ref="AJ45">_xlfn.LET(_xlpm.result,AJ$5*PRODUCT(1-AH$5:AH44),ROUND(_xlpm.result,4-INT(LN(_xlpm.result)/LN(10))))</f>
        <v>100000</v>
      </c>
      <c r="AK45" s="58">
        <f t="shared" si="6"/>
        <v>5074</v>
      </c>
    </row>
    <row r="46" spans="1:37" x14ac:dyDescent="0.25">
      <c r="A46" s="55">
        <v>41</v>
      </c>
      <c r="C46" s="65">
        <v>14.86102</v>
      </c>
      <c r="D46" s="65">
        <v>0.38995999999999997</v>
      </c>
      <c r="E46" s="58" t="b">
        <f t="shared" si="8"/>
        <v>1</v>
      </c>
      <c r="F46" s="71">
        <f t="shared" si="9"/>
        <v>0.98938999999999999</v>
      </c>
      <c r="G46" s="71">
        <f>_xlfn.LET(_xlpm.result,100000 * PRODUCT(F$5:F45),ROUND(_xlpm.result,4-INT(LN(_xlpm.result)/LN(10))))</f>
        <v>52463</v>
      </c>
      <c r="I46" s="65">
        <v>5.59</v>
      </c>
      <c r="J46" s="73">
        <v>86196</v>
      </c>
      <c r="K46" s="58" cm="1">
        <f t="array" ref="K46">_xlfn.LET(_xlpm.result,K$5*PRODUCT(1-I$5:I45/1000),ROUND(_xlpm.result,4-INT(LN(_xlpm.result)/LN(10))))</f>
        <v>86198</v>
      </c>
      <c r="L46" s="58">
        <f t="shared" si="2"/>
        <v>2</v>
      </c>
      <c r="N46" s="65"/>
      <c r="O46" s="77">
        <v>879015</v>
      </c>
      <c r="S46" s="72">
        <v>4.1200000000000004E-3</v>
      </c>
      <c r="T46" s="73">
        <v>91230</v>
      </c>
      <c r="U46" s="58" cm="1">
        <f t="array" ref="U46">_xlfn.LET(_xlpm.result,U$5*PRODUCT(1-S$5:S45),ROUND(_xlpm.result,4-INT(LN(_xlpm.result)/LN(10))))</f>
        <v>91228</v>
      </c>
      <c r="V46" s="58">
        <f t="shared" si="7"/>
        <v>-2</v>
      </c>
      <c r="X46" s="72">
        <v>2.5100000000000001E-3</v>
      </c>
      <c r="Y46" s="73">
        <v>94343</v>
      </c>
      <c r="Z46" s="58" cm="1">
        <f t="array" ref="Z46">_xlfn.LET(_xlpm.result,Z$5*PRODUCT(1-X$5:X45),ROUND(_xlpm.result,4-INT(LN(_xlpm.result)/LN(10))))</f>
        <v>94343</v>
      </c>
      <c r="AA46" s="58">
        <f t="shared" si="4"/>
        <v>0</v>
      </c>
      <c r="AC46" s="72">
        <v>3.4099999999999998E-3</v>
      </c>
      <c r="AD46" s="73">
        <v>93028</v>
      </c>
      <c r="AE46" s="58" cm="1">
        <f t="array" ref="AE46">_xlfn.LET(_xlpm.result,AE$5*PRODUCT(1-AC$5:AC45),ROUND(_xlpm.result,4-INT(LN(_xlpm.result)/LN(10))))</f>
        <v>93027</v>
      </c>
      <c r="AF46" s="58">
        <f t="shared" si="5"/>
        <v>-1</v>
      </c>
      <c r="AH46" s="72"/>
      <c r="AI46" s="73">
        <v>94706</v>
      </c>
      <c r="AJ46" s="58" cm="1">
        <f t="array" ref="AJ46">_xlfn.LET(_xlpm.result,AJ$5*PRODUCT(1-AH$5:AH45),ROUND(_xlpm.result,4-INT(LN(_xlpm.result)/LN(10))))</f>
        <v>100000</v>
      </c>
      <c r="AK46" s="58">
        <f t="shared" si="6"/>
        <v>5294</v>
      </c>
    </row>
    <row r="47" spans="1:37" x14ac:dyDescent="0.25">
      <c r="A47" s="55">
        <v>42</v>
      </c>
      <c r="C47" s="65">
        <v>14.621219999999999</v>
      </c>
      <c r="D47" s="65">
        <v>0.39917999999999998</v>
      </c>
      <c r="E47" s="58" t="b">
        <f t="shared" si="8"/>
        <v>1</v>
      </c>
      <c r="F47" s="71">
        <f t="shared" si="9"/>
        <v>0.98911000000000004</v>
      </c>
      <c r="G47" s="71">
        <f>_xlfn.LET(_xlpm.result,100000 * PRODUCT(F$5:F46),ROUND(_xlpm.result,4-INT(LN(_xlpm.result)/LN(10))))</f>
        <v>51907</v>
      </c>
      <c r="I47" s="65">
        <v>5.99</v>
      </c>
      <c r="J47" s="73">
        <v>85714</v>
      </c>
      <c r="K47" s="58" cm="1">
        <f t="array" ref="K47">_xlfn.LET(_xlpm.result,K$5*PRODUCT(1-I$5:I46/1000),ROUND(_xlpm.result,4-INT(LN(_xlpm.result)/LN(10))))</f>
        <v>85716</v>
      </c>
      <c r="L47" s="58">
        <f t="shared" si="2"/>
        <v>2</v>
      </c>
      <c r="N47" s="65"/>
      <c r="O47" s="77">
        <v>874751</v>
      </c>
      <c r="S47" s="72">
        <v>4.5500000000000002E-3</v>
      </c>
      <c r="T47" s="73">
        <v>90854</v>
      </c>
      <c r="U47" s="58" cm="1">
        <f t="array" ref="U47">_xlfn.LET(_xlpm.result,U$5*PRODUCT(1-S$5:S46),ROUND(_xlpm.result,4-INT(LN(_xlpm.result)/LN(10))))</f>
        <v>90852</v>
      </c>
      <c r="V47" s="58">
        <f t="shared" si="7"/>
        <v>-2</v>
      </c>
      <c r="X47" s="72">
        <v>2.7399999999999998E-3</v>
      </c>
      <c r="Y47" s="73">
        <v>94106</v>
      </c>
      <c r="Z47" s="58" cm="1">
        <f t="array" ref="Z47">_xlfn.LET(_xlpm.result,Z$5*PRODUCT(1-X$5:X46),ROUND(_xlpm.result,4-INT(LN(_xlpm.result)/LN(10))))</f>
        <v>94107</v>
      </c>
      <c r="AA47" s="58">
        <f t="shared" si="4"/>
        <v>1</v>
      </c>
      <c r="AC47" s="72">
        <v>3.7000000000000002E-3</v>
      </c>
      <c r="AD47" s="73">
        <v>92712</v>
      </c>
      <c r="AE47" s="58" cm="1">
        <f t="array" ref="AE47">_xlfn.LET(_xlpm.result,AE$5*PRODUCT(1-AC$5:AC46),ROUND(_xlpm.result,4-INT(LN(_xlpm.result)/LN(10))))</f>
        <v>92710</v>
      </c>
      <c r="AF47" s="58">
        <f t="shared" si="5"/>
        <v>-2</v>
      </c>
      <c r="AH47" s="72"/>
      <c r="AI47" s="73">
        <v>94465</v>
      </c>
      <c r="AJ47" s="58" cm="1">
        <f t="array" ref="AJ47">_xlfn.LET(_xlpm.result,AJ$5*PRODUCT(1-AH$5:AH46),ROUND(_xlpm.result,4-INT(LN(_xlpm.result)/LN(10))))</f>
        <v>100000</v>
      </c>
      <c r="AK47" s="58">
        <f t="shared" si="6"/>
        <v>5535</v>
      </c>
    </row>
    <row r="48" spans="1:37" x14ac:dyDescent="0.25">
      <c r="A48" s="55">
        <v>43</v>
      </c>
      <c r="C48" s="65">
        <v>14.373559999999999</v>
      </c>
      <c r="D48" s="65">
        <v>0.40871000000000002</v>
      </c>
      <c r="E48" s="58" t="b">
        <f t="shared" si="8"/>
        <v>1</v>
      </c>
      <c r="F48" s="71">
        <f t="shared" si="9"/>
        <v>0.98875000000000002</v>
      </c>
      <c r="G48" s="71">
        <f>_xlfn.LET(_xlpm.result,100000 * PRODUCT(F$5:F47),ROUND(_xlpm.result,4-INT(LN(_xlpm.result)/LN(10))))</f>
        <v>51341</v>
      </c>
      <c r="I48" s="65">
        <v>6.43</v>
      </c>
      <c r="J48" s="73">
        <v>85201</v>
      </c>
      <c r="K48" s="58" cm="1">
        <f t="array" ref="K48">_xlfn.LET(_xlpm.result,K$5*PRODUCT(1-I$5:I47/1000),ROUND(_xlpm.result,4-INT(LN(_xlpm.result)/LN(10))))</f>
        <v>85203</v>
      </c>
      <c r="L48" s="58">
        <f t="shared" si="2"/>
        <v>2</v>
      </c>
      <c r="N48" s="65"/>
      <c r="O48" s="77">
        <v>870200</v>
      </c>
      <c r="S48" s="72">
        <v>5.0099999999999997E-3</v>
      </c>
      <c r="T48" s="73">
        <v>90441</v>
      </c>
      <c r="U48" s="58" cm="1">
        <f t="array" ref="U48">_xlfn.LET(_xlpm.result,U$5*PRODUCT(1-S$5:S47),ROUND(_xlpm.result,4-INT(LN(_xlpm.result)/LN(10))))</f>
        <v>90439</v>
      </c>
      <c r="V48" s="58">
        <f t="shared" si="7"/>
        <v>-2</v>
      </c>
      <c r="X48" s="72">
        <v>2.98E-3</v>
      </c>
      <c r="Y48" s="73">
        <v>93848</v>
      </c>
      <c r="Z48" s="58" cm="1">
        <f t="array" ref="Z48">_xlfn.LET(_xlpm.result,Z$5*PRODUCT(1-X$5:X47),ROUND(_xlpm.result,4-INT(LN(_xlpm.result)/LN(10))))</f>
        <v>93849</v>
      </c>
      <c r="AA48" s="58">
        <f t="shared" si="4"/>
        <v>1</v>
      </c>
      <c r="AC48" s="72">
        <v>4.0400000000000002E-3</v>
      </c>
      <c r="AD48" s="73">
        <v>92368</v>
      </c>
      <c r="AE48" s="58" cm="1">
        <f t="array" ref="AE48">_xlfn.LET(_xlpm.result,AE$5*PRODUCT(1-AC$5:AC47),ROUND(_xlpm.result,4-INT(LN(_xlpm.result)/LN(10))))</f>
        <v>92367</v>
      </c>
      <c r="AF48" s="58">
        <f t="shared" si="5"/>
        <v>-1</v>
      </c>
      <c r="AH48" s="72"/>
      <c r="AI48" s="73">
        <v>94201</v>
      </c>
      <c r="AJ48" s="58" cm="1">
        <f t="array" ref="AJ48">_xlfn.LET(_xlpm.result,AJ$5*PRODUCT(1-AH$5:AH47),ROUND(_xlpm.result,4-INT(LN(_xlpm.result)/LN(10))))</f>
        <v>100000</v>
      </c>
      <c r="AK48" s="58">
        <f t="shared" si="6"/>
        <v>5799</v>
      </c>
    </row>
    <row r="49" spans="1:37" x14ac:dyDescent="0.25">
      <c r="A49" s="55">
        <v>44</v>
      </c>
      <c r="C49" s="65">
        <v>14.118600000000001</v>
      </c>
      <c r="D49" s="65">
        <v>0.41852</v>
      </c>
      <c r="E49" s="58" t="b">
        <f t="shared" si="8"/>
        <v>1</v>
      </c>
      <c r="F49" s="71">
        <f t="shared" si="9"/>
        <v>0.98829999999999996</v>
      </c>
      <c r="G49" s="71">
        <f>_xlfn.LET(_xlpm.result,100000 * PRODUCT(F$5:F48),ROUND(_xlpm.result,4-INT(LN(_xlpm.result)/LN(10))))</f>
        <v>50764</v>
      </c>
      <c r="I49" s="65">
        <v>6.91</v>
      </c>
      <c r="J49" s="73">
        <v>84653</v>
      </c>
      <c r="K49" s="58" cm="1">
        <f t="array" ref="K49">_xlfn.LET(_xlpm.result,K$5*PRODUCT(1-I$5:I48/1000),ROUND(_xlpm.result,4-INT(LN(_xlpm.result)/LN(10))))</f>
        <v>84655</v>
      </c>
      <c r="L49" s="58">
        <f t="shared" si="2"/>
        <v>2</v>
      </c>
      <c r="N49" s="65"/>
      <c r="O49" s="77">
        <v>865341</v>
      </c>
      <c r="S49" s="72">
        <v>5.5100000000000001E-3</v>
      </c>
      <c r="T49" s="73">
        <v>89988</v>
      </c>
      <c r="U49" s="58" cm="1">
        <f t="array" ref="U49">_xlfn.LET(_xlpm.result,U$5*PRODUCT(1-S$5:S48),ROUND(_xlpm.result,4-INT(LN(_xlpm.result)/LN(10))))</f>
        <v>89986</v>
      </c>
      <c r="V49" s="58">
        <f t="shared" si="7"/>
        <v>-2</v>
      </c>
      <c r="X49" s="72">
        <v>3.2399999999999998E-3</v>
      </c>
      <c r="Y49" s="73">
        <v>93568</v>
      </c>
      <c r="Z49" s="58" cm="1">
        <f t="array" ref="Z49">_xlfn.LET(_xlpm.result,Z$5*PRODUCT(1-X$5:X48),ROUND(_xlpm.result,4-INT(LN(_xlpm.result)/LN(10))))</f>
        <v>93569</v>
      </c>
      <c r="AA49" s="58">
        <f t="shared" si="4"/>
        <v>1</v>
      </c>
      <c r="AC49" s="72">
        <v>4.4299999999999999E-3</v>
      </c>
      <c r="AD49" s="73">
        <v>91995</v>
      </c>
      <c r="AE49" s="58" cm="1">
        <f t="array" ref="AE49">_xlfn.LET(_xlpm.result,AE$5*PRODUCT(1-AC$5:AC48),ROUND(_xlpm.result,4-INT(LN(_xlpm.result)/LN(10))))</f>
        <v>91994</v>
      </c>
      <c r="AF49" s="58">
        <f t="shared" si="5"/>
        <v>-1</v>
      </c>
      <c r="AH49" s="72"/>
      <c r="AI49" s="73">
        <v>93913</v>
      </c>
      <c r="AJ49" s="58" cm="1">
        <f t="array" ref="AJ49">_xlfn.LET(_xlpm.result,AJ$5*PRODUCT(1-AH$5:AH48),ROUND(_xlpm.result,4-INT(LN(_xlpm.result)/LN(10))))</f>
        <v>100000</v>
      </c>
      <c r="AK49" s="58">
        <f t="shared" si="6"/>
        <v>6087</v>
      </c>
    </row>
    <row r="50" spans="1:37" x14ac:dyDescent="0.25">
      <c r="A50" s="55">
        <v>45</v>
      </c>
      <c r="C50" s="65">
        <v>13.85713</v>
      </c>
      <c r="D50" s="65">
        <v>0.42857000000000001</v>
      </c>
      <c r="E50" s="58" t="b">
        <f t="shared" si="8"/>
        <v>1</v>
      </c>
      <c r="F50" s="71">
        <f t="shared" si="9"/>
        <v>0.98778999999999995</v>
      </c>
      <c r="G50" s="71">
        <f>_xlfn.LET(_xlpm.result,100000 * PRODUCT(F$5:F49),ROUND(_xlpm.result,4-INT(LN(_xlpm.result)/LN(10))))</f>
        <v>50170</v>
      </c>
      <c r="I50" s="65">
        <v>7.44</v>
      </c>
      <c r="J50" s="73">
        <v>84069</v>
      </c>
      <c r="K50" s="58" cm="1">
        <f t="array" ref="K50">_xlfn.LET(_xlpm.result,K$5*PRODUCT(1-I$5:I49/1000),ROUND(_xlpm.result,4-INT(LN(_xlpm.result)/LN(10))))</f>
        <v>84070</v>
      </c>
      <c r="L50" s="58">
        <f t="shared" si="2"/>
        <v>1</v>
      </c>
      <c r="N50" s="65"/>
      <c r="O50" s="77">
        <v>860148</v>
      </c>
      <c r="S50" s="72">
        <v>6.0499999999999998E-3</v>
      </c>
      <c r="T50" s="73">
        <v>89492</v>
      </c>
      <c r="U50" s="58" cm="1">
        <f t="array" ref="U50">_xlfn.LET(_xlpm.result,U$5*PRODUCT(1-S$5:S49),ROUND(_xlpm.result,4-INT(LN(_xlpm.result)/LN(10))))</f>
        <v>89490</v>
      </c>
      <c r="V50" s="58">
        <f t="shared" si="7"/>
        <v>-2</v>
      </c>
      <c r="X50" s="72">
        <v>3.5100000000000001E-3</v>
      </c>
      <c r="Y50" s="73">
        <v>93265</v>
      </c>
      <c r="Z50" s="58" cm="1">
        <f t="array" ref="Z50">_xlfn.LET(_xlpm.result,Z$5*PRODUCT(1-X$5:X49),ROUND(_xlpm.result,4-INT(LN(_xlpm.result)/LN(10))))</f>
        <v>93266</v>
      </c>
      <c r="AA50" s="58">
        <f t="shared" si="4"/>
        <v>1</v>
      </c>
      <c r="AC50" s="72">
        <v>4.8399999999999997E-3</v>
      </c>
      <c r="AD50" s="73">
        <v>91587</v>
      </c>
      <c r="AE50" s="58" cm="1">
        <f t="array" ref="AE50">_xlfn.LET(_xlpm.result,AE$5*PRODUCT(1-AC$5:AC49),ROUND(_xlpm.result,4-INT(LN(_xlpm.result)/LN(10))))</f>
        <v>91586</v>
      </c>
      <c r="AF50" s="58">
        <f t="shared" si="5"/>
        <v>-1</v>
      </c>
      <c r="AH50" s="72"/>
      <c r="AI50" s="73">
        <v>93599</v>
      </c>
      <c r="AJ50" s="58" cm="1">
        <f t="array" ref="AJ50">_xlfn.LET(_xlpm.result,AJ$5*PRODUCT(1-AH$5:AH49),ROUND(_xlpm.result,4-INT(LN(_xlpm.result)/LN(10))))</f>
        <v>100000</v>
      </c>
      <c r="AK50" s="58">
        <f t="shared" si="6"/>
        <v>6401</v>
      </c>
    </row>
    <row r="51" spans="1:37" x14ac:dyDescent="0.25">
      <c r="A51" s="55">
        <v>46</v>
      </c>
      <c r="C51" s="65">
        <v>13.58958</v>
      </c>
      <c r="D51" s="65">
        <v>0.43885999999999997</v>
      </c>
      <c r="E51" s="58" t="b">
        <f t="shared" si="8"/>
        <v>1</v>
      </c>
      <c r="F51" s="71">
        <f t="shared" si="9"/>
        <v>0.98716000000000004</v>
      </c>
      <c r="G51" s="71">
        <f>_xlfn.LET(_xlpm.result,100000 * PRODUCT(F$5:F50),ROUND(_xlpm.result,4-INT(LN(_xlpm.result)/LN(10))))</f>
        <v>49557</v>
      </c>
      <c r="I51" s="65">
        <v>8.01</v>
      </c>
      <c r="J51" s="73">
        <v>83443</v>
      </c>
      <c r="K51" s="58" cm="1">
        <f t="array" ref="K51">_xlfn.LET(_xlpm.result,K$5*PRODUCT(1-I$5:I50/1000),ROUND(_xlpm.result,4-INT(LN(_xlpm.result)/LN(10))))</f>
        <v>83444</v>
      </c>
      <c r="L51" s="58">
        <f t="shared" si="2"/>
        <v>1</v>
      </c>
      <c r="N51" s="65"/>
      <c r="O51" s="77">
        <v>854594</v>
      </c>
      <c r="S51" s="72">
        <v>6.6499999999999997E-3</v>
      </c>
      <c r="T51" s="73">
        <v>88950</v>
      </c>
      <c r="U51" s="58" cm="1">
        <f t="array" ref="U51">_xlfn.LET(_xlpm.result,U$5*PRODUCT(1-S$5:S50),ROUND(_xlpm.result,4-INT(LN(_xlpm.result)/LN(10))))</f>
        <v>88949</v>
      </c>
      <c r="V51" s="58">
        <f t="shared" si="7"/>
        <v>-1</v>
      </c>
      <c r="X51" s="72">
        <v>3.81E-3</v>
      </c>
      <c r="Y51" s="73">
        <v>92938</v>
      </c>
      <c r="Z51" s="58" cm="1">
        <f t="array" ref="Z51">_xlfn.LET(_xlpm.result,Z$5*PRODUCT(1-X$5:X50),ROUND(_xlpm.result,4-INT(LN(_xlpm.result)/LN(10))))</f>
        <v>92938</v>
      </c>
      <c r="AA51" s="58">
        <f t="shared" si="4"/>
        <v>0</v>
      </c>
      <c r="AC51" s="72">
        <v>5.28E-3</v>
      </c>
      <c r="AD51" s="73">
        <v>91144</v>
      </c>
      <c r="AE51" s="58" cm="1">
        <f t="array" ref="AE51">_xlfn.LET(_xlpm.result,AE$5*PRODUCT(1-AC$5:AC50),ROUND(_xlpm.result,4-INT(LN(_xlpm.result)/LN(10))))</f>
        <v>91143</v>
      </c>
      <c r="AF51" s="58">
        <f t="shared" si="5"/>
        <v>-1</v>
      </c>
      <c r="AH51" s="72"/>
      <c r="AI51" s="73">
        <v>93256</v>
      </c>
      <c r="AJ51" s="58" cm="1">
        <f t="array" ref="AJ51">_xlfn.LET(_xlpm.result,AJ$5*PRODUCT(1-AH$5:AH50),ROUND(_xlpm.result,4-INT(LN(_xlpm.result)/LN(10))))</f>
        <v>100000</v>
      </c>
      <c r="AK51" s="58">
        <f t="shared" si="6"/>
        <v>6744</v>
      </c>
    </row>
    <row r="52" spans="1:37" x14ac:dyDescent="0.25">
      <c r="A52" s="55">
        <v>47</v>
      </c>
      <c r="C52" s="65">
        <v>13.316979999999999</v>
      </c>
      <c r="D52" s="65">
        <v>0.44935000000000003</v>
      </c>
      <c r="E52" s="58" t="b">
        <f t="shared" si="8"/>
        <v>1</v>
      </c>
      <c r="F52" s="71">
        <f t="shared" si="9"/>
        <v>0.98648000000000002</v>
      </c>
      <c r="G52" s="71">
        <f>_xlfn.LET(_xlpm.result,100000 * PRODUCT(F$5:F51),ROUND(_xlpm.result,4-INT(LN(_xlpm.result)/LN(10))))</f>
        <v>48921</v>
      </c>
      <c r="I52" s="65">
        <v>8.6199999999999992</v>
      </c>
      <c r="J52" s="73">
        <v>82775</v>
      </c>
      <c r="K52" s="58" cm="1">
        <f t="array" ref="K52">_xlfn.LET(_xlpm.result,K$5*PRODUCT(1-I$5:I51/1000),ROUND(_xlpm.result,4-INT(LN(_xlpm.result)/LN(10))))</f>
        <v>82776</v>
      </c>
      <c r="L52" s="58">
        <f t="shared" si="2"/>
        <v>1</v>
      </c>
      <c r="N52" s="65"/>
      <c r="O52" s="77">
        <v>848651</v>
      </c>
      <c r="S52" s="72">
        <v>7.3499999999999998E-3</v>
      </c>
      <c r="T52" s="73">
        <v>88359</v>
      </c>
      <c r="U52" s="58" cm="1">
        <f t="array" ref="U52">_xlfn.LET(_xlpm.result,U$5*PRODUCT(1-S$5:S51),ROUND(_xlpm.result,4-INT(LN(_xlpm.result)/LN(10))))</f>
        <v>88357</v>
      </c>
      <c r="V52" s="58">
        <f t="shared" si="7"/>
        <v>-2</v>
      </c>
      <c r="X52" s="72">
        <v>4.15E-3</v>
      </c>
      <c r="Y52" s="73">
        <v>92583</v>
      </c>
      <c r="Z52" s="58" cm="1">
        <f t="array" ref="Z52">_xlfn.LET(_xlpm.result,Z$5*PRODUCT(1-X$5:X51),ROUND(_xlpm.result,4-INT(LN(_xlpm.result)/LN(10))))</f>
        <v>92584</v>
      </c>
      <c r="AA52" s="58">
        <f t="shared" si="4"/>
        <v>1</v>
      </c>
      <c r="AC52" s="72">
        <v>5.7400000000000003E-3</v>
      </c>
      <c r="AD52" s="73">
        <v>90662</v>
      </c>
      <c r="AE52" s="58" cm="1">
        <f t="array" ref="AE52">_xlfn.LET(_xlpm.result,AE$5*PRODUCT(1-AC$5:AC51),ROUND(_xlpm.result,4-INT(LN(_xlpm.result)/LN(10))))</f>
        <v>90662</v>
      </c>
      <c r="AF52" s="58">
        <f t="shared" si="5"/>
        <v>0</v>
      </c>
      <c r="AH52" s="72"/>
      <c r="AI52" s="73">
        <v>92882</v>
      </c>
      <c r="AJ52" s="58" cm="1">
        <f t="array" ref="AJ52">_xlfn.LET(_xlpm.result,AJ$5*PRODUCT(1-AH$5:AH51),ROUND(_xlpm.result,4-INT(LN(_xlpm.result)/LN(10))))</f>
        <v>100000</v>
      </c>
      <c r="AK52" s="58">
        <f t="shared" si="6"/>
        <v>7118</v>
      </c>
    </row>
    <row r="53" spans="1:37" x14ac:dyDescent="0.25">
      <c r="A53" s="55">
        <v>48</v>
      </c>
      <c r="C53" s="65">
        <v>13.03942</v>
      </c>
      <c r="D53" s="65">
        <v>0.46001999999999998</v>
      </c>
      <c r="E53" s="58" t="b">
        <f t="shared" si="8"/>
        <v>1</v>
      </c>
      <c r="F53" s="71">
        <f t="shared" si="9"/>
        <v>0.98573999999999995</v>
      </c>
      <c r="G53" s="71">
        <f>_xlfn.LET(_xlpm.result,100000 * PRODUCT(F$5:F52),ROUND(_xlpm.result,4-INT(LN(_xlpm.result)/LN(10))))</f>
        <v>48259</v>
      </c>
      <c r="I53" s="65">
        <v>9.2799999999999994</v>
      </c>
      <c r="J53" s="73">
        <v>82061</v>
      </c>
      <c r="K53" s="58" cm="1">
        <f t="array" ref="K53">_xlfn.LET(_xlpm.result,K$5*PRODUCT(1-I$5:I52/1000),ROUND(_xlpm.result,4-INT(LN(_xlpm.result)/LN(10))))</f>
        <v>82063</v>
      </c>
      <c r="L53" s="58">
        <f t="shared" si="2"/>
        <v>2</v>
      </c>
      <c r="N53" s="65"/>
      <c r="O53" s="77">
        <v>842288</v>
      </c>
      <c r="S53" s="72">
        <v>8.1799999999999998E-3</v>
      </c>
      <c r="T53" s="73">
        <v>87709</v>
      </c>
      <c r="U53" s="58" cm="1">
        <f t="array" ref="U53">_xlfn.LET(_xlpm.result,U$5*PRODUCT(1-S$5:S52),ROUND(_xlpm.result,4-INT(LN(_xlpm.result)/LN(10))))</f>
        <v>87708</v>
      </c>
      <c r="V53" s="58">
        <f t="shared" si="7"/>
        <v>-1</v>
      </c>
      <c r="X53" s="72">
        <v>4.5300000000000002E-3</v>
      </c>
      <c r="Y53" s="73">
        <v>92199</v>
      </c>
      <c r="Z53" s="58" cm="1">
        <f t="array" ref="Z53">_xlfn.LET(_xlpm.result,Z$5*PRODUCT(1-X$5:X52),ROUND(_xlpm.result,4-INT(LN(_xlpm.result)/LN(10))))</f>
        <v>92200</v>
      </c>
      <c r="AA53" s="58">
        <f t="shared" si="4"/>
        <v>1</v>
      </c>
      <c r="AC53" s="72">
        <v>6.2399999999999999E-3</v>
      </c>
      <c r="AD53" s="73">
        <v>90142</v>
      </c>
      <c r="AE53" s="58" cm="1">
        <f t="array" ref="AE53">_xlfn.LET(_xlpm.result,AE$5*PRODUCT(1-AC$5:AC52),ROUND(_xlpm.result,4-INT(LN(_xlpm.result)/LN(10))))</f>
        <v>90141</v>
      </c>
      <c r="AF53" s="58">
        <f t="shared" si="5"/>
        <v>-1</v>
      </c>
      <c r="AH53" s="72"/>
      <c r="AI53" s="73">
        <v>92472</v>
      </c>
      <c r="AJ53" s="58" cm="1">
        <f t="array" ref="AJ53">_xlfn.LET(_xlpm.result,AJ$5*PRODUCT(1-AH$5:AH52),ROUND(_xlpm.result,4-INT(LN(_xlpm.result)/LN(10))))</f>
        <v>100000</v>
      </c>
      <c r="AK53" s="58">
        <f t="shared" si="6"/>
        <v>7528</v>
      </c>
    </row>
    <row r="54" spans="1:37" x14ac:dyDescent="0.25">
      <c r="A54" s="55">
        <v>49</v>
      </c>
      <c r="C54" s="65">
        <v>12.757160000000001</v>
      </c>
      <c r="D54" s="65">
        <v>0.47088000000000002</v>
      </c>
      <c r="E54" s="58" t="b">
        <f t="shared" si="8"/>
        <v>1</v>
      </c>
      <c r="F54" s="71">
        <f t="shared" si="9"/>
        <v>0.98494000000000004</v>
      </c>
      <c r="G54" s="71">
        <f>_xlfn.LET(_xlpm.result,100000 * PRODUCT(F$5:F53),ROUND(_xlpm.result,4-INT(LN(_xlpm.result)/LN(10))))</f>
        <v>47571</v>
      </c>
      <c r="I54" s="65">
        <v>9.99</v>
      </c>
      <c r="J54" s="73">
        <v>81300</v>
      </c>
      <c r="K54" s="58" cm="1">
        <f t="array" ref="K54">_xlfn.LET(_xlpm.result,K$5*PRODUCT(1-I$5:I53/1000),ROUND(_xlpm.result,4-INT(LN(_xlpm.result)/LN(10))))</f>
        <v>81301</v>
      </c>
      <c r="L54" s="58">
        <f t="shared" si="2"/>
        <v>1</v>
      </c>
      <c r="N54" s="65"/>
      <c r="O54" s="77">
        <v>835473</v>
      </c>
      <c r="S54" s="72">
        <v>9.11E-3</v>
      </c>
      <c r="T54" s="73">
        <v>86992</v>
      </c>
      <c r="U54" s="58" cm="1">
        <f t="array" ref="U54">_xlfn.LET(_xlpm.result,U$5*PRODUCT(1-S$5:S53),ROUND(_xlpm.result,4-INT(LN(_xlpm.result)/LN(10))))</f>
        <v>86990</v>
      </c>
      <c r="V54" s="58">
        <f t="shared" si="7"/>
        <v>-2</v>
      </c>
      <c r="X54" s="72">
        <v>4.9500000000000004E-3</v>
      </c>
      <c r="Y54" s="73">
        <v>91781</v>
      </c>
      <c r="Z54" s="58" cm="1">
        <f t="array" ref="Z54">_xlfn.LET(_xlpm.result,Z$5*PRODUCT(1-X$5:X53),ROUND(_xlpm.result,4-INT(LN(_xlpm.result)/LN(10))))</f>
        <v>91782</v>
      </c>
      <c r="AA54" s="58">
        <f t="shared" si="4"/>
        <v>1</v>
      </c>
      <c r="AC54" s="72">
        <v>6.7799999999999996E-3</v>
      </c>
      <c r="AD54" s="73">
        <v>89579</v>
      </c>
      <c r="AE54" s="58" cm="1">
        <f t="array" ref="AE54">_xlfn.LET(_xlpm.result,AE$5*PRODUCT(1-AC$5:AC53),ROUND(_xlpm.result,4-INT(LN(_xlpm.result)/LN(10))))</f>
        <v>89579</v>
      </c>
      <c r="AF54" s="58">
        <f t="shared" si="5"/>
        <v>0</v>
      </c>
      <c r="AH54" s="72"/>
      <c r="AI54" s="73">
        <v>92021</v>
      </c>
      <c r="AJ54" s="58" cm="1">
        <f t="array" ref="AJ54">_xlfn.LET(_xlpm.result,AJ$5*PRODUCT(1-AH$5:AH53),ROUND(_xlpm.result,4-INT(LN(_xlpm.result)/LN(10))))</f>
        <v>100000</v>
      </c>
      <c r="AK54" s="58">
        <f t="shared" si="6"/>
        <v>7979</v>
      </c>
    </row>
    <row r="55" spans="1:37" x14ac:dyDescent="0.25">
      <c r="A55" s="55">
        <v>50</v>
      </c>
      <c r="C55" s="65">
        <v>12.470319999999999</v>
      </c>
      <c r="D55" s="65">
        <v>0.48191000000000001</v>
      </c>
      <c r="E55" s="58" t="b">
        <f t="shared" si="8"/>
        <v>1</v>
      </c>
      <c r="F55" s="71">
        <f t="shared" si="9"/>
        <v>0.98406000000000005</v>
      </c>
      <c r="G55" s="71">
        <f>_xlfn.LET(_xlpm.result,100000 * PRODUCT(F$5:F54),ROUND(_xlpm.result,4-INT(LN(_xlpm.result)/LN(10))))</f>
        <v>46855</v>
      </c>
      <c r="I55" s="65">
        <v>10.76</v>
      </c>
      <c r="J55" s="73">
        <v>80487</v>
      </c>
      <c r="K55" s="58" cm="1">
        <f t="array" ref="K55">_xlfn.LET(_xlpm.result,K$5*PRODUCT(1-I$5:I54/1000),ROUND(_xlpm.result,4-INT(LN(_xlpm.result)/LN(10))))</f>
        <v>80489</v>
      </c>
      <c r="L55" s="58">
        <f t="shared" si="2"/>
        <v>2</v>
      </c>
      <c r="N55" s="65"/>
      <c r="O55" s="77">
        <v>828171</v>
      </c>
      <c r="S55" s="72">
        <v>1.014E-2</v>
      </c>
      <c r="T55" s="73">
        <v>86199</v>
      </c>
      <c r="U55" s="58" cm="1">
        <f t="array" ref="U55">_xlfn.LET(_xlpm.result,U$5*PRODUCT(1-S$5:S54),ROUND(_xlpm.result,4-INT(LN(_xlpm.result)/LN(10))))</f>
        <v>86198</v>
      </c>
      <c r="V55" s="58">
        <f t="shared" si="7"/>
        <v>-1</v>
      </c>
      <c r="X55" s="72">
        <v>5.4099999999999999E-3</v>
      </c>
      <c r="Y55" s="73">
        <v>91327</v>
      </c>
      <c r="Z55" s="58" cm="1">
        <f t="array" ref="Z55">_xlfn.LET(_xlpm.result,Z$5*PRODUCT(1-X$5:X54),ROUND(_xlpm.result,4-INT(LN(_xlpm.result)/LN(10))))</f>
        <v>91328</v>
      </c>
      <c r="AA55" s="58">
        <f t="shared" si="4"/>
        <v>1</v>
      </c>
      <c r="AC55" s="72">
        <v>7.3800000000000003E-3</v>
      </c>
      <c r="AD55" s="73">
        <v>88972</v>
      </c>
      <c r="AE55" s="58" cm="1">
        <f t="array" ref="AE55">_xlfn.LET(_xlpm.result,AE$5*PRODUCT(1-AC$5:AC54),ROUND(_xlpm.result,4-INT(LN(_xlpm.result)/LN(10))))</f>
        <v>88972</v>
      </c>
      <c r="AF55" s="58">
        <f t="shared" si="5"/>
        <v>0</v>
      </c>
      <c r="AH55" s="72"/>
      <c r="AI55" s="73">
        <v>91526</v>
      </c>
      <c r="AJ55" s="58" cm="1">
        <f t="array" ref="AJ55">_xlfn.LET(_xlpm.result,AJ$5*PRODUCT(1-AH$5:AH54),ROUND(_xlpm.result,4-INT(LN(_xlpm.result)/LN(10))))</f>
        <v>100000</v>
      </c>
      <c r="AK55" s="58">
        <f t="shared" si="6"/>
        <v>8474</v>
      </c>
    </row>
    <row r="56" spans="1:37" x14ac:dyDescent="0.25">
      <c r="A56" s="55">
        <v>51</v>
      </c>
      <c r="C56" s="65">
        <v>12.17919</v>
      </c>
      <c r="D56" s="65">
        <v>0.49310999999999999</v>
      </c>
      <c r="E56" s="58" t="b">
        <f t="shared" si="8"/>
        <v>1</v>
      </c>
      <c r="F56" s="71">
        <f t="shared" si="9"/>
        <v>0.98309999999999997</v>
      </c>
      <c r="G56" s="71">
        <f>_xlfn.LET(_xlpm.result,100000 * PRODUCT(F$5:F55),ROUND(_xlpm.result,4-INT(LN(_xlpm.result)/LN(10))))</f>
        <v>46108</v>
      </c>
      <c r="I56" s="65">
        <v>11.59</v>
      </c>
      <c r="J56" s="73">
        <v>79621</v>
      </c>
      <c r="K56" s="58" cm="1">
        <f t="array" ref="K56">_xlfn.LET(_xlpm.result,K$5*PRODUCT(1-I$5:I55/1000),ROUND(_xlpm.result,4-INT(LN(_xlpm.result)/LN(10))))</f>
        <v>79623</v>
      </c>
      <c r="L56" s="58">
        <f t="shared" si="2"/>
        <v>2</v>
      </c>
      <c r="N56" s="65"/>
      <c r="O56" s="77">
        <v>820348</v>
      </c>
      <c r="S56" s="72">
        <v>1.12E-2</v>
      </c>
      <c r="T56" s="73">
        <v>85325</v>
      </c>
      <c r="U56" s="58" cm="1">
        <f t="array" ref="U56">_xlfn.LET(_xlpm.result,U$5*PRODUCT(1-S$5:S55),ROUND(_xlpm.result,4-INT(LN(_xlpm.result)/LN(10))))</f>
        <v>85324</v>
      </c>
      <c r="V56" s="58">
        <f t="shared" si="7"/>
        <v>-1</v>
      </c>
      <c r="X56" s="72">
        <v>5.8999999999999999E-3</v>
      </c>
      <c r="Y56" s="73">
        <v>90833</v>
      </c>
      <c r="Z56" s="58" cm="1">
        <f t="array" ref="Z56">_xlfn.LET(_xlpm.result,Z$5*PRODUCT(1-X$5:X55),ROUND(_xlpm.result,4-INT(LN(_xlpm.result)/LN(10))))</f>
        <v>90834</v>
      </c>
      <c r="AA56" s="58">
        <f t="shared" si="4"/>
        <v>1</v>
      </c>
      <c r="AC56" s="72">
        <v>8.0400000000000003E-3</v>
      </c>
      <c r="AD56" s="73">
        <v>88315</v>
      </c>
      <c r="AE56" s="58" cm="1">
        <f t="array" ref="AE56">_xlfn.LET(_xlpm.result,AE$5*PRODUCT(1-AC$5:AC55),ROUND(_xlpm.result,4-INT(LN(_xlpm.result)/LN(10))))</f>
        <v>88315</v>
      </c>
      <c r="AF56" s="58">
        <f t="shared" si="5"/>
        <v>0</v>
      </c>
      <c r="AH56" s="72"/>
      <c r="AI56" s="73">
        <v>90986</v>
      </c>
      <c r="AJ56" s="58" cm="1">
        <f t="array" ref="AJ56">_xlfn.LET(_xlpm.result,AJ$5*PRODUCT(1-AH$5:AH55),ROUND(_xlpm.result,4-INT(LN(_xlpm.result)/LN(10))))</f>
        <v>100000</v>
      </c>
      <c r="AK56" s="58">
        <f t="shared" si="6"/>
        <v>9014</v>
      </c>
    </row>
    <row r="57" spans="1:37" x14ac:dyDescent="0.25">
      <c r="A57" s="55">
        <v>52</v>
      </c>
      <c r="C57" s="65">
        <v>11.884080000000001</v>
      </c>
      <c r="D57" s="65">
        <v>0.50446000000000002</v>
      </c>
      <c r="E57" s="58" t="b">
        <f t="shared" si="8"/>
        <v>1</v>
      </c>
      <c r="F57" s="71">
        <f t="shared" si="9"/>
        <v>0.98204999999999998</v>
      </c>
      <c r="G57" s="71">
        <f>_xlfn.LET(_xlpm.result,100000 * PRODUCT(F$5:F56),ROUND(_xlpm.result,4-INT(LN(_xlpm.result)/LN(10))))</f>
        <v>45329</v>
      </c>
      <c r="I57" s="65">
        <v>12.49</v>
      </c>
      <c r="J57" s="73">
        <v>78698</v>
      </c>
      <c r="K57" s="58" cm="1">
        <f t="array" ref="K57">_xlfn.LET(_xlpm.result,K$5*PRODUCT(1-I$5:I56/1000),ROUND(_xlpm.result,4-INT(LN(_xlpm.result)/LN(10))))</f>
        <v>78700</v>
      </c>
      <c r="L57" s="58">
        <f t="shared" si="2"/>
        <v>2</v>
      </c>
      <c r="N57" s="65"/>
      <c r="O57" s="77">
        <v>811966</v>
      </c>
      <c r="S57" s="72">
        <v>1.2279999999999999E-2</v>
      </c>
      <c r="T57" s="73">
        <v>84369</v>
      </c>
      <c r="U57" s="58" cm="1">
        <f t="array" ref="U57">_xlfn.LET(_xlpm.result,U$5*PRODUCT(1-S$5:S56),ROUND(_xlpm.result,4-INT(LN(_xlpm.result)/LN(10))))</f>
        <v>84368</v>
      </c>
      <c r="V57" s="58">
        <f t="shared" si="7"/>
        <v>-1</v>
      </c>
      <c r="X57" s="72">
        <v>6.3899999999999998E-3</v>
      </c>
      <c r="Y57" s="73">
        <v>90297</v>
      </c>
      <c r="Z57" s="58" cm="1">
        <f t="array" ref="Z57">_xlfn.LET(_xlpm.result,Z$5*PRODUCT(1-X$5:X56),ROUND(_xlpm.result,4-INT(LN(_xlpm.result)/LN(10))))</f>
        <v>90298</v>
      </c>
      <c r="AA57" s="58">
        <f t="shared" si="4"/>
        <v>1</v>
      </c>
      <c r="AC57" s="72">
        <v>8.7600000000000004E-3</v>
      </c>
      <c r="AD57" s="73">
        <v>87605</v>
      </c>
      <c r="AE57" s="58" cm="1">
        <f t="array" ref="AE57">_xlfn.LET(_xlpm.result,AE$5*PRODUCT(1-AC$5:AC56),ROUND(_xlpm.result,4-INT(LN(_xlpm.result)/LN(10))))</f>
        <v>87605</v>
      </c>
      <c r="AF57" s="58">
        <f t="shared" si="5"/>
        <v>0</v>
      </c>
      <c r="AH57" s="72"/>
      <c r="AI57" s="73">
        <v>90402</v>
      </c>
      <c r="AJ57" s="58" cm="1">
        <f t="array" ref="AJ57">_xlfn.LET(_xlpm.result,AJ$5*PRODUCT(1-AH$5:AH56),ROUND(_xlpm.result,4-INT(LN(_xlpm.result)/LN(10))))</f>
        <v>100000</v>
      </c>
      <c r="AK57" s="58">
        <f t="shared" si="6"/>
        <v>9598</v>
      </c>
    </row>
    <row r="58" spans="1:37" x14ac:dyDescent="0.25">
      <c r="A58" s="55">
        <v>53</v>
      </c>
      <c r="C58" s="65">
        <v>11.58531</v>
      </c>
      <c r="D58" s="65">
        <v>0.51595000000000002</v>
      </c>
      <c r="E58" s="58" t="b">
        <f t="shared" si="8"/>
        <v>1</v>
      </c>
      <c r="F58" s="71">
        <f t="shared" si="9"/>
        <v>0.98090999999999995</v>
      </c>
      <c r="G58" s="71">
        <f>_xlfn.LET(_xlpm.result,100000 * PRODUCT(F$5:F57),ROUND(_xlpm.result,4-INT(LN(_xlpm.result)/LN(10))))</f>
        <v>44515</v>
      </c>
      <c r="I58" s="65">
        <v>13.46</v>
      </c>
      <c r="J58" s="73">
        <v>77716</v>
      </c>
      <c r="K58" s="58" cm="1">
        <f t="array" ref="K58">_xlfn.LET(_xlpm.result,K$5*PRODUCT(1-I$5:I57/1000),ROUND(_xlpm.result,4-INT(LN(_xlpm.result)/LN(10))))</f>
        <v>77717</v>
      </c>
      <c r="L58" s="58">
        <f t="shared" si="2"/>
        <v>1</v>
      </c>
      <c r="N58" s="65"/>
      <c r="O58" s="77">
        <v>802985</v>
      </c>
      <c r="S58" s="72">
        <v>1.333E-2</v>
      </c>
      <c r="T58" s="73">
        <v>83333</v>
      </c>
      <c r="U58" s="58" cm="1">
        <f t="array" ref="U58">_xlfn.LET(_xlpm.result,U$5*PRODUCT(1-S$5:S57),ROUND(_xlpm.result,4-INT(LN(_xlpm.result)/LN(10))))</f>
        <v>83332</v>
      </c>
      <c r="V58" s="58">
        <f t="shared" si="7"/>
        <v>-1</v>
      </c>
      <c r="X58" s="72">
        <v>6.8599999999999998E-3</v>
      </c>
      <c r="Y58" s="73">
        <v>89720</v>
      </c>
      <c r="Z58" s="58" cm="1">
        <f t="array" ref="Z58">_xlfn.LET(_xlpm.result,Z$5*PRODUCT(1-X$5:X57),ROUND(_xlpm.result,4-INT(LN(_xlpm.result)/LN(10))))</f>
        <v>89721</v>
      </c>
      <c r="AA58" s="58">
        <f t="shared" si="4"/>
        <v>1</v>
      </c>
      <c r="AC58" s="72">
        <v>9.5700000000000004E-3</v>
      </c>
      <c r="AD58" s="73">
        <v>86838</v>
      </c>
      <c r="AE58" s="58" cm="1">
        <f t="array" ref="AE58">_xlfn.LET(_xlpm.result,AE$5*PRODUCT(1-AC$5:AC57),ROUND(_xlpm.result,4-INT(LN(_xlpm.result)/LN(10))))</f>
        <v>86837</v>
      </c>
      <c r="AF58" s="58">
        <f t="shared" si="5"/>
        <v>-1</v>
      </c>
      <c r="AH58" s="72"/>
      <c r="AI58" s="73">
        <v>89771</v>
      </c>
      <c r="AJ58" s="58" cm="1">
        <f t="array" ref="AJ58">_xlfn.LET(_xlpm.result,AJ$5*PRODUCT(1-AH$5:AH57),ROUND(_xlpm.result,4-INT(LN(_xlpm.result)/LN(10))))</f>
        <v>100000</v>
      </c>
      <c r="AK58" s="58">
        <f t="shared" si="6"/>
        <v>10229</v>
      </c>
    </row>
    <row r="59" spans="1:37" x14ac:dyDescent="0.25">
      <c r="A59" s="55">
        <v>54</v>
      </c>
      <c r="C59" s="65">
        <v>11.283250000000001</v>
      </c>
      <c r="D59" s="65">
        <v>0.52756999999999998</v>
      </c>
      <c r="E59" s="58" t="b">
        <f t="shared" si="8"/>
        <v>1</v>
      </c>
      <c r="F59" s="71">
        <f t="shared" si="9"/>
        <v>0.97968999999999995</v>
      </c>
      <c r="G59" s="71">
        <f>_xlfn.LET(_xlpm.result,100000 * PRODUCT(F$5:F58),ROUND(_xlpm.result,4-INT(LN(_xlpm.result)/LN(10))))</f>
        <v>43665</v>
      </c>
      <c r="I59" s="65">
        <v>14.51</v>
      </c>
      <c r="J59" s="73">
        <v>76669</v>
      </c>
      <c r="K59" s="58" cm="1">
        <f t="array" ref="K59">_xlfn.LET(_xlpm.result,K$5*PRODUCT(1-I$5:I58/1000),ROUND(_xlpm.result,4-INT(LN(_xlpm.result)/LN(10))))</f>
        <v>76671</v>
      </c>
      <c r="L59" s="58">
        <f t="shared" si="2"/>
        <v>2</v>
      </c>
      <c r="N59" s="65"/>
      <c r="O59" s="77">
        <v>793365</v>
      </c>
      <c r="S59" s="72">
        <v>1.44E-2</v>
      </c>
      <c r="T59" s="73">
        <v>82222</v>
      </c>
      <c r="U59" s="58" cm="1">
        <f t="array" ref="U59">_xlfn.LET(_xlpm.result,U$5*PRODUCT(1-S$5:S58),ROUND(_xlpm.result,4-INT(LN(_xlpm.result)/LN(10))))</f>
        <v>82221</v>
      </c>
      <c r="V59" s="58">
        <f t="shared" si="7"/>
        <v>-1</v>
      </c>
      <c r="X59" s="72">
        <v>7.3299999999999997E-3</v>
      </c>
      <c r="Y59" s="73">
        <v>89104</v>
      </c>
      <c r="Z59" s="58" cm="1">
        <f t="array" ref="Z59">_xlfn.LET(_xlpm.result,Z$5*PRODUCT(1-X$5:X58),ROUND(_xlpm.result,4-INT(LN(_xlpm.result)/LN(10))))</f>
        <v>89106</v>
      </c>
      <c r="AA59" s="58">
        <f t="shared" si="4"/>
        <v>2</v>
      </c>
      <c r="AC59" s="72">
        <v>1.043E-2</v>
      </c>
      <c r="AD59" s="73">
        <v>86007</v>
      </c>
      <c r="AE59" s="58" cm="1">
        <f t="array" ref="AE59">_xlfn.LET(_xlpm.result,AE$5*PRODUCT(1-AC$5:AC58),ROUND(_xlpm.result,4-INT(LN(_xlpm.result)/LN(10))))</f>
        <v>86006</v>
      </c>
      <c r="AF59" s="58">
        <f t="shared" si="5"/>
        <v>-1</v>
      </c>
      <c r="AH59" s="72"/>
      <c r="AI59" s="73">
        <v>89087</v>
      </c>
      <c r="AJ59" s="58" cm="1">
        <f t="array" ref="AJ59">_xlfn.LET(_xlpm.result,AJ$5*PRODUCT(1-AH$5:AH58),ROUND(_xlpm.result,4-INT(LN(_xlpm.result)/LN(10))))</f>
        <v>100000</v>
      </c>
      <c r="AK59" s="58">
        <f t="shared" si="6"/>
        <v>10913</v>
      </c>
    </row>
    <row r="60" spans="1:37" x14ac:dyDescent="0.25">
      <c r="A60" s="55">
        <v>55</v>
      </c>
      <c r="C60" s="65">
        <v>10.97789</v>
      </c>
      <c r="D60" s="65">
        <v>0.53930999999999996</v>
      </c>
      <c r="E60" s="58" t="b">
        <f t="shared" si="8"/>
        <v>1</v>
      </c>
      <c r="F60" s="71">
        <f t="shared" si="9"/>
        <v>0.97833999999999999</v>
      </c>
      <c r="G60" s="71">
        <f>_xlfn.LET(_xlpm.result,100000 * PRODUCT(F$5:F59),ROUND(_xlpm.result,4-INT(LN(_xlpm.result)/LN(10))))</f>
        <v>42779</v>
      </c>
      <c r="I60" s="65">
        <v>15.64</v>
      </c>
      <c r="J60" s="73">
        <v>75557</v>
      </c>
      <c r="K60" s="58" cm="1">
        <f t="array" ref="K60">_xlfn.LET(_xlpm.result,K$5*PRODUCT(1-I$5:I59/1000),ROUND(_xlpm.result,4-INT(LN(_xlpm.result)/LN(10))))</f>
        <v>75558</v>
      </c>
      <c r="L60" s="58">
        <f t="shared" si="2"/>
        <v>1</v>
      </c>
      <c r="N60" s="65"/>
      <c r="O60" s="77">
        <v>783063</v>
      </c>
      <c r="S60" s="72">
        <v>1.549E-2</v>
      </c>
      <c r="T60" s="73">
        <v>81039</v>
      </c>
      <c r="U60" s="58" cm="1">
        <f t="array" ref="U60">_xlfn.LET(_xlpm.result,U$5*PRODUCT(1-S$5:S59),ROUND(_xlpm.result,4-INT(LN(_xlpm.result)/LN(10))))</f>
        <v>81037</v>
      </c>
      <c r="V60" s="58">
        <f t="shared" si="7"/>
        <v>-2</v>
      </c>
      <c r="X60" s="72">
        <v>7.8300000000000002E-3</v>
      </c>
      <c r="Y60" s="73">
        <v>88451</v>
      </c>
      <c r="Z60" s="58" cm="1">
        <f t="array" ref="Z60">_xlfn.LET(_xlpm.result,Z$5*PRODUCT(1-X$5:X59),ROUND(_xlpm.result,4-INT(LN(_xlpm.result)/LN(10))))</f>
        <v>88453</v>
      </c>
      <c r="AA60" s="58">
        <f t="shared" si="4"/>
        <v>2</v>
      </c>
      <c r="AC60" s="72">
        <v>1.136E-2</v>
      </c>
      <c r="AD60" s="73">
        <v>85110</v>
      </c>
      <c r="AE60" s="58" cm="1">
        <f t="array" ref="AE60">_xlfn.LET(_xlpm.result,AE$5*PRODUCT(1-AC$5:AC59),ROUND(_xlpm.result,4-INT(LN(_xlpm.result)/LN(10))))</f>
        <v>85109</v>
      </c>
      <c r="AF60" s="58">
        <f t="shared" si="5"/>
        <v>-1</v>
      </c>
      <c r="AH60" s="72"/>
      <c r="AI60" s="73">
        <v>88348</v>
      </c>
      <c r="AJ60" s="58" cm="1">
        <f t="array" ref="AJ60">_xlfn.LET(_xlpm.result,AJ$5*PRODUCT(1-AH$5:AH59),ROUND(_xlpm.result,4-INT(LN(_xlpm.result)/LN(10))))</f>
        <v>100000</v>
      </c>
      <c r="AK60" s="58">
        <f t="shared" si="6"/>
        <v>11652</v>
      </c>
    </row>
    <row r="61" spans="1:37" x14ac:dyDescent="0.25">
      <c r="A61" s="55">
        <v>56</v>
      </c>
      <c r="C61" s="65">
        <v>10.66982</v>
      </c>
      <c r="D61" s="65">
        <v>0.55115999999999998</v>
      </c>
      <c r="E61" s="58" t="b">
        <f t="shared" si="8"/>
        <v>1</v>
      </c>
      <c r="F61" s="71">
        <f t="shared" si="9"/>
        <v>0.97687000000000002</v>
      </c>
      <c r="G61" s="71">
        <f>_xlfn.LET(_xlpm.result,100000 * PRODUCT(F$5:F60),ROUND(_xlpm.result,4-INT(LN(_xlpm.result)/LN(10))))</f>
        <v>41852</v>
      </c>
      <c r="I61" s="65">
        <v>16.84</v>
      </c>
      <c r="J61" s="73">
        <v>74375</v>
      </c>
      <c r="K61" s="58" cm="1">
        <f t="array" ref="K61">_xlfn.LET(_xlpm.result,K$5*PRODUCT(1-I$5:I60/1000),ROUND(_xlpm.result,4-INT(LN(_xlpm.result)/LN(10))))</f>
        <v>74377</v>
      </c>
      <c r="L61" s="58">
        <f t="shared" si="2"/>
        <v>2</v>
      </c>
      <c r="N61" s="65"/>
      <c r="O61" s="77">
        <v>772037</v>
      </c>
      <c r="S61" s="72">
        <v>1.67E-2</v>
      </c>
      <c r="T61" s="73">
        <v>79783</v>
      </c>
      <c r="U61" s="58" cm="1">
        <f t="array" ref="U61">_xlfn.LET(_xlpm.result,U$5*PRODUCT(1-S$5:S60),ROUND(_xlpm.result,4-INT(LN(_xlpm.result)/LN(10))))</f>
        <v>79782</v>
      </c>
      <c r="V61" s="58">
        <f t="shared" si="7"/>
        <v>-1</v>
      </c>
      <c r="X61" s="72">
        <v>8.4100000000000008E-3</v>
      </c>
      <c r="Y61" s="73">
        <v>87758</v>
      </c>
      <c r="Z61" s="58" cm="1">
        <f t="array" ref="Z61">_xlfn.LET(_xlpm.result,Z$5*PRODUCT(1-X$5:X60),ROUND(_xlpm.result,4-INT(LN(_xlpm.result)/LN(10))))</f>
        <v>87760</v>
      </c>
      <c r="AA61" s="58">
        <f t="shared" si="4"/>
        <v>2</v>
      </c>
      <c r="AC61" s="72">
        <v>1.2359999999999999E-2</v>
      </c>
      <c r="AD61" s="73">
        <v>84142</v>
      </c>
      <c r="AE61" s="58" cm="1">
        <f t="array" ref="AE61">_xlfn.LET(_xlpm.result,AE$5*PRODUCT(1-AC$5:AC60),ROUND(_xlpm.result,4-INT(LN(_xlpm.result)/LN(10))))</f>
        <v>84143</v>
      </c>
      <c r="AF61" s="58">
        <f t="shared" si="5"/>
        <v>1</v>
      </c>
      <c r="AH61" s="72"/>
      <c r="AI61" s="73">
        <v>87551</v>
      </c>
      <c r="AJ61" s="58" cm="1">
        <f t="array" ref="AJ61">_xlfn.LET(_xlpm.result,AJ$5*PRODUCT(1-AH$5:AH60),ROUND(_xlpm.result,4-INT(LN(_xlpm.result)/LN(10))))</f>
        <v>100000</v>
      </c>
      <c r="AK61" s="58">
        <f t="shared" si="6"/>
        <v>12449</v>
      </c>
    </row>
    <row r="62" spans="1:37" x14ac:dyDescent="0.25">
      <c r="A62" s="55">
        <v>57</v>
      </c>
      <c r="C62" s="65">
        <v>10.359310000000001</v>
      </c>
      <c r="D62" s="65">
        <v>0.56310000000000004</v>
      </c>
      <c r="E62" s="58" t="b">
        <f t="shared" si="8"/>
        <v>1</v>
      </c>
      <c r="F62" s="71">
        <f t="shared" si="9"/>
        <v>0.97531999999999996</v>
      </c>
      <c r="G62" s="71">
        <f>_xlfn.LET(_xlpm.result,100000 * PRODUCT(F$5:F61),ROUND(_xlpm.result,4-INT(LN(_xlpm.result)/LN(10))))</f>
        <v>40884</v>
      </c>
      <c r="I62" s="65">
        <v>18.12</v>
      </c>
      <c r="J62" s="73">
        <v>73123</v>
      </c>
      <c r="K62" s="58" cm="1">
        <f t="array" ref="K62">_xlfn.LET(_xlpm.result,K$5*PRODUCT(1-I$5:I61/1000),ROUND(_xlpm.result,4-INT(LN(_xlpm.result)/LN(10))))</f>
        <v>73124</v>
      </c>
      <c r="L62" s="58">
        <f t="shared" si="2"/>
        <v>1</v>
      </c>
      <c r="N62" s="65"/>
      <c r="O62" s="77">
        <v>760244</v>
      </c>
      <c r="S62" s="72">
        <v>1.8089999999999998E-2</v>
      </c>
      <c r="T62" s="73">
        <v>78451</v>
      </c>
      <c r="U62" s="58" cm="1">
        <f t="array" ref="U62">_xlfn.LET(_xlpm.result,U$5*PRODUCT(1-S$5:S61),ROUND(_xlpm.result,4-INT(LN(_xlpm.result)/LN(10))))</f>
        <v>78450</v>
      </c>
      <c r="V62" s="58">
        <f t="shared" si="7"/>
        <v>-1</v>
      </c>
      <c r="X62" s="72">
        <v>9.11E-3</v>
      </c>
      <c r="Y62" s="73">
        <v>87020</v>
      </c>
      <c r="Z62" s="58" cm="1">
        <f t="array" ref="Z62">_xlfn.LET(_xlpm.result,Z$5*PRODUCT(1-X$5:X61),ROUND(_xlpm.result,4-INT(LN(_xlpm.result)/LN(10))))</f>
        <v>87022</v>
      </c>
      <c r="AA62" s="58">
        <f t="shared" si="4"/>
        <v>2</v>
      </c>
      <c r="AC62" s="72">
        <v>1.341E-2</v>
      </c>
      <c r="AD62" s="73">
        <v>83103</v>
      </c>
      <c r="AE62" s="58" cm="1">
        <f t="array" ref="AE62">_xlfn.LET(_xlpm.result,AE$5*PRODUCT(1-AC$5:AC61),ROUND(_xlpm.result,4-INT(LN(_xlpm.result)/LN(10))))</f>
        <v>83103</v>
      </c>
      <c r="AF62" s="58">
        <f t="shared" si="5"/>
        <v>0</v>
      </c>
      <c r="AH62" s="72"/>
      <c r="AI62" s="73">
        <v>86695</v>
      </c>
      <c r="AJ62" s="58" cm="1">
        <f t="array" ref="AJ62">_xlfn.LET(_xlpm.result,AJ$5*PRODUCT(1-AH$5:AH61),ROUND(_xlpm.result,4-INT(LN(_xlpm.result)/LN(10))))</f>
        <v>100000</v>
      </c>
      <c r="AK62" s="58">
        <f t="shared" si="6"/>
        <v>13305</v>
      </c>
    </row>
    <row r="63" spans="1:37" x14ac:dyDescent="0.25">
      <c r="A63" s="55">
        <v>58</v>
      </c>
      <c r="C63" s="65">
        <v>10.0463</v>
      </c>
      <c r="D63" s="65">
        <v>0.57513999999999998</v>
      </c>
      <c r="E63" s="58" t="b">
        <f t="shared" si="8"/>
        <v>1</v>
      </c>
      <c r="F63" s="71">
        <f t="shared" si="9"/>
        <v>0.97360999999999998</v>
      </c>
      <c r="G63" s="71">
        <f>_xlfn.LET(_xlpm.result,100000 * PRODUCT(F$5:F62),ROUND(_xlpm.result,4-INT(LN(_xlpm.result)/LN(10))))</f>
        <v>39875</v>
      </c>
      <c r="I63" s="65">
        <v>19.489999999999998</v>
      </c>
      <c r="J63" s="73">
        <v>71798</v>
      </c>
      <c r="K63" s="58" cm="1">
        <f t="array" ref="K63">_xlfn.LET(_xlpm.result,K$5*PRODUCT(1-I$5:I62/1000),ROUND(_xlpm.result,4-INT(LN(_xlpm.result)/LN(10))))</f>
        <v>71799</v>
      </c>
      <c r="L63" s="58">
        <f t="shared" si="2"/>
        <v>1</v>
      </c>
      <c r="N63" s="65"/>
      <c r="O63" s="77">
        <v>747639</v>
      </c>
      <c r="S63" s="72">
        <v>1.9709999999999998E-2</v>
      </c>
      <c r="T63" s="73">
        <v>77032</v>
      </c>
      <c r="U63" s="58" cm="1">
        <f t="array" ref="U63">_xlfn.LET(_xlpm.result,U$5*PRODUCT(1-S$5:S62),ROUND(_xlpm.result,4-INT(LN(_xlpm.result)/LN(10))))</f>
        <v>77031</v>
      </c>
      <c r="V63" s="58">
        <f t="shared" si="7"/>
        <v>-1</v>
      </c>
      <c r="X63" s="72">
        <v>9.9699999999999997E-3</v>
      </c>
      <c r="Y63" s="73">
        <v>86227</v>
      </c>
      <c r="Z63" s="58" cm="1">
        <f t="array" ref="Z63">_xlfn.LET(_xlpm.result,Z$5*PRODUCT(1-X$5:X62),ROUND(_xlpm.result,4-INT(LN(_xlpm.result)/LN(10))))</f>
        <v>86229</v>
      </c>
      <c r="AA63" s="58">
        <f t="shared" si="4"/>
        <v>2</v>
      </c>
      <c r="AC63" s="72">
        <v>1.452E-2</v>
      </c>
      <c r="AD63" s="73">
        <v>81988</v>
      </c>
      <c r="AE63" s="58" cm="1">
        <f t="array" ref="AE63">_xlfn.LET(_xlpm.result,AE$5*PRODUCT(1-AC$5:AC62),ROUND(_xlpm.result,4-INT(LN(_xlpm.result)/LN(10))))</f>
        <v>81988</v>
      </c>
      <c r="AF63" s="58">
        <f t="shared" si="5"/>
        <v>0</v>
      </c>
      <c r="AH63" s="72"/>
      <c r="AI63" s="73">
        <v>85776</v>
      </c>
      <c r="AJ63" s="58" cm="1">
        <f t="array" ref="AJ63">_xlfn.LET(_xlpm.result,AJ$5*PRODUCT(1-AH$5:AH62),ROUND(_xlpm.result,4-INT(LN(_xlpm.result)/LN(10))))</f>
        <v>100000</v>
      </c>
      <c r="AK63" s="58">
        <f t="shared" si="6"/>
        <v>14224</v>
      </c>
    </row>
    <row r="64" spans="1:37" x14ac:dyDescent="0.25">
      <c r="A64" s="55">
        <v>59</v>
      </c>
      <c r="C64" s="65">
        <v>9.7313100000000006</v>
      </c>
      <c r="D64" s="65">
        <v>0.58726</v>
      </c>
      <c r="E64" s="58" t="b">
        <f t="shared" si="8"/>
        <v>1</v>
      </c>
      <c r="F64" s="71">
        <f t="shared" si="9"/>
        <v>0.97175</v>
      </c>
      <c r="G64" s="71">
        <f>_xlfn.LET(_xlpm.result,100000 * PRODUCT(F$5:F63),ROUND(_xlpm.result,4-INT(LN(_xlpm.result)/LN(10))))</f>
        <v>38823</v>
      </c>
      <c r="I64" s="65">
        <v>20.95</v>
      </c>
      <c r="J64" s="73">
        <v>70398</v>
      </c>
      <c r="K64" s="58" cm="1">
        <f t="array" ref="K64">_xlfn.LET(_xlpm.result,K$5*PRODUCT(1-I$5:I63/1000),ROUND(_xlpm.result,4-INT(LN(_xlpm.result)/LN(10))))</f>
        <v>70400</v>
      </c>
      <c r="L64" s="58">
        <f t="shared" si="2"/>
        <v>2</v>
      </c>
      <c r="N64" s="65"/>
      <c r="O64" s="77">
        <v>734179</v>
      </c>
      <c r="S64" s="72">
        <v>2.154E-2</v>
      </c>
      <c r="T64" s="73">
        <v>75513</v>
      </c>
      <c r="U64" s="58" cm="1">
        <f t="array" ref="U64">_xlfn.LET(_xlpm.result,U$5*PRODUCT(1-S$5:S63),ROUND(_xlpm.result,4-INT(LN(_xlpm.result)/LN(10))))</f>
        <v>75512</v>
      </c>
      <c r="V64" s="58">
        <f t="shared" si="7"/>
        <v>-1</v>
      </c>
      <c r="X64" s="72">
        <v>1.0970000000000001E-2</v>
      </c>
      <c r="Y64" s="73">
        <v>85367</v>
      </c>
      <c r="Z64" s="58" cm="1">
        <f t="array" ref="Z64">_xlfn.LET(_xlpm.result,Z$5*PRODUCT(1-X$5:X63),ROUND(_xlpm.result,4-INT(LN(_xlpm.result)/LN(10))))</f>
        <v>85369</v>
      </c>
      <c r="AA64" s="58">
        <f t="shared" si="4"/>
        <v>2</v>
      </c>
      <c r="AC64" s="72">
        <v>1.5699999999999999E-2</v>
      </c>
      <c r="AD64" s="73">
        <v>80798</v>
      </c>
      <c r="AE64" s="58" cm="1">
        <f t="array" ref="AE64">_xlfn.LET(_xlpm.result,AE$5*PRODUCT(1-AC$5:AC63),ROUND(_xlpm.result,4-INT(LN(_xlpm.result)/LN(10))))</f>
        <v>80798</v>
      </c>
      <c r="AF64" s="58">
        <f t="shared" si="5"/>
        <v>0</v>
      </c>
      <c r="AH64" s="72"/>
      <c r="AI64" s="73">
        <v>84789</v>
      </c>
      <c r="AJ64" s="58" cm="1">
        <f t="array" ref="AJ64">_xlfn.LET(_xlpm.result,AJ$5*PRODUCT(1-AH$5:AH63),ROUND(_xlpm.result,4-INT(LN(_xlpm.result)/LN(10))))</f>
        <v>100000</v>
      </c>
      <c r="AK64" s="58">
        <f t="shared" si="6"/>
        <v>15211</v>
      </c>
    </row>
    <row r="65" spans="1:37" x14ac:dyDescent="0.25">
      <c r="A65" s="55">
        <v>60</v>
      </c>
      <c r="C65" s="65">
        <v>9.4147400000000001</v>
      </c>
      <c r="D65" s="65">
        <v>0.59943000000000002</v>
      </c>
      <c r="E65" s="58" t="b">
        <f t="shared" si="8"/>
        <v>1</v>
      </c>
      <c r="F65" s="71">
        <f t="shared" si="9"/>
        <v>0.96965999999999997</v>
      </c>
      <c r="G65" s="71">
        <f>_xlfn.LET(_xlpm.result,100000 * PRODUCT(F$5:F64),ROUND(_xlpm.result,4-INT(LN(_xlpm.result)/LN(10))))</f>
        <v>37726</v>
      </c>
      <c r="I65" s="65">
        <v>22.51</v>
      </c>
      <c r="J65" s="73">
        <v>68924</v>
      </c>
      <c r="K65" s="58" cm="1">
        <f t="array" ref="K65">_xlfn.LET(_xlpm.result,K$5*PRODUCT(1-I$5:I64/1000),ROUND(_xlpm.result,4-INT(LN(_xlpm.result)/LN(10))))</f>
        <v>68925</v>
      </c>
      <c r="L65" s="58">
        <f t="shared" si="2"/>
        <v>1</v>
      </c>
      <c r="N65" s="65"/>
      <c r="O65" s="77">
        <v>719821</v>
      </c>
      <c r="S65" s="72">
        <v>2.35E-2</v>
      </c>
      <c r="T65" s="73">
        <v>73887</v>
      </c>
      <c r="U65" s="58" cm="1">
        <f t="array" ref="U65">_xlfn.LET(_xlpm.result,U$5*PRODUCT(1-S$5:S64),ROUND(_xlpm.result,4-INT(LN(_xlpm.result)/LN(10))))</f>
        <v>73886</v>
      </c>
      <c r="V65" s="58">
        <f t="shared" si="7"/>
        <v>-1</v>
      </c>
      <c r="X65" s="72">
        <v>1.209E-2</v>
      </c>
      <c r="Y65" s="73">
        <v>84430</v>
      </c>
      <c r="Z65" s="58" cm="1">
        <f t="array" ref="Z65">_xlfn.LET(_xlpm.result,Z$5*PRODUCT(1-X$5:X64),ROUND(_xlpm.result,4-INT(LN(_xlpm.result)/LN(10))))</f>
        <v>84433</v>
      </c>
      <c r="AA65" s="58">
        <f t="shared" si="4"/>
        <v>3</v>
      </c>
      <c r="AC65" s="72">
        <v>1.695E-2</v>
      </c>
      <c r="AD65" s="73">
        <v>79529</v>
      </c>
      <c r="AE65" s="58" cm="1">
        <f t="array" ref="AE65">_xlfn.LET(_xlpm.result,AE$5*PRODUCT(1-AC$5:AC64),ROUND(_xlpm.result,4-INT(LN(_xlpm.result)/LN(10))))</f>
        <v>79529</v>
      </c>
      <c r="AF65" s="58">
        <f t="shared" si="5"/>
        <v>0</v>
      </c>
      <c r="AH65" s="72"/>
      <c r="AI65" s="73">
        <v>83726</v>
      </c>
      <c r="AJ65" s="58" cm="1">
        <f t="array" ref="AJ65">_xlfn.LET(_xlpm.result,AJ$5*PRODUCT(1-AH$5:AH64),ROUND(_xlpm.result,4-INT(LN(_xlpm.result)/LN(10))))</f>
        <v>100000</v>
      </c>
      <c r="AK65" s="58">
        <f t="shared" si="6"/>
        <v>16274</v>
      </c>
    </row>
    <row r="66" spans="1:37" x14ac:dyDescent="0.25">
      <c r="A66" s="55">
        <v>61</v>
      </c>
      <c r="C66" s="65">
        <v>9.0976499999999998</v>
      </c>
      <c r="D66" s="65">
        <v>0.61163000000000001</v>
      </c>
      <c r="E66" s="58" t="b">
        <f t="shared" si="8"/>
        <v>1</v>
      </c>
      <c r="F66" s="71">
        <f t="shared" si="9"/>
        <v>0.96738999999999997</v>
      </c>
      <c r="G66" s="71">
        <f>_xlfn.LET(_xlpm.result,100000 * PRODUCT(F$5:F65),ROUND(_xlpm.result,4-INT(LN(_xlpm.result)/LN(10))))</f>
        <v>36581</v>
      </c>
      <c r="I66" s="65">
        <v>24.19</v>
      </c>
      <c r="J66" s="73">
        <v>67372</v>
      </c>
      <c r="K66" s="58" cm="1">
        <f t="array" ref="K66">_xlfn.LET(_xlpm.result,K$5*PRODUCT(1-I$5:I65/1000),ROUND(_xlpm.result,4-INT(LN(_xlpm.result)/LN(10))))</f>
        <v>67373</v>
      </c>
      <c r="L66" s="58">
        <f t="shared" si="2"/>
        <v>1</v>
      </c>
      <c r="N66" s="65"/>
      <c r="O66" s="77">
        <v>704525</v>
      </c>
      <c r="S66" s="72">
        <v>2.554E-2</v>
      </c>
      <c r="T66" s="73">
        <v>72151</v>
      </c>
      <c r="U66" s="58" cm="1">
        <f t="array" ref="U66">_xlfn.LET(_xlpm.result,U$5*PRODUCT(1-S$5:S65),ROUND(_xlpm.result,4-INT(LN(_xlpm.result)/LN(10))))</f>
        <v>72149</v>
      </c>
      <c r="V66" s="58">
        <f t="shared" si="7"/>
        <v>-2</v>
      </c>
      <c r="X66" s="72">
        <v>1.3270000000000001E-2</v>
      </c>
      <c r="Y66" s="73">
        <v>83409</v>
      </c>
      <c r="Z66" s="58" cm="1">
        <f t="array" ref="Z66">_xlfn.LET(_xlpm.result,Z$5*PRODUCT(1-X$5:X65),ROUND(_xlpm.result,4-INT(LN(_xlpm.result)/LN(10))))</f>
        <v>83412</v>
      </c>
      <c r="AA66" s="58">
        <f t="shared" si="4"/>
        <v>3</v>
      </c>
      <c r="AC66" s="72">
        <v>1.8290000000000001E-2</v>
      </c>
      <c r="AD66" s="73">
        <v>78181</v>
      </c>
      <c r="AE66" s="58" cm="1">
        <f t="array" ref="AE66">_xlfn.LET(_xlpm.result,AE$5*PRODUCT(1-AC$5:AC65),ROUND(_xlpm.result,4-INT(LN(_xlpm.result)/LN(10))))</f>
        <v>78181</v>
      </c>
      <c r="AF66" s="58">
        <f t="shared" si="5"/>
        <v>0</v>
      </c>
      <c r="AH66" s="72"/>
      <c r="AI66" s="73">
        <v>82581</v>
      </c>
      <c r="AJ66" s="58" cm="1">
        <f t="array" ref="AJ66">_xlfn.LET(_xlpm.result,AJ$5*PRODUCT(1-AH$5:AH65),ROUND(_xlpm.result,4-INT(LN(_xlpm.result)/LN(10))))</f>
        <v>100000</v>
      </c>
      <c r="AK66" s="58">
        <f t="shared" si="6"/>
        <v>17419</v>
      </c>
    </row>
    <row r="67" spans="1:37" x14ac:dyDescent="0.25">
      <c r="A67" s="55">
        <v>62</v>
      </c>
      <c r="C67" s="65">
        <v>8.7805199999999992</v>
      </c>
      <c r="D67" s="65">
        <v>0.62383</v>
      </c>
      <c r="E67" s="58" t="b">
        <f t="shared" si="8"/>
        <v>1</v>
      </c>
      <c r="F67" s="71">
        <f t="shared" si="9"/>
        <v>0.96487999999999996</v>
      </c>
      <c r="G67" s="71">
        <f>_xlfn.LET(_xlpm.result,100000 * PRODUCT(F$5:F66),ROUND(_xlpm.result,4-INT(LN(_xlpm.result)/LN(10))))</f>
        <v>35388</v>
      </c>
      <c r="I67" s="65">
        <v>26.01</v>
      </c>
      <c r="J67" s="73">
        <v>65742</v>
      </c>
      <c r="K67" s="58" cm="1">
        <f t="array" ref="K67">_xlfn.LET(_xlpm.result,K$5*PRODUCT(1-I$5:I66/1000),ROUND(_xlpm.result,4-INT(LN(_xlpm.result)/LN(10))))</f>
        <v>65744</v>
      </c>
      <c r="L67" s="58">
        <f t="shared" si="2"/>
        <v>2</v>
      </c>
      <c r="N67" s="65"/>
      <c r="O67" s="77">
        <v>688254</v>
      </c>
      <c r="S67" s="72">
        <v>2.7689999999999999E-2</v>
      </c>
      <c r="T67" s="73">
        <v>70308</v>
      </c>
      <c r="U67" s="58" cm="1">
        <f t="array" ref="U67">_xlfn.LET(_xlpm.result,U$5*PRODUCT(1-S$5:S66),ROUND(_xlpm.result,4-INT(LN(_xlpm.result)/LN(10))))</f>
        <v>70307</v>
      </c>
      <c r="V67" s="58">
        <f t="shared" si="7"/>
        <v>-1</v>
      </c>
      <c r="X67" s="72">
        <v>1.451E-2</v>
      </c>
      <c r="Y67" s="73">
        <v>82302</v>
      </c>
      <c r="Z67" s="58" cm="1">
        <f t="array" ref="Z67">_xlfn.LET(_xlpm.result,Z$5*PRODUCT(1-X$5:X66),ROUND(_xlpm.result,4-INT(LN(_xlpm.result)/LN(10))))</f>
        <v>82305</v>
      </c>
      <c r="AA67" s="58">
        <f t="shared" si="4"/>
        <v>3</v>
      </c>
      <c r="AC67" s="72">
        <v>1.9740000000000001E-2</v>
      </c>
      <c r="AD67" s="73">
        <v>76751</v>
      </c>
      <c r="AE67" s="58" cm="1">
        <f t="array" ref="AE67">_xlfn.LET(_xlpm.result,AE$5*PRODUCT(1-AC$5:AC66),ROUND(_xlpm.result,4-INT(LN(_xlpm.result)/LN(10))))</f>
        <v>76751</v>
      </c>
      <c r="AF67" s="58">
        <f t="shared" si="5"/>
        <v>0</v>
      </c>
      <c r="AH67" s="72"/>
      <c r="AI67" s="73">
        <v>81348</v>
      </c>
      <c r="AJ67" s="58" cm="1">
        <f t="array" ref="AJ67">_xlfn.LET(_xlpm.result,AJ$5*PRODUCT(1-AH$5:AH66),ROUND(_xlpm.result,4-INT(LN(_xlpm.result)/LN(10))))</f>
        <v>100000</v>
      </c>
      <c r="AK67" s="58">
        <f t="shared" si="6"/>
        <v>18652</v>
      </c>
    </row>
    <row r="68" spans="1:37" x14ac:dyDescent="0.25">
      <c r="A68" s="55">
        <v>63</v>
      </c>
      <c r="C68" s="65">
        <v>8.4641199999999994</v>
      </c>
      <c r="D68" s="65">
        <v>0.63600000000000001</v>
      </c>
      <c r="E68" s="58" t="b">
        <f t="shared" si="8"/>
        <v>1</v>
      </c>
      <c r="F68" s="71">
        <f t="shared" si="9"/>
        <v>0.96216000000000002</v>
      </c>
      <c r="G68" s="71">
        <f>_xlfn.LET(_xlpm.result,100000 * PRODUCT(F$5:F67),ROUND(_xlpm.result,4-INT(LN(_xlpm.result)/LN(10))))</f>
        <v>34145</v>
      </c>
      <c r="I68" s="65">
        <v>27.97</v>
      </c>
      <c r="J68" s="73">
        <v>64032</v>
      </c>
      <c r="K68" s="58" cm="1">
        <f t="array" ref="K68">_xlfn.LET(_xlpm.result,K$5*PRODUCT(1-I$5:I67/1000),ROUND(_xlpm.result,4-INT(LN(_xlpm.result)/LN(10))))</f>
        <v>64034</v>
      </c>
      <c r="L68" s="58">
        <f t="shared" si="2"/>
        <v>2</v>
      </c>
      <c r="N68" s="65"/>
      <c r="O68" s="77">
        <v>670972</v>
      </c>
      <c r="S68" s="72">
        <v>2.9919999999999999E-2</v>
      </c>
      <c r="T68" s="73">
        <v>68361</v>
      </c>
      <c r="U68" s="58" cm="1">
        <f t="array" ref="U68">_xlfn.LET(_xlpm.result,U$5*PRODUCT(1-S$5:S67),ROUND(_xlpm.result,4-INT(LN(_xlpm.result)/LN(10))))</f>
        <v>68360</v>
      </c>
      <c r="V68" s="58">
        <f t="shared" si="7"/>
        <v>-1</v>
      </c>
      <c r="X68" s="72">
        <v>1.5779999999999999E-2</v>
      </c>
      <c r="Y68" s="73">
        <v>81108</v>
      </c>
      <c r="Z68" s="58" cm="1">
        <f t="array" ref="Z68">_xlfn.LET(_xlpm.result,Z$5*PRODUCT(1-X$5:X67),ROUND(_xlpm.result,4-INT(LN(_xlpm.result)/LN(10))))</f>
        <v>81111</v>
      </c>
      <c r="AA68" s="58">
        <f t="shared" si="4"/>
        <v>3</v>
      </c>
      <c r="AC68" s="72">
        <v>2.1329999999999998E-2</v>
      </c>
      <c r="AD68" s="73">
        <v>75236</v>
      </c>
      <c r="AE68" s="58" cm="1">
        <f t="array" ref="AE68">_xlfn.LET(_xlpm.result,AE$5*PRODUCT(1-AC$5:AC67),ROUND(_xlpm.result,4-INT(LN(_xlpm.result)/LN(10))))</f>
        <v>75236</v>
      </c>
      <c r="AF68" s="58">
        <f t="shared" si="5"/>
        <v>0</v>
      </c>
      <c r="AH68" s="72"/>
      <c r="AI68" s="73">
        <v>80024</v>
      </c>
      <c r="AJ68" s="58" cm="1">
        <f t="array" ref="AJ68">_xlfn.LET(_xlpm.result,AJ$5*PRODUCT(1-AH$5:AH67),ROUND(_xlpm.result,4-INT(LN(_xlpm.result)/LN(10))))</f>
        <v>100000</v>
      </c>
      <c r="AK68" s="58">
        <f t="shared" si="6"/>
        <v>19976</v>
      </c>
    </row>
    <row r="69" spans="1:37" x14ac:dyDescent="0.25">
      <c r="A69" s="55">
        <v>64</v>
      </c>
      <c r="C69" s="65">
        <v>8.1488800000000001</v>
      </c>
      <c r="D69" s="65">
        <v>0.64812000000000003</v>
      </c>
      <c r="E69" s="58" t="b">
        <f t="shared" ref="E69:E100" si="10">ABS((C69+1)/1.04 - C69 - D69)&lt;0.00001</f>
        <v>1</v>
      </c>
      <c r="F69" s="71">
        <f t="shared" ref="F69:F103" si="11">ROUND(1.04 * C69 / (1+C70),5)</f>
        <v>0.95918000000000003</v>
      </c>
      <c r="G69" s="71">
        <f>_xlfn.LET(_xlpm.result,100000 * PRODUCT(F$5:F68),ROUND(_xlpm.result,4-INT(LN(_xlpm.result)/LN(10))))</f>
        <v>32853</v>
      </c>
      <c r="I69" s="65">
        <v>30.12</v>
      </c>
      <c r="J69" s="73">
        <v>62241</v>
      </c>
      <c r="K69" s="58" cm="1">
        <f t="array" ref="K69">_xlfn.LET(_xlpm.result,K$5*PRODUCT(1-I$5:I68/1000),ROUND(_xlpm.result,4-INT(LN(_xlpm.result)/LN(10))))</f>
        <v>62243</v>
      </c>
      <c r="L69" s="58">
        <f t="shared" si="2"/>
        <v>2</v>
      </c>
      <c r="N69" s="65"/>
      <c r="O69" s="77">
        <v>652652</v>
      </c>
      <c r="S69" s="72">
        <v>3.2259999999999997E-2</v>
      </c>
      <c r="T69" s="73">
        <v>66316</v>
      </c>
      <c r="U69" s="58" cm="1">
        <f t="array" ref="U69">_xlfn.LET(_xlpm.result,U$5*PRODUCT(1-S$5:S68),ROUND(_xlpm.result,4-INT(LN(_xlpm.result)/LN(10))))</f>
        <v>66315</v>
      </c>
      <c r="V69" s="58">
        <f t="shared" si="7"/>
        <v>-1</v>
      </c>
      <c r="X69" s="72">
        <v>1.711E-2</v>
      </c>
      <c r="Y69" s="73">
        <v>79828</v>
      </c>
      <c r="Z69" s="58" cm="1">
        <f t="array" ref="Z69">_xlfn.LET(_xlpm.result,Z$5*PRODUCT(1-X$5:X68),ROUND(_xlpm.result,4-INT(LN(_xlpm.result)/LN(10))))</f>
        <v>79831</v>
      </c>
      <c r="AA69" s="58">
        <f t="shared" si="4"/>
        <v>3</v>
      </c>
      <c r="AC69" s="72">
        <v>2.3060000000000001E-2</v>
      </c>
      <c r="AD69" s="73">
        <v>73631</v>
      </c>
      <c r="AE69" s="58" cm="1">
        <f t="array" ref="AE69">_xlfn.LET(_xlpm.result,AE$5*PRODUCT(1-AC$5:AC68),ROUND(_xlpm.result,4-INT(LN(_xlpm.result)/LN(10))))</f>
        <v>73631</v>
      </c>
      <c r="AF69" s="58">
        <f t="shared" si="5"/>
        <v>0</v>
      </c>
      <c r="AH69" s="72"/>
      <c r="AI69" s="73">
        <v>78609</v>
      </c>
      <c r="AJ69" s="58" cm="1">
        <f t="array" ref="AJ69">_xlfn.LET(_xlpm.result,AJ$5*PRODUCT(1-AH$5:AH68),ROUND(_xlpm.result,4-INT(LN(_xlpm.result)/LN(10))))</f>
        <v>100000</v>
      </c>
      <c r="AK69" s="58">
        <f t="shared" si="6"/>
        <v>21391</v>
      </c>
    </row>
    <row r="70" spans="1:37" x14ac:dyDescent="0.25">
      <c r="A70" s="55">
        <v>65</v>
      </c>
      <c r="C70" s="65">
        <v>7.8355199999999998</v>
      </c>
      <c r="D70" s="65">
        <v>0.66017000000000003</v>
      </c>
      <c r="E70" s="58" t="b">
        <f t="shared" si="10"/>
        <v>1</v>
      </c>
      <c r="F70" s="71">
        <f t="shared" si="11"/>
        <v>0.95591000000000004</v>
      </c>
      <c r="G70" s="71">
        <f>_xlfn.LET(_xlpm.result,100000 * PRODUCT(F$5:F69),ROUND(_xlpm.result,4-INT(LN(_xlpm.result)/LN(10))))</f>
        <v>31512</v>
      </c>
      <c r="I70" s="65">
        <v>32.479999999999997</v>
      </c>
      <c r="J70" s="73">
        <v>60366</v>
      </c>
      <c r="K70" s="58" cm="1">
        <f t="array" ref="K70">_xlfn.LET(_xlpm.result,K$5*PRODUCT(1-I$5:I69/1000),ROUND(_xlpm.result,4-INT(LN(_xlpm.result)/LN(10))))</f>
        <v>60368</v>
      </c>
      <c r="L70" s="58">
        <f t="shared" ref="L70:L113" si="12">+K70-J70</f>
        <v>2</v>
      </c>
      <c r="N70" s="65"/>
      <c r="O70" s="77">
        <v>633270</v>
      </c>
      <c r="S70" s="72">
        <v>3.474E-2</v>
      </c>
      <c r="T70" s="73">
        <v>64177</v>
      </c>
      <c r="U70" s="58" cm="1">
        <f t="array" ref="U70">_xlfn.LET(_xlpm.result,U$5*PRODUCT(1-S$5:S69),ROUND(_xlpm.result,4-INT(LN(_xlpm.result)/LN(10))))</f>
        <v>64175</v>
      </c>
      <c r="V70" s="58">
        <f t="shared" si="7"/>
        <v>-2</v>
      </c>
      <c r="X70" s="72">
        <v>1.8540000000000001E-2</v>
      </c>
      <c r="Y70" s="73">
        <v>78462</v>
      </c>
      <c r="Z70" s="58" cm="1">
        <f t="array" ref="Z70">_xlfn.LET(_xlpm.result,Z$5*PRODUCT(1-X$5:X69),ROUND(_xlpm.result,4-INT(LN(_xlpm.result)/LN(10))))</f>
        <v>78465</v>
      </c>
      <c r="AA70" s="58">
        <f t="shared" ref="AA70:AA114" si="13">+Z70-Y70</f>
        <v>3</v>
      </c>
      <c r="AC70" s="72">
        <v>2.495E-2</v>
      </c>
      <c r="AD70" s="73">
        <v>71933</v>
      </c>
      <c r="AE70" s="58" cm="1">
        <f t="array" ref="AE70">_xlfn.LET(_xlpm.result,AE$5*PRODUCT(1-AC$5:AC69),ROUND(_xlpm.result,4-INT(LN(_xlpm.result)/LN(10))))</f>
        <v>71933</v>
      </c>
      <c r="AF70" s="58">
        <f t="shared" ref="AF70:AF114" si="14">+AE70-AD70</f>
        <v>0</v>
      </c>
      <c r="AH70" s="72"/>
      <c r="AI70" s="73">
        <v>77107</v>
      </c>
      <c r="AJ70" s="58" cm="1">
        <f t="array" ref="AJ70">_xlfn.LET(_xlpm.result,AJ$5*PRODUCT(1-AH$5:AH69),ROUND(_xlpm.result,4-INT(LN(_xlpm.result)/LN(10))))</f>
        <v>100000</v>
      </c>
      <c r="AK70" s="58">
        <f t="shared" ref="AK70:AK114" si="15">+AJ70-AI70</f>
        <v>22893</v>
      </c>
    </row>
    <row r="71" spans="1:37" x14ac:dyDescent="0.25">
      <c r="A71" s="55">
        <v>66</v>
      </c>
      <c r="C71" s="65">
        <v>7.5247599999999997</v>
      </c>
      <c r="D71" s="65">
        <v>0.67212000000000005</v>
      </c>
      <c r="E71" s="58" t="b">
        <f t="shared" si="10"/>
        <v>1</v>
      </c>
      <c r="F71" s="71">
        <f t="shared" si="11"/>
        <v>0.95238999999999996</v>
      </c>
      <c r="G71" s="71">
        <f>_xlfn.LET(_xlpm.result,100000 * PRODUCT(F$5:F70),ROUND(_xlpm.result,4-INT(LN(_xlpm.result)/LN(10))))</f>
        <v>30123</v>
      </c>
      <c r="I71" s="65">
        <v>35.090000000000003</v>
      </c>
      <c r="J71" s="73">
        <v>58406</v>
      </c>
      <c r="K71" s="58" cm="1">
        <f t="array" ref="K71">_xlfn.LET(_xlpm.result,K$5*PRODUCT(1-I$5:I70/1000),ROUND(_xlpm.result,4-INT(LN(_xlpm.result)/LN(10))))</f>
        <v>58407</v>
      </c>
      <c r="L71" s="58">
        <f t="shared" si="12"/>
        <v>1</v>
      </c>
      <c r="N71" s="65"/>
      <c r="O71" s="77">
        <v>612814</v>
      </c>
      <c r="S71" s="72">
        <v>3.739E-2</v>
      </c>
      <c r="T71" s="73">
        <v>61947</v>
      </c>
      <c r="U71" s="58" cm="1">
        <f t="array" ref="U71">_xlfn.LET(_xlpm.result,U$5*PRODUCT(1-S$5:S70),ROUND(_xlpm.result,4-INT(LN(_xlpm.result)/LN(10))))</f>
        <v>61946</v>
      </c>
      <c r="V71" s="58">
        <f t="shared" ref="V71:V114" si="16">+U71-T71</f>
        <v>-1</v>
      </c>
      <c r="X71" s="72">
        <v>2.0140000000000002E-2</v>
      </c>
      <c r="Y71" s="73">
        <v>77008</v>
      </c>
      <c r="Z71" s="58" cm="1">
        <f t="array" ref="Z71">_xlfn.LET(_xlpm.result,Z$5*PRODUCT(1-X$5:X70),ROUND(_xlpm.result,4-INT(LN(_xlpm.result)/LN(10))))</f>
        <v>77010</v>
      </c>
      <c r="AA71" s="58">
        <f t="shared" si="13"/>
        <v>2</v>
      </c>
      <c r="AC71" s="72">
        <v>2.699E-2</v>
      </c>
      <c r="AD71" s="73">
        <v>70139</v>
      </c>
      <c r="AE71" s="58" cm="1">
        <f t="array" ref="AE71">_xlfn.LET(_xlpm.result,AE$5*PRODUCT(1-AC$5:AC70),ROUND(_xlpm.result,4-INT(LN(_xlpm.result)/LN(10))))</f>
        <v>70139</v>
      </c>
      <c r="AF71" s="58">
        <f t="shared" si="14"/>
        <v>0</v>
      </c>
      <c r="AH71" s="72"/>
      <c r="AI71" s="73">
        <v>75520</v>
      </c>
      <c r="AJ71" s="58" cm="1">
        <f t="array" ref="AJ71">_xlfn.LET(_xlpm.result,AJ$5*PRODUCT(1-AH$5:AH70),ROUND(_xlpm.result,4-INT(LN(_xlpm.result)/LN(10))))</f>
        <v>100000</v>
      </c>
      <c r="AK71" s="58">
        <f t="shared" si="15"/>
        <v>24480</v>
      </c>
    </row>
    <row r="72" spans="1:37" x14ac:dyDescent="0.25">
      <c r="A72" s="55">
        <v>67</v>
      </c>
      <c r="C72" s="65">
        <v>7.21699</v>
      </c>
      <c r="D72" s="65">
        <v>0.68396999999999997</v>
      </c>
      <c r="E72" s="58" t="b">
        <f t="shared" si="10"/>
        <v>1</v>
      </c>
      <c r="F72" s="71">
        <f t="shared" si="11"/>
        <v>0.94852999999999998</v>
      </c>
      <c r="G72" s="71">
        <f>_xlfn.LET(_xlpm.result,100000 * PRODUCT(F$5:F71),ROUND(_xlpm.result,4-INT(LN(_xlpm.result)/LN(10))))</f>
        <v>28689</v>
      </c>
      <c r="I72" s="65">
        <v>37.979999999999997</v>
      </c>
      <c r="J72" s="73">
        <v>56356</v>
      </c>
      <c r="K72" s="58" cm="1">
        <f t="array" ref="K72">_xlfn.LET(_xlpm.result,K$5*PRODUCT(1-I$5:I71/1000),ROUND(_xlpm.result,4-INT(LN(_xlpm.result)/LN(10))))</f>
        <v>56358</v>
      </c>
      <c r="L72" s="58">
        <f t="shared" si="12"/>
        <v>2</v>
      </c>
      <c r="N72" s="65"/>
      <c r="O72" s="77">
        <v>591278</v>
      </c>
      <c r="S72" s="72">
        <v>4.0169999999999997E-2</v>
      </c>
      <c r="T72" s="73">
        <v>59631</v>
      </c>
      <c r="U72" s="58" cm="1">
        <f t="array" ref="U72">_xlfn.LET(_xlpm.result,U$5*PRODUCT(1-S$5:S71),ROUND(_xlpm.result,4-INT(LN(_xlpm.result)/LN(10))))</f>
        <v>59630</v>
      </c>
      <c r="V72" s="58">
        <f t="shared" si="16"/>
        <v>-1</v>
      </c>
      <c r="X72" s="72">
        <v>2.1989999999999999E-2</v>
      </c>
      <c r="Y72" s="73">
        <v>75457</v>
      </c>
      <c r="Z72" s="58" cm="1">
        <f t="array" ref="Z72">_xlfn.LET(_xlpm.result,Z$5*PRODUCT(1-X$5:X71),ROUND(_xlpm.result,4-INT(LN(_xlpm.result)/LN(10))))</f>
        <v>75459</v>
      </c>
      <c r="AA72" s="58">
        <f t="shared" si="13"/>
        <v>2</v>
      </c>
      <c r="AC72" s="72">
        <v>2.9180000000000001E-2</v>
      </c>
      <c r="AD72" s="73">
        <v>68246</v>
      </c>
      <c r="AE72" s="58" cm="1">
        <f t="array" ref="AE72">_xlfn.LET(_xlpm.result,AE$5*PRODUCT(1-AC$5:AC71),ROUND(_xlpm.result,4-INT(LN(_xlpm.result)/LN(10))))</f>
        <v>68246</v>
      </c>
      <c r="AF72" s="58">
        <f t="shared" si="14"/>
        <v>0</v>
      </c>
      <c r="AH72" s="72"/>
      <c r="AI72" s="73">
        <v>73846</v>
      </c>
      <c r="AJ72" s="58" cm="1">
        <f t="array" ref="AJ72">_xlfn.LET(_xlpm.result,AJ$5*PRODUCT(1-AH$5:AH71),ROUND(_xlpm.result,4-INT(LN(_xlpm.result)/LN(10))))</f>
        <v>100000</v>
      </c>
      <c r="AK72" s="58">
        <f t="shared" si="15"/>
        <v>26154</v>
      </c>
    </row>
    <row r="73" spans="1:37" x14ac:dyDescent="0.25">
      <c r="A73" s="55">
        <v>68</v>
      </c>
      <c r="C73" s="65">
        <v>6.9129800000000001</v>
      </c>
      <c r="D73" s="65">
        <v>0.69564999999999999</v>
      </c>
      <c r="E73" s="58" t="b">
        <f t="shared" si="10"/>
        <v>1</v>
      </c>
      <c r="F73" s="71">
        <f t="shared" si="11"/>
        <v>0.94437000000000004</v>
      </c>
      <c r="G73" s="71">
        <f>_xlfn.LET(_xlpm.result,100000 * PRODUCT(F$5:F72),ROUND(_xlpm.result,4-INT(LN(_xlpm.result)/LN(10))))</f>
        <v>27212</v>
      </c>
      <c r="I73" s="65">
        <v>41.2</v>
      </c>
      <c r="J73" s="73">
        <v>54216</v>
      </c>
      <c r="K73" s="58" cm="1">
        <f t="array" ref="K73">_xlfn.LET(_xlpm.result,K$5*PRODUCT(1-I$5:I72/1000),ROUND(_xlpm.result,4-INT(LN(_xlpm.result)/LN(10))))</f>
        <v>54217</v>
      </c>
      <c r="L73" s="58">
        <f t="shared" si="12"/>
        <v>1</v>
      </c>
      <c r="N73" s="65"/>
      <c r="O73" s="77">
        <v>568670</v>
      </c>
      <c r="S73" s="72">
        <v>4.3069999999999997E-2</v>
      </c>
      <c r="T73" s="73">
        <v>57235</v>
      </c>
      <c r="U73" s="58" cm="1">
        <f t="array" ref="U73">_xlfn.LET(_xlpm.result,U$5*PRODUCT(1-S$5:S72),ROUND(_xlpm.result,4-INT(LN(_xlpm.result)/LN(10))))</f>
        <v>57234</v>
      </c>
      <c r="V73" s="58">
        <f t="shared" si="16"/>
        <v>-1</v>
      </c>
      <c r="X73" s="72">
        <v>2.4150000000000001E-2</v>
      </c>
      <c r="Y73" s="73">
        <v>73798</v>
      </c>
      <c r="Z73" s="58" cm="1">
        <f t="array" ref="Z73">_xlfn.LET(_xlpm.result,Z$5*PRODUCT(1-X$5:X72),ROUND(_xlpm.result,4-INT(LN(_xlpm.result)/LN(10))))</f>
        <v>73800</v>
      </c>
      <c r="AA73" s="58">
        <f t="shared" si="13"/>
        <v>2</v>
      </c>
      <c r="AC73" s="72">
        <v>3.1519999999999999E-2</v>
      </c>
      <c r="AD73" s="73">
        <v>66254</v>
      </c>
      <c r="AE73" s="58" cm="1">
        <f t="array" ref="AE73">_xlfn.LET(_xlpm.result,AE$5*PRODUCT(1-AC$5:AC72),ROUND(_xlpm.result,4-INT(LN(_xlpm.result)/LN(10))))</f>
        <v>66254</v>
      </c>
      <c r="AF73" s="58">
        <f t="shared" si="14"/>
        <v>0</v>
      </c>
      <c r="AH73" s="72"/>
      <c r="AI73" s="73">
        <v>72082</v>
      </c>
      <c r="AJ73" s="58" cm="1">
        <f t="array" ref="AJ73">_xlfn.LET(_xlpm.result,AJ$5*PRODUCT(1-AH$5:AH72),ROUND(_xlpm.result,4-INT(LN(_xlpm.result)/LN(10))))</f>
        <v>100000</v>
      </c>
      <c r="AK73" s="58">
        <f t="shared" si="15"/>
        <v>27918</v>
      </c>
    </row>
    <row r="74" spans="1:37" x14ac:dyDescent="0.25">
      <c r="A74" s="55">
        <v>69</v>
      </c>
      <c r="C74" s="65">
        <v>6.6130100000000001</v>
      </c>
      <c r="D74" s="65">
        <v>0.70718999999999999</v>
      </c>
      <c r="E74" s="58" t="b">
        <f t="shared" si="10"/>
        <v>1</v>
      </c>
      <c r="F74" s="71">
        <f t="shared" si="11"/>
        <v>0.93991999999999998</v>
      </c>
      <c r="G74" s="71">
        <f>_xlfn.LET(_xlpm.result,100000 * PRODUCT(F$5:F73),ROUND(_xlpm.result,4-INT(LN(_xlpm.result)/LN(10))))</f>
        <v>25698</v>
      </c>
      <c r="I74" s="65">
        <v>44.77</v>
      </c>
      <c r="J74" s="73">
        <v>51982</v>
      </c>
      <c r="K74" s="58" cm="1">
        <f t="array" ref="K74">_xlfn.LET(_xlpm.result,K$5*PRODUCT(1-I$5:I73/1000),ROUND(_xlpm.result,4-INT(LN(_xlpm.result)/LN(10))))</f>
        <v>51983</v>
      </c>
      <c r="L74" s="58">
        <f t="shared" si="12"/>
        <v>1</v>
      </c>
      <c r="N74" s="65"/>
      <c r="O74" s="77">
        <v>545011</v>
      </c>
      <c r="S74" s="72">
        <v>4.6120000000000001E-2</v>
      </c>
      <c r="T74" s="73">
        <v>54770</v>
      </c>
      <c r="U74" s="58" cm="1">
        <f t="array" ref="U74">_xlfn.LET(_xlpm.result,U$5*PRODUCT(1-S$5:S73),ROUND(_xlpm.result,4-INT(LN(_xlpm.result)/LN(10))))</f>
        <v>54769</v>
      </c>
      <c r="V74" s="58">
        <f t="shared" si="16"/>
        <v>-1</v>
      </c>
      <c r="X74" s="72">
        <v>2.6610000000000002E-2</v>
      </c>
      <c r="Y74" s="73">
        <v>72016</v>
      </c>
      <c r="Z74" s="58" cm="1">
        <f t="array" ref="Z74">_xlfn.LET(_xlpm.result,Z$5*PRODUCT(1-X$5:X73),ROUND(_xlpm.result,4-INT(LN(_xlpm.result)/LN(10))))</f>
        <v>72018</v>
      </c>
      <c r="AA74" s="58">
        <f t="shared" si="13"/>
        <v>2</v>
      </c>
      <c r="AC74" s="72">
        <v>3.4000000000000002E-2</v>
      </c>
      <c r="AD74" s="73">
        <v>64166</v>
      </c>
      <c r="AE74" s="58" cm="1">
        <f t="array" ref="AE74">_xlfn.LET(_xlpm.result,AE$5*PRODUCT(1-AC$5:AC73),ROUND(_xlpm.result,4-INT(LN(_xlpm.result)/LN(10))))</f>
        <v>64166</v>
      </c>
      <c r="AF74" s="58">
        <f t="shared" si="14"/>
        <v>0</v>
      </c>
      <c r="AH74" s="72"/>
      <c r="AI74" s="73">
        <v>70218</v>
      </c>
      <c r="AJ74" s="58" cm="1">
        <f t="array" ref="AJ74">_xlfn.LET(_xlpm.result,AJ$5*PRODUCT(1-AH$5:AH73),ROUND(_xlpm.result,4-INT(LN(_xlpm.result)/LN(10))))</f>
        <v>100000</v>
      </c>
      <c r="AK74" s="58">
        <f t="shared" si="15"/>
        <v>29782</v>
      </c>
    </row>
    <row r="75" spans="1:37" x14ac:dyDescent="0.25">
      <c r="A75" s="55">
        <v>70</v>
      </c>
      <c r="C75" s="65">
        <v>6.3171600000000003</v>
      </c>
      <c r="D75" s="65">
        <v>0.71857000000000004</v>
      </c>
      <c r="E75" s="58" t="b">
        <f t="shared" si="10"/>
        <v>1</v>
      </c>
      <c r="F75" s="71">
        <f t="shared" si="11"/>
        <v>0.93506</v>
      </c>
      <c r="G75" s="71">
        <f>_xlfn.LET(_xlpm.result,100000 * PRODUCT(F$5:F74),ROUND(_xlpm.result,4-INT(LN(_xlpm.result)/LN(10))))</f>
        <v>24154</v>
      </c>
      <c r="I75" s="65">
        <v>48.73</v>
      </c>
      <c r="J75" s="73">
        <v>49655</v>
      </c>
      <c r="K75" s="58" cm="1">
        <f t="array" ref="K75">_xlfn.LET(_xlpm.result,K$5*PRODUCT(1-I$5:I74/1000),ROUND(_xlpm.result,4-INT(LN(_xlpm.result)/LN(10))))</f>
        <v>49656</v>
      </c>
      <c r="L75" s="58">
        <f t="shared" si="12"/>
        <v>1</v>
      </c>
      <c r="N75" s="65"/>
      <c r="O75" s="77">
        <v>520339</v>
      </c>
      <c r="S75" s="72">
        <v>4.9360000000000001E-2</v>
      </c>
      <c r="T75" s="73">
        <v>52244</v>
      </c>
      <c r="U75" s="58" cm="1">
        <f t="array" ref="U75">_xlfn.LET(_xlpm.result,U$5*PRODUCT(1-S$5:S74),ROUND(_xlpm.result,4-INT(LN(_xlpm.result)/LN(10))))</f>
        <v>52243</v>
      </c>
      <c r="V75" s="58">
        <f t="shared" si="16"/>
        <v>-1</v>
      </c>
      <c r="X75" s="72">
        <v>2.929E-2</v>
      </c>
      <c r="Y75" s="73">
        <v>70100</v>
      </c>
      <c r="Z75" s="58" cm="1">
        <f t="array" ref="Z75">_xlfn.LET(_xlpm.result,Z$5*PRODUCT(1-X$5:X74),ROUND(_xlpm.result,4-INT(LN(_xlpm.result)/LN(10))))</f>
        <v>70101</v>
      </c>
      <c r="AA75" s="58">
        <f t="shared" si="13"/>
        <v>1</v>
      </c>
      <c r="AC75" s="72">
        <v>3.6609999999999997E-2</v>
      </c>
      <c r="AD75" s="73">
        <v>61984</v>
      </c>
      <c r="AE75" s="58" cm="1">
        <f t="array" ref="AE75">_xlfn.LET(_xlpm.result,AE$5*PRODUCT(1-AC$5:AC74),ROUND(_xlpm.result,4-INT(LN(_xlpm.result)/LN(10))))</f>
        <v>61984</v>
      </c>
      <c r="AF75" s="58">
        <f t="shared" si="14"/>
        <v>0</v>
      </c>
      <c r="AH75" s="72"/>
      <c r="AI75" s="73">
        <v>68248</v>
      </c>
      <c r="AJ75" s="58" cm="1">
        <f t="array" ref="AJ75">_xlfn.LET(_xlpm.result,AJ$5*PRODUCT(1-AH$5:AH74),ROUND(_xlpm.result,4-INT(LN(_xlpm.result)/LN(10))))</f>
        <v>100000</v>
      </c>
      <c r="AK75" s="58">
        <f t="shared" si="15"/>
        <v>31752</v>
      </c>
    </row>
    <row r="76" spans="1:37" x14ac:dyDescent="0.25">
      <c r="A76" s="55">
        <v>71</v>
      </c>
      <c r="C76" s="65">
        <v>6.0261199999999997</v>
      </c>
      <c r="D76" s="65">
        <v>0.72975999999999996</v>
      </c>
      <c r="E76" s="58" t="b">
        <f t="shared" si="10"/>
        <v>1</v>
      </c>
      <c r="F76" s="71">
        <f t="shared" si="11"/>
        <v>0.92984</v>
      </c>
      <c r="G76" s="71">
        <f>_xlfn.LET(_xlpm.result,100000 * PRODUCT(F$5:F75),ROUND(_xlpm.result,4-INT(LN(_xlpm.result)/LN(10))))</f>
        <v>22586</v>
      </c>
      <c r="I76" s="65">
        <v>53.12</v>
      </c>
      <c r="J76" s="73">
        <v>47235</v>
      </c>
      <c r="K76" s="58" cm="1">
        <f t="array" ref="K76">_xlfn.LET(_xlpm.result,K$5*PRODUCT(1-I$5:I75/1000),ROUND(_xlpm.result,4-INT(LN(_xlpm.result)/LN(10))))</f>
        <v>47236</v>
      </c>
      <c r="L76" s="58">
        <f t="shared" si="12"/>
        <v>1</v>
      </c>
      <c r="N76" s="65"/>
      <c r="O76" s="77">
        <v>494708</v>
      </c>
      <c r="S76" s="72">
        <v>5.2850000000000001E-2</v>
      </c>
      <c r="T76" s="73">
        <v>49665</v>
      </c>
      <c r="U76" s="58" cm="1">
        <f t="array" ref="U76">_xlfn.LET(_xlpm.result,U$5*PRODUCT(1-S$5:S75),ROUND(_xlpm.result,4-INT(LN(_xlpm.result)/LN(10))))</f>
        <v>49665</v>
      </c>
      <c r="V76" s="58">
        <f t="shared" si="16"/>
        <v>0</v>
      </c>
      <c r="X76" s="72">
        <v>3.2190000000000003E-2</v>
      </c>
      <c r="Y76" s="73">
        <v>68047</v>
      </c>
      <c r="Z76" s="58" cm="1">
        <f t="array" ref="Z76">_xlfn.LET(_xlpm.result,Z$5*PRODUCT(1-X$5:X75),ROUND(_xlpm.result,4-INT(LN(_xlpm.result)/LN(10))))</f>
        <v>68048</v>
      </c>
      <c r="AA76" s="58">
        <f t="shared" si="13"/>
        <v>1</v>
      </c>
      <c r="AC76" s="72">
        <v>3.943E-2</v>
      </c>
      <c r="AD76" s="73">
        <v>59715</v>
      </c>
      <c r="AE76" s="58" cm="1">
        <f t="array" ref="AE76">_xlfn.LET(_xlpm.result,AE$5*PRODUCT(1-AC$5:AC75),ROUND(_xlpm.result,4-INT(LN(_xlpm.result)/LN(10))))</f>
        <v>59715</v>
      </c>
      <c r="AF76" s="58">
        <f t="shared" si="14"/>
        <v>0</v>
      </c>
      <c r="AH76" s="72"/>
      <c r="AI76" s="73">
        <v>66165</v>
      </c>
      <c r="AJ76" s="58" cm="1">
        <f t="array" ref="AJ76">_xlfn.LET(_xlpm.result,AJ$5*PRODUCT(1-AH$5:AH75),ROUND(_xlpm.result,4-INT(LN(_xlpm.result)/LN(10))))</f>
        <v>100000</v>
      </c>
      <c r="AK76" s="58">
        <f t="shared" si="15"/>
        <v>33835</v>
      </c>
    </row>
    <row r="77" spans="1:37" x14ac:dyDescent="0.25">
      <c r="A77" s="55">
        <v>72</v>
      </c>
      <c r="C77" s="65">
        <v>5.74003</v>
      </c>
      <c r="D77" s="65">
        <v>0.74077000000000004</v>
      </c>
      <c r="E77" s="58" t="b">
        <f t="shared" si="10"/>
        <v>1</v>
      </c>
      <c r="F77" s="71">
        <f t="shared" si="11"/>
        <v>0.92418999999999996</v>
      </c>
      <c r="G77" s="71">
        <f>_xlfn.LET(_xlpm.result,100000 * PRODUCT(F$5:F76),ROUND(_xlpm.result,4-INT(LN(_xlpm.result)/LN(10))))</f>
        <v>21001</v>
      </c>
      <c r="I77" s="65">
        <v>57.98</v>
      </c>
      <c r="J77" s="73">
        <v>44726</v>
      </c>
      <c r="K77" s="58" cm="1">
        <f t="array" ref="K77">_xlfn.LET(_xlpm.result,K$5*PRODUCT(1-I$5:I76/1000),ROUND(_xlpm.result,4-INT(LN(_xlpm.result)/LN(10))))</f>
        <v>44727</v>
      </c>
      <c r="L77" s="58">
        <f t="shared" si="12"/>
        <v>1</v>
      </c>
      <c r="N77" s="65"/>
      <c r="O77" s="77">
        <v>468193</v>
      </c>
      <c r="S77" s="72">
        <v>5.6649999999999999E-2</v>
      </c>
      <c r="T77" s="73">
        <v>47040</v>
      </c>
      <c r="U77" s="58" cm="1">
        <f t="array" ref="U77">_xlfn.LET(_xlpm.result,U$5*PRODUCT(1-S$5:S76),ROUND(_xlpm.result,4-INT(LN(_xlpm.result)/LN(10))))</f>
        <v>47040</v>
      </c>
      <c r="V77" s="58">
        <f t="shared" si="16"/>
        <v>0</v>
      </c>
      <c r="X77" s="72">
        <v>3.5459999999999998E-2</v>
      </c>
      <c r="Y77" s="73">
        <v>65856</v>
      </c>
      <c r="Z77" s="58" cm="1">
        <f t="array" ref="Z77">_xlfn.LET(_xlpm.result,Z$5*PRODUCT(1-X$5:X76),ROUND(_xlpm.result,4-INT(LN(_xlpm.result)/LN(10))))</f>
        <v>65858</v>
      </c>
      <c r="AA77" s="58">
        <f t="shared" si="13"/>
        <v>2</v>
      </c>
      <c r="AC77" s="72">
        <v>4.2659999999999997E-2</v>
      </c>
      <c r="AD77" s="73">
        <v>57360</v>
      </c>
      <c r="AE77" s="58" cm="1">
        <f t="array" ref="AE77">_xlfn.LET(_xlpm.result,AE$5*PRODUCT(1-AC$5:AC76),ROUND(_xlpm.result,4-INT(LN(_xlpm.result)/LN(10))))</f>
        <v>57360</v>
      </c>
      <c r="AF77" s="58">
        <f t="shared" si="14"/>
        <v>0</v>
      </c>
      <c r="AH77" s="72"/>
      <c r="AI77" s="73">
        <v>63972</v>
      </c>
      <c r="AJ77" s="58" cm="1">
        <f t="array" ref="AJ77">_xlfn.LET(_xlpm.result,AJ$5*PRODUCT(1-AH$5:AH76),ROUND(_xlpm.result,4-INT(LN(_xlpm.result)/LN(10))))</f>
        <v>100000</v>
      </c>
      <c r="AK77" s="58">
        <f t="shared" si="15"/>
        <v>36028</v>
      </c>
    </row>
    <row r="78" spans="1:37" x14ac:dyDescent="0.25">
      <c r="A78" s="55">
        <v>73</v>
      </c>
      <c r="C78" s="65">
        <v>5.4592799999999997</v>
      </c>
      <c r="D78" s="65">
        <v>0.75156999999999996</v>
      </c>
      <c r="E78" s="58" t="b">
        <f t="shared" si="10"/>
        <v>1</v>
      </c>
      <c r="F78" s="71">
        <f t="shared" si="11"/>
        <v>0.91812000000000005</v>
      </c>
      <c r="G78" s="71">
        <f>_xlfn.LET(_xlpm.result,100000 * PRODUCT(F$5:F77),ROUND(_xlpm.result,4-INT(LN(_xlpm.result)/LN(10))))</f>
        <v>19409</v>
      </c>
      <c r="I78" s="65">
        <v>63.33</v>
      </c>
      <c r="J78" s="73">
        <v>42133</v>
      </c>
      <c r="K78" s="58" cm="1">
        <f t="array" ref="K78">_xlfn.LET(_xlpm.result,K$5*PRODUCT(1-I$5:I77/1000),ROUND(_xlpm.result,4-INT(LN(_xlpm.result)/LN(10))))</f>
        <v>42134</v>
      </c>
      <c r="L78" s="58">
        <f t="shared" si="12"/>
        <v>1</v>
      </c>
      <c r="N78" s="65"/>
      <c r="O78" s="77">
        <v>440891</v>
      </c>
      <c r="S78" s="72">
        <v>6.0830000000000002E-2</v>
      </c>
      <c r="T78" s="73">
        <v>44375</v>
      </c>
      <c r="U78" s="58" cm="1">
        <f t="array" ref="U78">_xlfn.LET(_xlpm.result,U$5*PRODUCT(1-S$5:S77),ROUND(_xlpm.result,4-INT(LN(_xlpm.result)/LN(10))))</f>
        <v>44375</v>
      </c>
      <c r="V78" s="58">
        <f t="shared" si="16"/>
        <v>0</v>
      </c>
      <c r="X78" s="72">
        <v>3.9140000000000001E-2</v>
      </c>
      <c r="Y78" s="73">
        <v>63521</v>
      </c>
      <c r="Z78" s="58" cm="1">
        <f t="array" ref="Z78">_xlfn.LET(_xlpm.result,Z$5*PRODUCT(1-X$5:X77),ROUND(_xlpm.result,4-INT(LN(_xlpm.result)/LN(10))))</f>
        <v>63522</v>
      </c>
      <c r="AA78" s="58">
        <f t="shared" si="13"/>
        <v>1</v>
      </c>
      <c r="AC78" s="72">
        <v>4.6440000000000002E-2</v>
      </c>
      <c r="AD78" s="73">
        <v>54913</v>
      </c>
      <c r="AE78" s="58" cm="1">
        <f t="array" ref="AE78">_xlfn.LET(_xlpm.result,AE$5*PRODUCT(1-AC$5:AC77),ROUND(_xlpm.result,4-INT(LN(_xlpm.result)/LN(10))))</f>
        <v>54913</v>
      </c>
      <c r="AF78" s="58">
        <f t="shared" si="14"/>
        <v>0</v>
      </c>
      <c r="AH78" s="72"/>
      <c r="AI78" s="73">
        <v>61673</v>
      </c>
      <c r="AJ78" s="58" cm="1">
        <f t="array" ref="AJ78">_xlfn.LET(_xlpm.result,AJ$5*PRODUCT(1-AH$5:AH77),ROUND(_xlpm.result,4-INT(LN(_xlpm.result)/LN(10))))</f>
        <v>100000</v>
      </c>
      <c r="AK78" s="58">
        <f t="shared" si="15"/>
        <v>38327</v>
      </c>
    </row>
    <row r="79" spans="1:37" x14ac:dyDescent="0.25">
      <c r="A79" s="55">
        <v>74</v>
      </c>
      <c r="C79" s="65">
        <v>5.1840200000000003</v>
      </c>
      <c r="D79" s="65">
        <v>0.76214999999999999</v>
      </c>
      <c r="E79" s="58" t="b">
        <f t="shared" si="10"/>
        <v>1</v>
      </c>
      <c r="F79" s="71">
        <f t="shared" si="11"/>
        <v>0.91152999999999995</v>
      </c>
      <c r="G79" s="71">
        <f>_xlfn.LET(_xlpm.result,100000 * PRODUCT(F$5:F78),ROUND(_xlpm.result,4-INT(LN(_xlpm.result)/LN(10))))</f>
        <v>17820</v>
      </c>
      <c r="I79" s="65">
        <v>69.180000000000007</v>
      </c>
      <c r="J79" s="73">
        <v>39465</v>
      </c>
      <c r="K79" s="58" cm="1">
        <f t="array" ref="K79">_xlfn.LET(_xlpm.result,K$5*PRODUCT(1-I$5:I78/1000),ROUND(_xlpm.result,4-INT(LN(_xlpm.result)/LN(10))))</f>
        <v>39466</v>
      </c>
      <c r="L79" s="58">
        <f t="shared" si="12"/>
        <v>1</v>
      </c>
      <c r="N79" s="65"/>
      <c r="O79" s="77">
        <v>412921</v>
      </c>
      <c r="S79" s="72">
        <v>6.5409999999999996E-2</v>
      </c>
      <c r="T79" s="73">
        <v>41676</v>
      </c>
      <c r="U79" s="58" cm="1">
        <f t="array" ref="U79">_xlfn.LET(_xlpm.result,U$5*PRODUCT(1-S$5:S78),ROUND(_xlpm.result,4-INT(LN(_xlpm.result)/LN(10))))</f>
        <v>41676</v>
      </c>
      <c r="V79" s="58">
        <f t="shared" si="16"/>
        <v>0</v>
      </c>
      <c r="X79" s="72">
        <v>4.3270000000000003E-2</v>
      </c>
      <c r="Y79" s="73">
        <v>61035</v>
      </c>
      <c r="Z79" s="58" cm="1">
        <f t="array" ref="Z79">_xlfn.LET(_xlpm.result,Z$5*PRODUCT(1-X$5:X78),ROUND(_xlpm.result,4-INT(LN(_xlpm.result)/LN(10))))</f>
        <v>61036</v>
      </c>
      <c r="AA79" s="58">
        <f t="shared" si="13"/>
        <v>1</v>
      </c>
      <c r="AC79" s="72">
        <v>5.0750000000000003E-2</v>
      </c>
      <c r="AD79" s="73">
        <v>52363</v>
      </c>
      <c r="AE79" s="58" cm="1">
        <f t="array" ref="AE79">_xlfn.LET(_xlpm.result,AE$5*PRODUCT(1-AC$5:AC78),ROUND(_xlpm.result,4-INT(LN(_xlpm.result)/LN(10))))</f>
        <v>52363</v>
      </c>
      <c r="AF79" s="58">
        <f t="shared" si="14"/>
        <v>0</v>
      </c>
      <c r="AH79" s="72"/>
      <c r="AI79" s="73">
        <v>59279</v>
      </c>
      <c r="AJ79" s="58" cm="1">
        <f t="array" ref="AJ79">_xlfn.LET(_xlpm.result,AJ$5*PRODUCT(1-AH$5:AH78),ROUND(_xlpm.result,4-INT(LN(_xlpm.result)/LN(10))))</f>
        <v>100000</v>
      </c>
      <c r="AK79" s="58">
        <f t="shared" si="15"/>
        <v>40721</v>
      </c>
    </row>
    <row r="80" spans="1:37" x14ac:dyDescent="0.25">
      <c r="A80" s="55">
        <v>75</v>
      </c>
      <c r="C80" s="65">
        <v>4.9146299999999998</v>
      </c>
      <c r="D80" s="65">
        <v>0.77251000000000003</v>
      </c>
      <c r="E80" s="58" t="b">
        <f t="shared" si="10"/>
        <v>1</v>
      </c>
      <c r="F80" s="71">
        <f t="shared" si="11"/>
        <v>0.90444000000000002</v>
      </c>
      <c r="G80" s="71">
        <f>_xlfn.LET(_xlpm.result,100000 * PRODUCT(F$5:F79),ROUND(_xlpm.result,4-INT(LN(_xlpm.result)/LN(10))))</f>
        <v>16243</v>
      </c>
      <c r="I80" s="65">
        <v>75.540000000000006</v>
      </c>
      <c r="J80" s="73">
        <v>36735</v>
      </c>
      <c r="K80" s="58" cm="1">
        <f t="array" ref="K80">_xlfn.LET(_xlpm.result,K$5*PRODUCT(1-I$5:I79/1000),ROUND(_xlpm.result,4-INT(LN(_xlpm.result)/LN(10))))</f>
        <v>36735</v>
      </c>
      <c r="L80" s="58">
        <f t="shared" si="12"/>
        <v>0</v>
      </c>
      <c r="N80" s="65"/>
      <c r="O80" s="77">
        <v>384425</v>
      </c>
      <c r="S80" s="72">
        <v>7.0349999999999996E-2</v>
      </c>
      <c r="T80" s="73">
        <v>38950</v>
      </c>
      <c r="U80" s="58" cm="1">
        <f t="array" ref="U80">_xlfn.LET(_xlpm.result,U$5*PRODUCT(1-S$5:S79),ROUND(_xlpm.result,4-INT(LN(_xlpm.result)/LN(10))))</f>
        <v>38950</v>
      </c>
      <c r="V80" s="58">
        <f t="shared" si="16"/>
        <v>0</v>
      </c>
      <c r="X80" s="72">
        <v>4.7669999999999997E-2</v>
      </c>
      <c r="Y80" s="73">
        <v>58394</v>
      </c>
      <c r="Z80" s="58" cm="1">
        <f t="array" ref="Z80">_xlfn.LET(_xlpm.result,Z$5*PRODUCT(1-X$5:X79),ROUND(_xlpm.result,4-INT(LN(_xlpm.result)/LN(10))))</f>
        <v>58395</v>
      </c>
      <c r="AA80" s="58">
        <f t="shared" si="13"/>
        <v>1</v>
      </c>
      <c r="AC80" s="72">
        <v>5.552E-2</v>
      </c>
      <c r="AD80" s="73">
        <v>49705</v>
      </c>
      <c r="AE80" s="58" cm="1">
        <f t="array" ref="AE80">_xlfn.LET(_xlpm.result,AE$5*PRODUCT(1-AC$5:AC79),ROUND(_xlpm.result,4-INT(LN(_xlpm.result)/LN(10))))</f>
        <v>49706</v>
      </c>
      <c r="AF80" s="58">
        <f t="shared" si="14"/>
        <v>1</v>
      </c>
      <c r="AH80" s="72"/>
      <c r="AI80" s="73">
        <v>56799</v>
      </c>
      <c r="AJ80" s="58" cm="1">
        <f t="array" ref="AJ80">_xlfn.LET(_xlpm.result,AJ$5*PRODUCT(1-AH$5:AH79),ROUND(_xlpm.result,4-INT(LN(_xlpm.result)/LN(10))))</f>
        <v>100000</v>
      </c>
      <c r="AK80" s="58">
        <f t="shared" si="15"/>
        <v>43201</v>
      </c>
    </row>
    <row r="81" spans="1:37" x14ac:dyDescent="0.25">
      <c r="A81" s="55">
        <v>76</v>
      </c>
      <c r="C81" s="65">
        <v>4.6512500000000001</v>
      </c>
      <c r="D81" s="65">
        <v>0.78264</v>
      </c>
      <c r="E81" s="58" t="b">
        <f t="shared" si="10"/>
        <v>1</v>
      </c>
      <c r="F81" s="71">
        <f t="shared" si="11"/>
        <v>0.89681999999999995</v>
      </c>
      <c r="G81" s="71">
        <f>_xlfn.LET(_xlpm.result,100000 * PRODUCT(F$5:F80),ROUND(_xlpm.result,4-INT(LN(_xlpm.result)/LN(10))))</f>
        <v>14691</v>
      </c>
      <c r="I81" s="65">
        <v>82.39</v>
      </c>
      <c r="J81" s="73">
        <v>33960</v>
      </c>
      <c r="K81" s="58" cm="1">
        <f t="array" ref="K81">_xlfn.LET(_xlpm.result,K$5*PRODUCT(1-I$5:I80/1000),ROUND(_xlpm.result,4-INT(LN(_xlpm.result)/LN(10))))</f>
        <v>33960</v>
      </c>
      <c r="L81" s="58">
        <f t="shared" si="12"/>
        <v>0</v>
      </c>
      <c r="N81" s="65"/>
      <c r="O81" s="77">
        <v>355571</v>
      </c>
      <c r="S81" s="72">
        <v>7.571E-2</v>
      </c>
      <c r="T81" s="73">
        <v>36210</v>
      </c>
      <c r="U81" s="58" cm="1">
        <f t="array" ref="U81">_xlfn.LET(_xlpm.result,U$5*PRODUCT(1-S$5:S80),ROUND(_xlpm.result,4-INT(LN(_xlpm.result)/LN(10))))</f>
        <v>36210</v>
      </c>
      <c r="V81" s="58">
        <f t="shared" si="16"/>
        <v>0</v>
      </c>
      <c r="X81" s="72">
        <v>5.246E-2</v>
      </c>
      <c r="Y81" s="73">
        <v>55610</v>
      </c>
      <c r="Z81" s="58" cm="1">
        <f t="array" ref="Z81">_xlfn.LET(_xlpm.result,Z$5*PRODUCT(1-X$5:X80),ROUND(_xlpm.result,4-INT(LN(_xlpm.result)/LN(10))))</f>
        <v>55611</v>
      </c>
      <c r="AA81" s="58">
        <f t="shared" si="13"/>
        <v>1</v>
      </c>
      <c r="AC81" s="72">
        <v>6.0600000000000001E-2</v>
      </c>
      <c r="AD81" s="73">
        <v>46946</v>
      </c>
      <c r="AE81" s="58" cm="1">
        <f t="array" ref="AE81">_xlfn.LET(_xlpm.result,AE$5*PRODUCT(1-AC$5:AC80),ROUND(_xlpm.result,4-INT(LN(_xlpm.result)/LN(10))))</f>
        <v>46946</v>
      </c>
      <c r="AF81" s="58">
        <f t="shared" si="14"/>
        <v>0</v>
      </c>
      <c r="AH81" s="72"/>
      <c r="AI81" s="73">
        <v>54239</v>
      </c>
      <c r="AJ81" s="58" cm="1">
        <f t="array" ref="AJ81">_xlfn.LET(_xlpm.result,AJ$5*PRODUCT(1-AH$5:AH80),ROUND(_xlpm.result,4-INT(LN(_xlpm.result)/LN(10))))</f>
        <v>100000</v>
      </c>
      <c r="AK81" s="58">
        <f t="shared" si="15"/>
        <v>45761</v>
      </c>
    </row>
    <row r="82" spans="1:37" x14ac:dyDescent="0.25">
      <c r="A82" s="55">
        <v>77</v>
      </c>
      <c r="C82" s="65">
        <v>4.3938300000000003</v>
      </c>
      <c r="D82" s="65">
        <v>0.79254000000000002</v>
      </c>
      <c r="E82" s="58" t="b">
        <f t="shared" si="10"/>
        <v>1</v>
      </c>
      <c r="F82" s="71">
        <f t="shared" si="11"/>
        <v>0.88853000000000004</v>
      </c>
      <c r="G82" s="71">
        <f>_xlfn.LET(_xlpm.result,100000 * PRODUCT(F$5:F81),ROUND(_xlpm.result,4-INT(LN(_xlpm.result)/LN(10))))</f>
        <v>13175</v>
      </c>
      <c r="I82" s="65">
        <v>89.75</v>
      </c>
      <c r="J82" s="73">
        <v>31162</v>
      </c>
      <c r="K82" s="58" cm="1">
        <f t="array" ref="K82">_xlfn.LET(_xlpm.result,K$5*PRODUCT(1-I$5:I81/1000),ROUND(_xlpm.result,4-INT(LN(_xlpm.result)/LN(10))))</f>
        <v>31162</v>
      </c>
      <c r="L82" s="58">
        <f t="shared" si="12"/>
        <v>0</v>
      </c>
      <c r="N82" s="65"/>
      <c r="O82" s="77">
        <v>326551</v>
      </c>
      <c r="S82" s="72">
        <v>8.1759999999999999E-2</v>
      </c>
      <c r="T82" s="73">
        <v>33468</v>
      </c>
      <c r="U82" s="58" cm="1">
        <f t="array" ref="U82">_xlfn.LET(_xlpm.result,U$5*PRODUCT(1-S$5:S81),ROUND(_xlpm.result,4-INT(LN(_xlpm.result)/LN(10))))</f>
        <v>33468</v>
      </c>
      <c r="V82" s="58">
        <f t="shared" si="16"/>
        <v>0</v>
      </c>
      <c r="X82" s="72">
        <v>5.8040000000000001E-2</v>
      </c>
      <c r="Y82" s="73">
        <v>52693</v>
      </c>
      <c r="Z82" s="58" cm="1">
        <f t="array" ref="Z82">_xlfn.LET(_xlpm.result,Z$5*PRODUCT(1-X$5:X81),ROUND(_xlpm.result,4-INT(LN(_xlpm.result)/LN(10))))</f>
        <v>52694</v>
      </c>
      <c r="AA82" s="58">
        <f t="shared" si="13"/>
        <v>1</v>
      </c>
      <c r="AC82" s="72">
        <v>6.5960000000000005E-2</v>
      </c>
      <c r="AD82" s="73">
        <v>44101</v>
      </c>
      <c r="AE82" s="58" cm="1">
        <f t="array" ref="AE82">_xlfn.LET(_xlpm.result,AE$5*PRODUCT(1-AC$5:AC81),ROUND(_xlpm.result,4-INT(LN(_xlpm.result)/LN(10))))</f>
        <v>44101</v>
      </c>
      <c r="AF82" s="58">
        <f t="shared" si="14"/>
        <v>0</v>
      </c>
      <c r="AH82" s="72"/>
      <c r="AI82" s="73">
        <v>51599</v>
      </c>
      <c r="AJ82" s="58" cm="1">
        <f t="array" ref="AJ82">_xlfn.LET(_xlpm.result,AJ$5*PRODUCT(1-AH$5:AH81),ROUND(_xlpm.result,4-INT(LN(_xlpm.result)/LN(10))))</f>
        <v>100000</v>
      </c>
      <c r="AK82" s="58">
        <f t="shared" si="15"/>
        <v>48401</v>
      </c>
    </row>
    <row r="83" spans="1:37" x14ac:dyDescent="0.25">
      <c r="A83" s="55">
        <v>78</v>
      </c>
      <c r="C83" s="65">
        <v>4.1428599999999998</v>
      </c>
      <c r="D83" s="65">
        <v>0.80220000000000002</v>
      </c>
      <c r="E83" s="58" t="b">
        <f t="shared" si="10"/>
        <v>1</v>
      </c>
      <c r="F83" s="71">
        <f t="shared" si="11"/>
        <v>0.87956000000000001</v>
      </c>
      <c r="G83" s="71">
        <f>_xlfn.LET(_xlpm.result,100000 * PRODUCT(F$5:F82),ROUND(_xlpm.result,4-INT(LN(_xlpm.result)/LN(10))))</f>
        <v>11707</v>
      </c>
      <c r="I83" s="65">
        <v>97.61</v>
      </c>
      <c r="J83" s="73">
        <v>28365</v>
      </c>
      <c r="K83" s="58" cm="1">
        <f t="array" ref="K83">_xlfn.LET(_xlpm.result,K$5*PRODUCT(1-I$5:I82/1000),ROUND(_xlpm.result,4-INT(LN(_xlpm.result)/LN(10))))</f>
        <v>28366</v>
      </c>
      <c r="L83" s="58">
        <f t="shared" si="12"/>
        <v>1</v>
      </c>
      <c r="N83" s="65"/>
      <c r="O83" s="77">
        <v>297576</v>
      </c>
      <c r="S83" s="72">
        <v>8.8700000000000001E-2</v>
      </c>
      <c r="T83" s="73">
        <v>30732</v>
      </c>
      <c r="U83" s="58" cm="1">
        <f t="array" ref="U83">_xlfn.LET(_xlpm.result,U$5*PRODUCT(1-S$5:S82),ROUND(_xlpm.result,4-INT(LN(_xlpm.result)/LN(10))))</f>
        <v>30732</v>
      </c>
      <c r="V83" s="58">
        <f t="shared" si="16"/>
        <v>0</v>
      </c>
      <c r="X83" s="72">
        <v>6.4689999999999998E-2</v>
      </c>
      <c r="Y83" s="73">
        <v>49635</v>
      </c>
      <c r="Z83" s="58" cm="1">
        <f t="array" ref="Z83">_xlfn.LET(_xlpm.result,Z$5*PRODUCT(1-X$5:X82),ROUND(_xlpm.result,4-INT(LN(_xlpm.result)/LN(10))))</f>
        <v>49636</v>
      </c>
      <c r="AA83" s="58">
        <f t="shared" si="13"/>
        <v>1</v>
      </c>
      <c r="AC83" s="72">
        <v>7.1529999999999996E-2</v>
      </c>
      <c r="AD83" s="73">
        <v>41192</v>
      </c>
      <c r="AE83" s="58" cm="1">
        <f t="array" ref="AE83">_xlfn.LET(_xlpm.result,AE$5*PRODUCT(1-AC$5:AC82),ROUND(_xlpm.result,4-INT(LN(_xlpm.result)/LN(10))))</f>
        <v>41192</v>
      </c>
      <c r="AF83" s="58">
        <f t="shared" si="14"/>
        <v>0</v>
      </c>
      <c r="AH83" s="72"/>
      <c r="AI83" s="73">
        <v>48878</v>
      </c>
      <c r="AJ83" s="58" cm="1">
        <f t="array" ref="AJ83">_xlfn.LET(_xlpm.result,AJ$5*PRODUCT(1-AH$5:AH82),ROUND(_xlpm.result,4-INT(LN(_xlpm.result)/LN(10))))</f>
        <v>100000</v>
      </c>
      <c r="AK83" s="58">
        <f t="shared" si="15"/>
        <v>51122</v>
      </c>
    </row>
    <row r="84" spans="1:37" x14ac:dyDescent="0.25">
      <c r="A84" s="55">
        <v>79</v>
      </c>
      <c r="C84" s="65">
        <v>3.8985799999999999</v>
      </c>
      <c r="D84" s="65">
        <v>0.81159000000000003</v>
      </c>
      <c r="E84" s="58" t="b">
        <f t="shared" si="10"/>
        <v>1</v>
      </c>
      <c r="F84" s="71">
        <f t="shared" si="11"/>
        <v>0.86994000000000005</v>
      </c>
      <c r="G84" s="71">
        <f>_xlfn.LET(_xlpm.result,100000 * PRODUCT(F$5:F83),ROUND(_xlpm.result,4-INT(LN(_xlpm.result)/LN(10))))</f>
        <v>10297</v>
      </c>
      <c r="I84" s="65">
        <v>105.99</v>
      </c>
      <c r="J84" s="73">
        <v>25596</v>
      </c>
      <c r="K84" s="58" cm="1">
        <f t="array" ref="K84">_xlfn.LET(_xlpm.result,K$5*PRODUCT(1-I$5:I83/1000),ROUND(_xlpm.result,4-INT(LN(_xlpm.result)/LN(10))))</f>
        <v>25597</v>
      </c>
      <c r="L84" s="58">
        <f t="shared" si="12"/>
        <v>1</v>
      </c>
      <c r="N84" s="65"/>
      <c r="O84" s="77">
        <v>268877</v>
      </c>
      <c r="S84" s="72">
        <v>9.6610000000000001E-2</v>
      </c>
      <c r="T84" s="73">
        <v>28006</v>
      </c>
      <c r="U84" s="58" cm="1">
        <f t="array" ref="U84">_xlfn.LET(_xlpm.result,U$5*PRODUCT(1-S$5:S83),ROUND(_xlpm.result,4-INT(LN(_xlpm.result)/LN(10))))</f>
        <v>28006</v>
      </c>
      <c r="V84" s="58">
        <f t="shared" si="16"/>
        <v>0</v>
      </c>
      <c r="X84" s="72">
        <v>7.2400000000000006E-2</v>
      </c>
      <c r="Y84" s="73">
        <v>46424</v>
      </c>
      <c r="Z84" s="58" cm="1">
        <f t="array" ref="Z84">_xlfn.LET(_xlpm.result,Z$5*PRODUCT(1-X$5:X83),ROUND(_xlpm.result,4-INT(LN(_xlpm.result)/LN(10))))</f>
        <v>46425</v>
      </c>
      <c r="AA84" s="58">
        <f t="shared" si="13"/>
        <v>1</v>
      </c>
      <c r="AC84" s="72">
        <v>7.7410000000000007E-2</v>
      </c>
      <c r="AD84" s="73">
        <v>38245</v>
      </c>
      <c r="AE84" s="58" cm="1">
        <f t="array" ref="AE84">_xlfn.LET(_xlpm.result,AE$5*PRODUCT(1-AC$5:AC83),ROUND(_xlpm.result,4-INT(LN(_xlpm.result)/LN(10))))</f>
        <v>38246</v>
      </c>
      <c r="AF84" s="58">
        <f t="shared" si="14"/>
        <v>1</v>
      </c>
      <c r="AH84" s="72"/>
      <c r="AI84" s="73">
        <v>46071</v>
      </c>
      <c r="AJ84" s="58" cm="1">
        <f t="array" ref="AJ84">_xlfn.LET(_xlpm.result,AJ$5*PRODUCT(1-AH$5:AH83),ROUND(_xlpm.result,4-INT(LN(_xlpm.result)/LN(10))))</f>
        <v>100000</v>
      </c>
      <c r="AK84" s="58">
        <f t="shared" si="15"/>
        <v>53929</v>
      </c>
    </row>
    <row r="85" spans="1:37" x14ac:dyDescent="0.25">
      <c r="A85" s="55">
        <v>80</v>
      </c>
      <c r="C85" s="65">
        <v>3.6607099999999999</v>
      </c>
      <c r="D85" s="65">
        <v>0.82074000000000003</v>
      </c>
      <c r="E85" s="58" t="b">
        <f t="shared" si="10"/>
        <v>1</v>
      </c>
      <c r="F85" s="71">
        <f t="shared" si="11"/>
        <v>0.85958999999999997</v>
      </c>
      <c r="G85" s="71">
        <f>_xlfn.LET(_xlpm.result,100000 * PRODUCT(F$5:F84),ROUND(_xlpm.result,4-INT(LN(_xlpm.result)/LN(10))))</f>
        <v>8957.5</v>
      </c>
      <c r="I85" s="65">
        <v>114.91</v>
      </c>
      <c r="J85" s="73">
        <v>22883</v>
      </c>
      <c r="K85" s="58" cm="1">
        <f t="array" ref="K85">_xlfn.LET(_xlpm.result,K$5*PRODUCT(1-I$5:I84/1000),ROUND(_xlpm.result,4-INT(LN(_xlpm.result)/LN(10))))</f>
        <v>22884</v>
      </c>
      <c r="L85" s="58">
        <f t="shared" si="12"/>
        <v>1</v>
      </c>
      <c r="N85" s="65"/>
      <c r="O85" s="77">
        <v>240702</v>
      </c>
      <c r="S85" s="72">
        <v>0.10598</v>
      </c>
      <c r="T85" s="73">
        <v>25300</v>
      </c>
      <c r="U85" s="58" cm="1">
        <f t="array" ref="U85">_xlfn.LET(_xlpm.result,U$5*PRODUCT(1-S$5:S84),ROUND(_xlpm.result,4-INT(LN(_xlpm.result)/LN(10))))</f>
        <v>25300</v>
      </c>
      <c r="V85" s="58">
        <f t="shared" si="16"/>
        <v>0</v>
      </c>
      <c r="X85" s="72">
        <v>8.1439999999999999E-2</v>
      </c>
      <c r="Y85" s="73">
        <v>43063</v>
      </c>
      <c r="Z85" s="58" cm="1">
        <f t="array" ref="Z85">_xlfn.LET(_xlpm.result,Z$5*PRODUCT(1-X$5:X84),ROUND(_xlpm.result,4-INT(LN(_xlpm.result)/LN(10))))</f>
        <v>43064</v>
      </c>
      <c r="AA85" s="58">
        <f t="shared" si="13"/>
        <v>1</v>
      </c>
      <c r="AC85" s="72">
        <v>8.3940000000000001E-2</v>
      </c>
      <c r="AD85" s="73">
        <v>35285</v>
      </c>
      <c r="AE85" s="58" cm="1">
        <f t="array" ref="AE85">_xlfn.LET(_xlpm.result,AE$5*PRODUCT(1-AC$5:AC84),ROUND(_xlpm.result,4-INT(LN(_xlpm.result)/LN(10))))</f>
        <v>35285</v>
      </c>
      <c r="AF85" s="58">
        <f t="shared" si="14"/>
        <v>0</v>
      </c>
      <c r="AH85" s="72"/>
      <c r="AI85" s="73">
        <v>43180</v>
      </c>
      <c r="AJ85" s="58" cm="1">
        <f t="array" ref="AJ85">_xlfn.LET(_xlpm.result,AJ$5*PRODUCT(1-AH$5:AH84),ROUND(_xlpm.result,4-INT(LN(_xlpm.result)/LN(10))))</f>
        <v>100000</v>
      </c>
      <c r="AK85" s="58">
        <f t="shared" si="15"/>
        <v>56820</v>
      </c>
    </row>
    <row r="86" spans="1:37" x14ac:dyDescent="0.25">
      <c r="A86" s="55">
        <v>81</v>
      </c>
      <c r="C86" s="65">
        <v>3.4289999999999998</v>
      </c>
      <c r="D86" s="65">
        <v>0.82965</v>
      </c>
      <c r="E86" s="58" t="b">
        <f t="shared" si="10"/>
        <v>1</v>
      </c>
      <c r="F86" s="71">
        <f t="shared" si="11"/>
        <v>0.84855999999999998</v>
      </c>
      <c r="G86" s="71">
        <f>_xlfn.LET(_xlpm.result,100000 * PRODUCT(F$5:F85),ROUND(_xlpm.result,4-INT(LN(_xlpm.result)/LN(10))))</f>
        <v>7699.8</v>
      </c>
      <c r="I86" s="65">
        <v>124.38</v>
      </c>
      <c r="J86" s="73">
        <v>20254</v>
      </c>
      <c r="K86" s="58" cm="1">
        <f t="array" ref="K86">_xlfn.LET(_xlpm.result,K$5*PRODUCT(1-I$5:I85/1000),ROUND(_xlpm.result,4-INT(LN(_xlpm.result)/LN(10))))</f>
        <v>20254</v>
      </c>
      <c r="L86" s="58">
        <f t="shared" si="12"/>
        <v>0</v>
      </c>
      <c r="N86" s="65"/>
      <c r="O86" s="77">
        <v>213305</v>
      </c>
      <c r="S86" s="72">
        <v>0.11654</v>
      </c>
      <c r="T86" s="73">
        <v>22619</v>
      </c>
      <c r="U86" s="58" cm="1">
        <f t="array" ref="U86">_xlfn.LET(_xlpm.result,U$5*PRODUCT(1-S$5:S85),ROUND(_xlpm.result,4-INT(LN(_xlpm.result)/LN(10))))</f>
        <v>22619</v>
      </c>
      <c r="V86" s="58">
        <f t="shared" si="16"/>
        <v>0</v>
      </c>
      <c r="X86" s="72">
        <v>9.1429999999999997E-2</v>
      </c>
      <c r="Y86" s="73">
        <v>39555</v>
      </c>
      <c r="Z86" s="58" cm="1">
        <f t="array" ref="Z86">_xlfn.LET(_xlpm.result,Z$5*PRODUCT(1-X$5:X85),ROUND(_xlpm.result,4-INT(LN(_xlpm.result)/LN(10))))</f>
        <v>39556</v>
      </c>
      <c r="AA86" s="58">
        <f t="shared" si="13"/>
        <v>1</v>
      </c>
      <c r="AC86" s="72">
        <v>9.1219999999999996E-2</v>
      </c>
      <c r="AD86" s="73">
        <v>32323</v>
      </c>
      <c r="AE86" s="58" cm="1">
        <f t="array" ref="AE86">_xlfn.LET(_xlpm.result,AE$5*PRODUCT(1-AC$5:AC85),ROUND(_xlpm.result,4-INT(LN(_xlpm.result)/LN(10))))</f>
        <v>32323</v>
      </c>
      <c r="AF86" s="58">
        <f t="shared" si="14"/>
        <v>0</v>
      </c>
      <c r="AH86" s="72"/>
      <c r="AI86" s="73">
        <v>40208</v>
      </c>
      <c r="AJ86" s="58" cm="1">
        <f t="array" ref="AJ86">_xlfn.LET(_xlpm.result,AJ$5*PRODUCT(1-AH$5:AH85),ROUND(_xlpm.result,4-INT(LN(_xlpm.result)/LN(10))))</f>
        <v>100000</v>
      </c>
      <c r="AK86" s="58">
        <f t="shared" si="15"/>
        <v>59792</v>
      </c>
    </row>
    <row r="87" spans="1:37" x14ac:dyDescent="0.25">
      <c r="A87" s="55">
        <v>82</v>
      </c>
      <c r="C87" s="65">
        <v>3.2025800000000002</v>
      </c>
      <c r="D87" s="65">
        <v>0.83835999999999999</v>
      </c>
      <c r="E87" s="58" t="b">
        <f t="shared" si="10"/>
        <v>1</v>
      </c>
      <c r="F87" s="71">
        <f t="shared" si="11"/>
        <v>0.83679999999999999</v>
      </c>
      <c r="G87" s="71">
        <f>_xlfn.LET(_xlpm.result,100000 * PRODUCT(F$5:F86),ROUND(_xlpm.result,4-INT(LN(_xlpm.result)/LN(10))))</f>
        <v>6533.7</v>
      </c>
      <c r="I87" s="65">
        <v>134.44</v>
      </c>
      <c r="J87" s="73">
        <v>17735</v>
      </c>
      <c r="K87" s="58" cm="1">
        <f t="array" ref="K87">_xlfn.LET(_xlpm.result,K$5*PRODUCT(1-I$5:I86/1000),ROUND(_xlpm.result,4-INT(LN(_xlpm.result)/LN(10))))</f>
        <v>17735</v>
      </c>
      <c r="L87" s="58">
        <f t="shared" si="12"/>
        <v>0</v>
      </c>
      <c r="N87" s="65"/>
      <c r="O87" s="77">
        <v>186944</v>
      </c>
      <c r="S87" s="72">
        <v>0.12731999999999999</v>
      </c>
      <c r="T87" s="73">
        <v>19983</v>
      </c>
      <c r="U87" s="58" cm="1">
        <f t="array" ref="U87">_xlfn.LET(_xlpm.result,U$5*PRODUCT(1-S$5:S86),ROUND(_xlpm.result,4-INT(LN(_xlpm.result)/LN(10))))</f>
        <v>19983</v>
      </c>
      <c r="V87" s="58">
        <f t="shared" si="16"/>
        <v>0</v>
      </c>
      <c r="X87" s="72">
        <v>0.10154000000000001</v>
      </c>
      <c r="Y87" s="73">
        <v>35939</v>
      </c>
      <c r="Z87" s="58" cm="1">
        <f t="array" ref="Z87">_xlfn.LET(_xlpm.result,Z$5*PRODUCT(1-X$5:X86),ROUND(_xlpm.result,4-INT(LN(_xlpm.result)/LN(10))))</f>
        <v>35940</v>
      </c>
      <c r="AA87" s="58">
        <f t="shared" si="13"/>
        <v>1</v>
      </c>
      <c r="AC87" s="72">
        <v>9.8919999999999994E-2</v>
      </c>
      <c r="AD87" s="73">
        <v>29375</v>
      </c>
      <c r="AE87" s="58" cm="1">
        <f t="array" ref="AE87">_xlfn.LET(_xlpm.result,AE$5*PRODUCT(1-AC$5:AC86),ROUND(_xlpm.result,4-INT(LN(_xlpm.result)/LN(10))))</f>
        <v>29375</v>
      </c>
      <c r="AF87" s="58">
        <f t="shared" si="14"/>
        <v>0</v>
      </c>
      <c r="AH87" s="72"/>
      <c r="AI87" s="73">
        <v>37172</v>
      </c>
      <c r="AJ87" s="58" cm="1">
        <f t="array" ref="AJ87">_xlfn.LET(_xlpm.result,AJ$5*PRODUCT(1-AH$5:AH86),ROUND(_xlpm.result,4-INT(LN(_xlpm.result)/LN(10))))</f>
        <v>100000</v>
      </c>
      <c r="AK87" s="58">
        <f t="shared" si="15"/>
        <v>62828</v>
      </c>
    </row>
    <row r="88" spans="1:37" x14ac:dyDescent="0.25">
      <c r="A88" s="55">
        <v>83</v>
      </c>
      <c r="C88" s="65">
        <v>2.9802399999999998</v>
      </c>
      <c r="D88" s="65">
        <v>0.84691000000000005</v>
      </c>
      <c r="E88" s="58" t="b">
        <f t="shared" si="10"/>
        <v>1</v>
      </c>
      <c r="F88" s="71">
        <f t="shared" si="11"/>
        <v>0.82408999999999999</v>
      </c>
      <c r="G88" s="71">
        <f>_xlfn.LET(_xlpm.result,100000 * PRODUCT(F$5:F87),ROUND(_xlpm.result,4-INT(LN(_xlpm.result)/LN(10))))</f>
        <v>5467.4</v>
      </c>
      <c r="I88" s="65">
        <v>145.08000000000001</v>
      </c>
      <c r="J88" s="73">
        <v>15350</v>
      </c>
      <c r="K88" s="58" cm="1">
        <f t="array" ref="K88">_xlfn.LET(_xlpm.result,K$5*PRODUCT(1-I$5:I87/1000),ROUND(_xlpm.result,4-INT(LN(_xlpm.result)/LN(10))))</f>
        <v>15351</v>
      </c>
      <c r="L88" s="58">
        <f t="shared" si="12"/>
        <v>1</v>
      </c>
      <c r="N88" s="65"/>
      <c r="O88" s="77">
        <v>161870</v>
      </c>
      <c r="S88" s="72">
        <v>0.13728000000000001</v>
      </c>
      <c r="T88" s="73">
        <v>17439</v>
      </c>
      <c r="U88" s="58" cm="1">
        <f t="array" ref="U88">_xlfn.LET(_xlpm.result,U$5*PRODUCT(1-S$5:S87),ROUND(_xlpm.result,4-INT(LN(_xlpm.result)/LN(10))))</f>
        <v>17439</v>
      </c>
      <c r="V88" s="58">
        <f t="shared" si="16"/>
        <v>0</v>
      </c>
      <c r="X88" s="72">
        <v>0.11096</v>
      </c>
      <c r="Y88" s="73">
        <v>32290</v>
      </c>
      <c r="Z88" s="58" cm="1">
        <f t="array" ref="Z88">_xlfn.LET(_xlpm.result,Z$5*PRODUCT(1-X$5:X87),ROUND(_xlpm.result,4-INT(LN(_xlpm.result)/LN(10))))</f>
        <v>32290</v>
      </c>
      <c r="AA88" s="58">
        <f t="shared" si="13"/>
        <v>0</v>
      </c>
      <c r="AC88" s="72">
        <v>0.10695</v>
      </c>
      <c r="AD88" s="73">
        <v>26469</v>
      </c>
      <c r="AE88" s="58" cm="1">
        <f t="array" ref="AE88">_xlfn.LET(_xlpm.result,AE$5*PRODUCT(1-AC$5:AC87),ROUND(_xlpm.result,4-INT(LN(_xlpm.result)/LN(10))))</f>
        <v>26469</v>
      </c>
      <c r="AF88" s="58">
        <f t="shared" si="14"/>
        <v>0</v>
      </c>
      <c r="AH88" s="72"/>
      <c r="AI88" s="73">
        <v>34095</v>
      </c>
      <c r="AJ88" s="58" cm="1">
        <f t="array" ref="AJ88">_xlfn.LET(_xlpm.result,AJ$5*PRODUCT(1-AH$5:AH87),ROUND(_xlpm.result,4-INT(LN(_xlpm.result)/LN(10))))</f>
        <v>100000</v>
      </c>
      <c r="AK88" s="58">
        <f t="shared" si="15"/>
        <v>65905</v>
      </c>
    </row>
    <row r="89" spans="1:37" x14ac:dyDescent="0.25">
      <c r="A89" s="55">
        <v>84</v>
      </c>
      <c r="C89" s="65">
        <v>2.7610600000000001</v>
      </c>
      <c r="D89" s="65">
        <v>0.85533999999999999</v>
      </c>
      <c r="E89" s="58" t="b">
        <f t="shared" si="10"/>
        <v>1</v>
      </c>
      <c r="F89" s="71">
        <f t="shared" si="11"/>
        <v>0.81032000000000004</v>
      </c>
      <c r="G89" s="71">
        <f>_xlfn.LET(_xlpm.result,100000 * PRODUCT(F$5:F88),ROUND(_xlpm.result,4-INT(LN(_xlpm.result)/LN(10))))</f>
        <v>4505.7</v>
      </c>
      <c r="I89" s="65">
        <v>156.25</v>
      </c>
      <c r="J89" s="73">
        <v>13124</v>
      </c>
      <c r="K89" s="58" cm="1">
        <f t="array" ref="K89">_xlfn.LET(_xlpm.result,K$5*PRODUCT(1-I$5:I88/1000),ROUND(_xlpm.result,4-INT(LN(_xlpm.result)/LN(10))))</f>
        <v>13124</v>
      </c>
      <c r="L89" s="58">
        <f t="shared" si="12"/>
        <v>0</v>
      </c>
      <c r="N89" s="65"/>
      <c r="O89" s="77">
        <v>138318</v>
      </c>
      <c r="S89" s="72">
        <v>0.14623</v>
      </c>
      <c r="T89" s="73">
        <v>15045</v>
      </c>
      <c r="U89" s="58" cm="1">
        <f t="array" ref="U89">_xlfn.LET(_xlpm.result,U$5*PRODUCT(1-S$5:S88),ROUND(_xlpm.result,4-INT(LN(_xlpm.result)/LN(10))))</f>
        <v>15045</v>
      </c>
      <c r="V89" s="58">
        <f t="shared" si="16"/>
        <v>0</v>
      </c>
      <c r="X89" s="72">
        <v>0.11975</v>
      </c>
      <c r="Y89" s="73">
        <v>28707</v>
      </c>
      <c r="Z89" s="58" cm="1">
        <f t="array" ref="Z89">_xlfn.LET(_xlpm.result,Z$5*PRODUCT(1-X$5:X88),ROUND(_xlpm.result,4-INT(LN(_xlpm.result)/LN(10))))</f>
        <v>28708</v>
      </c>
      <c r="AA89" s="58">
        <f t="shared" si="13"/>
        <v>1</v>
      </c>
      <c r="AC89" s="72">
        <v>0.11548</v>
      </c>
      <c r="AD89" s="73">
        <v>23638</v>
      </c>
      <c r="AE89" s="58" cm="1">
        <f t="array" ref="AE89">_xlfn.LET(_xlpm.result,AE$5*PRODUCT(1-AC$5:AC88),ROUND(_xlpm.result,4-INT(LN(_xlpm.result)/LN(10))))</f>
        <v>23638</v>
      </c>
      <c r="AF89" s="58">
        <f t="shared" si="14"/>
        <v>0</v>
      </c>
      <c r="AH89" s="72"/>
      <c r="AI89" s="73">
        <v>31012</v>
      </c>
      <c r="AJ89" s="58" cm="1">
        <f t="array" ref="AJ89">_xlfn.LET(_xlpm.result,AJ$5*PRODUCT(1-AH$5:AH88),ROUND(_xlpm.result,4-INT(LN(_xlpm.result)/LN(10))))</f>
        <v>100000</v>
      </c>
      <c r="AK89" s="58">
        <f t="shared" si="15"/>
        <v>68988</v>
      </c>
    </row>
    <row r="90" spans="1:37" x14ac:dyDescent="0.25">
      <c r="A90" s="55">
        <v>85</v>
      </c>
      <c r="C90" s="65">
        <v>2.54366</v>
      </c>
      <c r="D90" s="65">
        <v>0.86370999999999998</v>
      </c>
      <c r="E90" s="58" t="b">
        <f t="shared" si="10"/>
        <v>1</v>
      </c>
      <c r="F90" s="71">
        <f t="shared" si="11"/>
        <v>0.79491000000000001</v>
      </c>
      <c r="G90" s="71">
        <f>_xlfn.LET(_xlpm.result,100000 * PRODUCT(F$5:F89),ROUND(_xlpm.result,4-INT(LN(_xlpm.result)/LN(10))))</f>
        <v>3651</v>
      </c>
      <c r="I90" s="65">
        <v>167.88</v>
      </c>
      <c r="J90" s="73">
        <v>11073</v>
      </c>
      <c r="K90" s="68" cm="1">
        <f t="array" ref="K90">_xlfn.LET(_xlpm.result,K$5*PRODUCT(1-I$5:I89/1000),ROUND(_xlpm.result,4-INT(LN(_xlpm.result)/LN(10))))</f>
        <v>11073</v>
      </c>
      <c r="L90" s="58">
        <f t="shared" si="12"/>
        <v>0</v>
      </c>
      <c r="N90" s="65"/>
      <c r="O90" s="77">
        <v>116497</v>
      </c>
      <c r="P90" s="68"/>
      <c r="S90" s="72">
        <v>0.15767999999999999</v>
      </c>
      <c r="T90" s="73">
        <v>12845</v>
      </c>
      <c r="U90" s="58" cm="1">
        <f t="array" ref="U90">_xlfn.LET(_xlpm.result,U$5*PRODUCT(1-S$5:S89),ROUND(_xlpm.result,4-INT(LN(_xlpm.result)/LN(10))))</f>
        <v>12845</v>
      </c>
      <c r="V90" s="58">
        <f t="shared" si="16"/>
        <v>0</v>
      </c>
      <c r="X90" s="72">
        <v>0.13422999999999999</v>
      </c>
      <c r="Y90" s="73">
        <v>25269</v>
      </c>
      <c r="Z90" s="58" cm="1">
        <f t="array" ref="Z90">_xlfn.LET(_xlpm.result,Z$5*PRODUCT(1-X$5:X89),ROUND(_xlpm.result,4-INT(LN(_xlpm.result)/LN(10))))</f>
        <v>25270</v>
      </c>
      <c r="AA90" s="58">
        <f t="shared" si="13"/>
        <v>1</v>
      </c>
      <c r="AC90" s="72">
        <v>0.12561</v>
      </c>
      <c r="AD90" s="73">
        <v>20908</v>
      </c>
      <c r="AE90" s="58" cm="1">
        <f t="array" ref="AE90">_xlfn.LET(_xlpm.result,AE$5*PRODUCT(1-AC$5:AC89),ROUND(_xlpm.result,4-INT(LN(_xlpm.result)/LN(10))))</f>
        <v>20908</v>
      </c>
      <c r="AF90" s="58">
        <f t="shared" si="14"/>
        <v>0</v>
      </c>
      <c r="AH90" s="72"/>
      <c r="AI90" s="73">
        <v>27960</v>
      </c>
      <c r="AJ90" s="58" cm="1">
        <f t="array" ref="AJ90">_xlfn.LET(_xlpm.result,AJ$5*PRODUCT(1-AH$5:AH89),ROUND(_xlpm.result,4-INT(LN(_xlpm.result)/LN(10))))</f>
        <v>100000</v>
      </c>
      <c r="AK90" s="58">
        <f t="shared" si="15"/>
        <v>72040</v>
      </c>
    </row>
    <row r="91" spans="1:37" x14ac:dyDescent="0.25">
      <c r="A91" s="55">
        <v>86</v>
      </c>
      <c r="C91" s="65">
        <v>2.32795</v>
      </c>
      <c r="D91" s="65">
        <v>0.872</v>
      </c>
      <c r="E91" s="58" t="b">
        <f t="shared" si="10"/>
        <v>1</v>
      </c>
      <c r="F91" s="71">
        <f t="shared" si="11"/>
        <v>0.77751999999999999</v>
      </c>
      <c r="G91" s="71">
        <f>_xlfn.LET(_xlpm.result,100000 * PRODUCT(F$5:F90),ROUND(_xlpm.result,4-INT(LN(_xlpm.result)/LN(10))))</f>
        <v>2902.2</v>
      </c>
      <c r="I91" s="65">
        <v>179.92</v>
      </c>
      <c r="J91" s="73">
        <v>9214</v>
      </c>
      <c r="K91" s="58" cm="1">
        <f t="array" ref="K91">_xlfn.LET(_xlpm.result,K$5*PRODUCT(1-I$5:I90/1000),ROUND(_xlpm.result,4-INT(LN(_xlpm.result)/LN(10))))</f>
        <v>9214.1</v>
      </c>
      <c r="L91" s="58">
        <f t="shared" si="12"/>
        <v>0.1000000000003638</v>
      </c>
      <c r="N91" s="65"/>
      <c r="O91" s="77">
        <v>96583</v>
      </c>
      <c r="S91" s="72">
        <v>0.17002</v>
      </c>
      <c r="T91" s="73">
        <v>10819</v>
      </c>
      <c r="U91" s="58" cm="1">
        <f t="array" ref="U91">_xlfn.LET(_xlpm.result,U$5*PRODUCT(1-S$5:S90),ROUND(_xlpm.result,4-INT(LN(_xlpm.result)/LN(10))))</f>
        <v>10819</v>
      </c>
      <c r="V91" s="58">
        <f t="shared" si="16"/>
        <v>0</v>
      </c>
      <c r="X91" s="72">
        <v>0.15009</v>
      </c>
      <c r="Y91" s="73">
        <v>21877</v>
      </c>
      <c r="Z91" s="58" cm="1">
        <f t="array" ref="Z91">_xlfn.LET(_xlpm.result,Z$5*PRODUCT(1-X$5:X90),ROUND(_xlpm.result,4-INT(LN(_xlpm.result)/LN(10))))</f>
        <v>21878</v>
      </c>
      <c r="AA91" s="58">
        <f t="shared" si="13"/>
        <v>1</v>
      </c>
      <c r="AC91" s="72">
        <v>0.13747999999999999</v>
      </c>
      <c r="AD91" s="73">
        <v>18282</v>
      </c>
      <c r="AE91" s="58" cm="1">
        <f t="array" ref="AE91">_xlfn.LET(_xlpm.result,AE$5*PRODUCT(1-AC$5:AC90),ROUND(_xlpm.result,4-INT(LN(_xlpm.result)/LN(10))))</f>
        <v>18282</v>
      </c>
      <c r="AF91" s="58">
        <f t="shared" si="14"/>
        <v>0</v>
      </c>
      <c r="AH91" s="72"/>
      <c r="AI91" s="73">
        <v>24961</v>
      </c>
      <c r="AJ91" s="58" cm="1">
        <f t="array" ref="AJ91">_xlfn.LET(_xlpm.result,AJ$5*PRODUCT(1-AH$5:AH90),ROUND(_xlpm.result,4-INT(LN(_xlpm.result)/LN(10))))</f>
        <v>100000</v>
      </c>
      <c r="AK91" s="58">
        <f t="shared" si="15"/>
        <v>75039</v>
      </c>
    </row>
    <row r="92" spans="1:37" x14ac:dyDescent="0.25">
      <c r="A92" s="55">
        <v>87</v>
      </c>
      <c r="C92" s="65">
        <v>2.1138400000000002</v>
      </c>
      <c r="D92" s="65">
        <v>0.88024000000000002</v>
      </c>
      <c r="E92" s="58" t="b">
        <f t="shared" si="10"/>
        <v>1</v>
      </c>
      <c r="F92" s="71">
        <f t="shared" si="11"/>
        <v>0.75777000000000005</v>
      </c>
      <c r="G92" s="71">
        <f>_xlfn.LET(_xlpm.result,100000 * PRODUCT(F$5:F91),ROUND(_xlpm.result,4-INT(LN(_xlpm.result)/LN(10))))</f>
        <v>2256.5</v>
      </c>
      <c r="I92" s="65">
        <v>192.29</v>
      </c>
      <c r="J92" s="73">
        <v>7556</v>
      </c>
      <c r="K92" s="58" cm="1">
        <f t="array" ref="K92">_xlfn.LET(_xlpm.result,K$5*PRODUCT(1-I$5:I91/1000),ROUND(_xlpm.result,4-INT(LN(_xlpm.result)/LN(10))))</f>
        <v>7556.3</v>
      </c>
      <c r="L92" s="58">
        <f t="shared" si="12"/>
        <v>0.3000000000001819</v>
      </c>
      <c r="N92" s="65"/>
      <c r="O92" s="77">
        <v>78704.2</v>
      </c>
      <c r="S92" s="72">
        <v>0.18343000000000001</v>
      </c>
      <c r="T92" s="73">
        <v>8980</v>
      </c>
      <c r="U92" s="58" cm="1">
        <f t="array" ref="U92">_xlfn.LET(_xlpm.result,U$5*PRODUCT(1-S$5:S91),ROUND(_xlpm.result,4-INT(LN(_xlpm.result)/LN(10))))</f>
        <v>8979.9</v>
      </c>
      <c r="V92" s="58">
        <f t="shared" si="16"/>
        <v>-0.1000000000003638</v>
      </c>
      <c r="X92" s="72">
        <v>0.16689000000000001</v>
      </c>
      <c r="Y92" s="73">
        <v>18593</v>
      </c>
      <c r="Z92" s="58" cm="1">
        <f t="array" ref="Z92">_xlfn.LET(_xlpm.result,Z$5*PRODUCT(1-X$5:X91),ROUND(_xlpm.result,4-INT(LN(_xlpm.result)/LN(10))))</f>
        <v>18594</v>
      </c>
      <c r="AA92" s="58">
        <f t="shared" si="13"/>
        <v>1</v>
      </c>
      <c r="AC92" s="72">
        <v>0.14979000000000001</v>
      </c>
      <c r="AD92" s="73">
        <v>15769</v>
      </c>
      <c r="AE92" s="58" cm="1">
        <f t="array" ref="AE92">_xlfn.LET(_xlpm.result,AE$5*PRODUCT(1-AC$5:AC91),ROUND(_xlpm.result,4-INT(LN(_xlpm.result)/LN(10))))</f>
        <v>15769</v>
      </c>
      <c r="AF92" s="58">
        <f t="shared" si="14"/>
        <v>0</v>
      </c>
      <c r="AH92" s="72"/>
      <c r="AI92" s="73">
        <v>22038</v>
      </c>
      <c r="AJ92" s="58" cm="1">
        <f t="array" ref="AJ92">_xlfn.LET(_xlpm.result,AJ$5*PRODUCT(1-AH$5:AH91),ROUND(_xlpm.result,4-INT(LN(_xlpm.result)/LN(10))))</f>
        <v>100000</v>
      </c>
      <c r="AK92" s="58">
        <f t="shared" si="15"/>
        <v>77962</v>
      </c>
    </row>
    <row r="93" spans="1:37" x14ac:dyDescent="0.25">
      <c r="A93" s="55">
        <v>88</v>
      </c>
      <c r="C93" s="65">
        <v>1.9011499999999999</v>
      </c>
      <c r="D93" s="65">
        <v>0.88841999999999999</v>
      </c>
      <c r="E93" s="58" t="b">
        <f t="shared" si="10"/>
        <v>1</v>
      </c>
      <c r="F93" s="71">
        <f t="shared" si="11"/>
        <v>0.73472000000000004</v>
      </c>
      <c r="G93" s="71">
        <f>_xlfn.LET(_xlpm.result,100000 * PRODUCT(F$5:F92),ROUND(_xlpm.result,4-INT(LN(_xlpm.result)/LN(10))))</f>
        <v>1709.9</v>
      </c>
      <c r="I93" s="65">
        <v>204.93</v>
      </c>
      <c r="J93" s="73">
        <v>6103</v>
      </c>
      <c r="K93" s="58" cm="1">
        <f t="array" ref="K93">_xlfn.LET(_xlpm.result,K$5*PRODUCT(1-I$5:I92/1000),ROUND(_xlpm.result,4-INT(LN(_xlpm.result)/LN(10))))</f>
        <v>6103.3</v>
      </c>
      <c r="L93" s="58">
        <f t="shared" si="12"/>
        <v>0.3000000000001819</v>
      </c>
      <c r="N93" s="65"/>
      <c r="O93" s="77">
        <v>62938.2</v>
      </c>
      <c r="S93" s="72">
        <v>0.19868</v>
      </c>
      <c r="T93" s="73">
        <v>7333</v>
      </c>
      <c r="U93" s="58" cm="1">
        <f t="array" ref="U93">_xlfn.LET(_xlpm.result,U$5*PRODUCT(1-S$5:S92),ROUND(_xlpm.result,4-INT(LN(_xlpm.result)/LN(10))))</f>
        <v>7332.7</v>
      </c>
      <c r="V93" s="58">
        <f t="shared" si="16"/>
        <v>-0.3000000000001819</v>
      </c>
      <c r="X93" s="72">
        <v>0.18478</v>
      </c>
      <c r="Y93" s="73">
        <v>15490</v>
      </c>
      <c r="Z93" s="58" cm="1">
        <f t="array" ref="Z93">_xlfn.LET(_xlpm.result,Z$5*PRODUCT(1-X$5:X92),ROUND(_xlpm.result,4-INT(LN(_xlpm.result)/LN(10))))</f>
        <v>15491</v>
      </c>
      <c r="AA93" s="58">
        <f t="shared" si="13"/>
        <v>1</v>
      </c>
      <c r="AC93" s="72">
        <v>0.16158</v>
      </c>
      <c r="AD93" s="73">
        <v>13407</v>
      </c>
      <c r="AE93" s="58" cm="1">
        <f t="array" ref="AE93">_xlfn.LET(_xlpm.result,AE$5*PRODUCT(1-AC$5:AC92),ROUND(_xlpm.result,4-INT(LN(_xlpm.result)/LN(10))))</f>
        <v>13407</v>
      </c>
      <c r="AF93" s="58">
        <f t="shared" si="14"/>
        <v>0</v>
      </c>
      <c r="AH93" s="72"/>
      <c r="AI93" s="73">
        <v>19235</v>
      </c>
      <c r="AJ93" s="58" cm="1">
        <f t="array" ref="AJ93">_xlfn.LET(_xlpm.result,AJ$5*PRODUCT(1-AH$5:AH92),ROUND(_xlpm.result,4-INT(LN(_xlpm.result)/LN(10))))</f>
        <v>100000</v>
      </c>
      <c r="AK93" s="58">
        <f t="shared" si="15"/>
        <v>80765</v>
      </c>
    </row>
    <row r="94" spans="1:37" x14ac:dyDescent="0.25">
      <c r="A94" s="55">
        <v>89</v>
      </c>
      <c r="C94" s="65">
        <v>1.6910700000000001</v>
      </c>
      <c r="D94" s="65">
        <v>0.89649999999999996</v>
      </c>
      <c r="E94" s="58" t="b">
        <f t="shared" si="10"/>
        <v>1</v>
      </c>
      <c r="F94" s="71">
        <f t="shared" si="11"/>
        <v>0.70762000000000003</v>
      </c>
      <c r="G94" s="71">
        <f>_xlfn.LET(_xlpm.result,100000 * PRODUCT(F$5:F93),ROUND(_xlpm.result,4-INT(LN(_xlpm.result)/LN(10))))</f>
        <v>1256.3</v>
      </c>
      <c r="I94" s="65">
        <v>217.79</v>
      </c>
      <c r="J94" s="73">
        <v>4853</v>
      </c>
      <c r="K94" s="58" cm="1">
        <f t="array" ref="K94">_xlfn.LET(_xlpm.result,K$5*PRODUCT(1-I$5:I93/1000),ROUND(_xlpm.result,4-INT(LN(_xlpm.result)/LN(10))))</f>
        <v>4852.6000000000004</v>
      </c>
      <c r="L94" s="58">
        <f t="shared" si="12"/>
        <v>-0.3999999999996362</v>
      </c>
      <c r="N94" s="65"/>
      <c r="O94" s="77">
        <v>49305.3</v>
      </c>
      <c r="S94" s="72">
        <v>0.21564</v>
      </c>
      <c r="T94" s="73">
        <v>5876</v>
      </c>
      <c r="U94" s="58" cm="1">
        <f t="array" ref="U94">_xlfn.LET(_xlpm.result,U$5*PRODUCT(1-S$5:S93),ROUND(_xlpm.result,4-INT(LN(_xlpm.result)/LN(10))))</f>
        <v>5875.8</v>
      </c>
      <c r="V94" s="58">
        <f t="shared" si="16"/>
        <v>-0.1999999999998181</v>
      </c>
      <c r="X94" s="72">
        <v>0.20363999999999999</v>
      </c>
      <c r="Y94" s="73">
        <v>12628</v>
      </c>
      <c r="Z94" s="58" cm="1">
        <f t="array" ref="Z94">_xlfn.LET(_xlpm.result,Z$5*PRODUCT(1-X$5:X93),ROUND(_xlpm.result,4-INT(LN(_xlpm.result)/LN(10))))</f>
        <v>12629</v>
      </c>
      <c r="AA94" s="58">
        <f t="shared" si="13"/>
        <v>1</v>
      </c>
      <c r="AC94" s="72">
        <v>0.17291999999999999</v>
      </c>
      <c r="AD94" s="73">
        <v>11240</v>
      </c>
      <c r="AE94" s="58" cm="1">
        <f t="array" ref="AE94">_xlfn.LET(_xlpm.result,AE$5*PRODUCT(1-AC$5:AC93),ROUND(_xlpm.result,4-INT(LN(_xlpm.result)/LN(10))))</f>
        <v>11240</v>
      </c>
      <c r="AF94" s="58">
        <f t="shared" si="14"/>
        <v>0</v>
      </c>
      <c r="AH94" s="72"/>
      <c r="AI94" s="73">
        <v>16598</v>
      </c>
      <c r="AJ94" s="58" cm="1">
        <f t="array" ref="AJ94">_xlfn.LET(_xlpm.result,AJ$5*PRODUCT(1-AH$5:AH93),ROUND(_xlpm.result,4-INT(LN(_xlpm.result)/LN(10))))</f>
        <v>100000</v>
      </c>
      <c r="AK94" s="58">
        <f t="shared" si="15"/>
        <v>83402</v>
      </c>
    </row>
    <row r="95" spans="1:37" x14ac:dyDescent="0.25">
      <c r="A95" s="55">
        <v>90</v>
      </c>
      <c r="C95" s="65">
        <v>1.4854000000000001</v>
      </c>
      <c r="D95" s="65">
        <v>0.90441000000000005</v>
      </c>
      <c r="E95" s="58" t="b">
        <f t="shared" si="10"/>
        <v>1</v>
      </c>
      <c r="F95" s="71">
        <f t="shared" si="11"/>
        <v>0.67627000000000004</v>
      </c>
      <c r="G95" s="71">
        <f>_xlfn.LET(_xlpm.result,100000 * PRODUCT(F$5:F94),ROUND(_xlpm.result,4-INT(LN(_xlpm.result)/LN(10))))</f>
        <v>889</v>
      </c>
      <c r="I95" s="65">
        <v>230.81</v>
      </c>
      <c r="J95" s="73">
        <v>3796</v>
      </c>
      <c r="K95" s="58" cm="1">
        <f t="array" ref="K95">_xlfn.LET(_xlpm.result,K$5*PRODUCT(1-I$5:I94/1000),ROUND(_xlpm.result,4-INT(LN(_xlpm.result)/LN(10))))</f>
        <v>3795.7</v>
      </c>
      <c r="L95" s="58">
        <f t="shared" si="12"/>
        <v>-0.3000000000001819</v>
      </c>
      <c r="N95" s="65"/>
      <c r="O95" s="77">
        <v>37766.800000000003</v>
      </c>
      <c r="S95" s="72">
        <v>0.23319999999999999</v>
      </c>
      <c r="T95" s="73">
        <v>4609</v>
      </c>
      <c r="U95" s="58" cm="1">
        <f t="array" ref="U95">_xlfn.LET(_xlpm.result,U$5*PRODUCT(1-S$5:S94),ROUND(_xlpm.result,4-INT(LN(_xlpm.result)/LN(10))))</f>
        <v>4608.8</v>
      </c>
      <c r="V95" s="58">
        <f t="shared" si="16"/>
        <v>-0.1999999999998181</v>
      </c>
      <c r="X95" s="72">
        <v>0.22328999999999999</v>
      </c>
      <c r="Y95" s="73">
        <v>10056</v>
      </c>
      <c r="Z95" s="58" cm="1">
        <f t="array" ref="Z95">_xlfn.LET(_xlpm.result,Z$5*PRODUCT(1-X$5:X94),ROUND(_xlpm.result,4-INT(LN(_xlpm.result)/LN(10))))</f>
        <v>10057</v>
      </c>
      <c r="AA95" s="58">
        <f t="shared" si="13"/>
        <v>1</v>
      </c>
      <c r="AC95" s="72">
        <v>0.18501999999999999</v>
      </c>
      <c r="AD95" s="73">
        <v>9297</v>
      </c>
      <c r="AE95" s="58" cm="1">
        <f t="array" ref="AE95">_xlfn.LET(_xlpm.result,AE$5*PRODUCT(1-AC$5:AC94),ROUND(_xlpm.result,4-INT(LN(_xlpm.result)/LN(10))))</f>
        <v>9296.7999999999993</v>
      </c>
      <c r="AF95" s="58">
        <f t="shared" si="14"/>
        <v>-0.2000000000007276</v>
      </c>
      <c r="AH95" s="72"/>
      <c r="AI95" s="73">
        <v>14154</v>
      </c>
      <c r="AJ95" s="58" cm="1">
        <f t="array" ref="AJ95">_xlfn.LET(_xlpm.result,AJ$5*PRODUCT(1-AH$5:AH94),ROUND(_xlpm.result,4-INT(LN(_xlpm.result)/LN(10))))</f>
        <v>100000</v>
      </c>
      <c r="AK95" s="58">
        <f t="shared" si="15"/>
        <v>85846</v>
      </c>
    </row>
    <row r="96" spans="1:37" x14ac:dyDescent="0.25">
      <c r="A96" s="55">
        <v>91</v>
      </c>
      <c r="C96" s="65">
        <v>1.2843199999999999</v>
      </c>
      <c r="D96" s="65">
        <v>0.91213999999999995</v>
      </c>
      <c r="E96" s="58" t="b">
        <f t="shared" si="10"/>
        <v>1</v>
      </c>
      <c r="F96" s="71">
        <f t="shared" si="11"/>
        <v>0.63900999999999997</v>
      </c>
      <c r="G96" s="71">
        <f>_xlfn.LET(_xlpm.result,100000 * PRODUCT(F$5:F95),ROUND(_xlpm.result,4-INT(LN(_xlpm.result)/LN(10))))</f>
        <v>601.21</v>
      </c>
      <c r="I96" s="65">
        <v>243.94</v>
      </c>
      <c r="J96" s="73">
        <v>2920</v>
      </c>
      <c r="K96" s="58" cm="1">
        <f t="array" ref="K96">_xlfn.LET(_xlpm.result,K$5*PRODUCT(1-I$5:I95/1000),ROUND(_xlpm.result,4-INT(LN(_xlpm.result)/LN(10))))</f>
        <v>2919.6</v>
      </c>
      <c r="L96" s="58">
        <f t="shared" si="12"/>
        <v>-0.40000000000009095</v>
      </c>
      <c r="N96" s="65"/>
      <c r="O96" s="77">
        <v>28226.6</v>
      </c>
      <c r="S96" s="72">
        <v>0.25056</v>
      </c>
      <c r="T96" s="73">
        <v>3534</v>
      </c>
      <c r="U96" s="58" cm="1">
        <f t="array" ref="U96">_xlfn.LET(_xlpm.result,U$5*PRODUCT(1-S$5:S95),ROUND(_xlpm.result,4-INT(LN(_xlpm.result)/LN(10))))</f>
        <v>3534</v>
      </c>
      <c r="V96" s="58">
        <f t="shared" si="16"/>
        <v>0</v>
      </c>
      <c r="X96" s="72">
        <v>0.24326999999999999</v>
      </c>
      <c r="Y96" s="73">
        <v>7811</v>
      </c>
      <c r="Z96" s="58" cm="1">
        <f t="array" ref="Z96">_xlfn.LET(_xlpm.result,Z$5*PRODUCT(1-X$5:X95),ROUND(_xlpm.result,4-INT(LN(_xlpm.result)/LN(10))))</f>
        <v>7811.3</v>
      </c>
      <c r="AA96" s="58">
        <f t="shared" si="13"/>
        <v>0.3000000000001819</v>
      </c>
      <c r="AC96" s="72">
        <v>0.19888</v>
      </c>
      <c r="AD96" s="73">
        <v>7577</v>
      </c>
      <c r="AE96" s="58" cm="1">
        <f t="array" ref="AE96">_xlfn.LET(_xlpm.result,AE$5*PRODUCT(1-AC$5:AC95),ROUND(_xlpm.result,4-INT(LN(_xlpm.result)/LN(10))))</f>
        <v>7576.7</v>
      </c>
      <c r="AF96" s="58">
        <f t="shared" si="14"/>
        <v>-0.3000000000001819</v>
      </c>
      <c r="AH96" s="72"/>
      <c r="AI96" s="73">
        <v>11908</v>
      </c>
      <c r="AJ96" s="58" cm="1">
        <f t="array" ref="AJ96">_xlfn.LET(_xlpm.result,AJ$5*PRODUCT(1-AH$5:AH95),ROUND(_xlpm.result,4-INT(LN(_xlpm.result)/LN(10))))</f>
        <v>100000</v>
      </c>
      <c r="AK96" s="58">
        <f t="shared" si="15"/>
        <v>88092</v>
      </c>
    </row>
    <row r="97" spans="1:37" x14ac:dyDescent="0.25">
      <c r="A97" s="55">
        <v>92</v>
      </c>
      <c r="C97" s="65">
        <v>1.0902400000000001</v>
      </c>
      <c r="D97" s="65">
        <v>0.91961000000000004</v>
      </c>
      <c r="E97" s="58" t="b">
        <f t="shared" si="10"/>
        <v>1</v>
      </c>
      <c r="F97" s="71">
        <f t="shared" si="11"/>
        <v>0.59474000000000005</v>
      </c>
      <c r="G97" s="71">
        <f>_xlfn.LET(_xlpm.result,100000 * PRODUCT(F$5:F96),ROUND(_xlpm.result,4-INT(LN(_xlpm.result)/LN(10))))</f>
        <v>384.18</v>
      </c>
      <c r="I97" s="65">
        <v>257.11</v>
      </c>
      <c r="J97" s="73">
        <v>2207</v>
      </c>
      <c r="K97" s="58" cm="1">
        <f t="array" ref="K97">_xlfn.LET(_xlpm.result,K$5*PRODUCT(1-I$5:I96/1000),ROUND(_xlpm.result,4-INT(LN(_xlpm.result)/LN(10))))</f>
        <v>2207.4</v>
      </c>
      <c r="L97" s="58">
        <f t="shared" si="12"/>
        <v>0.40000000000009095</v>
      </c>
      <c r="N97" s="65"/>
      <c r="O97" s="77">
        <v>20537.900000000001</v>
      </c>
      <c r="S97" s="72">
        <v>0.26791999999999999</v>
      </c>
      <c r="T97" s="73">
        <v>2648</v>
      </c>
      <c r="U97" s="58" cm="1">
        <f t="array" ref="U97">_xlfn.LET(_xlpm.result,U$5*PRODUCT(1-S$5:S96),ROUND(_xlpm.result,4-INT(LN(_xlpm.result)/LN(10))))</f>
        <v>2648.5</v>
      </c>
      <c r="V97" s="58">
        <f t="shared" si="16"/>
        <v>0.5</v>
      </c>
      <c r="X97" s="72">
        <v>0.26301999999999998</v>
      </c>
      <c r="Y97" s="73">
        <v>5911</v>
      </c>
      <c r="Z97" s="58" cm="1">
        <f t="array" ref="Z97">_xlfn.LET(_xlpm.result,Z$5*PRODUCT(1-X$5:X96),ROUND(_xlpm.result,4-INT(LN(_xlpm.result)/LN(10))))</f>
        <v>5911</v>
      </c>
      <c r="AA97" s="58">
        <f t="shared" si="13"/>
        <v>0</v>
      </c>
      <c r="AC97" s="72">
        <v>0.21362999999999999</v>
      </c>
      <c r="AD97" s="73">
        <v>6070</v>
      </c>
      <c r="AE97" s="58" cm="1">
        <f t="array" ref="AE97">_xlfn.LET(_xlpm.result,AE$5*PRODUCT(1-AC$5:AC96),ROUND(_xlpm.result,4-INT(LN(_xlpm.result)/LN(10))))</f>
        <v>6069.8</v>
      </c>
      <c r="AF97" s="58">
        <f t="shared" si="14"/>
        <v>-0.1999999999998181</v>
      </c>
      <c r="AH97" s="72"/>
      <c r="AI97" s="73">
        <v>9863</v>
      </c>
      <c r="AJ97" s="58" cm="1">
        <f t="array" ref="AJ97">_xlfn.LET(_xlpm.result,AJ$5*PRODUCT(1-AH$5:AH96),ROUND(_xlpm.result,4-INT(LN(_xlpm.result)/LN(10))))</f>
        <v>100000</v>
      </c>
      <c r="AK97" s="58">
        <f t="shared" si="15"/>
        <v>90137</v>
      </c>
    </row>
    <row r="98" spans="1:37" x14ac:dyDescent="0.25">
      <c r="A98" s="55">
        <v>93</v>
      </c>
      <c r="C98" s="65">
        <v>0.90647</v>
      </c>
      <c r="D98" s="65">
        <v>0.92666999999999999</v>
      </c>
      <c r="E98" s="58" t="b">
        <f t="shared" si="10"/>
        <v>1</v>
      </c>
      <c r="F98" s="71">
        <f t="shared" si="11"/>
        <v>0.54276999999999997</v>
      </c>
      <c r="G98" s="71">
        <f>_xlfn.LET(_xlpm.result,100000 * PRODUCT(F$5:F97),ROUND(_xlpm.result,4-INT(LN(_xlpm.result)/LN(10))))</f>
        <v>228.49</v>
      </c>
      <c r="I98" s="65">
        <v>270.31</v>
      </c>
      <c r="J98" s="73">
        <v>1640</v>
      </c>
      <c r="K98" s="58" cm="1">
        <f t="array" ref="K98">_xlfn.LET(_xlpm.result,K$5*PRODUCT(1-I$5:I97/1000),ROUND(_xlpm.result,4-INT(LN(_xlpm.result)/LN(10))))</f>
        <v>1639.9</v>
      </c>
      <c r="L98" s="58">
        <f t="shared" si="12"/>
        <v>-9.9999999999909051E-2</v>
      </c>
      <c r="N98" s="65"/>
      <c r="O98" s="77">
        <v>14511.8</v>
      </c>
      <c r="S98" s="72">
        <v>0.28481000000000001</v>
      </c>
      <c r="T98" s="73">
        <v>1939</v>
      </c>
      <c r="U98" s="58" cm="1">
        <f t="array" ref="U98">_xlfn.LET(_xlpm.result,U$5*PRODUCT(1-S$5:S97),ROUND(_xlpm.result,4-INT(LN(_xlpm.result)/LN(10))))</f>
        <v>1938.9</v>
      </c>
      <c r="V98" s="58">
        <f t="shared" si="16"/>
        <v>-9.9999999999909051E-2</v>
      </c>
      <c r="X98" s="72">
        <v>0.28181</v>
      </c>
      <c r="Y98" s="73">
        <v>4356</v>
      </c>
      <c r="Z98" s="58" cm="1">
        <f t="array" ref="Z98">_xlfn.LET(_xlpm.result,Z$5*PRODUCT(1-X$5:X97),ROUND(_xlpm.result,4-INT(LN(_xlpm.result)/LN(10))))</f>
        <v>4356.3</v>
      </c>
      <c r="AA98" s="58">
        <f t="shared" si="13"/>
        <v>0.3000000000001819</v>
      </c>
      <c r="AC98" s="72">
        <v>0.22869999999999999</v>
      </c>
      <c r="AD98" s="73">
        <v>4773</v>
      </c>
      <c r="AE98" s="58" cm="1">
        <f t="array" ref="AE98">_xlfn.LET(_xlpm.result,AE$5*PRODUCT(1-AC$5:AC97),ROUND(_xlpm.result,4-INT(LN(_xlpm.result)/LN(10))))</f>
        <v>4773.1000000000004</v>
      </c>
      <c r="AF98" s="58">
        <f t="shared" si="14"/>
        <v>0.1000000000003638</v>
      </c>
      <c r="AH98" s="72"/>
      <c r="AI98" s="73">
        <v>8032</v>
      </c>
      <c r="AJ98" s="58" cm="1">
        <f t="array" ref="AJ98">_xlfn.LET(_xlpm.result,AJ$5*PRODUCT(1-AH$5:AH97),ROUND(_xlpm.result,4-INT(LN(_xlpm.result)/LN(10))))</f>
        <v>100000</v>
      </c>
      <c r="AK98" s="58">
        <f t="shared" si="15"/>
        <v>91968</v>
      </c>
    </row>
    <row r="99" spans="1:37" x14ac:dyDescent="0.25">
      <c r="A99" s="55">
        <v>94</v>
      </c>
      <c r="C99" s="65">
        <v>0.73687000000000002</v>
      </c>
      <c r="D99" s="65">
        <v>0.93320000000000003</v>
      </c>
      <c r="E99" s="58" t="b">
        <f t="shared" si="10"/>
        <v>1</v>
      </c>
      <c r="F99" s="71">
        <f t="shared" si="11"/>
        <v>0.48370000000000002</v>
      </c>
      <c r="G99" s="71">
        <f>_xlfn.LET(_xlpm.result,100000 * PRODUCT(F$5:F98),ROUND(_xlpm.result,4-INT(LN(_xlpm.result)/LN(10))))</f>
        <v>124.02</v>
      </c>
      <c r="I99" s="65">
        <v>283.44</v>
      </c>
      <c r="J99" s="73">
        <v>1197</v>
      </c>
      <c r="K99" s="58" cm="1">
        <f t="array" ref="K99">_xlfn.LET(_xlpm.result,K$5*PRODUCT(1-I$5:I98/1000),ROUND(_xlpm.result,4-INT(LN(_xlpm.result)/LN(10))))</f>
        <v>1196.5999999999999</v>
      </c>
      <c r="L99" s="58">
        <f t="shared" si="12"/>
        <v>-0.40000000000009095</v>
      </c>
      <c r="N99" s="65"/>
      <c r="O99" s="77">
        <v>9930.65</v>
      </c>
      <c r="S99" s="72">
        <v>0.30049999999999999</v>
      </c>
      <c r="T99" s="73">
        <v>1387</v>
      </c>
      <c r="U99" s="58" cm="1">
        <f t="array" ref="U99">_xlfn.LET(_xlpm.result,U$5*PRODUCT(1-S$5:S98),ROUND(_xlpm.result,4-INT(LN(_xlpm.result)/LN(10))))</f>
        <v>1386.7</v>
      </c>
      <c r="V99" s="58">
        <f t="shared" si="16"/>
        <v>-0.29999999999995453</v>
      </c>
      <c r="X99" s="72">
        <v>0.29903000000000002</v>
      </c>
      <c r="Y99" s="73">
        <v>3129</v>
      </c>
      <c r="Z99" s="58" cm="1">
        <f t="array" ref="Z99">_xlfn.LET(_xlpm.result,Z$5*PRODUCT(1-X$5:X98),ROUND(_xlpm.result,4-INT(LN(_xlpm.result)/LN(10))))</f>
        <v>3128.7</v>
      </c>
      <c r="AA99" s="58">
        <f t="shared" si="13"/>
        <v>-0.3000000000001819</v>
      </c>
      <c r="AC99" s="72">
        <v>0.24335999999999999</v>
      </c>
      <c r="AD99" s="73">
        <v>3682</v>
      </c>
      <c r="AE99" s="58" cm="1">
        <f t="array" ref="AE99">_xlfn.LET(_xlpm.result,AE$5*PRODUCT(1-AC$5:AC98),ROUND(_xlpm.result,4-INT(LN(_xlpm.result)/LN(10))))</f>
        <v>3681.5</v>
      </c>
      <c r="AF99" s="58">
        <f t="shared" si="14"/>
        <v>-0.5</v>
      </c>
      <c r="AH99" s="72"/>
      <c r="AI99" s="73">
        <v>6424</v>
      </c>
      <c r="AJ99" s="58" cm="1">
        <f t="array" ref="AJ99">_xlfn.LET(_xlpm.result,AJ$5*PRODUCT(1-AH$5:AH98),ROUND(_xlpm.result,4-INT(LN(_xlpm.result)/LN(10))))</f>
        <v>100000</v>
      </c>
      <c r="AK99" s="58">
        <f t="shared" si="15"/>
        <v>93576</v>
      </c>
    </row>
    <row r="100" spans="1:37" x14ac:dyDescent="0.25">
      <c r="A100" s="55">
        <v>95</v>
      </c>
      <c r="C100" s="65">
        <v>0.58435000000000004</v>
      </c>
      <c r="D100" s="65">
        <v>0.93906000000000001</v>
      </c>
      <c r="E100" s="58" t="b">
        <f t="shared" si="10"/>
        <v>1</v>
      </c>
      <c r="F100" s="71">
        <f t="shared" si="11"/>
        <v>0.41572999999999999</v>
      </c>
      <c r="G100" s="71">
        <f>_xlfn.LET(_xlpm.result,100000 * PRODUCT(F$5:F99),ROUND(_xlpm.result,4-INT(LN(_xlpm.result)/LN(10))))</f>
        <v>59.985999999999997</v>
      </c>
      <c r="I100" s="65">
        <v>296.45999999999998</v>
      </c>
      <c r="J100" s="73">
        <v>857</v>
      </c>
      <c r="K100" s="58" cm="1">
        <f t="array" ref="K100">_xlfn.LET(_xlpm.result,K$5*PRODUCT(1-I$5:I99/1000),ROUND(_xlpm.result,4-INT(LN(_xlpm.result)/LN(10))))</f>
        <v>857.43</v>
      </c>
      <c r="L100" s="58">
        <f t="shared" si="12"/>
        <v>0.42999999999994998</v>
      </c>
      <c r="N100" s="65"/>
      <c r="O100" s="77">
        <v>6562.05</v>
      </c>
      <c r="S100" s="74">
        <v>0.31415999999999999</v>
      </c>
      <c r="T100" s="73">
        <v>970</v>
      </c>
      <c r="U100" s="58" cm="1">
        <f t="array" ref="U100">_xlfn.LET(_xlpm.result,U$5*PRODUCT(1-S$5:S99),ROUND(_xlpm.result,4-INT(LN(_xlpm.result)/LN(10))))</f>
        <v>970</v>
      </c>
      <c r="V100" s="58">
        <f t="shared" si="16"/>
        <v>0</v>
      </c>
      <c r="X100" s="74">
        <v>0.31415999999999999</v>
      </c>
      <c r="Y100" s="73">
        <v>2193</v>
      </c>
      <c r="Z100" s="58" cm="1">
        <f t="array" ref="Z100">_xlfn.LET(_xlpm.result,Z$5*PRODUCT(1-X$5:X99),ROUND(_xlpm.result,4-INT(LN(_xlpm.result)/LN(10))))</f>
        <v>2193.1</v>
      </c>
      <c r="AA100" s="58">
        <f t="shared" si="13"/>
        <v>9.9999999999909051E-2</v>
      </c>
      <c r="AC100" s="72">
        <v>0.25745000000000001</v>
      </c>
      <c r="AD100" s="73">
        <v>2786</v>
      </c>
      <c r="AE100" s="58" cm="1">
        <f t="array" ref="AE100">_xlfn.LET(_xlpm.result,AE$5*PRODUCT(1-AC$5:AC99),ROUND(_xlpm.result,4-INT(LN(_xlpm.result)/LN(10))))</f>
        <v>2785.6</v>
      </c>
      <c r="AF100" s="58">
        <f t="shared" si="14"/>
        <v>-0.40000000000009095</v>
      </c>
      <c r="AH100" s="72"/>
      <c r="AI100" s="73">
        <v>5043</v>
      </c>
      <c r="AJ100" s="58" cm="1">
        <f t="array" ref="AJ100">_xlfn.LET(_xlpm.result,AJ$5*PRODUCT(1-AH$5:AH99),ROUND(_xlpm.result,4-INT(LN(_xlpm.result)/LN(10))))</f>
        <v>100000</v>
      </c>
      <c r="AK100" s="58">
        <f t="shared" si="15"/>
        <v>94957</v>
      </c>
    </row>
    <row r="101" spans="1:37" x14ac:dyDescent="0.25">
      <c r="A101" s="55">
        <v>96</v>
      </c>
      <c r="C101" s="65">
        <v>0.46182000000000001</v>
      </c>
      <c r="D101" s="65">
        <v>0.94377999999999995</v>
      </c>
      <c r="E101" s="58" t="b">
        <f t="shared" ref="E101:E104" si="17">ABS((C101+1)/1.04 - C101 - D101)&lt;0.00001</f>
        <v>1</v>
      </c>
      <c r="F101" s="71">
        <f t="shared" si="11"/>
        <v>0.35135</v>
      </c>
      <c r="G101" s="71">
        <f>_xlfn.LET(_xlpm.result,100000 * PRODUCT(F$5:F100),ROUND(_xlpm.result,4-INT(LN(_xlpm.result)/LN(10))))</f>
        <v>24.937999999999999</v>
      </c>
      <c r="I101" s="65">
        <v>309.35000000000002</v>
      </c>
      <c r="J101" s="73">
        <v>603</v>
      </c>
      <c r="K101" s="58" cm="1">
        <f t="array" ref="K101">_xlfn.LET(_xlpm.result,K$5*PRODUCT(1-I$5:I100/1000),ROUND(_xlpm.result,4-INT(LN(_xlpm.result)/LN(10))))</f>
        <v>603.24</v>
      </c>
      <c r="L101" s="58">
        <f t="shared" si="12"/>
        <v>0.24000000000000909</v>
      </c>
      <c r="N101" s="65"/>
      <c r="O101" s="77">
        <v>4173.51</v>
      </c>
      <c r="S101" s="74">
        <v>0.32915</v>
      </c>
      <c r="T101" s="73">
        <v>665</v>
      </c>
      <c r="U101" s="58" cm="1">
        <f t="array" ref="U101">_xlfn.LET(_xlpm.result,U$5*PRODUCT(1-S$5:S100),ROUND(_xlpm.result,4-INT(LN(_xlpm.result)/LN(10))))</f>
        <v>665.26</v>
      </c>
      <c r="V101" s="58">
        <f t="shared" si="16"/>
        <v>0.25999999999999091</v>
      </c>
      <c r="X101" s="74">
        <v>0.32915</v>
      </c>
      <c r="Y101" s="73">
        <v>1504</v>
      </c>
      <c r="Z101" s="58" cm="1">
        <f t="array" ref="Z101">_xlfn.LET(_xlpm.result,Z$5*PRODUCT(1-X$5:X100),ROUND(_xlpm.result,4-INT(LN(_xlpm.result)/LN(10))))</f>
        <v>1504.1</v>
      </c>
      <c r="AA101" s="58">
        <f t="shared" si="13"/>
        <v>9.9999999999909051E-2</v>
      </c>
      <c r="AC101" s="72">
        <v>0.26959</v>
      </c>
      <c r="AD101" s="73">
        <v>2068</v>
      </c>
      <c r="AE101" s="58" cm="1">
        <f t="array" ref="AE101">_xlfn.LET(_xlpm.result,AE$5*PRODUCT(1-AC$5:AC100),ROUND(_xlpm.result,4-INT(LN(_xlpm.result)/LN(10))))</f>
        <v>2068.4</v>
      </c>
      <c r="AF101" s="58">
        <f t="shared" si="14"/>
        <v>0.40000000000009095</v>
      </c>
      <c r="AH101" s="72"/>
      <c r="AI101" s="73">
        <v>3884</v>
      </c>
      <c r="AJ101" s="58" cm="1">
        <f t="array" ref="AJ101">_xlfn.LET(_xlpm.result,AJ$5*PRODUCT(1-AH$5:AH100),ROUND(_xlpm.result,4-INT(LN(_xlpm.result)/LN(10))))</f>
        <v>100000</v>
      </c>
      <c r="AK101" s="58">
        <f t="shared" si="15"/>
        <v>96116</v>
      </c>
    </row>
    <row r="102" spans="1:37" x14ac:dyDescent="0.25">
      <c r="A102" s="55">
        <v>97</v>
      </c>
      <c r="C102" s="65">
        <v>0.36697999999999997</v>
      </c>
      <c r="D102" s="65">
        <v>0.94742000000000004</v>
      </c>
      <c r="E102" s="58" t="b">
        <f t="shared" si="17"/>
        <v>1</v>
      </c>
      <c r="F102" s="71">
        <f t="shared" si="11"/>
        <v>0.30769999999999997</v>
      </c>
      <c r="G102" s="71">
        <f>_xlfn.LET(_xlpm.result,100000 * PRODUCT(F$5:F101),ROUND(_xlpm.result,4-INT(LN(_xlpm.result)/LN(10))))</f>
        <v>8.7620000000000005</v>
      </c>
      <c r="I102" s="65">
        <v>322.10000000000002</v>
      </c>
      <c r="J102" s="73">
        <v>417</v>
      </c>
      <c r="K102" s="58" cm="1">
        <f t="array" ref="K102">_xlfn.LET(_xlpm.result,K$5*PRODUCT(1-I$5:I101/1000),ROUND(_xlpm.result,4-INT(LN(_xlpm.result)/LN(10))))</f>
        <v>416.63</v>
      </c>
      <c r="L102" s="58">
        <f t="shared" si="12"/>
        <v>-0.37000000000000455</v>
      </c>
      <c r="N102" s="65"/>
      <c r="O102" s="77">
        <v>2545.81</v>
      </c>
      <c r="S102" s="74">
        <v>0.34449999999999997</v>
      </c>
      <c r="T102" s="73">
        <v>446</v>
      </c>
      <c r="U102" s="58" cm="1">
        <f t="array" ref="U102">_xlfn.LET(_xlpm.result,U$5*PRODUCT(1-S$5:S101),ROUND(_xlpm.result,4-INT(LN(_xlpm.result)/LN(10))))</f>
        <v>446.29</v>
      </c>
      <c r="V102" s="58">
        <f t="shared" si="16"/>
        <v>0.29000000000002046</v>
      </c>
      <c r="X102" s="74">
        <v>0.34449999999999997</v>
      </c>
      <c r="Y102" s="73">
        <v>1009</v>
      </c>
      <c r="Z102" s="58" cm="1">
        <f t="array" ref="Z102">_xlfn.LET(_xlpm.result,Z$5*PRODUCT(1-X$5:X101),ROUND(_xlpm.result,4-INT(LN(_xlpm.result)/LN(10))))</f>
        <v>1009</v>
      </c>
      <c r="AA102" s="58">
        <f t="shared" si="13"/>
        <v>0</v>
      </c>
      <c r="AC102" s="72">
        <v>0.28023999999999999</v>
      </c>
      <c r="AD102" s="73">
        <v>1511</v>
      </c>
      <c r="AE102" s="58" cm="1">
        <f t="array" ref="AE102">_xlfn.LET(_xlpm.result,AE$5*PRODUCT(1-AC$5:AC101),ROUND(_xlpm.result,4-INT(LN(_xlpm.result)/LN(10))))</f>
        <v>1510.8</v>
      </c>
      <c r="AF102" s="58">
        <f t="shared" si="14"/>
        <v>-0.20000000000004547</v>
      </c>
      <c r="AH102" s="72"/>
      <c r="AI102" s="73">
        <v>2939</v>
      </c>
      <c r="AJ102" s="58" cm="1">
        <f t="array" ref="AJ102">_xlfn.LET(_xlpm.result,AJ$5*PRODUCT(1-AH$5:AH101),ROUND(_xlpm.result,4-INT(LN(_xlpm.result)/LN(10))))</f>
        <v>100000</v>
      </c>
      <c r="AK102" s="58">
        <f t="shared" si="15"/>
        <v>97061</v>
      </c>
    </row>
    <row r="103" spans="1:37" x14ac:dyDescent="0.25">
      <c r="A103" s="55">
        <v>98</v>
      </c>
      <c r="C103" s="65">
        <v>0.24038000000000001</v>
      </c>
      <c r="D103" s="65">
        <v>0.95228999999999997</v>
      </c>
      <c r="E103" s="58" t="b">
        <f t="shared" si="17"/>
        <v>1</v>
      </c>
      <c r="F103" s="71">
        <f t="shared" si="11"/>
        <v>0.25</v>
      </c>
      <c r="G103" s="71">
        <f>_xlfn.LET(_xlpm.result,100000 * PRODUCT(F$5:F102),ROUND(_xlpm.result,4-INT(LN(_xlpm.result)/LN(10))))</f>
        <v>2.6960999999999999</v>
      </c>
      <c r="I103" s="65">
        <v>334.75</v>
      </c>
      <c r="J103" s="73">
        <v>282</v>
      </c>
      <c r="K103" s="58" cm="1">
        <f t="array" ref="K103">_xlfn.LET(_xlpm.result,K$5*PRODUCT(1-I$5:I102/1000),ROUND(_xlpm.result,4-INT(LN(_xlpm.result)/LN(10))))</f>
        <v>282.43</v>
      </c>
      <c r="L103" s="58">
        <f t="shared" si="12"/>
        <v>0.43000000000000682</v>
      </c>
      <c r="N103" s="65"/>
      <c r="O103" s="77">
        <v>1483.68</v>
      </c>
      <c r="S103" s="74">
        <v>0.36018</v>
      </c>
      <c r="T103" s="73">
        <v>293</v>
      </c>
      <c r="U103" s="58" cm="1">
        <f t="array" ref="U103">_xlfn.LET(_xlpm.result,U$5*PRODUCT(1-S$5:S102),ROUND(_xlpm.result,4-INT(LN(_xlpm.result)/LN(10))))</f>
        <v>292.54000000000002</v>
      </c>
      <c r="V103" s="58">
        <f t="shared" si="16"/>
        <v>-0.45999999999997954</v>
      </c>
      <c r="X103" s="74">
        <v>0.36018</v>
      </c>
      <c r="Y103" s="73">
        <v>661</v>
      </c>
      <c r="Z103" s="58" cm="1">
        <f t="array" ref="Z103">_xlfn.LET(_xlpm.result,Z$5*PRODUCT(1-X$5:X102),ROUND(_xlpm.result,4-INT(LN(_xlpm.result)/LN(10))))</f>
        <v>661.42</v>
      </c>
      <c r="AA103" s="58">
        <f t="shared" si="13"/>
        <v>0.41999999999995907</v>
      </c>
      <c r="AC103" s="72">
        <v>0.28977000000000003</v>
      </c>
      <c r="AD103" s="73">
        <v>1087</v>
      </c>
      <c r="AE103" s="58" cm="1">
        <f t="array" ref="AE103">_xlfn.LET(_xlpm.result,AE$5*PRODUCT(1-AC$5:AC102),ROUND(_xlpm.result,4-INT(LN(_xlpm.result)/LN(10))))</f>
        <v>1087.4000000000001</v>
      </c>
      <c r="AF103" s="58">
        <f t="shared" si="14"/>
        <v>0.40000000000009095</v>
      </c>
      <c r="AH103" s="72"/>
      <c r="AI103" s="73">
        <v>2185</v>
      </c>
      <c r="AJ103" s="58" cm="1">
        <f t="array" ref="AJ103">_xlfn.LET(_xlpm.result,AJ$5*PRODUCT(1-AH$5:AH102),ROUND(_xlpm.result,4-INT(LN(_xlpm.result)/LN(10))))</f>
        <v>100000</v>
      </c>
      <c r="AK103" s="58">
        <f t="shared" si="15"/>
        <v>97815</v>
      </c>
    </row>
    <row r="104" spans="1:37" x14ac:dyDescent="0.25">
      <c r="A104" s="55">
        <v>99</v>
      </c>
      <c r="C104" s="65">
        <v>0</v>
      </c>
      <c r="D104" s="65">
        <v>0.96153999999999995</v>
      </c>
      <c r="E104" s="58" t="b">
        <f t="shared" si="17"/>
        <v>1</v>
      </c>
      <c r="F104" s="71">
        <f>ROUND(1.04 * C104 / (1+D105),5)</f>
        <v>0</v>
      </c>
      <c r="G104" s="71">
        <f>_xlfn.LET(_xlpm.result,100000 * PRODUCT(F$5:F103),ROUND(_xlpm.result,4-INT(LN(_xlpm.result)/LN(10))))</f>
        <v>0.67401</v>
      </c>
      <c r="I104" s="65">
        <v>347.36</v>
      </c>
      <c r="J104" s="73">
        <v>188</v>
      </c>
      <c r="K104" s="58" cm="1">
        <f t="array" ref="K104">_xlfn.LET(_xlpm.result,K$5*PRODUCT(1-I$5:I103/1000),ROUND(_xlpm.result,4-INT(LN(_xlpm.result)/LN(10))))</f>
        <v>187.89</v>
      </c>
      <c r="L104" s="58">
        <f t="shared" si="12"/>
        <v>-0.11000000000001364</v>
      </c>
      <c r="N104" s="65"/>
      <c r="O104" s="77">
        <v>822.63199999999995</v>
      </c>
      <c r="S104" s="74">
        <v>0.37615999999999999</v>
      </c>
      <c r="T104" s="73">
        <v>187</v>
      </c>
      <c r="U104" s="58" cm="1">
        <f t="array" ref="U104">_xlfn.LET(_xlpm.result,U$5*PRODUCT(1-S$5:S103),ROUND(_xlpm.result,4-INT(LN(_xlpm.result)/LN(10))))</f>
        <v>187.18</v>
      </c>
      <c r="V104" s="58">
        <f t="shared" si="16"/>
        <v>0.18000000000000682</v>
      </c>
      <c r="X104" s="74">
        <v>0.37615999999999999</v>
      </c>
      <c r="Y104" s="73">
        <v>423</v>
      </c>
      <c r="Z104" s="58" cm="1">
        <f t="array" ref="Z104">_xlfn.LET(_xlpm.result,Z$5*PRODUCT(1-X$5:X103),ROUND(_xlpm.result,4-INT(LN(_xlpm.result)/LN(10))))</f>
        <v>423.19</v>
      </c>
      <c r="AA104" s="58">
        <f t="shared" si="13"/>
        <v>0.18999999999999773</v>
      </c>
      <c r="AC104" s="72">
        <v>0.29869000000000001</v>
      </c>
      <c r="AD104" s="73">
        <v>772</v>
      </c>
      <c r="AE104" s="58" cm="1">
        <f t="array" ref="AE104">_xlfn.LET(_xlpm.result,AE$5*PRODUCT(1-AC$5:AC103),ROUND(_xlpm.result,4-INT(LN(_xlpm.result)/LN(10))))</f>
        <v>772.32</v>
      </c>
      <c r="AF104" s="58">
        <f t="shared" si="14"/>
        <v>0.32000000000005002</v>
      </c>
      <c r="AH104" s="72"/>
      <c r="AI104" s="73">
        <v>1598</v>
      </c>
      <c r="AJ104" s="58" cm="1">
        <f t="array" ref="AJ104">_xlfn.LET(_xlpm.result,AJ$5*PRODUCT(1-AH$5:AH103),ROUND(_xlpm.result,4-INT(LN(_xlpm.result)/LN(10))))</f>
        <v>100000</v>
      </c>
      <c r="AK104" s="58">
        <f t="shared" si="15"/>
        <v>98402</v>
      </c>
    </row>
    <row r="105" spans="1:37" x14ac:dyDescent="0.25">
      <c r="A105" s="55">
        <v>100</v>
      </c>
      <c r="G105" s="65">
        <v>0</v>
      </c>
      <c r="I105" s="65">
        <v>360.05</v>
      </c>
      <c r="J105" s="73">
        <v>123</v>
      </c>
      <c r="K105" s="58" cm="1">
        <f t="array" ref="K105">_xlfn.LET(_xlpm.result,K$5*PRODUCT(1-I$5:I104/1000),ROUND(_xlpm.result,4-INT(LN(_xlpm.result)/LN(10))))</f>
        <v>122.62</v>
      </c>
      <c r="L105" s="58">
        <f t="shared" si="12"/>
        <v>-0.37999999999999545</v>
      </c>
      <c r="N105" s="65"/>
      <c r="O105" s="77">
        <v>431.94099999999997</v>
      </c>
      <c r="S105" s="74">
        <v>0.39241999999999999</v>
      </c>
      <c r="T105" s="73">
        <v>117</v>
      </c>
      <c r="U105" s="58" cm="1">
        <f t="array" ref="U105">_xlfn.LET(_xlpm.result,U$5*PRODUCT(1-S$5:S104),ROUND(_xlpm.result,4-INT(LN(_xlpm.result)/LN(10))))</f>
        <v>116.77</v>
      </c>
      <c r="V105" s="58">
        <f t="shared" si="16"/>
        <v>-0.23000000000000398</v>
      </c>
      <c r="X105" s="74">
        <v>0.39241999999999999</v>
      </c>
      <c r="Y105" s="73">
        <v>264</v>
      </c>
      <c r="Z105" s="58" cm="1">
        <f t="array" ref="Z105">_xlfn.LET(_xlpm.result,Z$5*PRODUCT(1-X$5:X104),ROUND(_xlpm.result,4-INT(LN(_xlpm.result)/LN(10))))</f>
        <v>264</v>
      </c>
      <c r="AA105" s="58">
        <f t="shared" si="13"/>
        <v>0</v>
      </c>
      <c r="AC105" s="72">
        <v>0.30696000000000001</v>
      </c>
      <c r="AD105" s="73">
        <v>542</v>
      </c>
      <c r="AE105" s="58" cm="1">
        <f t="array" ref="AE105">_xlfn.LET(_xlpm.result,AE$5*PRODUCT(1-AC$5:AC104),ROUND(_xlpm.result,4-INT(LN(_xlpm.result)/LN(10))))</f>
        <v>541.63</v>
      </c>
      <c r="AF105" s="58">
        <f t="shared" si="14"/>
        <v>-0.37000000000000455</v>
      </c>
      <c r="AH105" s="72"/>
      <c r="AI105" s="73">
        <v>1150</v>
      </c>
      <c r="AJ105" s="58" cm="1">
        <f t="array" ref="AJ105">_xlfn.LET(_xlpm.result,AJ$5*PRODUCT(1-AH$5:AH104),ROUND(_xlpm.result,4-INT(LN(_xlpm.result)/LN(10))))</f>
        <v>100000</v>
      </c>
      <c r="AK105" s="58">
        <f t="shared" si="15"/>
        <v>98850</v>
      </c>
    </row>
    <row r="106" spans="1:37" x14ac:dyDescent="0.25">
      <c r="A106" s="55">
        <v>101</v>
      </c>
      <c r="I106" s="65">
        <v>372.98</v>
      </c>
      <c r="J106" s="73">
        <v>78</v>
      </c>
      <c r="K106" s="58" cm="1">
        <f t="array" ref="K106">_xlfn.LET(_xlpm.result,K$5*PRODUCT(1-I$5:I105/1000),ROUND(_xlpm.result,4-INT(LN(_xlpm.result)/LN(10))))</f>
        <v>78.471999999999994</v>
      </c>
      <c r="L106" s="58">
        <f t="shared" si="12"/>
        <v>0.4719999999999942</v>
      </c>
      <c r="N106" s="65"/>
      <c r="O106" s="77">
        <v>213.70099999999999</v>
      </c>
      <c r="S106" s="74">
        <v>0.40891</v>
      </c>
      <c r="T106" s="73">
        <v>71</v>
      </c>
      <c r="U106" s="58" cm="1">
        <f t="array" ref="U106">_xlfn.LET(_xlpm.result,U$5*PRODUCT(1-S$5:S105),ROUND(_xlpm.result,4-INT(LN(_xlpm.result)/LN(10))))</f>
        <v>70.945999999999998</v>
      </c>
      <c r="V106" s="58">
        <f t="shared" si="16"/>
        <v>-5.4000000000002046E-2</v>
      </c>
      <c r="X106" s="74">
        <v>0.40891</v>
      </c>
      <c r="Y106" s="73">
        <v>160</v>
      </c>
      <c r="Z106" s="58" cm="1">
        <f t="array" ref="Z106">_xlfn.LET(_xlpm.result,Z$5*PRODUCT(1-X$5:X105),ROUND(_xlpm.result,4-INT(LN(_xlpm.result)/LN(10))))</f>
        <v>160.4</v>
      </c>
      <c r="AA106" s="58">
        <f t="shared" si="13"/>
        <v>0.40000000000000568</v>
      </c>
      <c r="AC106" s="72">
        <v>0.31461</v>
      </c>
      <c r="AD106" s="73">
        <v>375</v>
      </c>
      <c r="AE106" s="58" cm="1">
        <f t="array" ref="AE106">_xlfn.LET(_xlpm.result,AE$5*PRODUCT(1-AC$5:AC105),ROUND(_xlpm.result,4-INT(LN(_xlpm.result)/LN(10))))</f>
        <v>375.37</v>
      </c>
      <c r="AF106" s="58">
        <f t="shared" si="14"/>
        <v>0.37000000000000455</v>
      </c>
      <c r="AH106" s="72"/>
      <c r="AI106" s="73">
        <v>815</v>
      </c>
      <c r="AJ106" s="58" cm="1">
        <f t="array" ref="AJ106">_xlfn.LET(_xlpm.result,AJ$5*PRODUCT(1-AH$5:AH105),ROUND(_xlpm.result,4-INT(LN(_xlpm.result)/LN(10))))</f>
        <v>100000</v>
      </c>
      <c r="AK106" s="58">
        <f t="shared" si="15"/>
        <v>99185</v>
      </c>
    </row>
    <row r="107" spans="1:37" x14ac:dyDescent="0.25">
      <c r="A107" s="55">
        <v>102</v>
      </c>
      <c r="I107" s="65">
        <v>386.34</v>
      </c>
      <c r="J107" s="73">
        <v>49</v>
      </c>
      <c r="K107" s="58" cm="1">
        <f t="array" ref="K107">_xlfn.LET(_xlpm.result,K$5*PRODUCT(1-I$5:I106/1000),ROUND(_xlpm.result,4-INT(LN(_xlpm.result)/LN(10))))</f>
        <v>49.204000000000001</v>
      </c>
      <c r="L107" s="58">
        <f t="shared" si="12"/>
        <v>0.20400000000000063</v>
      </c>
      <c r="N107" s="65"/>
      <c r="O107" s="77">
        <v>99.075400000000002</v>
      </c>
      <c r="S107" s="74">
        <v>0.42562</v>
      </c>
      <c r="T107" s="73">
        <v>42</v>
      </c>
      <c r="U107" s="58" cm="1">
        <f t="array" ref="U107">_xlfn.LET(_xlpm.result,U$5*PRODUCT(1-S$5:S106),ROUND(_xlpm.result,4-INT(LN(_xlpm.result)/LN(10))))</f>
        <v>41.935000000000002</v>
      </c>
      <c r="V107" s="58">
        <f t="shared" si="16"/>
        <v>-6.4999999999997726E-2</v>
      </c>
      <c r="X107" s="74">
        <v>0.42562</v>
      </c>
      <c r="Y107" s="73">
        <v>95</v>
      </c>
      <c r="Z107" s="58" cm="1">
        <f t="array" ref="Z107">_xlfn.LET(_xlpm.result,Z$5*PRODUCT(1-X$5:X106),ROUND(_xlpm.result,4-INT(LN(_xlpm.result)/LN(10))))</f>
        <v>94.813000000000002</v>
      </c>
      <c r="AA107" s="58">
        <f t="shared" si="13"/>
        <v>-0.18699999999999761</v>
      </c>
      <c r="AC107" s="72">
        <v>0.32167000000000001</v>
      </c>
      <c r="AD107" s="73">
        <v>257</v>
      </c>
      <c r="AE107" s="58" cm="1">
        <f t="array" ref="AE107">_xlfn.LET(_xlpm.result,AE$5*PRODUCT(1-AC$5:AC106),ROUND(_xlpm.result,4-INT(LN(_xlpm.result)/LN(10))))</f>
        <v>257.27999999999997</v>
      </c>
      <c r="AF107" s="58">
        <f t="shared" si="14"/>
        <v>0.27999999999997272</v>
      </c>
      <c r="AH107" s="72"/>
      <c r="AI107" s="73">
        <v>570</v>
      </c>
      <c r="AJ107" s="58" cm="1">
        <f t="array" ref="AJ107">_xlfn.LET(_xlpm.result,AJ$5*PRODUCT(1-AH$5:AH106),ROUND(_xlpm.result,4-INT(LN(_xlpm.result)/LN(10))))</f>
        <v>100000</v>
      </c>
      <c r="AK107" s="58">
        <f t="shared" si="15"/>
        <v>99430</v>
      </c>
    </row>
    <row r="108" spans="1:37" x14ac:dyDescent="0.25">
      <c r="A108" s="55">
        <v>103</v>
      </c>
      <c r="I108" s="65">
        <v>400.36</v>
      </c>
      <c r="J108" s="73">
        <v>30</v>
      </c>
      <c r="K108" s="58" cm="1">
        <f t="array" ref="K108">_xlfn.LET(_xlpm.result,K$5*PRODUCT(1-I$5:I107/1000),ROUND(_xlpm.result,4-INT(LN(_xlpm.result)/LN(10))))</f>
        <v>30.193999999999999</v>
      </c>
      <c r="L108" s="58">
        <f t="shared" si="12"/>
        <v>0.19399999999999906</v>
      </c>
      <c r="N108" s="65"/>
      <c r="O108" s="77">
        <v>42.784799999999997</v>
      </c>
      <c r="S108" s="74">
        <v>0.4425</v>
      </c>
      <c r="T108" s="73">
        <v>24</v>
      </c>
      <c r="U108" s="58" cm="1">
        <f t="array" ref="U108">_xlfn.LET(_xlpm.result,U$5*PRODUCT(1-S$5:S107),ROUND(_xlpm.result,4-INT(LN(_xlpm.result)/LN(10))))</f>
        <v>24.087</v>
      </c>
      <c r="V108" s="58">
        <f t="shared" si="16"/>
        <v>8.6999999999999744E-2</v>
      </c>
      <c r="X108" s="74">
        <v>0.4425</v>
      </c>
      <c r="Y108" s="73">
        <v>54</v>
      </c>
      <c r="Z108" s="58" cm="1">
        <f t="array" ref="Z108">_xlfn.LET(_xlpm.result,Z$5*PRODUCT(1-X$5:X107),ROUND(_xlpm.result,4-INT(LN(_xlpm.result)/LN(10))))</f>
        <v>54.459000000000003</v>
      </c>
      <c r="AA108" s="58">
        <f t="shared" si="13"/>
        <v>0.45900000000000318</v>
      </c>
      <c r="AC108" s="72">
        <v>0.32817000000000002</v>
      </c>
      <c r="AD108" s="73">
        <v>175</v>
      </c>
      <c r="AE108" s="58" cm="1">
        <f t="array" ref="AE108">_xlfn.LET(_xlpm.result,AE$5*PRODUCT(1-AC$5:AC107),ROUND(_xlpm.result,4-INT(LN(_xlpm.result)/LN(10))))</f>
        <v>174.52</v>
      </c>
      <c r="AF108" s="58">
        <f t="shared" si="14"/>
        <v>-0.47999999999998977</v>
      </c>
      <c r="AH108" s="72"/>
      <c r="AI108" s="73">
        <v>393</v>
      </c>
      <c r="AJ108" s="58" cm="1">
        <f t="array" ref="AJ108">_xlfn.LET(_xlpm.result,AJ$5*PRODUCT(1-AH$5:AH107),ROUND(_xlpm.result,4-INT(LN(_xlpm.result)/LN(10))))</f>
        <v>100000</v>
      </c>
      <c r="AK108" s="58">
        <f t="shared" si="15"/>
        <v>99607</v>
      </c>
    </row>
    <row r="109" spans="1:37" x14ac:dyDescent="0.25">
      <c r="A109" s="55">
        <v>104</v>
      </c>
      <c r="I109" s="65">
        <v>415.25</v>
      </c>
      <c r="J109" s="73">
        <v>18</v>
      </c>
      <c r="K109" s="58" cm="1">
        <f t="array" ref="K109">_xlfn.LET(_xlpm.result,K$5*PRODUCT(1-I$5:I108/1000),ROUND(_xlpm.result,4-INT(LN(_xlpm.result)/LN(10))))</f>
        <v>18.106000000000002</v>
      </c>
      <c r="L109" s="58">
        <f t="shared" si="12"/>
        <v>0.10600000000000165</v>
      </c>
      <c r="N109" s="65"/>
      <c r="O109" s="77">
        <v>17.097200000000001</v>
      </c>
      <c r="S109" s="74">
        <v>0.45950999999999997</v>
      </c>
      <c r="T109" s="73">
        <v>13</v>
      </c>
      <c r="U109" s="58" cm="1">
        <f t="array" ref="U109">_xlfn.LET(_xlpm.result,U$5*PRODUCT(1-S$5:S108),ROUND(_xlpm.result,4-INT(LN(_xlpm.result)/LN(10))))</f>
        <v>13.428000000000001</v>
      </c>
      <c r="V109" s="58">
        <f t="shared" si="16"/>
        <v>0.42800000000000082</v>
      </c>
      <c r="X109" s="74">
        <v>0.45950999999999997</v>
      </c>
      <c r="Y109" s="73">
        <v>30</v>
      </c>
      <c r="Z109" s="58" cm="1">
        <f t="array" ref="Z109">_xlfn.LET(_xlpm.result,Z$5*PRODUCT(1-X$5:X108),ROUND(_xlpm.result,4-INT(LN(_xlpm.result)/LN(10))))</f>
        <v>30.361000000000001</v>
      </c>
      <c r="AA109" s="58">
        <f t="shared" si="13"/>
        <v>0.36100000000000065</v>
      </c>
      <c r="AC109" s="72">
        <v>0.33413999999999999</v>
      </c>
      <c r="AD109" s="73">
        <v>117</v>
      </c>
      <c r="AE109" s="58" cm="1">
        <f t="array" ref="AE109">_xlfn.LET(_xlpm.result,AE$5*PRODUCT(1-AC$5:AC108),ROUND(_xlpm.result,4-INT(LN(_xlpm.result)/LN(10))))</f>
        <v>117.25</v>
      </c>
      <c r="AF109" s="58">
        <f t="shared" si="14"/>
        <v>0.25</v>
      </c>
      <c r="AH109" s="72"/>
      <c r="AI109" s="73">
        <v>267</v>
      </c>
      <c r="AJ109" s="58" cm="1">
        <f t="array" ref="AJ109">_xlfn.LET(_xlpm.result,AJ$5*PRODUCT(1-AH$5:AH108),ROUND(_xlpm.result,4-INT(LN(_xlpm.result)/LN(10))))</f>
        <v>100000</v>
      </c>
      <c r="AK109" s="58">
        <f t="shared" si="15"/>
        <v>99733</v>
      </c>
    </row>
    <row r="110" spans="1:37" x14ac:dyDescent="0.25">
      <c r="A110" s="55">
        <v>105</v>
      </c>
      <c r="I110" s="65">
        <v>431.17</v>
      </c>
      <c r="J110" s="73">
        <v>11</v>
      </c>
      <c r="K110" s="58" cm="1">
        <f t="array" ref="K110">_xlfn.LET(_xlpm.result,K$5*PRODUCT(1-I$5:I109/1000),ROUND(_xlpm.result,4-INT(LN(_xlpm.result)/LN(10))))</f>
        <v>10.587</v>
      </c>
      <c r="L110" s="58">
        <f t="shared" si="12"/>
        <v>-0.41300000000000026</v>
      </c>
      <c r="N110" s="65"/>
      <c r="O110" s="77">
        <v>6.2770700000000001</v>
      </c>
      <c r="S110" s="74">
        <v>0.47661999999999999</v>
      </c>
      <c r="T110" s="73">
        <v>7</v>
      </c>
      <c r="U110" s="58" cm="1">
        <f t="array" ref="U110">_xlfn.LET(_xlpm.result,U$5*PRODUCT(1-S$5:S109),ROUND(_xlpm.result,4-INT(LN(_xlpm.result)/LN(10))))</f>
        <v>7.2579000000000002</v>
      </c>
      <c r="V110" s="58">
        <f t="shared" si="16"/>
        <v>0.25790000000000024</v>
      </c>
      <c r="X110" s="74">
        <v>0.47661999999999999</v>
      </c>
      <c r="Y110" s="73">
        <v>16</v>
      </c>
      <c r="Z110" s="58" cm="1">
        <f t="array" ref="Z110">_xlfn.LET(_xlpm.result,Z$5*PRODUCT(1-X$5:X109),ROUND(_xlpm.result,4-INT(LN(_xlpm.result)/LN(10))))</f>
        <v>16.41</v>
      </c>
      <c r="AA110" s="58">
        <f t="shared" si="13"/>
        <v>0.41000000000000014</v>
      </c>
      <c r="AC110" s="72">
        <v>0.3392</v>
      </c>
      <c r="AD110" s="73">
        <v>78</v>
      </c>
      <c r="AE110" s="58" cm="1">
        <f t="array" ref="AE110">_xlfn.LET(_xlpm.result,AE$5*PRODUCT(1-AC$5:AC109),ROUND(_xlpm.result,4-INT(LN(_xlpm.result)/LN(10))))</f>
        <v>78.069999999999993</v>
      </c>
      <c r="AF110" s="58">
        <f t="shared" si="14"/>
        <v>6.9999999999993179E-2</v>
      </c>
      <c r="AH110" s="72"/>
      <c r="AI110" s="73">
        <v>179</v>
      </c>
      <c r="AJ110" s="58" cm="1">
        <f t="array" ref="AJ110">_xlfn.LET(_xlpm.result,AJ$5*PRODUCT(1-AH$5:AH109),ROUND(_xlpm.result,4-INT(LN(_xlpm.result)/LN(10))))</f>
        <v>100000</v>
      </c>
      <c r="AK110" s="58">
        <f t="shared" si="15"/>
        <v>99821</v>
      </c>
    </row>
    <row r="111" spans="1:37" x14ac:dyDescent="0.25">
      <c r="A111" s="55">
        <v>106</v>
      </c>
      <c r="I111" s="65">
        <v>448.2</v>
      </c>
      <c r="J111" s="73">
        <v>6</v>
      </c>
      <c r="K111" s="58" cm="1">
        <f t="array" ref="K111">_xlfn.LET(_xlpm.result,K$5*PRODUCT(1-I$5:I110/1000),ROUND(_xlpm.result,4-INT(LN(_xlpm.result)/LN(10))))</f>
        <v>6.0224000000000002</v>
      </c>
      <c r="L111" s="58">
        <f t="shared" si="12"/>
        <v>2.2400000000000198E-2</v>
      </c>
      <c r="N111" s="65"/>
      <c r="O111" s="77">
        <v>0</v>
      </c>
      <c r="S111" s="74">
        <v>0.49378</v>
      </c>
      <c r="T111" s="73">
        <v>4</v>
      </c>
      <c r="U111" s="58" cm="1">
        <f t="array" ref="U111">_xlfn.LET(_xlpm.result,U$5*PRODUCT(1-S$5:S110),ROUND(_xlpm.result,4-INT(LN(_xlpm.result)/LN(10))))</f>
        <v>3.7986</v>
      </c>
      <c r="V111" s="58">
        <f t="shared" si="16"/>
        <v>-0.20140000000000002</v>
      </c>
      <c r="X111" s="74">
        <v>0.49378</v>
      </c>
      <c r="Y111" s="73">
        <v>9</v>
      </c>
      <c r="Z111" s="58" cm="1">
        <f t="array" ref="Z111">_xlfn.LET(_xlpm.result,Z$5*PRODUCT(1-X$5:X110),ROUND(_xlpm.result,4-INT(LN(_xlpm.result)/LN(10))))</f>
        <v>8.5884999999999998</v>
      </c>
      <c r="AA111" s="58">
        <f t="shared" si="13"/>
        <v>-0.4115000000000002</v>
      </c>
      <c r="AC111" s="72">
        <v>0.34460000000000002</v>
      </c>
      <c r="AD111" s="73">
        <v>52</v>
      </c>
      <c r="AE111" s="58" cm="1">
        <f t="array" ref="AE111">_xlfn.LET(_xlpm.result,AE$5*PRODUCT(1-AC$5:AC110),ROUND(_xlpm.result,4-INT(LN(_xlpm.result)/LN(10))))</f>
        <v>51.588999999999999</v>
      </c>
      <c r="AF111" s="58">
        <f t="shared" si="14"/>
        <v>-0.41100000000000136</v>
      </c>
      <c r="AH111" s="72"/>
      <c r="AI111" s="73">
        <v>119</v>
      </c>
      <c r="AJ111" s="58" cm="1">
        <f t="array" ref="AJ111">_xlfn.LET(_xlpm.result,AJ$5*PRODUCT(1-AH$5:AH110),ROUND(_xlpm.result,4-INT(LN(_xlpm.result)/LN(10))))</f>
        <v>100000</v>
      </c>
      <c r="AK111" s="58">
        <f t="shared" si="15"/>
        <v>99881</v>
      </c>
    </row>
    <row r="112" spans="1:37" x14ac:dyDescent="0.25">
      <c r="A112" s="55">
        <v>107</v>
      </c>
      <c r="I112" s="65">
        <v>466.33</v>
      </c>
      <c r="J112" s="73">
        <v>3</v>
      </c>
      <c r="K112" s="58" cm="1">
        <f t="array" ref="K112">_xlfn.LET(_xlpm.result,K$5*PRODUCT(1-I$5:I111/1000),ROUND(_xlpm.result,4-INT(LN(_xlpm.result)/LN(10))))</f>
        <v>3.3231999999999999</v>
      </c>
      <c r="L112" s="58">
        <f t="shared" si="12"/>
        <v>0.32319999999999993</v>
      </c>
      <c r="N112" s="65"/>
      <c r="O112" s="77">
        <v>0</v>
      </c>
      <c r="S112" s="74">
        <v>0.51095000000000002</v>
      </c>
      <c r="T112" s="73">
        <v>2</v>
      </c>
      <c r="U112" s="58" cm="1">
        <f t="array" ref="U112">_xlfn.LET(_xlpm.result,U$5*PRODUCT(1-S$5:S111),ROUND(_xlpm.result,4-INT(LN(_xlpm.result)/LN(10))))</f>
        <v>1.923</v>
      </c>
      <c r="V112" s="58">
        <f t="shared" si="16"/>
        <v>-7.6999999999999957E-2</v>
      </c>
      <c r="X112" s="74">
        <v>0.51095000000000002</v>
      </c>
      <c r="Y112" s="73">
        <v>4</v>
      </c>
      <c r="Z112" s="58" cm="1">
        <f t="array" ref="Z112">_xlfn.LET(_xlpm.result,Z$5*PRODUCT(1-X$5:X111),ROUND(_xlpm.result,4-INT(LN(_xlpm.result)/LN(10))))</f>
        <v>4.3476999999999997</v>
      </c>
      <c r="AA112" s="58">
        <f t="shared" si="13"/>
        <v>0.34769999999999968</v>
      </c>
      <c r="AC112" s="72">
        <v>0.34916999999999998</v>
      </c>
      <c r="AD112" s="73">
        <v>34</v>
      </c>
      <c r="AE112" s="58" cm="1">
        <f t="array" ref="AE112">_xlfn.LET(_xlpm.result,AE$5*PRODUCT(1-AC$5:AC111),ROUND(_xlpm.result,4-INT(LN(_xlpm.result)/LN(10))))</f>
        <v>33.811</v>
      </c>
      <c r="AF112" s="58">
        <f t="shared" si="14"/>
        <v>-0.18900000000000006</v>
      </c>
      <c r="AH112" s="72"/>
      <c r="AI112" s="73">
        <v>78</v>
      </c>
      <c r="AJ112" s="58" cm="1">
        <f t="array" ref="AJ112">_xlfn.LET(_xlpm.result,AJ$5*PRODUCT(1-AH$5:AH111),ROUND(_xlpm.result,4-INT(LN(_xlpm.result)/LN(10))))</f>
        <v>100000</v>
      </c>
      <c r="AK112" s="58">
        <f t="shared" si="15"/>
        <v>99922</v>
      </c>
    </row>
    <row r="113" spans="1:37" x14ac:dyDescent="0.25">
      <c r="A113" s="55">
        <v>108</v>
      </c>
      <c r="I113" s="65">
        <v>485.39</v>
      </c>
      <c r="J113" s="73">
        <v>2</v>
      </c>
      <c r="K113" s="58" cm="1">
        <f t="array" ref="K113">_xlfn.LET(_xlpm.result,K$5*PRODUCT(1-I$5:I112/1000),ROUND(_xlpm.result,4-INT(LN(_xlpm.result)/LN(10))))</f>
        <v>1.7735000000000001</v>
      </c>
      <c r="L113" s="58">
        <f t="shared" si="12"/>
        <v>-0.22649999999999992</v>
      </c>
      <c r="N113" s="65"/>
      <c r="O113" s="77">
        <v>0</v>
      </c>
      <c r="S113" s="74">
        <v>0.52810000000000001</v>
      </c>
      <c r="T113" s="73">
        <v>1</v>
      </c>
      <c r="U113" s="58" cm="1">
        <f t="array" ref="U113">_xlfn.LET(_xlpm.result,U$5*PRODUCT(1-S$5:S112),ROUND(_xlpm.result,4-INT(LN(_xlpm.result)/LN(10))))</f>
        <v>0.94042000000000003</v>
      </c>
      <c r="V113" s="58">
        <f t="shared" si="16"/>
        <v>-5.9579999999999966E-2</v>
      </c>
      <c r="X113" s="74">
        <v>0.52810000000000001</v>
      </c>
      <c r="Y113" s="73">
        <v>2</v>
      </c>
      <c r="Z113" s="58" cm="1">
        <f t="array" ref="Z113">_xlfn.LET(_xlpm.result,Z$5*PRODUCT(1-X$5:X112),ROUND(_xlpm.result,4-INT(LN(_xlpm.result)/LN(10))))</f>
        <v>2.1261999999999999</v>
      </c>
      <c r="AA113" s="58">
        <f t="shared" si="13"/>
        <v>0.12619999999999987</v>
      </c>
      <c r="AC113" s="72">
        <v>0.35332999999999998</v>
      </c>
      <c r="AD113" s="73">
        <v>22</v>
      </c>
      <c r="AE113" s="58" cm="1">
        <f t="array" ref="AE113">_xlfn.LET(_xlpm.result,AE$5*PRODUCT(1-AC$5:AC112),ROUND(_xlpm.result,4-INT(LN(_xlpm.result)/LN(10))))</f>
        <v>22.004999999999999</v>
      </c>
      <c r="AF113" s="58">
        <f t="shared" si="14"/>
        <v>4.9999999999990052E-3</v>
      </c>
      <c r="AH113" s="72"/>
      <c r="AI113" s="73">
        <v>51</v>
      </c>
      <c r="AJ113" s="58" cm="1">
        <f t="array" ref="AJ113">_xlfn.LET(_xlpm.result,AJ$5*PRODUCT(1-AH$5:AH112),ROUND(_xlpm.result,4-INT(LN(_xlpm.result)/LN(10))))</f>
        <v>100000</v>
      </c>
      <c r="AK113" s="58">
        <f t="shared" si="15"/>
        <v>99949</v>
      </c>
    </row>
    <row r="114" spans="1:37" x14ac:dyDescent="0.25">
      <c r="A114" s="55">
        <v>109</v>
      </c>
      <c r="I114" s="65">
        <v>505.1</v>
      </c>
      <c r="J114" s="73">
        <v>1</v>
      </c>
      <c r="K114" s="58" cm="1">
        <f t="array" ref="K114">_xlfn.LET(_xlpm.result,K$5*PRODUCT(1-I$5:I113/1000),ROUND(_xlpm.result,4-INT(LN(_xlpm.result)/LN(10))))</f>
        <v>0.91264000000000001</v>
      </c>
      <c r="L114" s="58">
        <f t="shared" ref="L114" si="18">+K114-J114</f>
        <v>-8.7359999999999993E-2</v>
      </c>
      <c r="N114" s="65"/>
      <c r="O114" s="77">
        <v>0</v>
      </c>
      <c r="S114" s="74">
        <v>0.54518999999999995</v>
      </c>
      <c r="T114" s="73">
        <v>0</v>
      </c>
      <c r="U114" s="58" cm="1">
        <f t="array" ref="U114">_xlfn.LET(_xlpm.result,U$5*PRODUCT(1-S$5:S113),ROUND(_xlpm.result,4-INT(LN(_xlpm.result)/LN(10))))</f>
        <v>0.44378000000000001</v>
      </c>
      <c r="V114" s="58">
        <f t="shared" si="16"/>
        <v>0.44378000000000001</v>
      </c>
      <c r="X114" s="74">
        <v>0.54518999999999995</v>
      </c>
      <c r="Y114" s="73">
        <v>1</v>
      </c>
      <c r="Z114" s="58" cm="1">
        <f t="array" ref="Z114">_xlfn.LET(_xlpm.result,Z$5*PRODUCT(1-X$5:X113),ROUND(_xlpm.result,4-INT(LN(_xlpm.result)/LN(10))))</f>
        <v>1.0034000000000001</v>
      </c>
      <c r="AA114" s="58">
        <f t="shared" si="13"/>
        <v>3.4000000000000696E-3</v>
      </c>
      <c r="AC114" s="72">
        <v>0.35711999999999999</v>
      </c>
      <c r="AD114" s="73">
        <v>14</v>
      </c>
      <c r="AE114" s="58" cm="1">
        <f t="array" ref="AE114">_xlfn.LET(_xlpm.result,AE$5*PRODUCT(1-AC$5:AC113),ROUND(_xlpm.result,4-INT(LN(_xlpm.result)/LN(10))))</f>
        <v>14.23</v>
      </c>
      <c r="AF114" s="58">
        <f t="shared" si="14"/>
        <v>0.23000000000000043</v>
      </c>
      <c r="AH114" s="72"/>
      <c r="AI114" s="73">
        <v>33</v>
      </c>
      <c r="AJ114" s="58" cm="1">
        <f t="array" ref="AJ114">_xlfn.LET(_xlpm.result,AJ$5*PRODUCT(1-AH$5:AH113),ROUND(_xlpm.result,4-INT(LN(_xlpm.result)/LN(10))))</f>
        <v>100000</v>
      </c>
      <c r="AK114" s="58">
        <f t="shared" si="15"/>
        <v>99967</v>
      </c>
    </row>
    <row r="115" spans="1:37" x14ac:dyDescent="0.25">
      <c r="A115" s="55">
        <v>110</v>
      </c>
      <c r="I115" s="65"/>
      <c r="J115" s="73">
        <v>0</v>
      </c>
      <c r="K115" s="73">
        <v>0</v>
      </c>
      <c r="L115" s="73">
        <v>0</v>
      </c>
      <c r="N115" s="65"/>
      <c r="O115" s="77">
        <v>0</v>
      </c>
      <c r="P115" s="73"/>
      <c r="Q115" s="73"/>
      <c r="S115" s="74">
        <v>1</v>
      </c>
      <c r="T115" s="73">
        <v>0</v>
      </c>
      <c r="U115" s="73">
        <v>0</v>
      </c>
      <c r="V115" s="73">
        <v>0</v>
      </c>
      <c r="X115" s="74">
        <v>1</v>
      </c>
      <c r="Y115" s="73">
        <v>0</v>
      </c>
      <c r="Z115" s="73">
        <v>0</v>
      </c>
      <c r="AA115" s="73">
        <v>0</v>
      </c>
      <c r="AC115" s="72"/>
      <c r="AD115" s="73">
        <v>0</v>
      </c>
      <c r="AE115" s="73">
        <v>0</v>
      </c>
      <c r="AF115" s="73">
        <v>0</v>
      </c>
      <c r="AH115" s="72"/>
      <c r="AI115" s="73">
        <v>0</v>
      </c>
      <c r="AJ115" s="73">
        <v>0</v>
      </c>
      <c r="AK115" s="73">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B3EF4-6056-45D8-9F70-B4A4EBEAC3F1}">
  <sheetPr codeName="Sheet4">
    <outlinePr summaryBelow="0" summaryRight="0"/>
  </sheetPr>
  <dimension ref="A1:AB142"/>
  <sheetViews>
    <sheetView topLeftCell="A120" workbookViewId="0">
      <selection activeCell="D133" sqref="D133"/>
    </sheetView>
  </sheetViews>
  <sheetFormatPr defaultColWidth="9" defaultRowHeight="13.8" x14ac:dyDescent="0.25"/>
  <cols>
    <col min="1" max="1" width="2.5" style="16" customWidth="1"/>
    <col min="2" max="2" width="4.59765625" style="16" customWidth="1"/>
    <col min="3" max="3" width="5.296875" style="16" customWidth="1"/>
    <col min="4" max="5" width="4.59765625" style="16" customWidth="1"/>
    <col min="6" max="10" width="10.59765625" style="16" customWidth="1"/>
    <col min="29" max="16384" width="9" style="13"/>
  </cols>
  <sheetData>
    <row r="1" spans="1:10" s="12" customFormat="1" x14ac:dyDescent="0.25">
      <c r="A1" s="16"/>
      <c r="B1" s="16" t="s">
        <v>12</v>
      </c>
      <c r="G1" s="16"/>
      <c r="H1" s="16"/>
      <c r="I1" s="15"/>
      <c r="J1" s="15"/>
    </row>
    <row r="2" spans="1:10" x14ac:dyDescent="0.25">
      <c r="C2" s="21" t="s">
        <v>13</v>
      </c>
    </row>
    <row r="3" spans="1:10" x14ac:dyDescent="0.25">
      <c r="C3" s="16" t="s">
        <v>10</v>
      </c>
      <c r="D3" s="15"/>
    </row>
    <row r="4" spans="1:10" ht="14.4" x14ac:dyDescent="0.3">
      <c r="D4" s="17" t="str" cm="1">
        <f t="array" ref="D4">"An"&amp;_angle&amp;" = v^n"</f>
        <v>An̚ = v^n</v>
      </c>
    </row>
    <row r="6" spans="1:10" x14ac:dyDescent="0.25">
      <c r="C6" s="21" t="s">
        <v>14</v>
      </c>
    </row>
    <row r="7" spans="1:10" x14ac:dyDescent="0.25">
      <c r="C7" s="16" t="s">
        <v>11</v>
      </c>
      <c r="D7" s="15"/>
    </row>
    <row r="8" spans="1:10" ht="14.4" x14ac:dyDescent="0.3">
      <c r="D8" s="17" t="str" cm="1">
        <f t="array" ref="D8">"A"&amp;_bar&amp;"x = sum (t=0 to inf) [ (t+1Qx - tQx) * v^t+1 * (1 + i/2) ]"</f>
        <v>A̅x = sum (t=0 to inf) [ (t+1Qx - tQx) * v^t+1 * (1 + i/2) ]</v>
      </c>
    </row>
    <row r="10" spans="1:10" x14ac:dyDescent="0.25">
      <c r="C10" s="21" t="s">
        <v>15</v>
      </c>
      <c r="D10" s="14"/>
      <c r="E10" s="14"/>
      <c r="F10" s="14"/>
    </row>
    <row r="11" spans="1:10" x14ac:dyDescent="0.25">
      <c r="C11" s="16" t="s">
        <v>21</v>
      </c>
      <c r="D11" s="15"/>
      <c r="E11" s="15"/>
      <c r="F11" s="15"/>
    </row>
    <row r="12" spans="1:10" ht="14.4" x14ac:dyDescent="0.3">
      <c r="D12" s="17" t="s">
        <v>19</v>
      </c>
    </row>
    <row r="14" spans="1:10" x14ac:dyDescent="0.25">
      <c r="C14" s="21" t="s">
        <v>16</v>
      </c>
    </row>
    <row r="15" spans="1:10" x14ac:dyDescent="0.25">
      <c r="C15" s="16" t="s">
        <v>22</v>
      </c>
    </row>
    <row r="16" spans="1:10" ht="14.4" x14ac:dyDescent="0.3">
      <c r="A16" s="14"/>
      <c r="B16" s="14"/>
      <c r="D16" s="17" t="s">
        <v>20</v>
      </c>
    </row>
    <row r="17" spans="1:8" x14ac:dyDescent="0.25">
      <c r="A17" s="15"/>
      <c r="B17" s="13"/>
      <c r="C17" s="16" t="s">
        <v>23</v>
      </c>
      <c r="D17" s="13"/>
      <c r="E17" s="13"/>
      <c r="F17" s="13"/>
      <c r="G17" s="13"/>
      <c r="H17" s="13"/>
    </row>
    <row r="18" spans="1:8" ht="14.4" x14ac:dyDescent="0.3">
      <c r="B18" s="13"/>
      <c r="C18" s="13"/>
      <c r="D18" s="17" t="s">
        <v>24</v>
      </c>
      <c r="E18" s="13"/>
      <c r="F18" s="13"/>
      <c r="G18" s="13"/>
      <c r="H18" s="13"/>
    </row>
    <row r="19" spans="1:8" x14ac:dyDescent="0.25">
      <c r="B19" s="19" t="s">
        <v>62</v>
      </c>
      <c r="C19" s="13"/>
      <c r="D19" s="13"/>
      <c r="E19" s="13"/>
      <c r="F19" s="13"/>
      <c r="G19" s="13"/>
      <c r="H19" s="13"/>
    </row>
    <row r="20" spans="1:8" x14ac:dyDescent="0.25">
      <c r="B20" s="16" t="s">
        <v>17</v>
      </c>
    </row>
    <row r="21" spans="1:8" x14ac:dyDescent="0.25">
      <c r="C21" s="21" t="s">
        <v>18</v>
      </c>
    </row>
    <row r="22" spans="1:8" x14ac:dyDescent="0.25">
      <c r="C22" s="16" t="s">
        <v>29</v>
      </c>
    </row>
    <row r="23" spans="1:8" ht="14.4" x14ac:dyDescent="0.3">
      <c r="D23" s="17" t="s">
        <v>25</v>
      </c>
    </row>
    <row r="24" spans="1:8" ht="14.4" x14ac:dyDescent="0.3">
      <c r="D24" s="17" t="s">
        <v>65</v>
      </c>
    </row>
    <row r="25" spans="1:8" ht="14.4" x14ac:dyDescent="0.3">
      <c r="D25" s="17" t="str" cm="1">
        <f t="array" ref="D25">"M"&amp;_bar&amp;"x = Mx * (1 + i/2)"</f>
        <v>M̅x = Mx * (1 + i/2)</v>
      </c>
    </row>
    <row r="26" spans="1:8" ht="14.4" x14ac:dyDescent="0.3">
      <c r="D26" s="17" t="s">
        <v>26</v>
      </c>
    </row>
    <row r="27" spans="1:8" ht="14.4" x14ac:dyDescent="0.3">
      <c r="D27" s="18" t="str" cm="1">
        <f t="array" ref="D27">"N"&amp;_circle&amp;"x = Nx+1 + Mx / 2"</f>
        <v>N̊x = Nx+1 + Mx / 2</v>
      </c>
      <c r="G27" s="14"/>
    </row>
    <row r="28" spans="1:8" x14ac:dyDescent="0.25">
      <c r="G28" s="15"/>
    </row>
    <row r="29" spans="1:8" x14ac:dyDescent="0.25">
      <c r="C29" s="21" t="s">
        <v>27</v>
      </c>
    </row>
    <row r="30" spans="1:8" x14ac:dyDescent="0.25">
      <c r="C30" s="16" t="s">
        <v>33</v>
      </c>
    </row>
    <row r="31" spans="1:8" ht="14.4" x14ac:dyDescent="0.3">
      <c r="D31" s="18" t="str" cm="1">
        <f t="array" ref="D31">"a"&amp;_circle&amp;"x:t"&amp;_angle&amp;" = (N"&amp;_circle&amp;"x – N"&amp;_circle&amp;"x+t)  / Dx * K factor"</f>
        <v>åx:t̚ = (N̊x – N̊x+t)  / Dx * K factor</v>
      </c>
    </row>
    <row r="33" spans="2:4" x14ac:dyDescent="0.25">
      <c r="C33" s="21" t="s">
        <v>28</v>
      </c>
    </row>
    <row r="34" spans="2:4" x14ac:dyDescent="0.25">
      <c r="C34" s="16" t="s">
        <v>30</v>
      </c>
    </row>
    <row r="35" spans="2:4" x14ac:dyDescent="0.25">
      <c r="C35" s="16" t="s">
        <v>31</v>
      </c>
    </row>
    <row r="36" spans="2:4" ht="14.4" x14ac:dyDescent="0.3">
      <c r="D36" s="18" t="s">
        <v>32</v>
      </c>
    </row>
    <row r="38" spans="2:4" x14ac:dyDescent="0.25">
      <c r="C38" s="21" t="s">
        <v>34</v>
      </c>
    </row>
    <row r="39" spans="2:4" x14ac:dyDescent="0.25">
      <c r="C39" s="16" t="s">
        <v>35</v>
      </c>
    </row>
    <row r="40" spans="2:4" ht="14.4" x14ac:dyDescent="0.3">
      <c r="D40" s="18" t="str" cm="1">
        <f t="array" ref="D40">"(N"&amp;_circle&amp;"x – N"&amp;_circle&amp;"x+t)  / Dx   * ui"</f>
        <v>(N̊x – N̊x+t)  / Dx   * ui</v>
      </c>
    </row>
    <row r="42" spans="2:4" x14ac:dyDescent="0.25">
      <c r="B42" s="16" t="s">
        <v>37</v>
      </c>
    </row>
    <row r="43" spans="2:4" x14ac:dyDescent="0.25">
      <c r="B43" s="16" t="s">
        <v>41</v>
      </c>
    </row>
    <row r="44" spans="2:4" x14ac:dyDescent="0.25">
      <c r="C44" s="16" t="s">
        <v>39</v>
      </c>
    </row>
    <row r="45" spans="2:4" x14ac:dyDescent="0.25">
      <c r="C45" s="16" t="s">
        <v>38</v>
      </c>
    </row>
    <row r="46" spans="2:4" ht="14.4" x14ac:dyDescent="0.3">
      <c r="D46" s="18" t="str" cm="1">
        <f t="array" ref="D46">"A"&amp;_bar&amp;"x = 1 – i a"&amp;_circle&amp;"x"</f>
        <v>A̅x = 1 – i åx</v>
      </c>
    </row>
    <row r="47" spans="2:4" ht="14.4" x14ac:dyDescent="0.3">
      <c r="D47" s="18" t="str" cm="1">
        <f t="array" ref="D47">"a"&amp;_circle&amp;"x = ax + Ax /2"</f>
        <v>åx = ax + Ax /2</v>
      </c>
    </row>
    <row r="48" spans="2:4" ht="14.4" x14ac:dyDescent="0.3">
      <c r="D48" s="18" t="str" cm="1">
        <f t="array" ref="D48">"A"&amp;_bar&amp;"x = Ax + (1 + i/2)"</f>
        <v>A̅x = Ax + (1 + i/2)</v>
      </c>
    </row>
    <row r="50" spans="2:4" x14ac:dyDescent="0.25">
      <c r="B50" s="16" t="s">
        <v>42</v>
      </c>
    </row>
    <row r="51" spans="2:4" x14ac:dyDescent="0.25">
      <c r="B51" s="16" t="s">
        <v>40</v>
      </c>
    </row>
    <row r="52" spans="2:4" x14ac:dyDescent="0.25">
      <c r="C52" s="16" t="s">
        <v>43</v>
      </c>
    </row>
    <row r="53" spans="2:4" x14ac:dyDescent="0.25">
      <c r="C53" s="16" t="s">
        <v>49</v>
      </c>
    </row>
    <row r="54" spans="2:4" ht="14.4" x14ac:dyDescent="0.3">
      <c r="D54" s="18" t="s">
        <v>44</v>
      </c>
    </row>
    <row r="55" spans="2:4" ht="14.4" x14ac:dyDescent="0.3">
      <c r="D55" s="18" t="s">
        <v>45</v>
      </c>
    </row>
    <row r="56" spans="2:4" ht="14.4" x14ac:dyDescent="0.3">
      <c r="D56" s="18" t="s">
        <v>48</v>
      </c>
    </row>
    <row r="58" spans="2:4" x14ac:dyDescent="0.25">
      <c r="C58" s="16" t="s">
        <v>46</v>
      </c>
    </row>
    <row r="59" spans="2:4" x14ac:dyDescent="0.25">
      <c r="C59" s="16" t="s">
        <v>47</v>
      </c>
    </row>
    <row r="60" spans="2:4" ht="14.4" x14ac:dyDescent="0.3">
      <c r="D60" s="18" t="str" cm="1">
        <f t="array" ref="D60">"nQx"&amp;_bar&amp;"y"&amp;_bar&amp;" = nQx * nQy"</f>
        <v>nQx̅y̅ = nQx * nQy</v>
      </c>
    </row>
    <row r="62" spans="2:4" x14ac:dyDescent="0.25">
      <c r="B62" s="16" t="s">
        <v>50</v>
      </c>
    </row>
    <row r="64" spans="2:4" ht="14.4" x14ac:dyDescent="0.3">
      <c r="C64" s="18" t="str">
        <f>_xlfn.UNICHAR(7424)&amp;_xlfn.UNICHAR(862)&amp;REPT(_xlfn.UNICHAR(305),2)</f>
        <v>ᴀ͞ıı</v>
      </c>
      <c r="D64" s="16" t="s">
        <v>67</v>
      </c>
    </row>
    <row r="65" spans="3:5" x14ac:dyDescent="0.25">
      <c r="C65" s="27" t="s">
        <v>56</v>
      </c>
    </row>
    <row r="66" spans="3:5" ht="14.4" x14ac:dyDescent="0.3">
      <c r="D66" s="18" t="s">
        <v>51</v>
      </c>
    </row>
    <row r="67" spans="3:5" ht="14.4" x14ac:dyDescent="0.3">
      <c r="D67" s="18"/>
      <c r="E67" s="18" t="s">
        <v>53</v>
      </c>
    </row>
    <row r="68" spans="3:5" ht="14.4" x14ac:dyDescent="0.3">
      <c r="D68" s="18"/>
      <c r="E68" s="16" t="s">
        <v>54</v>
      </c>
    </row>
    <row r="69" spans="3:5" ht="14.4" x14ac:dyDescent="0.3">
      <c r="D69" s="18" t="str">
        <f>"tQ"&amp;_LS</f>
        <v>tQᴀ͞ıı</v>
      </c>
      <c r="E69" s="16" t="s">
        <v>55</v>
      </c>
    </row>
    <row r="70" spans="3:5" ht="14.4" x14ac:dyDescent="0.3">
      <c r="D70" s="18" t="str">
        <f>"D"&amp;_LS&amp;"+t / D"&amp;_LS&amp;"  = v^t * (1-tQ"&amp;_LS&amp;")"</f>
        <v>Dᴀ͞ıı+t / Dᴀ͞ıı  = v^t * (1-tQᴀ͞ıı)</v>
      </c>
    </row>
    <row r="71" spans="3:5" ht="14.4" x14ac:dyDescent="0.3">
      <c r="D71" s="17" t="str">
        <f>"M"&amp;_LS&amp;"+t / D"&amp;_LS&amp;"  =  sum (a=t to inf) [v^a+1 * ( a+1Q"&amp;_LS&amp;" - aQ"&amp;_LS&amp;" )]"</f>
        <v>Mᴀ͞ıı+t / Dᴀ͞ıı  =  sum (a=t to inf) [v^a+1 * ( a+1Qᴀ͞ıı - aQᴀ͞ıı )]</v>
      </c>
    </row>
    <row r="72" spans="3:5" ht="14.4" x14ac:dyDescent="0.3">
      <c r="D72" s="18" t="str" cm="1">
        <f t="array" ref="D72">"N"&amp;_circle&amp;_LS&amp;"+t / D"&amp;_LS&amp;"  =  sum (a=t+1 to inf) [D"&amp;_LS&amp;"+a] + 1/2 * M"&amp;_LS&amp;"+t / D"&amp;_LS</f>
        <v>N̊ᴀ͞ıı+t / Dᴀ͞ıı  =  sum (a=t+1 to inf) [Dᴀ͞ıı+a] + 1/2 * Mᴀ͞ıı+t / Dᴀ͞ıı</v>
      </c>
    </row>
    <row r="74" spans="3:5" ht="14.4" x14ac:dyDescent="0.3">
      <c r="C74" s="18" t="str">
        <f>_xlfn.UNICHAR(7424)&amp;REPT(_xlfn.UNICHAR(305),2)</f>
        <v>ᴀıı</v>
      </c>
      <c r="D74" s="16" t="s">
        <v>66</v>
      </c>
    </row>
    <row r="75" spans="3:5" x14ac:dyDescent="0.25">
      <c r="C75" s="27" t="s">
        <v>57</v>
      </c>
    </row>
    <row r="76" spans="3:5" ht="14.4" x14ac:dyDescent="0.3">
      <c r="D76" s="18" t="s">
        <v>58</v>
      </c>
      <c r="E76" s="16" t="s">
        <v>52</v>
      </c>
    </row>
    <row r="77" spans="3:5" ht="14.4" x14ac:dyDescent="0.3">
      <c r="D77" s="18"/>
      <c r="E77" s="18" t="s">
        <v>60</v>
      </c>
    </row>
    <row r="78" spans="3:5" ht="14.4" x14ac:dyDescent="0.3">
      <c r="D78" s="18"/>
      <c r="E78" s="16" t="s">
        <v>61</v>
      </c>
    </row>
    <row r="79" spans="3:5" ht="14.4" x14ac:dyDescent="0.3">
      <c r="D79" s="18" t="str">
        <f>"tP"&amp;_JL</f>
        <v>tPᴀıı</v>
      </c>
      <c r="E79" s="16" t="s">
        <v>59</v>
      </c>
    </row>
    <row r="80" spans="3:5" ht="14.4" x14ac:dyDescent="0.3">
      <c r="C80" s="18"/>
      <c r="D80" s="18" t="str">
        <f>"D"&amp;_JL&amp;"+t / D"&amp;_JL&amp;" = v^t * tP"&amp;_JL</f>
        <v>Dᴀıı+t / Dᴀıı = v^t * tPᴀıı</v>
      </c>
    </row>
    <row r="81" spans="3:6" ht="14.4" x14ac:dyDescent="0.3">
      <c r="C81" s="27"/>
      <c r="D81" s="17" t="str">
        <f>"M"&amp;_JL&amp;"+t / D"&amp;_JL&amp;"  =  sum (a=t to inf) [v^a+1 * ( aP"&amp;_JL&amp;" - a+1P"&amp;_JL&amp;" )]"</f>
        <v>Mᴀıı+t / Dᴀıı  =  sum (a=t to inf) [v^a+1 * ( aPᴀıı - a+1Pᴀıı )]</v>
      </c>
    </row>
    <row r="82" spans="3:6" ht="14.4" x14ac:dyDescent="0.3">
      <c r="D82" s="18" t="str" cm="1">
        <f t="array" ref="D82">"N"&amp;_circle&amp;"t = sum (a=t+1 to inf) [Da] + Ma / 2"</f>
        <v>N̊t = sum (a=t+1 to inf) [Da] + Ma / 2</v>
      </c>
    </row>
    <row r="84" spans="3:6" x14ac:dyDescent="0.25">
      <c r="C84" s="16" t="str">
        <f>"Annuity factor from first principles (using "&amp;_JL&amp;" or "&amp;_LS&amp;" as appropriate)"</f>
        <v>Annuity factor from first principles (using ᴀıı or ᴀ͞ıı as appropriate)</v>
      </c>
    </row>
    <row r="85" spans="3:6" ht="14.4" x14ac:dyDescent="0.3">
      <c r="D85" s="16" t="s">
        <v>69</v>
      </c>
      <c r="F85" s="17" t="str" cm="1">
        <f t="array" ref="F85">"an"&amp;_angle&amp;" = 1 - v^n / i"</f>
        <v>an̚ = 1 - v^n / i</v>
      </c>
    </row>
    <row r="86" spans="3:6" ht="14.4" x14ac:dyDescent="0.3">
      <c r="D86" s="16" t="s">
        <v>70</v>
      </c>
      <c r="F86" s="18" t="str" cm="1">
        <f t="array" ref="F86">"a"&amp;_circle&amp;_JL&amp;" = N"&amp;_circle&amp;_JL&amp;"  / D"&amp;_JL</f>
        <v>åᴀıı = N̊ᴀıı  / Dᴀıı</v>
      </c>
    </row>
    <row r="87" spans="3:6" ht="14.4" x14ac:dyDescent="0.3">
      <c r="D87" s="16" t="s">
        <v>71</v>
      </c>
      <c r="F87" s="18" t="str" cm="1">
        <f t="array" ref="F87">"a"&amp;_circle&amp;_JL&amp;":n"&amp;_angle&amp;" = (N"&amp;_circle&amp;_JL&amp;" – N"&amp;_circle&amp;_JL&amp;"+n)  / D"&amp;_JL</f>
        <v>åᴀıı:n̚ = (N̊ᴀıı – N̊ᴀıı+n)  / Dᴀıı</v>
      </c>
    </row>
    <row r="88" spans="3:6" ht="14.4" x14ac:dyDescent="0.3">
      <c r="D88" s="16" t="s">
        <v>72</v>
      </c>
      <c r="E88" s="17"/>
      <c r="F88" s="17" t="str" cm="1">
        <f t="array" ref="F88">"an"&amp;_angle&amp;" + a"&amp;_circle&amp;_JL&amp;"+n"</f>
        <v>an̚ + åᴀıı+n</v>
      </c>
    </row>
    <row r="89" spans="3:6" x14ac:dyDescent="0.25">
      <c r="C89" s="16" t="s">
        <v>63</v>
      </c>
    </row>
    <row r="90" spans="3:6" x14ac:dyDescent="0.25">
      <c r="C90" s="16" t="s">
        <v>64</v>
      </c>
    </row>
    <row r="91" spans="3:6" ht="14.4" x14ac:dyDescent="0.3">
      <c r="E91" s="18" t="str" cm="1">
        <f t="array" ref="E91">"A"&amp;_bar&amp;"x = 1 – i a"&amp;_circle&amp;"x"</f>
        <v>A̅x = 1 – i åx</v>
      </c>
    </row>
    <row r="93" spans="3:6" x14ac:dyDescent="0.25">
      <c r="C93" s="16" t="str">
        <f>"Remainder factor from first principles (using "&amp;_JL&amp;" or "&amp;_LS&amp;" as appropriate)"</f>
        <v>Remainder factor from first principles (using ᴀıı or ᴀ͞ıı as appropriate)</v>
      </c>
    </row>
    <row r="94" spans="3:6" ht="14.4" x14ac:dyDescent="0.3">
      <c r="D94" s="16" t="s">
        <v>69</v>
      </c>
      <c r="F94" s="17" t="s">
        <v>68</v>
      </c>
    </row>
    <row r="95" spans="3:6" ht="14.4" x14ac:dyDescent="0.3">
      <c r="D95" s="16" t="s">
        <v>70</v>
      </c>
      <c r="F95" s="17" t="str" cm="1">
        <f t="array" ref="F95">"A"&amp;_bar&amp;_JL&amp;" = sum (a=0 to inf) [ (a+1Q"&amp;_JL&amp;" - aQ"&amp;_JL&amp;") * v^a+1 * (1 + i/2) ]"</f>
        <v>A̅ᴀıı = sum (a=0 to inf) [ (a+1Qᴀıı - aQᴀıı) * v^a+1 * (1 + i/2) ]</v>
      </c>
    </row>
    <row r="96" spans="3:6" ht="14.4" x14ac:dyDescent="0.3">
      <c r="F96" s="17" t="str" cm="1">
        <f t="array" ref="F96">"       = M"&amp;_bar&amp;_JL&amp;" / D"&amp;_JL&amp;" = M"&amp;_JL&amp;" / D"&amp;_JL&amp;" * (1 + i/2)"</f>
        <v xml:space="preserve">       = M̅ᴀıı / Dᴀıı = Mᴀıı / Dᴀıı * (1 + i/2)</v>
      </c>
    </row>
    <row r="97" spans="3:6" ht="14.4" x14ac:dyDescent="0.3">
      <c r="D97" s="16" t="s">
        <v>71</v>
      </c>
      <c r="F97" s="17" t="str" cm="1">
        <f t="array" ref="F97">"A"&amp;_bar&amp;_JL&amp;":n"&amp;_angle&amp;" = A"&amp;_bar&amp;_JL&amp;"¹:n"&amp;_angle&amp;" + v^n * nQ"&amp;_JL</f>
        <v>A̅ᴀıı:n̚ = A̅ᴀıı¹:n̚ + v^n * nQᴀıı</v>
      </c>
    </row>
    <row r="98" spans="3:6" ht="14.4" x14ac:dyDescent="0.3">
      <c r="F98" s="17" t="str" cm="1">
        <f t="array" ref="F98">"        = (M"&amp;_bar&amp;_JL&amp;" - M"&amp;_bar&amp;_JL&amp;"+n)  / D"&amp;_JL&amp;"     + D"&amp;_JL&amp;"+n / D"&amp;_JL</f>
        <v xml:space="preserve">        = (M̅ᴀıı - M̅ᴀıı+n)  / Dᴀıı     + Dᴀıı+n / Dᴀıı</v>
      </c>
    </row>
    <row r="99" spans="3:6" ht="14.4" x14ac:dyDescent="0.3">
      <c r="F99" s="17" t="str">
        <f>"       = [ (M"&amp;_JL&amp;" - M"&amp;_JL&amp;"+n) * (1 + i/2) + D"&amp;_JL&amp;"+n ]  / D"&amp;_JL</f>
        <v xml:space="preserve">       = [ (Mᴀıı - Mᴀıı+n) * (1 + i/2) + Dᴀıı+n ]  / Dᴀıı</v>
      </c>
    </row>
    <row r="100" spans="3:6" x14ac:dyDescent="0.25">
      <c r="D100" s="16" t="s">
        <v>72</v>
      </c>
      <c r="F100" s="16" t="str" cm="1">
        <f t="array" ref="F100">"= v^n * nQ"&amp;_JL&amp;" + n|A"&amp;_bar&amp;_JL</f>
        <v>= v^n * nQᴀıı + n|A̅ᴀıı</v>
      </c>
    </row>
    <row r="101" spans="3:6" ht="14.4" x14ac:dyDescent="0.3">
      <c r="F101" s="17" t="str">
        <f>"       = [(D"&amp;_JL&amp;" * v^n - D"&amp;_JL&amp;"+n) + M"&amp;_JL&amp;"+n * (1 + i/2)]  / D"&amp;_JL</f>
        <v xml:space="preserve">       = [(Dᴀıı * v^n - Dᴀıı+n) + Mᴀıı+n * (1 + i/2)]  / Dᴀıı</v>
      </c>
    </row>
    <row r="102" spans="3:6" ht="14.4" x14ac:dyDescent="0.3">
      <c r="F102" s="17"/>
    </row>
    <row r="103" spans="3:6" x14ac:dyDescent="0.25">
      <c r="C103" s="16" t="s">
        <v>79</v>
      </c>
    </row>
    <row r="104" spans="3:6" x14ac:dyDescent="0.25">
      <c r="C104" s="16" t="s">
        <v>78</v>
      </c>
    </row>
    <row r="106" spans="3:6" x14ac:dyDescent="0.25">
      <c r="C106" s="16" t="str" cm="1">
        <f t="array" ref="C106">"To back into life tables given only a table of A"&amp;_bar&amp;"x values:"</f>
        <v>To back into life tables given only a table of A̅x values:</v>
      </c>
    </row>
    <row r="107" spans="3:6" ht="14.4" x14ac:dyDescent="0.3">
      <c r="D107" s="17" t="str" cm="1">
        <f t="array" ref="D107">"A"&amp;_bar&amp;"x = sum (t=0 to inf) [ (t+1Qx - tQx) * v^t+1 * (1 + i/2) ]"</f>
        <v>A̅x = sum (t=0 to inf) [ (t+1Qx - tQx) * v^t+1 * (1 + i/2) ]</v>
      </c>
    </row>
    <row r="108" spans="3:6" x14ac:dyDescent="0.25">
      <c r="C108" s="16" t="s">
        <v>93</v>
      </c>
    </row>
    <row r="109" spans="3:6" ht="14.4" x14ac:dyDescent="0.3">
      <c r="D109" s="17" t="str" cm="1">
        <f t="array" ref="D109">"A"&amp;_bar&amp;"x+n = sum (t=n to inf) [ (t+nQx - tQx) * v^(t+1  - n) * (1 + i/2) ]"</f>
        <v>A̅x+n = sum (t=n to inf) [ (t+nQx - tQx) * v^(t+1  - n) * (1 + i/2) ]</v>
      </c>
    </row>
    <row r="110" spans="3:6" ht="14.4" x14ac:dyDescent="0.3">
      <c r="D110" s="17" t="str" cm="1">
        <f t="array" ref="D110">"A"&amp;_bar&amp;"x+1 = sum (t=1 to inf) [ (t+nQx - tQx) * v^(t+1  - 1) * (1 + i/2) ]  when n=1"</f>
        <v>A̅x+1 = sum (t=1 to inf) [ (t+nQx - tQx) * v^(t+1  - 1) * (1 + i/2) ]  when n=1</v>
      </c>
    </row>
    <row r="112" spans="3:6" ht="14.4" x14ac:dyDescent="0.3">
      <c r="D112" s="17" t="str" cm="1">
        <f t="array" ref="D112">"A"&amp;_bar&amp;"x = sum (t=0 to inf) [ (t+1Qx - tQx) * v^t+1 * (1 + i/2) ]"</f>
        <v>A̅x = sum (t=0 to inf) [ (t+1Qx - tQx) * v^t+1 * (1 + i/2) ]</v>
      </c>
    </row>
    <row r="113" spans="2:4" ht="14.4" x14ac:dyDescent="0.3">
      <c r="D113" s="17" t="str" cm="1">
        <f t="array" ref="D113">"A"&amp;_bar&amp;"x =  [ (1Qx - 0Qx) * v^1 * (1 + i/2) ]  +   sum (t=1 to inf) [ (t+1Qx - tQx) * v^t+1 * (1 + i/2) ]"</f>
        <v>A̅x =  [ (1Qx - 0Qx) * v^1 * (1 + i/2) ]  +   sum (t=1 to inf) [ (t+1Qx - tQx) * v^t+1 * (1 + i/2) ]</v>
      </c>
    </row>
    <row r="114" spans="2:4" ht="14.4" x14ac:dyDescent="0.3">
      <c r="D114" s="17" t="str" cm="1">
        <f t="array" ref="D114">"A"&amp;_bar&amp;"x = v *  (   [ (1Qx - 0Qx) * (1 + i/2) ]  +    A"&amp;_bar&amp;"x+1  )"</f>
        <v>A̅x = v *  (   [ (1Qx - 0Qx) * (1 + i/2) ]  +    A̅x+1  )</v>
      </c>
    </row>
    <row r="115" spans="2:4" x14ac:dyDescent="0.25">
      <c r="C115" s="16" t="s">
        <v>94</v>
      </c>
    </row>
    <row r="116" spans="2:4" x14ac:dyDescent="0.25">
      <c r="D116" s="16" t="str" cm="1">
        <f t="array" ref="D116">"(1Qx - 0Qx) =   [A"&amp;_bar&amp;"x / v   -   A"&amp;_bar&amp;"x+1] / (1 + i/2)"</f>
        <v>(1Qx - 0Qx) =   [A̅x / v   -   A̅x+1] / (1 + i/2)</v>
      </c>
    </row>
    <row r="117" spans="2:4" x14ac:dyDescent="0.25">
      <c r="D117" s="16" t="s">
        <v>95</v>
      </c>
    </row>
    <row r="119" spans="2:4" x14ac:dyDescent="0.25">
      <c r="C119" s="16" t="str">
        <f>"To back into life tables given only a table of ax values:"</f>
        <v>To back into life tables given only a table of ax values:</v>
      </c>
    </row>
    <row r="120" spans="2:4" x14ac:dyDescent="0.25">
      <c r="D120" s="16" t="s">
        <v>100</v>
      </c>
    </row>
    <row r="121" spans="2:4" x14ac:dyDescent="0.25">
      <c r="D121" s="16" t="s">
        <v>101</v>
      </c>
    </row>
    <row r="122" spans="2:4" x14ac:dyDescent="0.25">
      <c r="D122" s="16" t="s">
        <v>102</v>
      </c>
    </row>
    <row r="123" spans="2:4" x14ac:dyDescent="0.25">
      <c r="D123" s="16" t="s">
        <v>103</v>
      </c>
    </row>
    <row r="124" spans="2:4" x14ac:dyDescent="0.25">
      <c r="C124" s="16" t="s">
        <v>104</v>
      </c>
    </row>
    <row r="125" spans="2:4" x14ac:dyDescent="0.25">
      <c r="D125" s="16" t="s">
        <v>105</v>
      </c>
    </row>
    <row r="127" spans="2:4" x14ac:dyDescent="0.25">
      <c r="B127" s="16" t="s">
        <v>161</v>
      </c>
    </row>
    <row r="128" spans="2:4" x14ac:dyDescent="0.25">
      <c r="C128" s="16" t="s">
        <v>162</v>
      </c>
    </row>
    <row r="130" spans="2:6" x14ac:dyDescent="0.25">
      <c r="C130" s="16" t="s">
        <v>163</v>
      </c>
    </row>
    <row r="132" spans="2:6" x14ac:dyDescent="0.25">
      <c r="B132" s="16" t="s">
        <v>177</v>
      </c>
      <c r="D132" s="16" t="s">
        <v>186</v>
      </c>
    </row>
    <row r="133" spans="2:6" x14ac:dyDescent="0.25">
      <c r="D133" s="16" t="s">
        <v>164</v>
      </c>
    </row>
    <row r="134" spans="2:6" x14ac:dyDescent="0.25">
      <c r="C134" s="16" t="s">
        <v>165</v>
      </c>
      <c r="E134" s="16" t="s">
        <v>166</v>
      </c>
    </row>
    <row r="135" spans="2:6" x14ac:dyDescent="0.25">
      <c r="D135" s="16" t="s">
        <v>176</v>
      </c>
      <c r="E135" s="16" t="s">
        <v>167</v>
      </c>
      <c r="F135" s="16" t="s">
        <v>178</v>
      </c>
    </row>
    <row r="136" spans="2:6" x14ac:dyDescent="0.25">
      <c r="D136" s="16" t="s">
        <v>176</v>
      </c>
      <c r="E136" s="16" t="s">
        <v>168</v>
      </c>
      <c r="F136" s="16" t="s">
        <v>179</v>
      </c>
    </row>
    <row r="137" spans="2:6" x14ac:dyDescent="0.25">
      <c r="D137" s="16" t="s">
        <v>176</v>
      </c>
      <c r="E137" s="16" t="s">
        <v>169</v>
      </c>
      <c r="F137" s="16" t="s">
        <v>180</v>
      </c>
    </row>
    <row r="138" spans="2:6" x14ac:dyDescent="0.25">
      <c r="D138" s="16" t="s">
        <v>176</v>
      </c>
      <c r="E138" s="16" t="s">
        <v>170</v>
      </c>
      <c r="F138" s="16" t="s">
        <v>182</v>
      </c>
    </row>
    <row r="139" spans="2:6" x14ac:dyDescent="0.25">
      <c r="D139" s="16" t="s">
        <v>176</v>
      </c>
      <c r="E139" s="16" t="s">
        <v>171</v>
      </c>
      <c r="F139" s="16" t="s">
        <v>181</v>
      </c>
    </row>
    <row r="140" spans="2:6" x14ac:dyDescent="0.25">
      <c r="D140" s="16" t="s">
        <v>176</v>
      </c>
      <c r="E140" s="16" t="s">
        <v>172</v>
      </c>
      <c r="F140" s="16" t="s">
        <v>183</v>
      </c>
    </row>
    <row r="141" spans="2:6" x14ac:dyDescent="0.25">
      <c r="D141" s="16" t="s">
        <v>176</v>
      </c>
      <c r="E141" s="16" t="s">
        <v>173</v>
      </c>
      <c r="F141" s="16" t="s">
        <v>184</v>
      </c>
    </row>
    <row r="142" spans="2:6" x14ac:dyDescent="0.25">
      <c r="D142" s="16" t="s">
        <v>175</v>
      </c>
      <c r="E142" s="16" t="s">
        <v>174</v>
      </c>
      <c r="F142" s="16" t="s">
        <v>185</v>
      </c>
    </row>
  </sheetData>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9d703fbf-2ed6-4d25-a84b-9eeabaaae15d"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B3E43D3F6EFBF45894A91A558D61D64" ma:contentTypeVersion="13" ma:contentTypeDescription="Create a new document." ma:contentTypeScope="" ma:versionID="d87bfc7a3113cb773bd3ef52db246cea">
  <xsd:schema xmlns:xsd="http://www.w3.org/2001/XMLSchema" xmlns:xs="http://www.w3.org/2001/XMLSchema" xmlns:p="http://schemas.microsoft.com/office/2006/metadata/properties" xmlns:ns1="http://schemas.microsoft.com/sharepoint/v3" xmlns:ns3="9d703fbf-2ed6-4d25-a84b-9eeabaaae15d" xmlns:ns4="f6168dff-f5a6-4f8d-9608-9b277257841f" targetNamespace="http://schemas.microsoft.com/office/2006/metadata/properties" ma:root="true" ma:fieldsID="0a93b49389cc28de00dec342d431d573" ns1:_="" ns3:_="" ns4:_="">
    <xsd:import namespace="http://schemas.microsoft.com/sharepoint/v3"/>
    <xsd:import namespace="9d703fbf-2ed6-4d25-a84b-9eeabaaae15d"/>
    <xsd:import namespace="f6168dff-f5a6-4f8d-9608-9b277257841f"/>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1:_ip_UnifiedCompliancePolicyProperties" minOccurs="0"/>
                <xsd:element ref="ns1:_ip_UnifiedCompliancePolicyUIAction" minOccurs="0"/>
                <xsd:element ref="ns3:MediaServiceSystem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703fbf-2ed6-4d25-a84b-9eeabaaae1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168dff-f5a6-4f8d-9608-9b277257841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E8943A-6C1B-4611-BB0F-FA428EC3E5EE}">
  <ds:schemaRefs>
    <ds:schemaRef ds:uri="http://schemas.microsoft.com/sharepoint/v3/contenttype/forms"/>
  </ds:schemaRefs>
</ds:datastoreItem>
</file>

<file path=customXml/itemProps2.xml><?xml version="1.0" encoding="utf-8"?>
<ds:datastoreItem xmlns:ds="http://schemas.openxmlformats.org/officeDocument/2006/customXml" ds:itemID="{46D7D353-F79C-4A47-BD5F-101DCC852390}">
  <ds:schemaRefs>
    <ds:schemaRef ds:uri="http://purl.org/dc/elements/1.1/"/>
    <ds:schemaRef ds:uri="http://schemas.microsoft.com/office/2006/metadata/properties"/>
    <ds:schemaRef ds:uri="http://schemas.microsoft.com/sharepoint/v3"/>
    <ds:schemaRef ds:uri="http://schemas.microsoft.com/office/infopath/2007/PartnerControls"/>
    <ds:schemaRef ds:uri="http://purl.org/dc/terms/"/>
    <ds:schemaRef ds:uri="f6168dff-f5a6-4f8d-9608-9b277257841f"/>
    <ds:schemaRef ds:uri="9d703fbf-2ed6-4d25-a84b-9eeabaaae15d"/>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93D6FE64-54D9-4ECE-8159-18C345D93C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d703fbf-2ed6-4d25-a84b-9eeabaaae15d"/>
    <ds:schemaRef ds:uri="f6168dff-f5a6-4f8d-9608-9b2772578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Estate.ly</vt:lpstr>
      <vt:lpstr>Contingent</vt:lpstr>
      <vt:lpstr>Regs</vt:lpstr>
      <vt:lpstr>CheckTables</vt:lpstr>
      <vt:lpstr>ActuarialNotes</vt:lpstr>
      <vt:lpstr>_applyTerm</vt:lpstr>
      <vt:lpstr>_contin</vt:lpstr>
      <vt:lpstr>_ddTable</vt:lpstr>
      <vt:lpstr>_i</vt:lpstr>
      <vt:lpstr>_JL</vt:lpstr>
      <vt:lpstr>_LS</vt:lpstr>
      <vt:lpstr>_term</vt:lpstr>
      <vt:lpstr>_type</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 Nicholas K</dc:creator>
  <cp:lastModifiedBy>Fox Nicholas K</cp:lastModifiedBy>
  <dcterms:created xsi:type="dcterms:W3CDTF">2023-12-15T14:19:22Z</dcterms:created>
  <dcterms:modified xsi:type="dcterms:W3CDTF">2024-04-29T20:24:32Z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0x0101006B3E43D3F6EFBF45894A91A558D61D64</vt:lpwstr>
  </property>
</Properties>
</file>