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ink/ink1.xml" ContentType="application/inkml+xml"/>
  <Override PartName="/xl/drawings/drawing5.xml" ContentType="application/vnd.openxmlformats-officedocument.drawing+xml"/>
  <Override PartName="/xl/comments6.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https://voltgmbhnet.sharepoint.com/sites/C60/Freigegebene Dokumente/General/01 Product &amp; Technology/Data Model/"/>
    </mc:Choice>
  </mc:AlternateContent>
  <xr:revisionPtr revIDLastSave="0" documentId="8_{7992782D-2193-4ECA-AF60-9711B09F5D2E}" xr6:coauthVersionLast="47" xr6:coauthVersionMax="47" xr10:uidLastSave="{00000000-0000-0000-0000-000000000000}"/>
  <bookViews>
    <workbookView minimized="1" xWindow="51200" yWindow="-5040" windowWidth="51200" windowHeight="28300" firstSheet="9" activeTab="9" xr2:uid="{87F26E81-5AA0-4D6D-89CA-D56BB5D5C602}"/>
  </bookViews>
  <sheets>
    <sheet name="DataModel" sheetId="8" r:id="rId1"/>
    <sheet name="Dashboard Calculations" sheetId="2" r:id="rId2"/>
    <sheet name="Sheet1" sheetId="22" r:id="rId3"/>
    <sheet name="Globalization Fields" sheetId="13" r:id="rId4"/>
    <sheet name="O2A" sheetId="10" state="hidden" r:id="rId5"/>
    <sheet name="CDP Data Check" sheetId="6" state="hidden" r:id="rId6"/>
    <sheet name="TC Data Check" sheetId="9" state="hidden" r:id="rId7"/>
    <sheet name="Reference (DB) &gt;&gt;" sheetId="11" r:id="rId8"/>
    <sheet name="Glossary" sheetId="12" r:id="rId9"/>
    <sheet name="Pricing Tool" sheetId="25" r:id="rId10"/>
    <sheet name="TAC_Calculator (2) Fixed costs" sheetId="23" r:id="rId11"/>
    <sheet name="TAC_Calculator (2) Fixed co-tes" sheetId="24" r:id="rId12"/>
    <sheet name="TAC_Calculator" sheetId="21" r:id="rId13"/>
    <sheet name="DSI vs Plant Group DSI" sheetId="16" r:id="rId14"/>
    <sheet name="DSI Calculator Widget" sheetId="20" r:id="rId15"/>
    <sheet name="DSI raw data check" sheetId="17" state="hidden" r:id="rId16"/>
    <sheet name="Truck Usage - Working Sheet" sheetId="14" state="hidden" r:id="rId17"/>
    <sheet name="MbC Working Sheet" sheetId="15" state="hidden" r:id="rId18"/>
    <sheet name="KPI Details" sheetId="19" r:id="rId19"/>
  </sheets>
  <definedNames>
    <definedName name="_xlnm._FilterDatabase" localSheetId="0" hidden="1">DataModel!$A$3:$P$3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25" l="1"/>
  <c r="T8" i="25"/>
  <c r="Q4" i="25"/>
  <c r="D44" i="25"/>
  <c r="T9" i="25"/>
  <c r="M9" i="25"/>
  <c r="D42" i="25"/>
  <c r="D45" i="25"/>
  <c r="B27" i="25"/>
  <c r="B13" i="25"/>
  <c r="D46" i="25"/>
  <c r="B73" i="25"/>
  <c r="F35" i="25"/>
  <c r="F37" i="25"/>
  <c r="M5" i="25"/>
  <c r="M4" i="25"/>
  <c r="B2" i="25"/>
  <c r="D25" i="25"/>
  <c r="D24" i="25"/>
  <c r="D23" i="25"/>
  <c r="B20" i="25" s="1"/>
  <c r="O5" i="25" s="1"/>
  <c r="F36" i="25"/>
  <c r="D10" i="25"/>
  <c r="D11" i="25"/>
  <c r="D9" i="25"/>
  <c r="B6" i="25" s="1"/>
  <c r="B3" i="25" s="1"/>
  <c r="B65" i="25" s="1"/>
  <c r="D53" i="25"/>
  <c r="B28" i="24"/>
  <c r="B9" i="24"/>
  <c r="B15" i="24"/>
  <c r="C14" i="24"/>
  <c r="C14" i="23"/>
  <c r="G15" i="24"/>
  <c r="B21" i="24"/>
  <c r="C9" i="24"/>
  <c r="C8" i="24"/>
  <c r="B8" i="23"/>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8" i="24"/>
  <c r="B21" i="23"/>
  <c r="B22" i="23"/>
  <c r="C8" i="23"/>
  <c r="B77" i="23"/>
  <c r="B78" i="23"/>
  <c r="C8" i="21"/>
  <c r="C9" i="21"/>
  <c r="B25" i="21"/>
  <c r="C21" i="21"/>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C77" i="23"/>
  <c r="B76" i="23"/>
  <c r="B75" i="23"/>
  <c r="B74" i="23"/>
  <c r="B73" i="23"/>
  <c r="B72" i="23"/>
  <c r="B71" i="23"/>
  <c r="B70" i="23"/>
  <c r="B69" i="23"/>
  <c r="B68" i="23"/>
  <c r="B67" i="23"/>
  <c r="B66" i="23"/>
  <c r="B65" i="23"/>
  <c r="B64" i="23"/>
  <c r="B63" i="23"/>
  <c r="B62" i="23"/>
  <c r="B61" i="23"/>
  <c r="B60" i="23"/>
  <c r="B59" i="23"/>
  <c r="B58" i="23"/>
  <c r="B57" i="23"/>
  <c r="B56" i="23"/>
  <c r="B55" i="23"/>
  <c r="B54" i="23"/>
  <c r="B53" i="23"/>
  <c r="B52" i="23"/>
  <c r="B51" i="23"/>
  <c r="B50" i="23"/>
  <c r="B49" i="23"/>
  <c r="B48" i="23"/>
  <c r="B47" i="23"/>
  <c r="B46" i="23"/>
  <c r="B45" i="23"/>
  <c r="B44" i="23"/>
  <c r="B43" i="23"/>
  <c r="B42" i="23"/>
  <c r="B41" i="23"/>
  <c r="B40" i="23"/>
  <c r="B39" i="23"/>
  <c r="B38" i="23"/>
  <c r="B37" i="23"/>
  <c r="B36" i="23"/>
  <c r="B35" i="23"/>
  <c r="B34" i="23"/>
  <c r="B33" i="23"/>
  <c r="B32" i="23"/>
  <c r="B31" i="23"/>
  <c r="B30" i="23"/>
  <c r="B29" i="23"/>
  <c r="B28" i="23"/>
  <c r="G14" i="23"/>
  <c r="B9" i="23"/>
  <c r="B16" i="21"/>
  <c r="C10" i="20"/>
  <c r="E13" i="20"/>
  <c r="E14" i="20"/>
  <c r="C7" i="20"/>
  <c r="B10" i="20"/>
  <c r="E6" i="20"/>
  <c r="C8" i="20"/>
  <c r="E8" i="20"/>
  <c r="E42" i="20"/>
  <c r="E50" i="20"/>
  <c r="E45" i="20"/>
  <c r="D45" i="20"/>
  <c r="E41" i="20"/>
  <c r="C41" i="20"/>
  <c r="D41" i="20" s="1"/>
  <c r="B40" i="20"/>
  <c r="E39" i="20"/>
  <c r="C39" i="20"/>
  <c r="E38" i="20"/>
  <c r="C38" i="20"/>
  <c r="B38" i="20"/>
  <c r="B42" i="20" s="1"/>
  <c r="C42" i="20" s="1"/>
  <c r="B37" i="20"/>
  <c r="D37" i="20" s="1"/>
  <c r="D38" i="20" s="1"/>
  <c r="G14" i="21"/>
  <c r="G15" i="21" s="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C74" i="21"/>
  <c r="A74" i="21"/>
  <c r="B73" i="21"/>
  <c r="A73" i="21"/>
  <c r="B72" i="21"/>
  <c r="A72" i="21"/>
  <c r="B71" i="21"/>
  <c r="A71" i="21"/>
  <c r="B70" i="21"/>
  <c r="A70" i="21"/>
  <c r="B69" i="21"/>
  <c r="A69" i="21"/>
  <c r="B68" i="21"/>
  <c r="A68" i="21"/>
  <c r="B67" i="21"/>
  <c r="A67" i="21"/>
  <c r="B66" i="21"/>
  <c r="A66" i="21"/>
  <c r="B65" i="21"/>
  <c r="A65" i="21"/>
  <c r="B64" i="21"/>
  <c r="A64" i="21"/>
  <c r="B63" i="21"/>
  <c r="A63" i="21"/>
  <c r="B62" i="21"/>
  <c r="A62" i="21"/>
  <c r="B61" i="21"/>
  <c r="A61" i="21"/>
  <c r="B60" i="21"/>
  <c r="A60" i="21"/>
  <c r="B59" i="21"/>
  <c r="A59" i="21"/>
  <c r="B58" i="21"/>
  <c r="A58" i="21"/>
  <c r="B57" i="21"/>
  <c r="A57" i="21"/>
  <c r="B56" i="21"/>
  <c r="A56" i="21"/>
  <c r="B55" i="21"/>
  <c r="A55" i="21"/>
  <c r="B54" i="21"/>
  <c r="A54" i="21"/>
  <c r="B53" i="21"/>
  <c r="A53" i="21"/>
  <c r="B52" i="21"/>
  <c r="A52" i="21"/>
  <c r="B51" i="21"/>
  <c r="A51" i="21"/>
  <c r="B50" i="21"/>
  <c r="A50" i="21"/>
  <c r="B49" i="21"/>
  <c r="A49" i="21"/>
  <c r="B48" i="21"/>
  <c r="A48" i="21"/>
  <c r="B47" i="21"/>
  <c r="A47" i="21"/>
  <c r="B46" i="21"/>
  <c r="A46" i="21"/>
  <c r="B45" i="21"/>
  <c r="A45" i="21"/>
  <c r="B44" i="21"/>
  <c r="A44" i="21"/>
  <c r="B43" i="21"/>
  <c r="A43" i="21"/>
  <c r="B42" i="21"/>
  <c r="A42" i="21"/>
  <c r="B41" i="21"/>
  <c r="A41" i="21"/>
  <c r="B40" i="21"/>
  <c r="A40" i="21"/>
  <c r="B39" i="21"/>
  <c r="A39" i="21"/>
  <c r="B38" i="21"/>
  <c r="A38" i="21"/>
  <c r="B37" i="21"/>
  <c r="A37" i="21"/>
  <c r="B36" i="21"/>
  <c r="A36" i="21"/>
  <c r="B35" i="21"/>
  <c r="A35" i="21"/>
  <c r="B34" i="21"/>
  <c r="A34" i="21"/>
  <c r="B33" i="21"/>
  <c r="A33" i="21"/>
  <c r="B32" i="21"/>
  <c r="A32" i="21"/>
  <c r="B31" i="21"/>
  <c r="A31" i="21"/>
  <c r="B30" i="21"/>
  <c r="A30" i="21"/>
  <c r="B29" i="21"/>
  <c r="A29" i="21"/>
  <c r="B28" i="21"/>
  <c r="A28" i="21"/>
  <c r="B27" i="21"/>
  <c r="A27" i="21"/>
  <c r="B26" i="21"/>
  <c r="A25" i="21"/>
  <c r="B9" i="21"/>
  <c r="B8" i="21"/>
  <c r="I3" i="16" a="1"/>
  <c r="I3" i="16" s="1"/>
  <c r="O3" i="16" s="1"/>
  <c r="E5" i="20"/>
  <c r="C5" i="20"/>
  <c r="B5" i="20"/>
  <c r="C6" i="20"/>
  <c r="B4" i="20"/>
  <c r="D6" i="20"/>
  <c r="D3" i="16"/>
  <c r="N3" i="16"/>
  <c r="D5" i="16"/>
  <c r="E17" i="20"/>
  <c r="I16" i="20"/>
  <c r="E12" i="20"/>
  <c r="D12" i="20"/>
  <c r="G11" i="20"/>
  <c r="D8" i="20"/>
  <c r="E7" i="20"/>
  <c r="E10" i="20" s="1"/>
  <c r="D4" i="20"/>
  <c r="G1" i="20"/>
  <c r="L5" i="16"/>
  <c r="K5" i="16"/>
  <c r="B14" i="25" l="1"/>
  <c r="B28" i="25"/>
  <c r="Q5" i="25"/>
  <c r="D48" i="25"/>
  <c r="Q7" i="25"/>
  <c r="M8" i="25"/>
  <c r="B67" i="25"/>
  <c r="S5" i="25"/>
  <c r="S4" i="25"/>
  <c r="B64" i="25"/>
  <c r="B33" i="25"/>
  <c r="O4" i="25"/>
  <c r="B23" i="24"/>
  <c r="B22" i="24"/>
  <c r="F15" i="24"/>
  <c r="G17" i="24" s="1"/>
  <c r="B16" i="24"/>
  <c r="C15" i="24"/>
  <c r="B25" i="24"/>
  <c r="B24" i="24"/>
  <c r="C77" i="24"/>
  <c r="B76" i="24" s="1"/>
  <c r="C22" i="24"/>
  <c r="C16" i="21"/>
  <c r="F15" i="21"/>
  <c r="G17" i="21" s="1"/>
  <c r="B15" i="21"/>
  <c r="C14" i="21" s="1"/>
  <c r="C15" i="21" s="1"/>
  <c r="A112" i="21"/>
  <c r="A26" i="21"/>
  <c r="A111" i="21"/>
  <c r="A110" i="21"/>
  <c r="A109" i="21"/>
  <c r="A108" i="21"/>
  <c r="A107" i="21"/>
  <c r="A106" i="21"/>
  <c r="A105" i="21"/>
  <c r="A104" i="21"/>
  <c r="A103" i="21"/>
  <c r="A102" i="21"/>
  <c r="A101" i="21"/>
  <c r="A100" i="21"/>
  <c r="A99" i="21"/>
  <c r="A98" i="21"/>
  <c r="A97" i="21"/>
  <c r="A96" i="21"/>
  <c r="A95" i="21"/>
  <c r="A94" i="21"/>
  <c r="A93" i="21"/>
  <c r="A92" i="21"/>
  <c r="A91" i="21"/>
  <c r="A90" i="21"/>
  <c r="A89" i="21"/>
  <c r="A88" i="21"/>
  <c r="A87" i="21"/>
  <c r="A86" i="21"/>
  <c r="A85" i="21"/>
  <c r="A84" i="21"/>
  <c r="A83" i="21"/>
  <c r="A82" i="21"/>
  <c r="A81" i="21"/>
  <c r="A80" i="21"/>
  <c r="A79" i="21"/>
  <c r="A78" i="21"/>
  <c r="A77" i="21"/>
  <c r="A76" i="21"/>
  <c r="A75" i="21"/>
  <c r="C17" i="21"/>
  <c r="F15" i="23"/>
  <c r="B15" i="23"/>
  <c r="E9"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B9" i="20"/>
  <c r="C9" i="20" s="1"/>
  <c r="D7" i="20"/>
  <c r="D39" i="20"/>
  <c r="B43" i="20"/>
  <c r="E40" i="20"/>
  <c r="C40" i="20"/>
  <c r="D5" i="20"/>
  <c r="I17" i="20"/>
  <c r="C21" i="20"/>
  <c r="X98" i="17"/>
  <c r="U98" i="17"/>
  <c r="R98" i="17"/>
  <c r="S98" i="17" s="1"/>
  <c r="K98" i="17"/>
  <c r="L98" i="17" s="1"/>
  <c r="D98" i="17"/>
  <c r="E98" i="17" s="1"/>
  <c r="X97" i="17"/>
  <c r="U97" i="17"/>
  <c r="S97" i="17"/>
  <c r="R97" i="17"/>
  <c r="L97" i="17"/>
  <c r="K97" i="17"/>
  <c r="E97" i="17"/>
  <c r="D97" i="17"/>
  <c r="X96" i="17"/>
  <c r="U96" i="17"/>
  <c r="S96" i="17"/>
  <c r="R96" i="17"/>
  <c r="L96" i="17"/>
  <c r="K96" i="17"/>
  <c r="D96" i="17"/>
  <c r="E96" i="17" s="1"/>
  <c r="X95" i="17"/>
  <c r="U95" i="17"/>
  <c r="S95" i="17"/>
  <c r="R95" i="17"/>
  <c r="L95" i="17"/>
  <c r="K95" i="17"/>
  <c r="D95" i="17"/>
  <c r="E95" i="17" s="1"/>
  <c r="X94" i="17"/>
  <c r="U94" i="17"/>
  <c r="S94" i="17"/>
  <c r="R94" i="17"/>
  <c r="K94" i="17"/>
  <c r="L94" i="17" s="1"/>
  <c r="D94" i="17"/>
  <c r="E94" i="17" s="1"/>
  <c r="X93" i="17"/>
  <c r="U93" i="17"/>
  <c r="R93" i="17"/>
  <c r="S93" i="17" s="1"/>
  <c r="K93" i="17"/>
  <c r="L93" i="17" s="1"/>
  <c r="D93" i="17"/>
  <c r="E93" i="17" s="1"/>
  <c r="X92" i="17"/>
  <c r="U92" i="17"/>
  <c r="S92" i="17"/>
  <c r="R92" i="17"/>
  <c r="K92" i="17"/>
  <c r="L92" i="17" s="1"/>
  <c r="E92" i="17"/>
  <c r="D92" i="17"/>
  <c r="X91" i="17"/>
  <c r="U91" i="17"/>
  <c r="R91" i="17"/>
  <c r="S91" i="17" s="1"/>
  <c r="K91" i="17"/>
  <c r="L91" i="17" s="1"/>
  <c r="E91" i="17"/>
  <c r="D91" i="17"/>
  <c r="X90" i="17"/>
  <c r="U90" i="17"/>
  <c r="R90" i="17"/>
  <c r="S90" i="17" s="1"/>
  <c r="L90" i="17"/>
  <c r="K90" i="17"/>
  <c r="E90" i="17"/>
  <c r="D90" i="17"/>
  <c r="X89" i="17"/>
  <c r="U89" i="17"/>
  <c r="R89" i="17"/>
  <c r="S89" i="17" s="1"/>
  <c r="L89" i="17"/>
  <c r="K89" i="17"/>
  <c r="E89" i="17"/>
  <c r="D89" i="17"/>
  <c r="X88" i="17"/>
  <c r="U88" i="17"/>
  <c r="S88" i="17"/>
  <c r="R88" i="17"/>
  <c r="L88" i="17"/>
  <c r="K88" i="17"/>
  <c r="E88" i="17"/>
  <c r="D88" i="17"/>
  <c r="X87" i="17"/>
  <c r="U87" i="17"/>
  <c r="S87" i="17"/>
  <c r="R87" i="17"/>
  <c r="L87" i="17"/>
  <c r="K87" i="17"/>
  <c r="D87" i="17"/>
  <c r="E87" i="17" s="1"/>
  <c r="X86" i="17"/>
  <c r="U86" i="17"/>
  <c r="S86" i="17"/>
  <c r="R86" i="17"/>
  <c r="L86" i="17"/>
  <c r="K86" i="17"/>
  <c r="D86" i="17"/>
  <c r="E86" i="17" s="1"/>
  <c r="X85" i="17"/>
  <c r="U85" i="17"/>
  <c r="S85" i="17"/>
  <c r="R85" i="17"/>
  <c r="K85" i="17"/>
  <c r="L85" i="17" s="1"/>
  <c r="D85" i="17"/>
  <c r="E85" i="17" s="1"/>
  <c r="X84" i="17"/>
  <c r="U84" i="17"/>
  <c r="S84" i="17"/>
  <c r="R84" i="17"/>
  <c r="K84" i="17"/>
  <c r="L84" i="17" s="1"/>
  <c r="E84" i="17"/>
  <c r="D84" i="17"/>
  <c r="X83" i="17"/>
  <c r="U83" i="17"/>
  <c r="R83" i="17"/>
  <c r="S83" i="17" s="1"/>
  <c r="K83" i="17"/>
  <c r="L83" i="17" s="1"/>
  <c r="E83" i="17"/>
  <c r="D83" i="17"/>
  <c r="X82" i="17"/>
  <c r="U82" i="17"/>
  <c r="R82" i="17"/>
  <c r="S82" i="17" s="1"/>
  <c r="L82" i="17"/>
  <c r="K82" i="17"/>
  <c r="E82" i="17"/>
  <c r="D82" i="17"/>
  <c r="X81" i="17"/>
  <c r="U81" i="17"/>
  <c r="R81" i="17"/>
  <c r="S81" i="17" s="1"/>
  <c r="L81" i="17"/>
  <c r="K81" i="17"/>
  <c r="E81" i="17"/>
  <c r="D81" i="17"/>
  <c r="X80" i="17"/>
  <c r="U80" i="17"/>
  <c r="S80" i="17"/>
  <c r="R80" i="17"/>
  <c r="L80" i="17"/>
  <c r="K80" i="17"/>
  <c r="E80" i="17"/>
  <c r="D80" i="17"/>
  <c r="X79" i="17"/>
  <c r="U79" i="17"/>
  <c r="S79" i="17"/>
  <c r="R79" i="17"/>
  <c r="K79" i="17"/>
  <c r="L79" i="17" s="1"/>
  <c r="D79" i="17"/>
  <c r="E79" i="17" s="1"/>
  <c r="X78" i="17"/>
  <c r="U78" i="17"/>
  <c r="S78" i="17"/>
  <c r="R78" i="17"/>
  <c r="L78" i="17"/>
  <c r="K78" i="17"/>
  <c r="D78" i="17"/>
  <c r="E78" i="17" s="1"/>
  <c r="X77" i="17"/>
  <c r="U77" i="17"/>
  <c r="R77" i="17"/>
  <c r="S77" i="17" s="1"/>
  <c r="K77" i="17"/>
  <c r="L77" i="17" s="1"/>
  <c r="D77" i="17"/>
  <c r="E77" i="17" s="1"/>
  <c r="X76" i="17"/>
  <c r="U76" i="17"/>
  <c r="S76" i="17"/>
  <c r="R76" i="17"/>
  <c r="K76" i="17"/>
  <c r="L76" i="17" s="1"/>
  <c r="E76" i="17"/>
  <c r="D76" i="17"/>
  <c r="X75" i="17"/>
  <c r="U75" i="17"/>
  <c r="R75" i="17"/>
  <c r="S75" i="17" s="1"/>
  <c r="K75" i="17"/>
  <c r="L75" i="17" s="1"/>
  <c r="E75" i="17"/>
  <c r="D75" i="17"/>
  <c r="X74" i="17"/>
  <c r="U74" i="17"/>
  <c r="R74" i="17"/>
  <c r="S74" i="17" s="1"/>
  <c r="L74" i="17"/>
  <c r="K74" i="17"/>
  <c r="E74" i="17"/>
  <c r="D74" i="17"/>
  <c r="X73" i="17"/>
  <c r="U73" i="17"/>
  <c r="R73" i="17"/>
  <c r="S73" i="17" s="1"/>
  <c r="L73" i="17"/>
  <c r="K73" i="17"/>
  <c r="D73" i="17"/>
  <c r="E73" i="17" s="1"/>
  <c r="X72" i="17"/>
  <c r="U72" i="17"/>
  <c r="S72" i="17"/>
  <c r="R72" i="17"/>
  <c r="L72" i="17"/>
  <c r="K72" i="17"/>
  <c r="E72" i="17"/>
  <c r="D72" i="17"/>
  <c r="X71" i="17"/>
  <c r="U71" i="17"/>
  <c r="S71" i="17"/>
  <c r="R71" i="17"/>
  <c r="K71" i="17"/>
  <c r="L71" i="17" s="1"/>
  <c r="D71" i="17"/>
  <c r="E71" i="17" s="1"/>
  <c r="X70" i="17"/>
  <c r="U70" i="17"/>
  <c r="S70" i="17"/>
  <c r="R70" i="17"/>
  <c r="L70" i="17"/>
  <c r="K70" i="17"/>
  <c r="D70" i="17"/>
  <c r="E70" i="17" s="1"/>
  <c r="X69" i="17"/>
  <c r="U69" i="17"/>
  <c r="R69" i="17"/>
  <c r="S69" i="17" s="1"/>
  <c r="K69" i="17"/>
  <c r="L69" i="17" s="1"/>
  <c r="D69" i="17"/>
  <c r="E69" i="17" s="1"/>
  <c r="X68" i="17"/>
  <c r="U68" i="17"/>
  <c r="S68" i="17"/>
  <c r="R68" i="17"/>
  <c r="K68" i="17"/>
  <c r="L68" i="17" s="1"/>
  <c r="E68" i="17"/>
  <c r="D68" i="17"/>
  <c r="X67" i="17"/>
  <c r="U67" i="17"/>
  <c r="R67" i="17"/>
  <c r="S67" i="17" s="1"/>
  <c r="K67" i="17"/>
  <c r="L67" i="17" s="1"/>
  <c r="E67" i="17"/>
  <c r="D67" i="17"/>
  <c r="X66" i="17"/>
  <c r="U66" i="17"/>
  <c r="R66" i="17"/>
  <c r="S66" i="17" s="1"/>
  <c r="L66" i="17"/>
  <c r="K66" i="17"/>
  <c r="E66" i="17"/>
  <c r="D66" i="17"/>
  <c r="X65" i="17"/>
  <c r="U65" i="17"/>
  <c r="R65" i="17"/>
  <c r="S65" i="17" s="1"/>
  <c r="L65" i="17"/>
  <c r="K65" i="17"/>
  <c r="E65" i="17"/>
  <c r="D65" i="17"/>
  <c r="X64" i="17"/>
  <c r="U64" i="17"/>
  <c r="S64" i="17"/>
  <c r="R64" i="17"/>
  <c r="L64" i="17"/>
  <c r="K64" i="17"/>
  <c r="E64" i="17"/>
  <c r="D64" i="17"/>
  <c r="X63" i="17"/>
  <c r="U63" i="17"/>
  <c r="S63" i="17"/>
  <c r="R63" i="17"/>
  <c r="L63" i="17"/>
  <c r="K63" i="17"/>
  <c r="D63" i="17"/>
  <c r="E63" i="17" s="1"/>
  <c r="X62" i="17"/>
  <c r="U62" i="17"/>
  <c r="S62" i="17"/>
  <c r="R62" i="17"/>
  <c r="L62" i="17"/>
  <c r="K62" i="17"/>
  <c r="D62" i="17"/>
  <c r="E62" i="17" s="1"/>
  <c r="X61" i="17"/>
  <c r="U61" i="17"/>
  <c r="S61" i="17"/>
  <c r="R61" i="17"/>
  <c r="K61" i="17"/>
  <c r="L61" i="17" s="1"/>
  <c r="D61" i="17"/>
  <c r="E61" i="17" s="1"/>
  <c r="X60" i="17"/>
  <c r="U60" i="17"/>
  <c r="S60" i="17"/>
  <c r="R60" i="17"/>
  <c r="K60" i="17"/>
  <c r="L60" i="17" s="1"/>
  <c r="E60" i="17"/>
  <c r="D60" i="17"/>
  <c r="X59" i="17"/>
  <c r="U59" i="17"/>
  <c r="R59" i="17"/>
  <c r="S59" i="17" s="1"/>
  <c r="K59" i="17"/>
  <c r="L59" i="17" s="1"/>
  <c r="E59" i="17"/>
  <c r="D59" i="17"/>
  <c r="X58" i="17"/>
  <c r="U58" i="17"/>
  <c r="R58" i="17"/>
  <c r="S58" i="17" s="1"/>
  <c r="L58" i="17"/>
  <c r="K58" i="17"/>
  <c r="E58" i="17"/>
  <c r="D58" i="17"/>
  <c r="X57" i="17"/>
  <c r="U57" i="17"/>
  <c r="R57" i="17"/>
  <c r="S57" i="17" s="1"/>
  <c r="L57" i="17"/>
  <c r="K57" i="17"/>
  <c r="D57" i="17"/>
  <c r="E57" i="17" s="1"/>
  <c r="X56" i="17"/>
  <c r="U56" i="17"/>
  <c r="S56" i="17"/>
  <c r="R56" i="17"/>
  <c r="L56" i="17"/>
  <c r="K56" i="17"/>
  <c r="E56" i="17"/>
  <c r="D56" i="17"/>
  <c r="X55" i="17"/>
  <c r="U55" i="17"/>
  <c r="S55" i="17"/>
  <c r="R55" i="17"/>
  <c r="K55" i="17"/>
  <c r="L55" i="17" s="1"/>
  <c r="D55" i="17"/>
  <c r="E55" i="17" s="1"/>
  <c r="X54" i="17"/>
  <c r="U54" i="17"/>
  <c r="S54" i="17"/>
  <c r="R54" i="17"/>
  <c r="L54" i="17"/>
  <c r="K54" i="17"/>
  <c r="D54" i="17"/>
  <c r="E54" i="17" s="1"/>
  <c r="X53" i="17"/>
  <c r="U53" i="17"/>
  <c r="R53" i="17"/>
  <c r="S53" i="17" s="1"/>
  <c r="K53" i="17"/>
  <c r="L53" i="17" s="1"/>
  <c r="D53" i="17"/>
  <c r="E53" i="17" s="1"/>
  <c r="X52" i="17"/>
  <c r="U52" i="17"/>
  <c r="S52" i="17"/>
  <c r="R52" i="17"/>
  <c r="K52" i="17"/>
  <c r="L52" i="17" s="1"/>
  <c r="E52" i="17"/>
  <c r="D52" i="17"/>
  <c r="X51" i="17"/>
  <c r="U51" i="17"/>
  <c r="R51" i="17"/>
  <c r="S51" i="17" s="1"/>
  <c r="K51" i="17"/>
  <c r="L51" i="17" s="1"/>
  <c r="E51" i="17"/>
  <c r="D51" i="17"/>
  <c r="X50" i="17"/>
  <c r="U50" i="17"/>
  <c r="R50" i="17"/>
  <c r="S50" i="17" s="1"/>
  <c r="L50" i="17"/>
  <c r="K50" i="17"/>
  <c r="E50" i="17"/>
  <c r="D50" i="17"/>
  <c r="X49" i="17"/>
  <c r="U49" i="17"/>
  <c r="R49" i="17"/>
  <c r="S49" i="17" s="1"/>
  <c r="L49" i="17"/>
  <c r="K49" i="17"/>
  <c r="D49" i="17"/>
  <c r="E49" i="17" s="1"/>
  <c r="X48" i="17"/>
  <c r="U48" i="17"/>
  <c r="S48" i="17"/>
  <c r="R48" i="17"/>
  <c r="L48" i="17"/>
  <c r="K48" i="17"/>
  <c r="E48" i="17"/>
  <c r="D48" i="17"/>
  <c r="X47" i="17"/>
  <c r="U47" i="17"/>
  <c r="S47" i="17"/>
  <c r="R47" i="17"/>
  <c r="K47" i="17"/>
  <c r="L47" i="17" s="1"/>
  <c r="D47" i="17"/>
  <c r="E47" i="17" s="1"/>
  <c r="X46" i="17"/>
  <c r="U46" i="17"/>
  <c r="S46" i="17"/>
  <c r="R46" i="17"/>
  <c r="L46" i="17"/>
  <c r="K46" i="17"/>
  <c r="D46" i="17"/>
  <c r="E46" i="17" s="1"/>
  <c r="X45" i="17"/>
  <c r="U45" i="17"/>
  <c r="R45" i="17"/>
  <c r="S45" i="17" s="1"/>
  <c r="K45" i="17"/>
  <c r="L45" i="17" s="1"/>
  <c r="D45" i="17"/>
  <c r="E45" i="17" s="1"/>
  <c r="X44" i="17"/>
  <c r="U44" i="17"/>
  <c r="S44" i="17"/>
  <c r="R44" i="17"/>
  <c r="K44" i="17"/>
  <c r="L44" i="17" s="1"/>
  <c r="E44" i="17"/>
  <c r="D44" i="17"/>
  <c r="X43" i="17"/>
  <c r="U43" i="17"/>
  <c r="R43" i="17"/>
  <c r="S43" i="17" s="1"/>
  <c r="K43" i="17"/>
  <c r="L43" i="17" s="1"/>
  <c r="E43" i="17"/>
  <c r="D43" i="17"/>
  <c r="X42" i="17"/>
  <c r="U42" i="17"/>
  <c r="R42" i="17"/>
  <c r="S42" i="17" s="1"/>
  <c r="L42" i="17"/>
  <c r="K42" i="17"/>
  <c r="E42" i="17"/>
  <c r="D42" i="17"/>
  <c r="X41" i="17"/>
  <c r="U41" i="17"/>
  <c r="R41" i="17"/>
  <c r="S41" i="17" s="1"/>
  <c r="L41" i="17"/>
  <c r="K41" i="17"/>
  <c r="D41" i="17"/>
  <c r="E41" i="17" s="1"/>
  <c r="X40" i="17"/>
  <c r="U40" i="17"/>
  <c r="S40" i="17"/>
  <c r="R40" i="17"/>
  <c r="L40" i="17"/>
  <c r="K40" i="17"/>
  <c r="E40" i="17"/>
  <c r="D40" i="17"/>
  <c r="X39" i="17"/>
  <c r="U39" i="17"/>
  <c r="S39" i="17"/>
  <c r="R39" i="17"/>
  <c r="K39" i="17"/>
  <c r="L39" i="17" s="1"/>
  <c r="D39" i="17"/>
  <c r="E39" i="17" s="1"/>
  <c r="X38" i="17"/>
  <c r="U38" i="17"/>
  <c r="S38" i="17"/>
  <c r="R38" i="17"/>
  <c r="L38" i="17"/>
  <c r="K38" i="17"/>
  <c r="D38" i="17"/>
  <c r="E38" i="17" s="1"/>
  <c r="X37" i="17"/>
  <c r="U37" i="17"/>
  <c r="R37" i="17"/>
  <c r="S37" i="17" s="1"/>
  <c r="K37" i="17"/>
  <c r="L37" i="17" s="1"/>
  <c r="D37" i="17"/>
  <c r="E37" i="17" s="1"/>
  <c r="X36" i="17"/>
  <c r="U36" i="17"/>
  <c r="S36" i="17"/>
  <c r="R36" i="17"/>
  <c r="K36" i="17"/>
  <c r="L36" i="17" s="1"/>
  <c r="E36" i="17"/>
  <c r="D36" i="17"/>
  <c r="X35" i="17"/>
  <c r="U35" i="17"/>
  <c r="R35" i="17"/>
  <c r="S35" i="17" s="1"/>
  <c r="K35" i="17"/>
  <c r="L35" i="17" s="1"/>
  <c r="E35" i="17"/>
  <c r="D35" i="17"/>
  <c r="X34" i="17"/>
  <c r="U34" i="17"/>
  <c r="R34" i="17"/>
  <c r="S34" i="17" s="1"/>
  <c r="L34" i="17"/>
  <c r="K34" i="17"/>
  <c r="E34" i="17"/>
  <c r="D34" i="17"/>
  <c r="X33" i="17"/>
  <c r="U33" i="17"/>
  <c r="R33" i="17"/>
  <c r="S33" i="17" s="1"/>
  <c r="L33" i="17"/>
  <c r="K33" i="17"/>
  <c r="D33" i="17"/>
  <c r="E33" i="17" s="1"/>
  <c r="X32" i="17"/>
  <c r="U32" i="17"/>
  <c r="S32" i="17"/>
  <c r="R32" i="17"/>
  <c r="L32" i="17"/>
  <c r="K32" i="17"/>
  <c r="E32" i="17"/>
  <c r="D32" i="17"/>
  <c r="X31" i="17"/>
  <c r="U31" i="17"/>
  <c r="S31" i="17"/>
  <c r="R31" i="17"/>
  <c r="K31" i="17"/>
  <c r="L31" i="17" s="1"/>
  <c r="D31" i="17"/>
  <c r="E31" i="17" s="1"/>
  <c r="X30" i="17"/>
  <c r="U30" i="17"/>
  <c r="S30" i="17"/>
  <c r="R30" i="17"/>
  <c r="L30" i="17"/>
  <c r="K30" i="17"/>
  <c r="D30" i="17"/>
  <c r="E30" i="17" s="1"/>
  <c r="AA29" i="17"/>
  <c r="X29" i="17"/>
  <c r="U29" i="17"/>
  <c r="S29" i="17"/>
  <c r="R29" i="17"/>
  <c r="K29" i="17"/>
  <c r="L29" i="17" s="1"/>
  <c r="E29" i="17"/>
  <c r="D29" i="17"/>
  <c r="X28" i="17"/>
  <c r="U28" i="17"/>
  <c r="R28" i="17"/>
  <c r="S28" i="17" s="1"/>
  <c r="K28" i="17"/>
  <c r="L28" i="17" s="1"/>
  <c r="E28" i="17"/>
  <c r="D28" i="17"/>
  <c r="X27" i="17"/>
  <c r="U27" i="17"/>
  <c r="R27" i="17"/>
  <c r="S27" i="17" s="1"/>
  <c r="L27" i="17"/>
  <c r="K27" i="17"/>
  <c r="E27" i="17"/>
  <c r="D27" i="17"/>
  <c r="X26" i="17"/>
  <c r="U26" i="17"/>
  <c r="R26" i="17"/>
  <c r="S26" i="17" s="1"/>
  <c r="L26" i="17"/>
  <c r="K26" i="17"/>
  <c r="D26" i="17"/>
  <c r="E26" i="17" s="1"/>
  <c r="X25" i="17"/>
  <c r="U25" i="17"/>
  <c r="S25" i="17"/>
  <c r="R25" i="17"/>
  <c r="L25" i="17"/>
  <c r="K25" i="17"/>
  <c r="E25" i="17"/>
  <c r="D25" i="17"/>
  <c r="X24" i="17"/>
  <c r="U24" i="17"/>
  <c r="S24" i="17"/>
  <c r="R24" i="17"/>
  <c r="K24" i="17"/>
  <c r="L24" i="17" s="1"/>
  <c r="D24" i="17"/>
  <c r="E24" i="17" s="1"/>
  <c r="X23" i="17"/>
  <c r="U23" i="17"/>
  <c r="S23" i="17"/>
  <c r="R23" i="17"/>
  <c r="L23" i="17"/>
  <c r="K23" i="17"/>
  <c r="D23" i="17"/>
  <c r="E23" i="17" s="1"/>
  <c r="X22" i="17"/>
  <c r="U22" i="17"/>
  <c r="R22" i="17"/>
  <c r="S22" i="17" s="1"/>
  <c r="K22" i="17"/>
  <c r="L22" i="17" s="1"/>
  <c r="D22" i="17"/>
  <c r="E22" i="17" s="1"/>
  <c r="X21" i="17"/>
  <c r="U21" i="17"/>
  <c r="S21" i="17"/>
  <c r="R21" i="17"/>
  <c r="K21" i="17"/>
  <c r="L21" i="17" s="1"/>
  <c r="D21" i="17"/>
  <c r="E21" i="17" s="1"/>
  <c r="X20" i="17"/>
  <c r="U20" i="17"/>
  <c r="R20" i="17"/>
  <c r="S20" i="17" s="1"/>
  <c r="K20" i="17"/>
  <c r="L20" i="17" s="1"/>
  <c r="E20" i="17"/>
  <c r="D20" i="17"/>
  <c r="X19" i="17"/>
  <c r="U19" i="17"/>
  <c r="R19" i="17"/>
  <c r="S19" i="17" s="1"/>
  <c r="K19" i="17"/>
  <c r="L19" i="17" s="1"/>
  <c r="E19" i="17"/>
  <c r="D19" i="17"/>
  <c r="X18" i="17"/>
  <c r="U18" i="17"/>
  <c r="R18" i="17"/>
  <c r="S18" i="17" s="1"/>
  <c r="L18" i="17"/>
  <c r="K18" i="17"/>
  <c r="D18" i="17"/>
  <c r="E18" i="17" s="1"/>
  <c r="X17" i="17"/>
  <c r="U17" i="17"/>
  <c r="R17" i="17"/>
  <c r="S17" i="17" s="1"/>
  <c r="L17" i="17"/>
  <c r="K17" i="17"/>
  <c r="E17" i="17"/>
  <c r="D17" i="17"/>
  <c r="X16" i="17"/>
  <c r="U16" i="17"/>
  <c r="S16" i="17"/>
  <c r="R16" i="17"/>
  <c r="K16" i="17"/>
  <c r="L16" i="17" s="1"/>
  <c r="D16" i="17"/>
  <c r="E16" i="17" s="1"/>
  <c r="X15" i="17"/>
  <c r="U15" i="17"/>
  <c r="S15" i="17"/>
  <c r="R15" i="17"/>
  <c r="L15" i="17"/>
  <c r="K15" i="17"/>
  <c r="D15" i="17"/>
  <c r="E15" i="17" s="1"/>
  <c r="X14" i="17"/>
  <c r="U14" i="17"/>
  <c r="R14" i="17"/>
  <c r="S14" i="17" s="1"/>
  <c r="K14" i="17"/>
  <c r="L14" i="17" s="1"/>
  <c r="D14" i="17"/>
  <c r="E14" i="17" s="1"/>
  <c r="X13" i="17"/>
  <c r="U13" i="17"/>
  <c r="S13" i="17"/>
  <c r="R13" i="17"/>
  <c r="K13" i="17"/>
  <c r="L13" i="17" s="1"/>
  <c r="D13" i="17"/>
  <c r="E13" i="17" s="1"/>
  <c r="X12" i="17"/>
  <c r="U12" i="17"/>
  <c r="R12" i="17"/>
  <c r="S12" i="17" s="1"/>
  <c r="K12" i="17"/>
  <c r="L12" i="17" s="1"/>
  <c r="E12" i="17"/>
  <c r="D12" i="17"/>
  <c r="X11" i="17"/>
  <c r="U11" i="17"/>
  <c r="R11" i="17"/>
  <c r="S11" i="17" s="1"/>
  <c r="K11" i="17"/>
  <c r="L11" i="17" s="1"/>
  <c r="E11" i="17"/>
  <c r="D11" i="17"/>
  <c r="X10" i="17"/>
  <c r="U10" i="17"/>
  <c r="R10" i="17"/>
  <c r="S10" i="17" s="1"/>
  <c r="L10" i="17"/>
  <c r="K10" i="17"/>
  <c r="D10" i="17"/>
  <c r="E10" i="17" s="1"/>
  <c r="X9" i="17"/>
  <c r="U9" i="17"/>
  <c r="R9" i="17"/>
  <c r="S9" i="17" s="1"/>
  <c r="L9" i="17"/>
  <c r="K9" i="17"/>
  <c r="E9" i="17"/>
  <c r="D9" i="17"/>
  <c r="X8" i="17"/>
  <c r="U8" i="17"/>
  <c r="S8" i="17"/>
  <c r="R8" i="17"/>
  <c r="K8" i="17"/>
  <c r="L8" i="17" s="1"/>
  <c r="D8" i="17"/>
  <c r="E8" i="17" s="1"/>
  <c r="X7" i="17"/>
  <c r="U7" i="17"/>
  <c r="S7" i="17"/>
  <c r="R7" i="17"/>
  <c r="L7" i="17"/>
  <c r="K7" i="17"/>
  <c r="D7" i="17"/>
  <c r="E7" i="17" s="1"/>
  <c r="X6" i="17"/>
  <c r="Y77" i="17" s="1"/>
  <c r="U6" i="17"/>
  <c r="R6" i="17"/>
  <c r="S6" i="17" s="1"/>
  <c r="K6" i="17"/>
  <c r="L6" i="17" s="1"/>
  <c r="D6" i="17"/>
  <c r="E6" i="17" s="1"/>
  <c r="X5" i="17"/>
  <c r="U5" i="17"/>
  <c r="R5" i="17"/>
  <c r="S5" i="17" s="1"/>
  <c r="K5" i="17"/>
  <c r="L5" i="17" s="1"/>
  <c r="E5" i="17"/>
  <c r="D5" i="17"/>
  <c r="X4" i="17"/>
  <c r="U4" i="17"/>
  <c r="R4" i="17"/>
  <c r="S4" i="17" s="1"/>
  <c r="L4" i="17"/>
  <c r="K4" i="17"/>
  <c r="D4" i="17"/>
  <c r="E4" i="17" s="1"/>
  <c r="X3" i="17"/>
  <c r="Y98" i="17" s="1"/>
  <c r="U3" i="17"/>
  <c r="S3" i="17"/>
  <c r="R3" i="17"/>
  <c r="K3" i="17"/>
  <c r="L3" i="17" s="1"/>
  <c r="D3" i="17"/>
  <c r="E3" i="17" s="1"/>
  <c r="Q1" i="17"/>
  <c r="T1" i="17" s="1"/>
  <c r="J1" i="17"/>
  <c r="C1" i="17"/>
  <c r="O102" i="16"/>
  <c r="J102" i="16"/>
  <c r="E102" i="16"/>
  <c r="L100" i="16"/>
  <c r="O100" i="16" s="1"/>
  <c r="K100" i="16"/>
  <c r="J100" i="16"/>
  <c r="I100" i="16"/>
  <c r="H100" i="16"/>
  <c r="E100" i="16"/>
  <c r="C100" i="16"/>
  <c r="D100" i="16" s="1"/>
  <c r="L99" i="16"/>
  <c r="K99" i="16"/>
  <c r="J99" i="16"/>
  <c r="H99" i="16"/>
  <c r="I99" i="16" s="1"/>
  <c r="E99" i="16"/>
  <c r="C99" i="16"/>
  <c r="D99" i="16" s="1"/>
  <c r="O98" i="16"/>
  <c r="L98" i="16"/>
  <c r="K98" i="16"/>
  <c r="J98" i="16"/>
  <c r="H98" i="16"/>
  <c r="I98" i="16" s="1"/>
  <c r="E98" i="16"/>
  <c r="C98" i="16"/>
  <c r="D98" i="16" s="1"/>
  <c r="L97" i="16"/>
  <c r="O97" i="16" s="1"/>
  <c r="K97" i="16"/>
  <c r="J97" i="16"/>
  <c r="I97" i="16"/>
  <c r="H97" i="16"/>
  <c r="E97" i="16"/>
  <c r="C97" i="16"/>
  <c r="D97" i="16" s="1"/>
  <c r="O96" i="16"/>
  <c r="L96" i="16"/>
  <c r="K96" i="16"/>
  <c r="J96" i="16"/>
  <c r="H96" i="16"/>
  <c r="I96" i="16" s="1"/>
  <c r="E96" i="16"/>
  <c r="C96" i="16"/>
  <c r="D96" i="16" s="1"/>
  <c r="L95" i="16"/>
  <c r="O95" i="16" s="1"/>
  <c r="K95" i="16"/>
  <c r="J95" i="16"/>
  <c r="H95" i="16"/>
  <c r="I95" i="16" s="1"/>
  <c r="E95" i="16"/>
  <c r="C95" i="16"/>
  <c r="D95" i="16" s="1"/>
  <c r="L94" i="16"/>
  <c r="K94" i="16"/>
  <c r="J94" i="16"/>
  <c r="I94" i="16"/>
  <c r="H94" i="16"/>
  <c r="E94" i="16"/>
  <c r="C94" i="16"/>
  <c r="D94" i="16" s="1"/>
  <c r="O93" i="16"/>
  <c r="L93" i="16"/>
  <c r="K93" i="16"/>
  <c r="J93" i="16"/>
  <c r="H93" i="16"/>
  <c r="I93" i="16" s="1"/>
  <c r="E93" i="16"/>
  <c r="C93" i="16"/>
  <c r="D93" i="16" s="1"/>
  <c r="L92" i="16"/>
  <c r="O92" i="16" s="1"/>
  <c r="K92" i="16"/>
  <c r="J92" i="16"/>
  <c r="I92" i="16"/>
  <c r="H92" i="16"/>
  <c r="E92" i="16"/>
  <c r="C92" i="16"/>
  <c r="D92" i="16" s="1"/>
  <c r="L91" i="16"/>
  <c r="K91" i="16"/>
  <c r="J91" i="16"/>
  <c r="H91" i="16"/>
  <c r="I91" i="16" s="1"/>
  <c r="E91" i="16"/>
  <c r="C91" i="16"/>
  <c r="D91" i="16" s="1"/>
  <c r="O90" i="16"/>
  <c r="L90" i="16"/>
  <c r="K90" i="16"/>
  <c r="J90" i="16"/>
  <c r="H90" i="16"/>
  <c r="I90" i="16" s="1"/>
  <c r="E90" i="16"/>
  <c r="C90" i="16"/>
  <c r="D90" i="16" s="1"/>
  <c r="L89" i="16"/>
  <c r="O89" i="16" s="1"/>
  <c r="K89" i="16"/>
  <c r="J89" i="16"/>
  <c r="I89" i="16"/>
  <c r="H89" i="16"/>
  <c r="E89" i="16"/>
  <c r="C89" i="16"/>
  <c r="D89" i="16" s="1"/>
  <c r="O88" i="16"/>
  <c r="L88" i="16"/>
  <c r="K88" i="16"/>
  <c r="J88" i="16"/>
  <c r="H88" i="16"/>
  <c r="I88" i="16" s="1"/>
  <c r="E88" i="16"/>
  <c r="C88" i="16"/>
  <c r="D88" i="16" s="1"/>
  <c r="L87" i="16"/>
  <c r="O87" i="16" s="1"/>
  <c r="K87" i="16"/>
  <c r="J87" i="16"/>
  <c r="I87" i="16"/>
  <c r="H87" i="16"/>
  <c r="E87" i="16"/>
  <c r="C87" i="16"/>
  <c r="D87" i="16" s="1"/>
  <c r="L86" i="16"/>
  <c r="K86" i="16"/>
  <c r="J86" i="16"/>
  <c r="I86" i="16"/>
  <c r="H86" i="16"/>
  <c r="E86" i="16"/>
  <c r="C86" i="16"/>
  <c r="D86" i="16" s="1"/>
  <c r="O85" i="16"/>
  <c r="L85" i="16"/>
  <c r="K85" i="16"/>
  <c r="J85" i="16"/>
  <c r="H85" i="16"/>
  <c r="I85" i="16" s="1"/>
  <c r="E85" i="16"/>
  <c r="C85" i="16"/>
  <c r="D85" i="16" s="1"/>
  <c r="L84" i="16"/>
  <c r="O84" i="16" s="1"/>
  <c r="K84" i="16"/>
  <c r="J84" i="16"/>
  <c r="I84" i="16"/>
  <c r="H84" i="16"/>
  <c r="E84" i="16"/>
  <c r="C84" i="16"/>
  <c r="D84" i="16" s="1"/>
  <c r="L83" i="16"/>
  <c r="K83" i="16"/>
  <c r="J83" i="16"/>
  <c r="H83" i="16"/>
  <c r="I83" i="16" s="1"/>
  <c r="E83" i="16"/>
  <c r="C83" i="16"/>
  <c r="D83" i="16" s="1"/>
  <c r="O82" i="16"/>
  <c r="L82" i="16"/>
  <c r="K82" i="16"/>
  <c r="J82" i="16"/>
  <c r="H82" i="16"/>
  <c r="I82" i="16" s="1"/>
  <c r="E82" i="16"/>
  <c r="C82" i="16"/>
  <c r="D82" i="16" s="1"/>
  <c r="L81" i="16"/>
  <c r="O81" i="16" s="1"/>
  <c r="K81" i="16"/>
  <c r="J81" i="16"/>
  <c r="I81" i="16"/>
  <c r="H81" i="16"/>
  <c r="E81" i="16"/>
  <c r="C81" i="16"/>
  <c r="D81" i="16" s="1"/>
  <c r="O80" i="16"/>
  <c r="L80" i="16"/>
  <c r="K80" i="16"/>
  <c r="J80" i="16"/>
  <c r="H80" i="16"/>
  <c r="I80" i="16" s="1"/>
  <c r="E80" i="16"/>
  <c r="C80" i="16"/>
  <c r="D80" i="16" s="1"/>
  <c r="L79" i="16"/>
  <c r="O79" i="16" s="1"/>
  <c r="K79" i="16"/>
  <c r="J79" i="16"/>
  <c r="H79" i="16"/>
  <c r="I79" i="16" s="1"/>
  <c r="E79" i="16"/>
  <c r="C79" i="16"/>
  <c r="D79" i="16" s="1"/>
  <c r="L78" i="16"/>
  <c r="K78" i="16"/>
  <c r="J78" i="16"/>
  <c r="I78" i="16"/>
  <c r="H78" i="16"/>
  <c r="E78" i="16"/>
  <c r="C78" i="16"/>
  <c r="D78" i="16" s="1"/>
  <c r="O77" i="16"/>
  <c r="L77" i="16"/>
  <c r="K77" i="16"/>
  <c r="J77" i="16"/>
  <c r="H77" i="16"/>
  <c r="I77" i="16" s="1"/>
  <c r="E77" i="16"/>
  <c r="C77" i="16"/>
  <c r="D77" i="16" s="1"/>
  <c r="L76" i="16"/>
  <c r="O76" i="16" s="1"/>
  <c r="K76" i="16"/>
  <c r="J76" i="16"/>
  <c r="I76" i="16"/>
  <c r="H76" i="16"/>
  <c r="E76" i="16"/>
  <c r="C76" i="16"/>
  <c r="D76" i="16" s="1"/>
  <c r="L75" i="16"/>
  <c r="O75" i="16" s="1"/>
  <c r="K75" i="16"/>
  <c r="J75" i="16"/>
  <c r="H75" i="16"/>
  <c r="I75" i="16" s="1"/>
  <c r="E75" i="16"/>
  <c r="C75" i="16"/>
  <c r="D75" i="16" s="1"/>
  <c r="O74" i="16"/>
  <c r="L74" i="16"/>
  <c r="K74" i="16"/>
  <c r="J74" i="16"/>
  <c r="I74" i="16"/>
  <c r="H74" i="16"/>
  <c r="E74" i="16"/>
  <c r="C74" i="16"/>
  <c r="D74" i="16" s="1"/>
  <c r="L73" i="16"/>
  <c r="K73" i="16"/>
  <c r="J73" i="16"/>
  <c r="I73" i="16"/>
  <c r="H73" i="16"/>
  <c r="E73" i="16"/>
  <c r="C73" i="16"/>
  <c r="D73" i="16" s="1"/>
  <c r="O72" i="16"/>
  <c r="L72" i="16"/>
  <c r="K72" i="16"/>
  <c r="J72" i="16"/>
  <c r="H72" i="16"/>
  <c r="I72" i="16" s="1"/>
  <c r="E72" i="16"/>
  <c r="C72" i="16"/>
  <c r="D72" i="16" s="1"/>
  <c r="L71" i="16"/>
  <c r="O71" i="16" s="1"/>
  <c r="K71" i="16"/>
  <c r="J71" i="16"/>
  <c r="H71" i="16"/>
  <c r="I71" i="16" s="1"/>
  <c r="E71" i="16"/>
  <c r="C71" i="16"/>
  <c r="D71" i="16" s="1"/>
  <c r="L70" i="16"/>
  <c r="K70" i="16"/>
  <c r="J70" i="16"/>
  <c r="I70" i="16"/>
  <c r="H70" i="16"/>
  <c r="E70" i="16"/>
  <c r="C70" i="16"/>
  <c r="D70" i="16" s="1"/>
  <c r="L69" i="16"/>
  <c r="K69" i="16"/>
  <c r="J69" i="16"/>
  <c r="H69" i="16"/>
  <c r="I69" i="16" s="1"/>
  <c r="E69" i="16"/>
  <c r="E101" i="16" s="1"/>
  <c r="C69" i="16"/>
  <c r="D69" i="16" s="1"/>
  <c r="L68" i="16"/>
  <c r="O68" i="16" s="1"/>
  <c r="K68" i="16"/>
  <c r="J68" i="16"/>
  <c r="I68" i="16"/>
  <c r="H68" i="16"/>
  <c r="E68" i="16"/>
  <c r="C68" i="16"/>
  <c r="D68" i="16" s="1"/>
  <c r="L67" i="16"/>
  <c r="O67" i="16" s="1"/>
  <c r="K67" i="16"/>
  <c r="J67" i="16"/>
  <c r="H67" i="16"/>
  <c r="I67" i="16" s="1"/>
  <c r="E67" i="16"/>
  <c r="C67" i="16"/>
  <c r="D67" i="16" s="1"/>
  <c r="O66" i="16"/>
  <c r="L66" i="16"/>
  <c r="K66" i="16"/>
  <c r="J66" i="16"/>
  <c r="I66" i="16"/>
  <c r="H66" i="16"/>
  <c r="E66" i="16"/>
  <c r="C66" i="16"/>
  <c r="D66" i="16" s="1"/>
  <c r="L65" i="16"/>
  <c r="K65" i="16"/>
  <c r="J65" i="16"/>
  <c r="I65" i="16"/>
  <c r="H65" i="16"/>
  <c r="E65" i="16"/>
  <c r="C65" i="16"/>
  <c r="D65" i="16" s="1"/>
  <c r="O64" i="16"/>
  <c r="L64" i="16"/>
  <c r="K64" i="16"/>
  <c r="J64" i="16"/>
  <c r="H64" i="16"/>
  <c r="I64" i="16" s="1"/>
  <c r="E64" i="16"/>
  <c r="C64" i="16"/>
  <c r="D64" i="16" s="1"/>
  <c r="L63" i="16"/>
  <c r="O63" i="16" s="1"/>
  <c r="K63" i="16"/>
  <c r="J63" i="16"/>
  <c r="H63" i="16"/>
  <c r="I63" i="16" s="1"/>
  <c r="E63" i="16"/>
  <c r="C63" i="16"/>
  <c r="D63" i="16" s="1"/>
  <c r="L62" i="16"/>
  <c r="K62" i="16"/>
  <c r="J62" i="16"/>
  <c r="I62" i="16"/>
  <c r="H62" i="16"/>
  <c r="E62" i="16"/>
  <c r="C62" i="16"/>
  <c r="D62" i="16" s="1"/>
  <c r="O61" i="16"/>
  <c r="L61" i="16"/>
  <c r="K61" i="16"/>
  <c r="J61" i="16"/>
  <c r="H61" i="16"/>
  <c r="I61" i="16" s="1"/>
  <c r="E61" i="16"/>
  <c r="C61" i="16"/>
  <c r="D61" i="16" s="1"/>
  <c r="L60" i="16"/>
  <c r="O60" i="16" s="1"/>
  <c r="K60" i="16"/>
  <c r="J60" i="16"/>
  <c r="I60" i="16"/>
  <c r="H60" i="16"/>
  <c r="E60" i="16"/>
  <c r="C60" i="16"/>
  <c r="D60" i="16" s="1"/>
  <c r="L59" i="16"/>
  <c r="O59" i="16" s="1"/>
  <c r="K59" i="16"/>
  <c r="J59" i="16"/>
  <c r="H59" i="16"/>
  <c r="I59" i="16" s="1"/>
  <c r="E59" i="16"/>
  <c r="C59" i="16"/>
  <c r="D59" i="16" s="1"/>
  <c r="O58" i="16"/>
  <c r="L58" i="16"/>
  <c r="K58" i="16"/>
  <c r="J58" i="16"/>
  <c r="H58" i="16"/>
  <c r="I58" i="16" s="1"/>
  <c r="E58" i="16"/>
  <c r="C58" i="16"/>
  <c r="D58" i="16" s="1"/>
  <c r="L57" i="16"/>
  <c r="K57" i="16"/>
  <c r="J57" i="16"/>
  <c r="I57" i="16"/>
  <c r="H57" i="16"/>
  <c r="E57" i="16"/>
  <c r="C57" i="16"/>
  <c r="D57" i="16" s="1"/>
  <c r="O56" i="16"/>
  <c r="L56" i="16"/>
  <c r="K56" i="16"/>
  <c r="J56" i="16"/>
  <c r="H56" i="16"/>
  <c r="I56" i="16" s="1"/>
  <c r="E56" i="16"/>
  <c r="C56" i="16"/>
  <c r="D56" i="16" s="1"/>
  <c r="O55" i="16"/>
  <c r="K55" i="16"/>
  <c r="J55" i="16"/>
  <c r="H55" i="16"/>
  <c r="I55" i="16" s="1"/>
  <c r="E55" i="16"/>
  <c r="C55" i="16"/>
  <c r="D55" i="16" s="1"/>
  <c r="L54" i="16"/>
  <c r="K54" i="16"/>
  <c r="J54" i="16"/>
  <c r="H54" i="16"/>
  <c r="I54" i="16" s="1"/>
  <c r="E54" i="16"/>
  <c r="C54" i="16"/>
  <c r="D54" i="16" s="1"/>
  <c r="O53" i="16"/>
  <c r="L53" i="16"/>
  <c r="K53" i="16"/>
  <c r="J53" i="16"/>
  <c r="H53" i="16"/>
  <c r="I53" i="16" s="1"/>
  <c r="E53" i="16"/>
  <c r="C53" i="16"/>
  <c r="D53" i="16" s="1"/>
  <c r="L52" i="16"/>
  <c r="O52" i="16" s="1"/>
  <c r="K52" i="16"/>
  <c r="J52" i="16"/>
  <c r="H52" i="16"/>
  <c r="I52" i="16" s="1"/>
  <c r="E52" i="16"/>
  <c r="C52" i="16"/>
  <c r="D52" i="16" s="1"/>
  <c r="L51" i="16"/>
  <c r="K51" i="16"/>
  <c r="J51" i="16"/>
  <c r="I51" i="16"/>
  <c r="H51" i="16"/>
  <c r="E51" i="16"/>
  <c r="C51" i="16"/>
  <c r="D51" i="16" s="1"/>
  <c r="O50" i="16"/>
  <c r="L50" i="16"/>
  <c r="K50" i="16"/>
  <c r="J50" i="16"/>
  <c r="H50" i="16"/>
  <c r="I50" i="16" s="1"/>
  <c r="E50" i="16"/>
  <c r="C50" i="16"/>
  <c r="D50" i="16" s="1"/>
  <c r="L49" i="16"/>
  <c r="O49" i="16" s="1"/>
  <c r="K49" i="16"/>
  <c r="J49" i="16"/>
  <c r="I49" i="16"/>
  <c r="H49" i="16"/>
  <c r="E49" i="16"/>
  <c r="C49" i="16"/>
  <c r="D49" i="16" s="1"/>
  <c r="L48" i="16"/>
  <c r="O48" i="16" s="1"/>
  <c r="K48" i="16"/>
  <c r="J48" i="16"/>
  <c r="H48" i="16"/>
  <c r="I48" i="16" s="1"/>
  <c r="E48" i="16"/>
  <c r="C48" i="16"/>
  <c r="D48" i="16" s="1"/>
  <c r="O47" i="16"/>
  <c r="L47" i="16"/>
  <c r="K47" i="16"/>
  <c r="J47" i="16"/>
  <c r="I47" i="16"/>
  <c r="H47" i="16"/>
  <c r="E47" i="16"/>
  <c r="C47" i="16"/>
  <c r="D47" i="16" s="1"/>
  <c r="L46" i="16"/>
  <c r="K46" i="16"/>
  <c r="J46" i="16"/>
  <c r="H46" i="16"/>
  <c r="I46" i="16" s="1"/>
  <c r="E46" i="16"/>
  <c r="C46" i="16"/>
  <c r="D46" i="16" s="1"/>
  <c r="O45" i="16"/>
  <c r="L45" i="16"/>
  <c r="K45" i="16"/>
  <c r="J45" i="16"/>
  <c r="H45" i="16"/>
  <c r="I45" i="16" s="1"/>
  <c r="E45" i="16"/>
  <c r="C45" i="16"/>
  <c r="D45" i="16" s="1"/>
  <c r="L44" i="16"/>
  <c r="O44" i="16" s="1"/>
  <c r="K44" i="16"/>
  <c r="J44" i="16"/>
  <c r="H44" i="16"/>
  <c r="I44" i="16" s="1"/>
  <c r="E44" i="16"/>
  <c r="C44" i="16"/>
  <c r="D44" i="16" s="1"/>
  <c r="L43" i="16"/>
  <c r="K43" i="16"/>
  <c r="J43" i="16"/>
  <c r="I43" i="16"/>
  <c r="H43" i="16"/>
  <c r="E43" i="16"/>
  <c r="C43" i="16"/>
  <c r="D43" i="16" s="1"/>
  <c r="O42" i="16"/>
  <c r="L42" i="16"/>
  <c r="K42" i="16"/>
  <c r="J42" i="16"/>
  <c r="H42" i="16"/>
  <c r="I42" i="16" s="1"/>
  <c r="E42" i="16"/>
  <c r="C42" i="16"/>
  <c r="D42" i="16" s="1"/>
  <c r="L41" i="16"/>
  <c r="O41" i="16" s="1"/>
  <c r="K41" i="16"/>
  <c r="J41" i="16"/>
  <c r="I41" i="16"/>
  <c r="H41" i="16"/>
  <c r="E41" i="16"/>
  <c r="C41" i="16"/>
  <c r="D41" i="16" s="1"/>
  <c r="L40" i="16"/>
  <c r="O40" i="16" s="1"/>
  <c r="K40" i="16"/>
  <c r="J40" i="16"/>
  <c r="H40" i="16"/>
  <c r="I40" i="16" s="1"/>
  <c r="E40" i="16"/>
  <c r="C40" i="16"/>
  <c r="D40" i="16" s="1"/>
  <c r="O39" i="16"/>
  <c r="L39" i="16"/>
  <c r="K39" i="16"/>
  <c r="J39" i="16"/>
  <c r="H39" i="16"/>
  <c r="I39" i="16" s="1"/>
  <c r="E39" i="16"/>
  <c r="C39" i="16"/>
  <c r="D39" i="16" s="1"/>
  <c r="L38" i="16"/>
  <c r="K38" i="16"/>
  <c r="J38" i="16"/>
  <c r="H38" i="16"/>
  <c r="I38" i="16" s="1"/>
  <c r="E38" i="16"/>
  <c r="C38" i="16"/>
  <c r="D38" i="16" s="1"/>
  <c r="O37" i="16"/>
  <c r="L37" i="16"/>
  <c r="K37" i="16"/>
  <c r="J37" i="16"/>
  <c r="H37" i="16"/>
  <c r="I37" i="16" s="1"/>
  <c r="E37" i="16"/>
  <c r="C37" i="16"/>
  <c r="D37" i="16" s="1"/>
  <c r="L36" i="16"/>
  <c r="O36" i="16" s="1"/>
  <c r="K36" i="16"/>
  <c r="J36" i="16"/>
  <c r="H36" i="16"/>
  <c r="I36" i="16" s="1"/>
  <c r="E36" i="16"/>
  <c r="C36" i="16"/>
  <c r="D36" i="16" s="1"/>
  <c r="L35" i="16"/>
  <c r="K35" i="16"/>
  <c r="J35" i="16"/>
  <c r="I35" i="16"/>
  <c r="H35" i="16"/>
  <c r="E35" i="16"/>
  <c r="C35" i="16"/>
  <c r="D35" i="16" s="1"/>
  <c r="O34" i="16"/>
  <c r="L34" i="16"/>
  <c r="K34" i="16"/>
  <c r="J34" i="16"/>
  <c r="H34" i="16"/>
  <c r="I34" i="16" s="1"/>
  <c r="E34" i="16"/>
  <c r="C34" i="16"/>
  <c r="D34" i="16" s="1"/>
  <c r="L33" i="16"/>
  <c r="O33" i="16" s="1"/>
  <c r="K33" i="16"/>
  <c r="J33" i="16"/>
  <c r="I33" i="16"/>
  <c r="H33" i="16"/>
  <c r="E33" i="16"/>
  <c r="C33" i="16"/>
  <c r="D33" i="16" s="1"/>
  <c r="L32" i="16"/>
  <c r="O32" i="16" s="1"/>
  <c r="K32" i="16"/>
  <c r="J32" i="16"/>
  <c r="H32" i="16"/>
  <c r="I32" i="16" s="1"/>
  <c r="E32" i="16"/>
  <c r="C32" i="16"/>
  <c r="D32" i="16" s="1"/>
  <c r="O31" i="16"/>
  <c r="L31" i="16"/>
  <c r="K31" i="16"/>
  <c r="J31" i="16"/>
  <c r="I31" i="16"/>
  <c r="H31" i="16"/>
  <c r="E31" i="16"/>
  <c r="C31" i="16"/>
  <c r="D31" i="16" s="1"/>
  <c r="L30" i="16"/>
  <c r="K30" i="16"/>
  <c r="J30" i="16"/>
  <c r="H30" i="16"/>
  <c r="I30" i="16" s="1"/>
  <c r="E30" i="16"/>
  <c r="C30" i="16"/>
  <c r="D30" i="16" s="1"/>
  <c r="O29" i="16"/>
  <c r="L29" i="16"/>
  <c r="K29" i="16"/>
  <c r="J29" i="16"/>
  <c r="H29" i="16"/>
  <c r="I29" i="16" s="1"/>
  <c r="E29" i="16"/>
  <c r="C29" i="16"/>
  <c r="D29" i="16" s="1"/>
  <c r="L28" i="16"/>
  <c r="O28" i="16" s="1"/>
  <c r="K28" i="16"/>
  <c r="J28" i="16"/>
  <c r="H28" i="16"/>
  <c r="I28" i="16" s="1"/>
  <c r="E28" i="16"/>
  <c r="C28" i="16"/>
  <c r="D28" i="16" s="1"/>
  <c r="L27" i="16"/>
  <c r="K27" i="16"/>
  <c r="J27" i="16"/>
  <c r="I27" i="16"/>
  <c r="H27" i="16"/>
  <c r="E27" i="16"/>
  <c r="C27" i="16"/>
  <c r="D27" i="16" s="1"/>
  <c r="O26" i="16"/>
  <c r="L26" i="16"/>
  <c r="K26" i="16"/>
  <c r="J26" i="16"/>
  <c r="H26" i="16"/>
  <c r="I26" i="16" s="1"/>
  <c r="E26" i="16"/>
  <c r="C26" i="16"/>
  <c r="D26" i="16" s="1"/>
  <c r="L25" i="16"/>
  <c r="O25" i="16" s="1"/>
  <c r="K25" i="16"/>
  <c r="J25" i="16"/>
  <c r="I25" i="16"/>
  <c r="H25" i="16"/>
  <c r="E25" i="16"/>
  <c r="C25" i="16"/>
  <c r="D25" i="16" s="1"/>
  <c r="L24" i="16"/>
  <c r="O24" i="16" s="1"/>
  <c r="K24" i="16"/>
  <c r="J24" i="16"/>
  <c r="H24" i="16"/>
  <c r="I24" i="16" s="1"/>
  <c r="E24" i="16"/>
  <c r="C24" i="16"/>
  <c r="D24" i="16" s="1"/>
  <c r="O23" i="16"/>
  <c r="L23" i="16"/>
  <c r="K23" i="16"/>
  <c r="J23" i="16"/>
  <c r="H23" i="16"/>
  <c r="I23" i="16" s="1"/>
  <c r="E23" i="16"/>
  <c r="C23" i="16"/>
  <c r="D23" i="16" s="1"/>
  <c r="L22" i="16"/>
  <c r="K22" i="16"/>
  <c r="J22" i="16"/>
  <c r="H22" i="16"/>
  <c r="I22" i="16" s="1"/>
  <c r="E22" i="16"/>
  <c r="C22" i="16"/>
  <c r="D22" i="16" s="1"/>
  <c r="O21" i="16"/>
  <c r="L21" i="16"/>
  <c r="K21" i="16"/>
  <c r="J21" i="16"/>
  <c r="H21" i="16"/>
  <c r="I21" i="16" s="1"/>
  <c r="E21" i="16"/>
  <c r="C21" i="16"/>
  <c r="D21" i="16" s="1"/>
  <c r="L20" i="16"/>
  <c r="O20" i="16" s="1"/>
  <c r="K20" i="16"/>
  <c r="J20" i="16"/>
  <c r="I20" i="16"/>
  <c r="H20" i="16"/>
  <c r="E20" i="16"/>
  <c r="C20" i="16"/>
  <c r="D20" i="16" s="1"/>
  <c r="L19" i="16"/>
  <c r="K19" i="16"/>
  <c r="J19" i="16"/>
  <c r="I19" i="16"/>
  <c r="H19" i="16"/>
  <c r="E19" i="16"/>
  <c r="C19" i="16"/>
  <c r="D19" i="16" s="1"/>
  <c r="O18" i="16"/>
  <c r="L18" i="16"/>
  <c r="K18" i="16"/>
  <c r="J18" i="16"/>
  <c r="H18" i="16"/>
  <c r="I18" i="16" s="1"/>
  <c r="E18" i="16"/>
  <c r="C18" i="16"/>
  <c r="D18" i="16" s="1"/>
  <c r="L17" i="16"/>
  <c r="O17" i="16" s="1"/>
  <c r="K17" i="16"/>
  <c r="J17" i="16"/>
  <c r="I17" i="16"/>
  <c r="H17" i="16"/>
  <c r="E17" i="16"/>
  <c r="C17" i="16"/>
  <c r="D17" i="16" s="1"/>
  <c r="L16" i="16"/>
  <c r="O16" i="16" s="1"/>
  <c r="K16" i="16"/>
  <c r="J16" i="16"/>
  <c r="H16" i="16"/>
  <c r="I16" i="16" s="1"/>
  <c r="E16" i="16"/>
  <c r="C16" i="16"/>
  <c r="D16" i="16" s="1"/>
  <c r="O15" i="16"/>
  <c r="L15" i="16"/>
  <c r="K15" i="16"/>
  <c r="J15" i="16"/>
  <c r="H15" i="16"/>
  <c r="I15" i="16" s="1"/>
  <c r="E15" i="16"/>
  <c r="C15" i="16"/>
  <c r="D15" i="16" s="1"/>
  <c r="L14" i="16"/>
  <c r="K14" i="16"/>
  <c r="J14" i="16"/>
  <c r="H14" i="16"/>
  <c r="I14" i="16" s="1"/>
  <c r="E14" i="16"/>
  <c r="C14" i="16"/>
  <c r="D14" i="16" s="1"/>
  <c r="O13" i="16"/>
  <c r="L13" i="16"/>
  <c r="K13" i="16"/>
  <c r="J13" i="16"/>
  <c r="H13" i="16"/>
  <c r="I13" i="16" s="1"/>
  <c r="E13" i="16"/>
  <c r="C13" i="16"/>
  <c r="D13" i="16" s="1"/>
  <c r="L12" i="16"/>
  <c r="O12" i="16" s="1"/>
  <c r="K12" i="16"/>
  <c r="J12" i="16"/>
  <c r="H12" i="16"/>
  <c r="I12" i="16" s="1"/>
  <c r="E12" i="16"/>
  <c r="C12" i="16"/>
  <c r="D12" i="16" s="1"/>
  <c r="L11" i="16"/>
  <c r="M67" i="16" s="1"/>
  <c r="K11" i="16"/>
  <c r="J11" i="16"/>
  <c r="I11" i="16"/>
  <c r="H11" i="16"/>
  <c r="E11" i="16"/>
  <c r="C11" i="16"/>
  <c r="D11" i="16" s="1"/>
  <c r="O10" i="16"/>
  <c r="L10" i="16"/>
  <c r="K10" i="16"/>
  <c r="J10" i="16"/>
  <c r="H10" i="16"/>
  <c r="I10" i="16" s="1"/>
  <c r="E10" i="16"/>
  <c r="C10" i="16"/>
  <c r="D10" i="16" s="1"/>
  <c r="L9" i="16"/>
  <c r="O9" i="16" s="1"/>
  <c r="K9" i="16"/>
  <c r="J9" i="16"/>
  <c r="I9" i="16"/>
  <c r="H9" i="16"/>
  <c r="E9" i="16"/>
  <c r="C9" i="16"/>
  <c r="D9" i="16" s="1"/>
  <c r="M8" i="16"/>
  <c r="N8" i="16" s="1"/>
  <c r="L8" i="16"/>
  <c r="O8" i="16" s="1"/>
  <c r="K8" i="16"/>
  <c r="J8" i="16"/>
  <c r="H8" i="16"/>
  <c r="I8" i="16" s="1"/>
  <c r="E8" i="16"/>
  <c r="C8" i="16"/>
  <c r="D8" i="16" s="1"/>
  <c r="O7" i="16"/>
  <c r="L7" i="16"/>
  <c r="K7" i="16"/>
  <c r="J7" i="16"/>
  <c r="H7" i="16"/>
  <c r="I7" i="16" s="1"/>
  <c r="E7" i="16"/>
  <c r="C7" i="16"/>
  <c r="D7" i="16" s="1"/>
  <c r="Q6" i="16"/>
  <c r="L6" i="16"/>
  <c r="M91" i="16" s="1"/>
  <c r="K6" i="16"/>
  <c r="J6" i="16"/>
  <c r="I6" i="16"/>
  <c r="H6" i="16"/>
  <c r="E6" i="16"/>
  <c r="C6" i="16"/>
  <c r="O5" i="16"/>
  <c r="J5" i="16"/>
  <c r="H5" i="16"/>
  <c r="I5" i="16" s="1"/>
  <c r="E5" i="16"/>
  <c r="C5" i="16"/>
  <c r="K4" i="15"/>
  <c r="L4" i="15" s="1"/>
  <c r="K5" i="15"/>
  <c r="L5" i="15" s="1"/>
  <c r="K6" i="15"/>
  <c r="L6" i="15" s="1"/>
  <c r="K7" i="15"/>
  <c r="L7" i="15" s="1"/>
  <c r="K8" i="15"/>
  <c r="L8" i="15" s="1"/>
  <c r="K9" i="15"/>
  <c r="L9" i="15" s="1"/>
  <c r="K10" i="15"/>
  <c r="L10" i="15" s="1"/>
  <c r="K3" i="15"/>
  <c r="L3" i="15" s="1"/>
  <c r="H3" i="15"/>
  <c r="H4" i="15"/>
  <c r="H5" i="15"/>
  <c r="H6" i="15"/>
  <c r="H7" i="15"/>
  <c r="H8" i="15"/>
  <c r="H9" i="15"/>
  <c r="H10" i="15"/>
  <c r="X18" i="15"/>
  <c r="X9" i="15"/>
  <c r="I9" i="15"/>
  <c r="G9" i="15"/>
  <c r="X16" i="15"/>
  <c r="G7" i="15"/>
  <c r="I7" i="15"/>
  <c r="X7" i="15"/>
  <c r="X14" i="15"/>
  <c r="X11" i="15"/>
  <c r="X15" i="15"/>
  <c r="X17" i="15"/>
  <c r="X4" i="15"/>
  <c r="X5" i="15"/>
  <c r="X6" i="15"/>
  <c r="X8" i="15"/>
  <c r="X10" i="15"/>
  <c r="X3" i="15"/>
  <c r="I4" i="15"/>
  <c r="I5" i="15"/>
  <c r="I6" i="15"/>
  <c r="I8" i="15"/>
  <c r="I10" i="15"/>
  <c r="I3" i="15"/>
  <c r="G4" i="15"/>
  <c r="G5" i="15"/>
  <c r="G6" i="15"/>
  <c r="G8" i="15"/>
  <c r="G10" i="15"/>
  <c r="G3" i="15"/>
  <c r="A2" i="8"/>
  <c r="D40" i="25" l="1"/>
  <c r="O9" i="25"/>
  <c r="N9" i="25"/>
  <c r="P9" i="25" s="1"/>
  <c r="B74" i="25"/>
  <c r="B66" i="25"/>
  <c r="C16" i="24"/>
  <c r="C23" i="24"/>
  <c r="C21" i="24" s="1"/>
  <c r="C25" i="24" s="1"/>
  <c r="A115" i="24"/>
  <c r="A114" i="24"/>
  <c r="A113" i="24"/>
  <c r="A112" i="24"/>
  <c r="A111" i="24"/>
  <c r="A110" i="24"/>
  <c r="A109" i="24"/>
  <c r="A108" i="24"/>
  <c r="A107" i="24"/>
  <c r="A106" i="24"/>
  <c r="A105" i="24"/>
  <c r="A104" i="24"/>
  <c r="A103" i="24"/>
  <c r="A102" i="24"/>
  <c r="A101" i="24"/>
  <c r="A100" i="24"/>
  <c r="A99" i="24"/>
  <c r="A98" i="24"/>
  <c r="A97" i="24"/>
  <c r="A96" i="24"/>
  <c r="A95" i="24"/>
  <c r="A94" i="24"/>
  <c r="A93" i="24"/>
  <c r="A92" i="24"/>
  <c r="A91" i="24"/>
  <c r="A90" i="24"/>
  <c r="A89" i="24"/>
  <c r="A88" i="24"/>
  <c r="A87" i="24"/>
  <c r="A86" i="24"/>
  <c r="A85" i="24"/>
  <c r="A84" i="24"/>
  <c r="A83" i="24"/>
  <c r="A82" i="24"/>
  <c r="A81" i="24"/>
  <c r="A80" i="24"/>
  <c r="A79" i="24"/>
  <c r="A78" i="24"/>
  <c r="A77" i="24"/>
  <c r="A76" i="24"/>
  <c r="A75" i="24"/>
  <c r="A74" i="24"/>
  <c r="A73" i="24"/>
  <c r="A72" i="24"/>
  <c r="A71" i="24"/>
  <c r="A70" i="24"/>
  <c r="A69" i="24"/>
  <c r="A68" i="24"/>
  <c r="A67" i="24"/>
  <c r="A66" i="24"/>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C24" i="24"/>
  <c r="E43" i="20"/>
  <c r="E46" i="20" s="1"/>
  <c r="E47" i="20" s="1"/>
  <c r="D10" i="20"/>
  <c r="D40" i="20"/>
  <c r="D42" i="20" s="1"/>
  <c r="C43" i="20"/>
  <c r="D43" i="20"/>
  <c r="D46" i="20" s="1"/>
  <c r="D47" i="20" s="1"/>
  <c r="H17" i="15"/>
  <c r="D9" i="20"/>
  <c r="D13" i="20"/>
  <c r="D14" i="20" s="1"/>
  <c r="G16" i="20"/>
  <c r="D6" i="16"/>
  <c r="M5" i="16"/>
  <c r="O69" i="16"/>
  <c r="Y38" i="17"/>
  <c r="Y46" i="17"/>
  <c r="Y3" i="17"/>
  <c r="Y5" i="17"/>
  <c r="Y12" i="17"/>
  <c r="Y20" i="17"/>
  <c r="Y28" i="17"/>
  <c r="Y35" i="17"/>
  <c r="Y43" i="17"/>
  <c r="Y51" i="17"/>
  <c r="Y59" i="17"/>
  <c r="Y67" i="17"/>
  <c r="Y75" i="17"/>
  <c r="Y83" i="17"/>
  <c r="Y91" i="17"/>
  <c r="Y13" i="17"/>
  <c r="Y21" i="17"/>
  <c r="Y29" i="17"/>
  <c r="Y36" i="17"/>
  <c r="Y44" i="17"/>
  <c r="Y52" i="17"/>
  <c r="Y60" i="17"/>
  <c r="Y68" i="17"/>
  <c r="Y76" i="17"/>
  <c r="Y84" i="17"/>
  <c r="Y92" i="17"/>
  <c r="Y7" i="17"/>
  <c r="Y23" i="17"/>
  <c r="Y54" i="17"/>
  <c r="Y70" i="17"/>
  <c r="Y78" i="17"/>
  <c r="Y86" i="17"/>
  <c r="Y94" i="17"/>
  <c r="Y69" i="17"/>
  <c r="Y79" i="17"/>
  <c r="Y14" i="17"/>
  <c r="Y37" i="17"/>
  <c r="Y61" i="17"/>
  <c r="Y93" i="17"/>
  <c r="Y15" i="17"/>
  <c r="Y16" i="17"/>
  <c r="Y39" i="17"/>
  <c r="Y63" i="17"/>
  <c r="Y87" i="17"/>
  <c r="AB3" i="17"/>
  <c r="Y9" i="17"/>
  <c r="Y17" i="17"/>
  <c r="Y25" i="17"/>
  <c r="Y32" i="17"/>
  <c r="Y40" i="17"/>
  <c r="Y48" i="17"/>
  <c r="Y56" i="17"/>
  <c r="Y64" i="17"/>
  <c r="Y72" i="17"/>
  <c r="Y80" i="17"/>
  <c r="Y88" i="17"/>
  <c r="Y96" i="17"/>
  <c r="Y6" i="17"/>
  <c r="Y53" i="17"/>
  <c r="Y85" i="17"/>
  <c r="X1" i="17"/>
  <c r="Y62" i="17"/>
  <c r="Y24" i="17"/>
  <c r="Y31" i="17"/>
  <c r="Y47" i="17"/>
  <c r="Y55" i="17"/>
  <c r="Y71" i="17"/>
  <c r="Y95" i="17"/>
  <c r="Y4" i="17"/>
  <c r="Y10" i="17"/>
  <c r="Y18" i="17"/>
  <c r="Y26" i="17"/>
  <c r="Y33" i="17"/>
  <c r="Y41" i="17"/>
  <c r="Y49" i="17"/>
  <c r="Y57" i="17"/>
  <c r="Y65" i="17"/>
  <c r="Y73" i="17"/>
  <c r="Y81" i="17"/>
  <c r="Y89" i="17"/>
  <c r="Y97" i="17"/>
  <c r="Y22" i="17"/>
  <c r="Y45" i="17"/>
  <c r="Y30" i="17"/>
  <c r="Y8" i="17"/>
  <c r="AB4" i="17"/>
  <c r="Y11" i="17"/>
  <c r="Y19" i="17"/>
  <c r="Y27" i="17"/>
  <c r="Y34" i="17"/>
  <c r="Y42" i="17"/>
  <c r="Y50" i="17"/>
  <c r="Y58" i="17"/>
  <c r="Y66" i="17"/>
  <c r="Y74" i="17"/>
  <c r="Y82" i="17"/>
  <c r="Y90" i="17"/>
  <c r="E103" i="16"/>
  <c r="M59" i="16"/>
  <c r="O62" i="16"/>
  <c r="M16" i="16"/>
  <c r="O19" i="16"/>
  <c r="N59" i="16"/>
  <c r="M62" i="16"/>
  <c r="N62" i="16" s="1"/>
  <c r="M64" i="16"/>
  <c r="N64" i="16" s="1"/>
  <c r="M24" i="16"/>
  <c r="N24" i="16" s="1"/>
  <c r="O99" i="16"/>
  <c r="M51" i="16"/>
  <c r="O54" i="16"/>
  <c r="M13" i="16"/>
  <c r="N13" i="16" s="1"/>
  <c r="M19" i="16"/>
  <c r="N19" i="16" s="1"/>
  <c r="O65" i="16"/>
  <c r="M27" i="16"/>
  <c r="N27" i="16" s="1"/>
  <c r="M32" i="16"/>
  <c r="O35" i="16"/>
  <c r="O70" i="16"/>
  <c r="J101" i="16"/>
  <c r="J103" i="16" s="1"/>
  <c r="N32" i="16"/>
  <c r="M35" i="16"/>
  <c r="N35" i="16" s="1"/>
  <c r="M37" i="16"/>
  <c r="N37" i="16" s="1"/>
  <c r="O38" i="16"/>
  <c r="N67" i="16"/>
  <c r="M70" i="16"/>
  <c r="N70" i="16" s="1"/>
  <c r="M72" i="16"/>
  <c r="N72" i="16" s="1"/>
  <c r="N91" i="16"/>
  <c r="O91" i="16"/>
  <c r="O94" i="16"/>
  <c r="M96" i="16"/>
  <c r="N96" i="16" s="1"/>
  <c r="M99" i="16"/>
  <c r="N99" i="16" s="1"/>
  <c r="O11" i="16"/>
  <c r="M53" i="16"/>
  <c r="N53" i="16" s="1"/>
  <c r="O57" i="16"/>
  <c r="N16" i="16"/>
  <c r="O22" i="16"/>
  <c r="O27" i="16"/>
  <c r="M40" i="16"/>
  <c r="N40" i="16" s="1"/>
  <c r="O43" i="16"/>
  <c r="O73" i="16"/>
  <c r="O83" i="16"/>
  <c r="O86" i="16"/>
  <c r="M88" i="16"/>
  <c r="N88" i="16" s="1"/>
  <c r="M11" i="16"/>
  <c r="N11" i="16" s="1"/>
  <c r="O14" i="16"/>
  <c r="M21" i="16"/>
  <c r="N21" i="16" s="1"/>
  <c r="M29" i="16"/>
  <c r="N29" i="16" s="1"/>
  <c r="O30" i="16"/>
  <c r="M93" i="16"/>
  <c r="N93" i="16" s="1"/>
  <c r="M73" i="16"/>
  <c r="N73" i="16" s="1"/>
  <c r="M57" i="16"/>
  <c r="N57" i="16" s="1"/>
  <c r="M38" i="16"/>
  <c r="N38" i="16" s="1"/>
  <c r="M30" i="16"/>
  <c r="N30" i="16" s="1"/>
  <c r="M14" i="16"/>
  <c r="N14" i="16" s="1"/>
  <c r="M49" i="16"/>
  <c r="M41" i="16"/>
  <c r="M25" i="16"/>
  <c r="N25" i="16" s="1"/>
  <c r="M17" i="16"/>
  <c r="N17" i="16" s="1"/>
  <c r="M9" i="16"/>
  <c r="O6" i="16"/>
  <c r="M76" i="16"/>
  <c r="M68" i="16"/>
  <c r="M60" i="16"/>
  <c r="M33" i="16"/>
  <c r="M97" i="16"/>
  <c r="N97" i="16" s="1"/>
  <c r="M89" i="16"/>
  <c r="N89" i="16" s="1"/>
  <c r="M81" i="16"/>
  <c r="M65" i="16"/>
  <c r="N65" i="16" s="1"/>
  <c r="M54" i="16"/>
  <c r="N54" i="16" s="1"/>
  <c r="M46" i="16"/>
  <c r="M22" i="16"/>
  <c r="N22" i="16" s="1"/>
  <c r="M94" i="16"/>
  <c r="N94" i="16" s="1"/>
  <c r="M86" i="16"/>
  <c r="N86" i="16" s="1"/>
  <c r="M78" i="16"/>
  <c r="O101" i="16"/>
  <c r="O103" i="16" s="1"/>
  <c r="M6" i="16"/>
  <c r="N6" i="16" s="1"/>
  <c r="M43" i="16"/>
  <c r="N43" i="16" s="1"/>
  <c r="M45" i="16"/>
  <c r="N45" i="16" s="1"/>
  <c r="N46" i="16"/>
  <c r="O46" i="16"/>
  <c r="M48" i="16"/>
  <c r="N48" i="16" s="1"/>
  <c r="N51" i="16"/>
  <c r="O51" i="16"/>
  <c r="M56" i="16"/>
  <c r="N56" i="16" s="1"/>
  <c r="M75" i="16"/>
  <c r="N75" i="16" s="1"/>
  <c r="O78" i="16"/>
  <c r="N78" i="16"/>
  <c r="M80" i="16"/>
  <c r="N80" i="16" s="1"/>
  <c r="M83" i="16"/>
  <c r="N83" i="16" s="1"/>
  <c r="N81" i="16"/>
  <c r="M84" i="16"/>
  <c r="M92" i="16"/>
  <c r="M100" i="16"/>
  <c r="N100" i="16" s="1"/>
  <c r="N9" i="16"/>
  <c r="M12" i="16"/>
  <c r="M20" i="16"/>
  <c r="M28" i="16"/>
  <c r="N33" i="16"/>
  <c r="M36" i="16"/>
  <c r="N41" i="16"/>
  <c r="M44" i="16"/>
  <c r="N44" i="16" s="1"/>
  <c r="N49" i="16"/>
  <c r="M52" i="16"/>
  <c r="M55" i="16"/>
  <c r="N55" i="16" s="1"/>
  <c r="N60" i="16"/>
  <c r="M63" i="16"/>
  <c r="N63" i="16" s="1"/>
  <c r="N68" i="16"/>
  <c r="M71" i="16"/>
  <c r="N71" i="16" s="1"/>
  <c r="N76" i="16"/>
  <c r="M79" i="16"/>
  <c r="N84" i="16"/>
  <c r="M87" i="16"/>
  <c r="N87" i="16" s="1"/>
  <c r="N92" i="16"/>
  <c r="M95" i="16"/>
  <c r="N95" i="16" s="1"/>
  <c r="M7" i="16"/>
  <c r="N7" i="16" s="1"/>
  <c r="N12" i="16"/>
  <c r="M15" i="16"/>
  <c r="N15" i="16" s="1"/>
  <c r="N20" i="16"/>
  <c r="M23" i="16"/>
  <c r="N23" i="16" s="1"/>
  <c r="N28" i="16"/>
  <c r="M31" i="16"/>
  <c r="N31" i="16" s="1"/>
  <c r="N36" i="16"/>
  <c r="M39" i="16"/>
  <c r="N39" i="16" s="1"/>
  <c r="M47" i="16"/>
  <c r="N47" i="16" s="1"/>
  <c r="N52" i="16"/>
  <c r="M58" i="16"/>
  <c r="N58" i="16" s="1"/>
  <c r="M66" i="16"/>
  <c r="N66" i="16" s="1"/>
  <c r="M74" i="16"/>
  <c r="N74" i="16" s="1"/>
  <c r="N79" i="16"/>
  <c r="M82" i="16"/>
  <c r="N82" i="16" s="1"/>
  <c r="M90" i="16"/>
  <c r="N90" i="16" s="1"/>
  <c r="M98" i="16"/>
  <c r="N98" i="16" s="1"/>
  <c r="H14" i="15"/>
  <c r="N5" i="16"/>
  <c r="M10" i="16"/>
  <c r="N10" i="16" s="1"/>
  <c r="M18" i="16"/>
  <c r="N18" i="16" s="1"/>
  <c r="M26" i="16"/>
  <c r="N26" i="16" s="1"/>
  <c r="M34" i="16"/>
  <c r="N34" i="16" s="1"/>
  <c r="M42" i="16"/>
  <c r="N42" i="16" s="1"/>
  <c r="M50" i="16"/>
  <c r="N50" i="16" s="1"/>
  <c r="M61" i="16"/>
  <c r="N61" i="16" s="1"/>
  <c r="M69" i="16"/>
  <c r="N69" i="16" s="1"/>
  <c r="M77" i="16"/>
  <c r="N77" i="16" s="1"/>
  <c r="M85" i="16"/>
  <c r="N85" i="16" s="1"/>
  <c r="N3" i="15"/>
  <c r="P10" i="15"/>
  <c r="P8" i="15"/>
  <c r="P4" i="15"/>
  <c r="J14" i="15"/>
  <c r="M10" i="15"/>
  <c r="T10" i="15" s="1"/>
  <c r="M9" i="15"/>
  <c r="T9" i="15" s="1"/>
  <c r="M8" i="15"/>
  <c r="T8" i="15" s="1"/>
  <c r="M7" i="15"/>
  <c r="T7" i="15" s="1"/>
  <c r="M6" i="15"/>
  <c r="T6" i="15" s="1"/>
  <c r="M5" i="15"/>
  <c r="T5" i="15" s="1"/>
  <c r="M4" i="15"/>
  <c r="T4" i="15" s="1"/>
  <c r="M3" i="15"/>
  <c r="T3" i="15" s="1"/>
  <c r="R3" i="15" s="1"/>
  <c r="J18" i="15"/>
  <c r="P6" i="15"/>
  <c r="J15" i="15"/>
  <c r="P5" i="15"/>
  <c r="J16" i="15"/>
  <c r="J17" i="15"/>
  <c r="P9" i="15"/>
  <c r="P3" i="15"/>
  <c r="G14" i="15"/>
  <c r="O7" i="15"/>
  <c r="P7" i="15"/>
  <c r="N10" i="15"/>
  <c r="O10" i="15"/>
  <c r="N8" i="15"/>
  <c r="O8" i="15"/>
  <c r="N6" i="15"/>
  <c r="O6" i="15"/>
  <c r="N5" i="15"/>
  <c r="O5" i="15"/>
  <c r="N4" i="15"/>
  <c r="O4" i="15"/>
  <c r="N9" i="15"/>
  <c r="O9" i="15"/>
  <c r="O3" i="15"/>
  <c r="N7" i="15"/>
  <c r="H20" i="15"/>
  <c r="H18" i="15"/>
  <c r="G18" i="15"/>
  <c r="P18" i="15" s="1"/>
  <c r="H21" i="15"/>
  <c r="G16" i="15"/>
  <c r="H16" i="15"/>
  <c r="G17" i="15"/>
  <c r="P17" i="15" s="1"/>
  <c r="H15" i="15"/>
  <c r="R24" i="15"/>
  <c r="G15" i="15"/>
  <c r="B70" i="25" l="1"/>
  <c r="T4" i="25"/>
  <c r="C17" i="24"/>
  <c r="AB5" i="17"/>
  <c r="I14" i="15"/>
  <c r="I18" i="15"/>
  <c r="S4" i="15"/>
  <c r="R4" i="15"/>
  <c r="S5" i="15"/>
  <c r="R5" i="15"/>
  <c r="S6" i="15"/>
  <c r="R6" i="15"/>
  <c r="S7" i="15"/>
  <c r="R7" i="15"/>
  <c r="S8" i="15"/>
  <c r="R8" i="15"/>
  <c r="S9" i="15"/>
  <c r="R9" i="15"/>
  <c r="S10" i="15"/>
  <c r="R10" i="15"/>
  <c r="S3" i="15"/>
  <c r="P14" i="15"/>
  <c r="O14" i="15"/>
  <c r="O15" i="15"/>
  <c r="P15" i="15"/>
  <c r="O16" i="15"/>
  <c r="P16" i="15"/>
  <c r="N17" i="15"/>
  <c r="O17" i="15"/>
  <c r="N18" i="15"/>
  <c r="O18" i="15"/>
  <c r="N14" i="15"/>
  <c r="I16" i="15"/>
  <c r="N16" i="15"/>
  <c r="I17" i="15"/>
  <c r="I15" i="15"/>
  <c r="N15" i="15"/>
  <c r="C9" i="23"/>
  <c r="G15" i="23" s="1"/>
  <c r="C15" i="23"/>
  <c r="N4" i="25" l="1"/>
  <c r="R4" i="25"/>
  <c r="B71" i="25"/>
  <c r="C76" i="25"/>
  <c r="B77" i="25" s="1"/>
  <c r="T5" i="25"/>
  <c r="B16" i="23"/>
  <c r="B25" i="23"/>
  <c r="G17" i="23"/>
  <c r="B23" i="23"/>
  <c r="B24" i="23" s="1"/>
  <c r="C22" i="23"/>
  <c r="A28" i="23" s="1"/>
  <c r="S8" i="25" l="1"/>
  <c r="B76" i="25"/>
  <c r="T12" i="25"/>
  <c r="T11" i="25"/>
  <c r="N5" i="25"/>
  <c r="R5" i="25" s="1"/>
  <c r="P5" i="25"/>
  <c r="P4" i="25"/>
  <c r="C16" i="23"/>
  <c r="C17" i="23" s="1"/>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C23" i="23"/>
  <c r="C24" i="23"/>
  <c r="C21" i="23" l="1"/>
  <c r="C25"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tc={BD0F4E45-7E09-49A3-84CE-903ABB4AAD92}</author>
    <author>tc={EEA54037-A374-4C1A-9FBB-6B68D9490626}</author>
    <author>tc={04876955-C8C7-4D40-A6E9-B9A2B08BF656}</author>
    <author>tc={DB932291-39F5-4368-AEE3-89E4DCC4A19F}</author>
    <author>tc={0B42FF12-B6CB-40E1-983F-944F81161433}</author>
    <author>tc={9702D9A2-5B51-42BE-AA5D-56C2B5767B87}</author>
    <author>tc={2955060C-DEC0-45E0-904B-E83513260C9E}</author>
    <author>tc={DFFCAAF9-CE73-4353-9BC1-71BF1BC4C7C7}</author>
    <author>tc={5004B159-267E-4D5A-85A4-8F9843D45FA9}</author>
    <author>tc={C3B628F6-2088-4A6F-921F-906809D815CB}</author>
    <author>tc={8893C320-E72D-4860-BEC0-92AFC69D5BB8}</author>
    <author>tc={2E884AD2-CBEB-4598-9017-2D4B197ADB69}</author>
    <author>tc={64561E26-D364-46DC-8B87-ACE6CC5C79B4}</author>
    <author>tc={E1AB5C8E-226D-4A79-9CC2-40AFDD3E4D4E}</author>
    <author>tc={D8F1C820-AF54-4DE4-ACFE-28D78A01CE6F}</author>
    <author>tc={51989F56-1DF6-4397-B421-7E755F954502}</author>
    <author>tc={93311D8C-E872-4A28-97FC-5C26378F5B24}</author>
    <author>tc={617AD621-9058-4927-8B87-5C7195E6F9CB}</author>
    <author>tc={96A41047-D783-447C-8F4B-498410FED4E8}</author>
  </authors>
  <commentList>
    <comment ref="E31" authorId="0" shapeId="0" xr:uid="{BD0F4E45-7E09-49A3-84CE-903ABB4AAD92}">
      <text>
        <t>[Threaded comment]
Your version of Excel allows you to read this threaded comment; however, any edits to it will get removed if the file is opened in a newer version of Excel. Learn more: https://go.microsoft.com/fwlink/?linkid=870924
Comment:
    The numbers listed are not hard codded but variables - assume other can change</t>
      </text>
    </comment>
    <comment ref="E32" authorId="1" shapeId="0" xr:uid="{EEA54037-A374-4C1A-9FBB-6B68D9490626}">
      <text>
        <t>[Threaded comment]
Your version of Excel allows you to read this threaded comment; however, any edits to it will get removed if the file is opened in a newer version of Excel. Learn more: https://go.microsoft.com/fwlink/?linkid=870924
Comment:
    The numbers listed are not hard codded but variables - assume other can change</t>
      </text>
    </comment>
    <comment ref="E35" authorId="2" shapeId="0" xr:uid="{04876955-C8C7-4D40-A6E9-B9A2B08BF656}">
      <text>
        <t>[Threaded comment]
Your version of Excel allows you to read this threaded comment; however, any edits to it will get removed if the file is opened in a newer version of Excel. Learn more: https://go.microsoft.com/fwlink/?linkid=870924
Comment:
    The Cost is in USD per US Ton and the weights are in LBS - these must be equalized - by dividing by 2000 LBS per US Tons</t>
      </text>
    </comment>
    <comment ref="E52" authorId="3" shapeId="0" xr:uid="{DB932291-39F5-4368-AEE3-89E4DCC4A19F}">
      <text>
        <t>[Threaded comment]
Your version of Excel allows you to read this threaded comment; however, any edits to it will get removed if the file is opened in a newer version of Excel. Learn more: https://go.microsoft.com/fwlink/?linkid=870924
Comment:
    The Cost is in USD per US Ton and the weights are in LBS - these must be equalized - by dividing by 2000 LBS per US Tons</t>
      </text>
    </comment>
    <comment ref="E53" authorId="4" shapeId="0" xr:uid="{0B42FF12-B6CB-40E1-983F-944F81161433}">
      <text>
        <t>[Threaded comment]
Your version of Excel allows you to read this threaded comment; however, any edits to it will get removed if the file is opened in a newer version of Excel. Learn more: https://go.microsoft.com/fwlink/?linkid=870924
Comment:
    The Cost is in USD per US Ton and the weights are in LBS - these must be equalized - by dividing by 2000 LBS per US Tons</t>
      </text>
    </comment>
    <comment ref="E54" authorId="5" shapeId="0" xr:uid="{9702D9A2-5B51-42BE-AA5D-56C2B5767B87}">
      <text>
        <t>[Threaded comment]
Your version of Excel allows you to read this threaded comment; however, any edits to it will get removed if the file is opened in a newer version of Excel. Learn more: https://go.microsoft.com/fwlink/?linkid=870924
Comment:
    The Cost is in USD per US Ton and the weights are in LBS - these must be equalized - by dividing by 2000 LBS per US Tons</t>
      </text>
    </comment>
    <comment ref="E55" authorId="6" shapeId="0" xr:uid="{2955060C-DEC0-45E0-904B-E83513260C9E}">
      <text>
        <t>[Threaded comment]
Your version of Excel allows you to read this threaded comment; however, any edits to it will get removed if the file is opened in a newer version of Excel. Learn more: https://go.microsoft.com/fwlink/?linkid=870924
Comment:
    The Cost is in USD per US Ton and the weights are in LBS - these must be equalized - by dividing by 2000 LBS per US Tons</t>
      </text>
    </comment>
    <comment ref="E56" authorId="7" shapeId="0" xr:uid="{DFFCAAF9-CE73-4353-9BC1-71BF1BC4C7C7}">
      <text>
        <t>[Threaded comment]
Your version of Excel allows you to read this threaded comment; however, any edits to it will get removed if the file is opened in a newer version of Excel. Learn more: https://go.microsoft.com/fwlink/?linkid=870924
Comment:
    The Cost is in USD per US Ton and the weights are in LBS - these must be equalized - by dividing by 2000 LBS per US Tons</t>
      </text>
    </comment>
    <comment ref="E64" authorId="8" shapeId="0" xr:uid="{5004B159-267E-4D5A-85A4-8F9843D45FA9}">
      <text>
        <t>[Threaded comment]
Your version of Excel allows you to read this threaded comment; however, any edits to it will get removed if the file is opened in a newer version of Excel. Learn more: https://go.microsoft.com/fwlink/?linkid=870924
Comment:
    We have a pending change to make it at a delivery level not Batch level BUT ALSO I assume that if the variation between actual and target is below the tolerance then you must be setting it to 0 to make this formula work otherwise the formula is wrong</t>
      </text>
    </comment>
    <comment ref="E65" authorId="9" shapeId="0" xr:uid="{C3B628F6-2088-4A6F-921F-906809D815CB}">
      <text>
        <t>[Threaded comment]
Your version of Excel allows you to read this threaded comment; however, any edits to it will get removed if the file is opened in a newer version of Excel. Learn more: https://go.microsoft.com/fwlink/?linkid=870924
Comment:
    We have a pending change to make it at a delivery level not Batch level BUT ALSO I assume that if the variation between actual and target is below the tolerance then you must be setting it to 0 to make this formula work otherwise the formula is wrong</t>
      </text>
    </comment>
    <comment ref="E66" authorId="10" shapeId="0" xr:uid="{8893C320-E72D-4860-BEC0-92AFC69D5BB8}">
      <text>
        <t>[Threaded comment]
Your version of Excel allows you to read this threaded comment; however, any edits to it will get removed if the file is opened in a newer version of Excel. Learn more: https://go.microsoft.com/fwlink/?linkid=870924
Comment:
    We have a pending change to make it at a delivery level not Batch level BUT ALSO I assume that if the variation between actual and target is below the tolerance then you must be setting it to 0 to make this formula work otherwise the formula is wrong</t>
      </text>
    </comment>
    <comment ref="E67" authorId="11" shapeId="0" xr:uid="{2E884AD2-CBEB-4598-9017-2D4B197ADB69}">
      <text>
        <t>[Threaded comment]
Your version of Excel allows you to read this threaded comment; however, any edits to it will get removed if the file is opened in a newer version of Excel. Learn more: https://go.microsoft.com/fwlink/?linkid=870924
Comment:
    We have a pending change to make it at a delivery level not Batch level BUT ALSO I assume that if the variation between actual and target is below the tolerance then you must be setting it to 0 to make this formula work otherwise the formula is wrong</t>
      </text>
    </comment>
    <comment ref="E68" authorId="12" shapeId="0" xr:uid="{64561E26-D364-46DC-8B87-ACE6CC5C79B4}">
      <text>
        <t>[Threaded comment]
Your version of Excel allows you to read this threaded comment; however, any edits to it will get removed if the file is opened in a newer version of Excel. Learn more: https://go.microsoft.com/fwlink/?linkid=870924
Comment:
    We have a pending change to make it at a delivery level not Batch level BUT ALSO I assume that if the variation between actual and target is below the tolerance then you must be setting it to 0 to make this formula work otherwise the formula is wrong</t>
      </text>
    </comment>
    <comment ref="E102" authorId="13" shapeId="0" xr:uid="{E1AB5C8E-226D-4A79-9CC2-40AFDD3E4D4E}">
      <text>
        <t>[Threaded comment]
Your version of Excel allows you to read this threaded comment; however, any edits to it will get removed if the file is opened in a newer version of Excel. Learn more: https://go.microsoft.com/fwlink/?linkid=870924
Comment:
    The "20" is the planned loading time.  One parameter that is associated with the  Plant is the planned loading time  This should be collected as part of our on boarding.  If that is collected then the 20 value should replace that. if blank then 20.</t>
      </text>
    </comment>
    <comment ref="E111" authorId="14" shapeId="0" xr:uid="{D8F1C820-AF54-4DE4-ACFE-28D78A01CE6F}">
      <text>
        <t>[Threaded comment]
Your version of Excel allows you to read this threaded comment; however, any edits to it will get removed if the file is opened in a newer version of Excel. Learn more: https://go.microsoft.com/fwlink/?linkid=870924
Comment:
    The Truck Cost parameter is entered at an hourly rate therefore this calculation should be divided by 60</t>
      </text>
    </comment>
    <comment ref="E112" authorId="15" shapeId="0" xr:uid="{51989F56-1DF6-4397-B421-7E755F954502}">
      <text>
        <t>[Threaded comment]
Your version of Excel allows you to read this threaded comment; however, any edits to it will get removed if the file is opened in a newer version of Excel. Learn more: https://go.microsoft.com/fwlink/?linkid=870924
Comment:
    The Truck Cost parameter is entered at an hourly rate therefore this calculation should be divided by 60</t>
      </text>
    </comment>
    <comment ref="E113" authorId="16" shapeId="0" xr:uid="{93311D8C-E872-4A28-97FC-5C26378F5B24}">
      <text>
        <t>[Threaded comment]
Your version of Excel allows you to read this threaded comment; however, any edits to it will get removed if the file is opened in a newer version of Excel. Learn more: https://go.microsoft.com/fwlink/?linkid=870924
Comment:
    The Truck Cost parameter is entered at an hourly rate therefore this calculation should be divided by 60</t>
      </text>
    </comment>
    <comment ref="E114" authorId="17" shapeId="0" xr:uid="{617AD621-9058-4927-8B87-5C7195E6F9CB}">
      <text>
        <t>[Threaded comment]
Your version of Excel allows you to read this threaded comment; however, any edits to it will get removed if the file is opened in a newer version of Excel. Learn more: https://go.microsoft.com/fwlink/?linkid=870924
Comment:
    The Truck Cost parameter is entered at an hourly rate therefore this calculation should be divided by 60</t>
      </text>
    </comment>
    <comment ref="D192" authorId="18" shapeId="0" xr:uid="{96A41047-D783-447C-8F4B-498410FED4E8}">
      <text>
        <t xml:space="preserve">[Threaded comment]
Your version of Excel allows you to read this threaded comment; however, any edits to it will get removed if the file is opened in a newer version of Excel. Learn more: https://go.microsoft.com/fwlink/?linkid=870924
Comment:
    Was AVERAGE(Rankings of Volume Delivered, Truck Usage, Busy Hours, Cycle Time, Capacity Utilization, Loading Time, Status Accuracy, Avg. Load Size / Truck Capacity) / MAX(Average of Rankings)  previously but it should be the same as the overall ranking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tc={5227F400-0CB2-40E5-B45B-25A0126EDAA5}</author>
    <author>tc={07A8C846-2308-4293-B4D8-B419E1F4DFED}</author>
  </authors>
  <commentList>
    <comment ref="H11" authorId="0" shapeId="0" xr:uid="{5227F400-0CB2-40E5-B45B-25A0126EDAA5}">
      <text>
        <t>[Threaded comment]
Your version of Excel allows you to read this threaded comment; however, any edits to it will get removed if the file is opened in a newer version of Excel. Learn more: https://go.microsoft.com/fwlink/?linkid=870924
Comment:
    From Trevor: SG should be unitless</t>
      </text>
    </comment>
    <comment ref="E60" authorId="1" shapeId="0" xr:uid="{07A8C846-2308-4293-B4D8-B419E1F4DFED}">
      <text>
        <t>[Threaded comment]
Your version of Excel allows you to read this threaded comment; however, any edits to it will get removed if the file is opened in a newer version of Excel. Learn more: https://go.microsoft.com/fwlink/?linkid=870924
Comment:
    the math of calculating the K factor should not change based on countries, only the targets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tc={1638023C-07FD-409B-8841-B86EB88898A3}</author>
  </authors>
  <commentList>
    <comment ref="L1" authorId="0" shapeId="0" xr:uid="{1638023C-07FD-409B-8841-B86EB88898A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@Trevor Panas you mentionned wanting to review the summary screen on a previous call this week, what fields would you expect to see here?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tc={A1DCF39C-7D06-4E52-BC74-85D93A3E52B4}</author>
    <author>tc={3EEA8CE6-0628-42B6-B034-3A9C6F23473E}</author>
    <author>tc={C1AD6F90-8C9B-443A-AD5C-39E2562D9E31}</author>
  </authors>
  <commentList>
    <comment ref="E6" authorId="0" shapeId="0" xr:uid="{A1DCF39C-7D06-4E52-BC74-85D93A3E52B4}">
      <text>
        <t>[Threaded comment]
Your version of Excel allows you to read this threaded comment; however, any edits to it will get removed if the file is opened in a newer version of Excel. Learn more: https://go.microsoft.com/fwlink/?linkid=870924
Comment:
    consider fixed costs in calculation</t>
      </text>
    </comment>
    <comment ref="B21" authorId="1" shapeId="0" xr:uid="{3EEA8CE6-0628-42B6-B034-3A9C6F23473E}">
      <text>
        <t>[Threaded comment]
Your version of Excel allows you to read this threaded comment; however, any edits to it will get removed if the file is opened in a newer version of Excel. Learn more: https://go.microsoft.com/fwlink/?linkid=870924
Comment:
    tweak to match Daniel's DSI sheet</t>
      </text>
    </comment>
    <comment ref="B22" authorId="2" shapeId="0" xr:uid="{C1AD6F90-8C9B-443A-AD5C-39E2562D9E31}">
      <text>
        <t xml:space="preserve">[Threaded comment]
Your version of Excel allows you to read this threaded comment; however, any edits to it will get removed if the file is opened in a newer version of Excel. Learn more: https://go.microsoft.com/fwlink/?linkid=870924
Comment:
    @Trevor Panas @Nathan Eckel if we get this fixed cost right, then the curve should look ok.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tc={94CC5AC3-20CA-4968-B612-3E7C75BCEEAB}</author>
    <author>tc={0BC864DD-0D33-4038-A2D1-E1021BC68CCE}</author>
    <author>tc={FA77CE6A-6E29-4659-8346-8748B1B5FAA1}</author>
  </authors>
  <commentList>
    <comment ref="E6" authorId="0" shapeId="0" xr:uid="{94CC5AC3-20CA-4968-B612-3E7C75BCEEAB}">
      <text>
        <t>[Threaded comment]
Your version of Excel allows you to read this threaded comment; however, any edits to it will get removed if the file is opened in a newer version of Excel. Learn more: https://go.microsoft.com/fwlink/?linkid=870924
Comment:
    consider fixed costs in calculation</t>
      </text>
    </comment>
    <comment ref="B21" authorId="1" shapeId="0" xr:uid="{0BC864DD-0D33-4038-A2D1-E1021BC68CCE}">
      <text>
        <t>[Threaded comment]
Your version of Excel allows you to read this threaded comment; however, any edits to it will get removed if the file is opened in a newer version of Excel. Learn more: https://go.microsoft.com/fwlink/?linkid=870924
Comment:
    tweak to match Daniel's DSI sheet</t>
      </text>
    </comment>
    <comment ref="B22" authorId="2" shapeId="0" xr:uid="{FA77CE6A-6E29-4659-8346-8748B1B5FAA1}">
      <text>
        <t xml:space="preserve">[Threaded comment]
Your version of Excel allows you to read this threaded comment; however, any edits to it will get removed if the file is opened in a newer version of Excel. Learn more: https://go.microsoft.com/fwlink/?linkid=870924
Comment:
    @Trevor Panas @Nathan Eckel if we get this fixed cost right, then the curve should look ok.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Horn, Ian (Skygate) AUS</author>
  </authors>
  <commentList>
    <comment ref="E4" authorId="0" shapeId="0" xr:uid="{4520462A-E10F-4441-B61C-31E006F11420}">
      <text>
        <r>
          <rPr>
            <b/>
            <sz val="9"/>
            <color rgb="FF000000"/>
            <rFont val="Tahoma"/>
            <family val="2"/>
          </rPr>
          <t>Default to Current DSI +5% (to a max of 100%) but allow user to change it (to a max of 100%)</t>
        </r>
        <r>
          <rPr>
            <sz val="9"/>
            <color rgb="FF000000"/>
            <rFont val="Tahoma"/>
            <family val="2"/>
          </rPr>
          <t xml:space="preserve">
</t>
        </r>
      </text>
    </comment>
    <comment ref="D5" authorId="0" shapeId="0" xr:uid="{775D2535-567A-8541-8942-E69EB4CE30FE}">
      <text>
        <r>
          <rPr>
            <b/>
            <sz val="9"/>
            <color rgb="FF000000"/>
            <rFont val="Tahoma"/>
            <family val="2"/>
          </rPr>
          <t>The Calculation in ACDC is actually the new DSI (cell above) x 12</t>
        </r>
        <r>
          <rPr>
            <sz val="9"/>
            <color rgb="FF000000"/>
            <rFont val="Tahoma"/>
            <family val="2"/>
          </rPr>
          <t xml:space="preserve">
</t>
        </r>
        <r>
          <rPr>
            <b/>
            <sz val="9"/>
            <color rgb="FF000000"/>
            <rFont val="Tahoma"/>
            <family val="2"/>
          </rPr>
          <t xml:space="preserve">
</t>
        </r>
        <r>
          <rPr>
            <b/>
            <sz val="9"/>
            <color rgb="FF000000"/>
            <rFont val="Tahoma"/>
            <family val="2"/>
          </rPr>
          <t>however I seem to get the same answer is I take the current Busy Hours adnd multiply it by 1.01 (=1% increase)</t>
        </r>
      </text>
    </comment>
    <comment ref="B6" authorId="0" shapeId="0" xr:uid="{E8C6900D-D8AC-CA4E-9A38-F91DAC9C3F61}">
      <text>
        <r>
          <rPr>
            <b/>
            <sz val="9"/>
            <color rgb="FF000000"/>
            <rFont val="Tahoma"/>
            <family val="2"/>
          </rPr>
          <t>Default as the Current Value but allow for change</t>
        </r>
        <r>
          <rPr>
            <sz val="9"/>
            <color rgb="FF000000"/>
            <rFont val="Tahoma"/>
            <family val="2"/>
          </rPr>
          <t xml:space="preserve">
</t>
        </r>
      </text>
    </comment>
    <comment ref="D6" authorId="0" shapeId="0" xr:uid="{0D7B447E-0777-0E47-B343-541A0994C639}">
      <text>
        <r>
          <rPr>
            <b/>
            <sz val="9"/>
            <color rgb="FF000000"/>
            <rFont val="Tahoma"/>
            <family val="2"/>
          </rPr>
          <t>This values stays fixed to the current value</t>
        </r>
      </text>
    </comment>
    <comment ref="B7" authorId="0" shapeId="0" xr:uid="{3696796F-1B83-B943-9DC2-1A01EBF5FF3A}">
      <text>
        <r>
          <rPr>
            <b/>
            <sz val="9"/>
            <color rgb="FF000000"/>
            <rFont val="Tahoma"/>
            <family val="2"/>
          </rPr>
          <t>Default as the Current Value but allow for change</t>
        </r>
        <r>
          <rPr>
            <sz val="9"/>
            <color rgb="FF000000"/>
            <rFont val="Tahoma"/>
            <family val="2"/>
          </rPr>
          <t xml:space="preserve">
</t>
        </r>
      </text>
    </comment>
    <comment ref="D7" authorId="0" shapeId="0" xr:uid="{2EC05F1D-AAFD-9A41-9C12-47F1AA1475C2}">
      <text>
        <r>
          <rPr>
            <b/>
            <sz val="9"/>
            <color rgb="FF000000"/>
            <rFont val="Tahoma"/>
            <family val="2"/>
          </rPr>
          <t>This values stays fixed to the current value</t>
        </r>
        <r>
          <rPr>
            <sz val="9"/>
            <color rgb="FF000000"/>
            <rFont val="Tahoma"/>
            <family val="2"/>
          </rPr>
          <t xml:space="preserve">
</t>
        </r>
      </text>
    </comment>
    <comment ref="B8" authorId="0" shapeId="0" xr:uid="{F250598A-5690-A943-88B9-36ED5DEEF14A}">
      <text>
        <r>
          <rPr>
            <b/>
            <sz val="9"/>
            <color rgb="FF000000"/>
            <rFont val="Tahoma"/>
            <family val="2"/>
          </rPr>
          <t>Default as the Current Value but allow for change</t>
        </r>
        <r>
          <rPr>
            <sz val="9"/>
            <color rgb="FF000000"/>
            <rFont val="Tahoma"/>
            <family val="2"/>
          </rPr>
          <t xml:space="preserve">
</t>
        </r>
      </text>
    </comment>
    <comment ref="D8" authorId="0" shapeId="0" xr:uid="{9A205E59-201D-3C45-BB37-B397FF047A7F}">
      <text>
        <r>
          <rPr>
            <b/>
            <sz val="9"/>
            <color rgb="FF000000"/>
            <rFont val="Tahoma"/>
            <family val="2"/>
          </rPr>
          <t>This values stays fixed to the current value</t>
        </r>
        <r>
          <rPr>
            <sz val="9"/>
            <color rgb="FF000000"/>
            <rFont val="Tahoma"/>
            <family val="2"/>
          </rPr>
          <t xml:space="preserve">
</t>
        </r>
      </text>
    </comment>
    <comment ref="B9" authorId="0" shapeId="0" xr:uid="{2F2545D5-6BAC-AF4D-8C96-522A6889850E}">
      <text>
        <r>
          <rPr>
            <b/>
            <sz val="9"/>
            <color rgb="FF000000"/>
            <rFont val="Tahoma"/>
            <family val="2"/>
          </rPr>
          <t>Usage x Busy Hours * 60 * ALS / Average Cycle Time  * No Working Days Paramater</t>
        </r>
        <r>
          <rPr>
            <sz val="9"/>
            <color rgb="FF000000"/>
            <rFont val="Tahoma"/>
            <family val="2"/>
          </rPr>
          <t xml:space="preserve">
</t>
        </r>
      </text>
    </comment>
    <comment ref="B10" authorId="0" shapeId="0" xr:uid="{07D3F9E4-D76E-984D-A438-D0C353EFA2F3}">
      <text>
        <r>
          <rPr>
            <b/>
            <sz val="9"/>
            <color rgb="FF000000"/>
            <rFont val="Tahoma"/>
            <family val="2"/>
          </rPr>
          <t>Truck Cost per hr * 60 * Average Cycle Time /  ALS</t>
        </r>
        <r>
          <rPr>
            <sz val="9"/>
            <color rgb="FF000000"/>
            <rFont val="Tahoma"/>
            <family val="2"/>
          </rPr>
          <t xml:space="preserve">
</t>
        </r>
      </text>
    </comment>
    <comment ref="D10" authorId="0" shapeId="0" xr:uid="{AD8DFD35-E77A-6E4D-9A67-683C8F4465C1}">
      <text>
        <r>
          <rPr>
            <b/>
            <sz val="9"/>
            <color rgb="FF000000"/>
            <rFont val="Tahoma"/>
            <family val="2"/>
          </rPr>
          <t>Truck Cost per hr * 60 * Average Cycle Time /  ALS * Current Busy Hours / New Busy Hours</t>
        </r>
        <r>
          <rPr>
            <sz val="9"/>
            <color rgb="FF000000"/>
            <rFont val="Tahoma"/>
            <family val="2"/>
          </rPr>
          <t xml:space="preserve">
</t>
        </r>
        <r>
          <rPr>
            <sz val="9"/>
            <color rgb="FF000000"/>
            <rFont val="Tahoma"/>
            <family val="2"/>
          </rPr>
          <t xml:space="preserve">
</t>
        </r>
        <r>
          <rPr>
            <sz val="9"/>
            <color rgb="FF000000"/>
            <rFont val="Tahoma"/>
            <family val="2"/>
          </rPr>
          <t>This is to proportion the fixed cost (daily rate) over more hours thereofre reducing costs</t>
        </r>
      </text>
    </comment>
    <comment ref="E10" authorId="0" shapeId="0" xr:uid="{A1F97209-C5D8-0446-98AA-6F89FD8ECB0D}">
      <text>
        <r>
          <rPr>
            <b/>
            <sz val="9"/>
            <color rgb="FF000000"/>
            <rFont val="Tahoma"/>
            <family val="2"/>
          </rPr>
          <t xml:space="preserve">Truck Cost per hr * 60 * Average Cycle Time /  ALS * Current Busy Hours / New Busy Hours
</t>
        </r>
        <r>
          <rPr>
            <b/>
            <sz val="9"/>
            <color rgb="FF000000"/>
            <rFont val="Tahoma"/>
            <family val="2"/>
          </rPr>
          <t xml:space="preserve">
</t>
        </r>
        <r>
          <rPr>
            <b/>
            <sz val="9"/>
            <color rgb="FF000000"/>
            <rFont val="Tahoma"/>
            <family val="2"/>
          </rPr>
          <t>This is to proportion the fixed cost (daily rate) over more hours thereofre reducing costs</t>
        </r>
        <r>
          <rPr>
            <sz val="9"/>
            <color rgb="FF000000"/>
            <rFont val="Tahoma"/>
            <family val="2"/>
          </rPr>
          <t xml:space="preserve">
</t>
        </r>
      </text>
    </comment>
    <comment ref="E37" authorId="0" shapeId="0" xr:uid="{C754967A-85AE-432B-9322-4141FD94BC14}">
      <text>
        <r>
          <rPr>
            <b/>
            <sz val="9"/>
            <color rgb="FF000000"/>
            <rFont val="Tahoma"/>
            <family val="2"/>
          </rPr>
          <t>Default to Current DSI +5% (to a max of 100%) but allow user to change it (to a max of 100%)</t>
        </r>
        <r>
          <rPr>
            <sz val="9"/>
            <color rgb="FF000000"/>
            <rFont val="Tahoma"/>
            <family val="2"/>
          </rPr>
          <t xml:space="preserve">
</t>
        </r>
      </text>
    </comment>
    <comment ref="D38" authorId="0" shapeId="0" xr:uid="{B5A1DC82-41B9-495E-9CA5-8293CA4E1A32}">
      <text>
        <r>
          <rPr>
            <b/>
            <sz val="9"/>
            <color rgb="FF000000"/>
            <rFont val="Tahoma"/>
            <family val="2"/>
          </rPr>
          <t>The Calculation in ACDC is actually the new DSI (cell above) x 12</t>
        </r>
        <r>
          <rPr>
            <sz val="9"/>
            <color rgb="FF000000"/>
            <rFont val="Tahoma"/>
            <family val="2"/>
          </rPr>
          <t xml:space="preserve">
</t>
        </r>
        <r>
          <rPr>
            <b/>
            <sz val="9"/>
            <color rgb="FF000000"/>
            <rFont val="Tahoma"/>
            <family val="2"/>
          </rPr>
          <t xml:space="preserve">
</t>
        </r>
        <r>
          <rPr>
            <b/>
            <sz val="9"/>
            <color rgb="FF000000"/>
            <rFont val="Tahoma"/>
            <family val="2"/>
          </rPr>
          <t>however I seem to get the same answer is I take the current Busy Hours adnd multiply it by 1.01 (=1% increase)</t>
        </r>
      </text>
    </comment>
    <comment ref="B39" authorId="0" shapeId="0" xr:uid="{CD17933E-5650-4A99-A258-5568D0136CD4}">
      <text>
        <r>
          <rPr>
            <b/>
            <sz val="9"/>
            <color rgb="FF000000"/>
            <rFont val="Tahoma"/>
            <family val="2"/>
          </rPr>
          <t>Default as the Current Value but allow for change</t>
        </r>
        <r>
          <rPr>
            <sz val="9"/>
            <color rgb="FF000000"/>
            <rFont val="Tahoma"/>
            <family val="2"/>
          </rPr>
          <t xml:space="preserve">
</t>
        </r>
      </text>
    </comment>
    <comment ref="D39" authorId="0" shapeId="0" xr:uid="{14C67E74-379F-4282-ABEF-A41C44D705A2}">
      <text>
        <r>
          <rPr>
            <b/>
            <sz val="9"/>
            <color rgb="FF000000"/>
            <rFont val="Tahoma"/>
            <family val="2"/>
          </rPr>
          <t>This values stays fixed to the current value</t>
        </r>
      </text>
    </comment>
    <comment ref="B40" authorId="0" shapeId="0" xr:uid="{A3EA5CE5-5E04-4605-9A80-EDC6C9B7B337}">
      <text>
        <r>
          <rPr>
            <b/>
            <sz val="9"/>
            <color rgb="FF000000"/>
            <rFont val="Tahoma"/>
            <family val="2"/>
          </rPr>
          <t>Default as the Current Value but allow for change</t>
        </r>
        <r>
          <rPr>
            <sz val="9"/>
            <color rgb="FF000000"/>
            <rFont val="Tahoma"/>
            <family val="2"/>
          </rPr>
          <t xml:space="preserve">
</t>
        </r>
      </text>
    </comment>
    <comment ref="D40" authorId="0" shapeId="0" xr:uid="{AB818E69-9090-48E6-81AD-09D4DA3DBBFC}">
      <text>
        <r>
          <rPr>
            <b/>
            <sz val="9"/>
            <color rgb="FF000000"/>
            <rFont val="Tahoma"/>
            <family val="2"/>
          </rPr>
          <t>This values stays fixed to the current value</t>
        </r>
        <r>
          <rPr>
            <sz val="9"/>
            <color rgb="FF000000"/>
            <rFont val="Tahoma"/>
            <family val="2"/>
          </rPr>
          <t xml:space="preserve">
</t>
        </r>
      </text>
    </comment>
    <comment ref="B41" authorId="0" shapeId="0" xr:uid="{89763583-C975-484C-9DAF-00E770632296}">
      <text>
        <r>
          <rPr>
            <b/>
            <sz val="9"/>
            <color rgb="FF000000"/>
            <rFont val="Tahoma"/>
            <family val="2"/>
          </rPr>
          <t>Default as the Current Value but allow for change</t>
        </r>
        <r>
          <rPr>
            <sz val="9"/>
            <color rgb="FF000000"/>
            <rFont val="Tahoma"/>
            <family val="2"/>
          </rPr>
          <t xml:space="preserve">
</t>
        </r>
      </text>
    </comment>
    <comment ref="D41" authorId="0" shapeId="0" xr:uid="{8923B61A-4B33-49E1-9269-5035427B0AB3}">
      <text>
        <r>
          <rPr>
            <b/>
            <sz val="9"/>
            <color rgb="FF000000"/>
            <rFont val="Tahoma"/>
            <family val="2"/>
          </rPr>
          <t>This values stays fixed to the current value</t>
        </r>
        <r>
          <rPr>
            <sz val="9"/>
            <color rgb="FF000000"/>
            <rFont val="Tahoma"/>
            <family val="2"/>
          </rPr>
          <t xml:space="preserve">
</t>
        </r>
      </text>
    </comment>
    <comment ref="B42" authorId="0" shapeId="0" xr:uid="{246334F4-70BF-4A6E-AAD3-2BC7036A4142}">
      <text>
        <r>
          <rPr>
            <b/>
            <sz val="9"/>
            <color rgb="FF000000"/>
            <rFont val="Tahoma"/>
            <family val="2"/>
          </rPr>
          <t>Usage x Busy Hours * 60 * ALS / Average Cycle Time  * No Working Days Paramater</t>
        </r>
        <r>
          <rPr>
            <sz val="9"/>
            <color rgb="FF000000"/>
            <rFont val="Tahoma"/>
            <family val="2"/>
          </rPr>
          <t xml:space="preserve">
</t>
        </r>
      </text>
    </comment>
    <comment ref="B43" authorId="0" shapeId="0" xr:uid="{6D1B10DA-5944-46CD-A82F-F5BFBF523369}">
      <text>
        <r>
          <rPr>
            <b/>
            <sz val="9"/>
            <color rgb="FF000000"/>
            <rFont val="Tahoma"/>
            <family val="2"/>
          </rPr>
          <t>Truck Cost per hr * 60 * Average Cycle Time /  ALS</t>
        </r>
        <r>
          <rPr>
            <sz val="9"/>
            <color rgb="FF000000"/>
            <rFont val="Tahoma"/>
            <family val="2"/>
          </rPr>
          <t xml:space="preserve">
</t>
        </r>
      </text>
    </comment>
    <comment ref="D43" authorId="0" shapeId="0" xr:uid="{67FF7F09-5833-4643-AD1A-ACA6457851A4}">
      <text>
        <r>
          <rPr>
            <b/>
            <sz val="9"/>
            <color rgb="FF000000"/>
            <rFont val="Tahoma"/>
            <family val="2"/>
          </rPr>
          <t>Truck Cost per hr * 60 * Average Cycle Time /  ALS * Current Busy Hours / New Busy Hours</t>
        </r>
        <r>
          <rPr>
            <sz val="9"/>
            <color rgb="FF000000"/>
            <rFont val="Tahoma"/>
            <family val="2"/>
          </rPr>
          <t xml:space="preserve">
</t>
        </r>
        <r>
          <rPr>
            <sz val="9"/>
            <color rgb="FF000000"/>
            <rFont val="Tahoma"/>
            <family val="2"/>
          </rPr>
          <t xml:space="preserve">
</t>
        </r>
        <r>
          <rPr>
            <sz val="9"/>
            <color rgb="FF000000"/>
            <rFont val="Tahoma"/>
            <family val="2"/>
          </rPr>
          <t>This is to proportion the fixed cost (daily rate) over more hours thereofre reducing costs</t>
        </r>
      </text>
    </comment>
    <comment ref="E43" authorId="0" shapeId="0" xr:uid="{531CE3DA-EE9E-4CA6-AED5-6F927CA0ABB7}">
      <text>
        <r>
          <rPr>
            <b/>
            <sz val="9"/>
            <color rgb="FF000000"/>
            <rFont val="Tahoma"/>
            <family val="2"/>
          </rPr>
          <t xml:space="preserve">Truck Cost per hr * 60 * Average Cycle Time /  ALS * Current Busy Hours / New Busy Hours
</t>
        </r>
        <r>
          <rPr>
            <b/>
            <sz val="9"/>
            <color rgb="FF000000"/>
            <rFont val="Tahoma"/>
            <family val="2"/>
          </rPr>
          <t xml:space="preserve">
</t>
        </r>
        <r>
          <rPr>
            <b/>
            <sz val="9"/>
            <color rgb="FF000000"/>
            <rFont val="Tahoma"/>
            <family val="2"/>
          </rPr>
          <t>This is to proportion the fixed cost (daily rate) over more hours thereofre reducing costs</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<sst xmlns="http://schemas.openxmlformats.org/spreadsheetml/2006/main" count="5906" uniqueCount="1688">
  <si>
    <t>Volt</t>
  </si>
  <si>
    <t>volt.DM1</t>
  </si>
  <si>
    <t>MODEL NAME</t>
  </si>
  <si>
    <t>SUBMODEL NAME</t>
  </si>
  <si>
    <t>TABLE BUSINESS NAME</t>
  </si>
  <si>
    <t>TABLE TECHNICAL NAME</t>
  </si>
  <si>
    <t>COLUMN BUSINESS NAME</t>
  </si>
  <si>
    <t>COLUMN BUSINESS DEFINITION</t>
  </si>
  <si>
    <t>COLUMN TECHNICAL NAME</t>
  </si>
  <si>
    <t>COLUMN DATA TYPE</t>
  </si>
  <si>
    <t>TOTAL COLUMN LENGTH</t>
  </si>
  <si>
    <t># OF PLACES TO RIGHT OF DECIMAL</t>
  </si>
  <si>
    <t>VALID VALUES</t>
  </si>
  <si>
    <t>MANDATORY/ OPTIONAL         (Is Value Required)</t>
  </si>
  <si>
    <t>N=NULL NN=Not Null ND=Not Null W/Default</t>
  </si>
  <si>
    <t>Primary Key (PK)           Foreign Key (FK)</t>
  </si>
  <si>
    <t>COLUMN IS AUTO-INCREMENTED (Identity)</t>
  </si>
  <si>
    <t>Comments or Source Positions</t>
  </si>
  <si>
    <t>volt_synapse</t>
  </si>
  <si>
    <t>Main Model</t>
  </si>
  <si>
    <t>Batch Step Materials</t>
  </si>
  <si>
    <t>BatchStepMaterials</t>
  </si>
  <si>
    <t>Business Entity Identifier</t>
  </si>
  <si>
    <t>The Unique identifier that represents Volt's Customer Account to which all associated data belongs</t>
  </si>
  <si>
    <t>BusinessId</t>
  </si>
  <si>
    <t>uniqueidentifier</t>
  </si>
  <si>
    <t>MANDATORY</t>
  </si>
  <si>
    <t>NN</t>
  </si>
  <si>
    <t>(FK)</t>
  </si>
  <si>
    <t>NO</t>
  </si>
  <si>
    <t>Raw Material Identifier</t>
  </si>
  <si>
    <t>RawMaterialId</t>
  </si>
  <si>
    <t>(PK)(FK)</t>
  </si>
  <si>
    <t>Target Wet to Batch</t>
  </si>
  <si>
    <t>TargetWetBatch</t>
  </si>
  <si>
    <t>numeric</t>
  </si>
  <si>
    <t>Actual Dry Weight</t>
  </si>
  <si>
    <t>ActualDryWeight</t>
  </si>
  <si>
    <t>Batch Step Identifier</t>
  </si>
  <si>
    <t>BatchStepId</t>
  </si>
  <si>
    <t>Create Timestamp</t>
  </si>
  <si>
    <t>CreateTimestamp</t>
  </si>
  <si>
    <t>datetime2</t>
  </si>
  <si>
    <t>Update Timestamp</t>
  </si>
  <si>
    <t>UpdateTimestamp</t>
  </si>
  <si>
    <t>OPTIONAL</t>
  </si>
  <si>
    <t>N</t>
  </si>
  <si>
    <t>Batch Material Variation Percentage</t>
  </si>
  <si>
    <t>BatchMaterialDifferencePercentage</t>
  </si>
  <si>
    <t>Target Dry Weight</t>
  </si>
  <si>
    <t xml:space="preserve">The target formula sent to batch computer our target.  </t>
  </si>
  <si>
    <t>TargetDryWeight</t>
  </si>
  <si>
    <t>Target Wet Weight Adjusted</t>
  </si>
  <si>
    <t>TargetWetWeightAdjusted</t>
  </si>
  <si>
    <t>Batch Material Variation</t>
  </si>
  <si>
    <t>BatchMaterialDifference</t>
  </si>
  <si>
    <t>Batch Step</t>
  </si>
  <si>
    <t>BatchSteps</t>
  </si>
  <si>
    <t>Plant Identifer</t>
  </si>
  <si>
    <t>The Unique identifier that represents a single concrete plant within the Volt system</t>
  </si>
  <si>
    <t>PlantId</t>
  </si>
  <si>
    <t>Delivery Identifier</t>
  </si>
  <si>
    <t xml:space="preserve">The Unique identifier that represents a single delivery / delivery item combination, therefore a single delivery for one Business Entity with multiple delivery items will have multiple delivery identifiers associated with that single delivery </t>
  </si>
  <si>
    <t>DeliveryId</t>
  </si>
  <si>
    <t>Product Identifier</t>
  </si>
  <si>
    <t>ProductId</t>
  </si>
  <si>
    <t>(PK)</t>
  </si>
  <si>
    <t>Start Batch</t>
  </si>
  <si>
    <t>StartBatchTimestamp</t>
  </si>
  <si>
    <t>datetime</t>
  </si>
  <si>
    <t>End Batch</t>
  </si>
  <si>
    <t>EndBatchTimestamp</t>
  </si>
  <si>
    <t>Sequence Number</t>
  </si>
  <si>
    <t>SequenceNumber</t>
  </si>
  <si>
    <t>int</t>
  </si>
  <si>
    <t>Batch Identifier</t>
  </si>
  <si>
    <t>The logical group of batch steps to produce a batch or load. One batch is loaded on a specific delivery,</t>
  </si>
  <si>
    <t>BatchId</t>
  </si>
  <si>
    <t>Solids Content</t>
  </si>
  <si>
    <t>SolidsContent</t>
  </si>
  <si>
    <t>decimal</t>
  </si>
  <si>
    <t>Business Entity</t>
  </si>
  <si>
    <t>Businesses</t>
  </si>
  <si>
    <t>Business Entity Name</t>
  </si>
  <si>
    <t>BusinessName</t>
  </si>
  <si>
    <t>nvarchar</t>
  </si>
  <si>
    <t>Customer (Sold To)</t>
  </si>
  <si>
    <t>Customers</t>
  </si>
  <si>
    <t>Customer Identifer</t>
  </si>
  <si>
    <t>CustomerId</t>
  </si>
  <si>
    <t>Customer Name</t>
  </si>
  <si>
    <t>CustomerName</t>
  </si>
  <si>
    <t>Customer Latitude</t>
  </si>
  <si>
    <t>CustomerLatitude</t>
  </si>
  <si>
    <t>Customer Longitude</t>
  </si>
  <si>
    <t>CustomerLongitude</t>
  </si>
  <si>
    <t>Delivery</t>
  </si>
  <si>
    <t>Deliveries</t>
  </si>
  <si>
    <t>Truck Identifier</t>
  </si>
  <si>
    <t>The Unique identifier that represents a single concrete truck within the Volt system</t>
  </si>
  <si>
    <t>TruckId</t>
  </si>
  <si>
    <t>Delivery Type</t>
  </si>
  <si>
    <t>DeliveryType</t>
  </si>
  <si>
    <t>Delivery Number</t>
  </si>
  <si>
    <t>This is the number that comes from the Business Entity's system that they will recognize as the delivery number.   Other terms for this is the "Ticket Number" or "Delivery Docket Number"</t>
  </si>
  <si>
    <t>DeliveryNumber</t>
  </si>
  <si>
    <t>Delivery Quantity Unit of Measure</t>
  </si>
  <si>
    <t>DeliveryQuantityUnit</t>
  </si>
  <si>
    <t>Delivery Item Number</t>
  </si>
  <si>
    <t>DeliveryItemNumber</t>
  </si>
  <si>
    <t>Onsite Time (In Minutes)</t>
  </si>
  <si>
    <t xml:space="preserve">This is the calculated difference in minutes between the "Truck Leave Site Time" and the "Truck Arrive Site Time" </t>
  </si>
  <si>
    <t>OnSiteMinutes</t>
  </si>
  <si>
    <t>Wait to Unload Time (In Minutes)</t>
  </si>
  <si>
    <t xml:space="preserve">This is the calculated difference in minutes between the "Truck Start Unload Time" and the "Truck Arrive Site Time" </t>
  </si>
  <si>
    <t>WaitToUnloadMinutes</t>
  </si>
  <si>
    <t>Unload Time (In Minutes)</t>
  </si>
  <si>
    <t xml:space="preserve">This is the calculated difference in minutes between the "Truck Finish Unload Time" and the "Truck Start Unload Time" </t>
  </si>
  <si>
    <t>UnloadMinutes</t>
  </si>
  <si>
    <t>Delivery Cycle Time (In Minutes)</t>
  </si>
  <si>
    <t>DeliveryCycleMinutes</t>
  </si>
  <si>
    <t>Travel Time (In Actual Minutes)</t>
  </si>
  <si>
    <t xml:space="preserve">This is the calculated difference in minutes between the "Truck Arrive Site Time" and the "Truck Leave Plant Time" </t>
  </si>
  <si>
    <t>TravelMinutes</t>
  </si>
  <si>
    <t>Planned Onsite Time (In Minutes)</t>
  </si>
  <si>
    <t>PlannedOnSiteMinutes</t>
  </si>
  <si>
    <t>Delivery Gap Overlap (In Minutes)</t>
  </si>
  <si>
    <t>DeliveryGapOverlapMinutes</t>
  </si>
  <si>
    <t>Delivery On-time</t>
  </si>
  <si>
    <t>DeliveryOnTimeFlag</t>
  </si>
  <si>
    <t>bit</t>
  </si>
  <si>
    <t>Delivery Peak Time</t>
  </si>
  <si>
    <t>DeliveryPeakFlag</t>
  </si>
  <si>
    <t>Sales Order Item Net Unit Price</t>
  </si>
  <si>
    <t>SalesOrderItemNetUnitPrice</t>
  </si>
  <si>
    <t>Order Quantity</t>
  </si>
  <si>
    <t>OrderQuantity</t>
  </si>
  <si>
    <t>Truck Assigned Time</t>
  </si>
  <si>
    <t>This is the actual Date/ Time the the person managing the deliveries from a concrete plant decides to link a particular delivery with a specific concrete truck to arrive at the customer's job site by a desired time.  Doing this in the delivery system essentially starting the delivery process.    In most delivery systems this is the delivery system timestamp for creating the delivery from a sales order.</t>
  </si>
  <si>
    <t>TruckAssignedTimestamp</t>
  </si>
  <si>
    <t>Truck At Plant Time</t>
  </si>
  <si>
    <t xml:space="preserve">This can be one of two values.   If this is the very first delivery of the day for this concrete truck, then this is the actual Date and Time that concrete truck was ready for its first delivery and is typically defined as the "Log on Time" of the truck .  The alternate date / time is the actual Date and Time that a concrete truck arrived at the Concrete plant after completing a previous delivery.     Therefore, as an example the "Truck At Plant After Time" for Deliver 1 will equal the "Truck at Plant Time" of Delivery 2.   Both these  date /times will be stored in the delivery system but ultimately was derived from some telematics system, by manual push button response or hand written on a delivery ticket and then subsequently entered into a system.   </t>
  </si>
  <si>
    <t>TruckPlantBeforeTimestamp</t>
  </si>
  <si>
    <t>Truck Start Load Time</t>
  </si>
  <si>
    <t>The actual Date and Time that truck started loading of concrete into the back of the concrete truck.   This date /time will be stored in the delivery system  but ultimatley was derived from a batching system, or some telematics system, by manual push button response or hand written on a delivery ticket and then subsequently entered into a system</t>
  </si>
  <si>
    <t>TruckStartLoadTimestamp</t>
  </si>
  <si>
    <t>Truck Finish Load Time</t>
  </si>
  <si>
    <t>The actual Date and Time that concrete truck moved from beneath the loading area of the plant.   This date /time will be stored in the delivery system  but ultimatley was derived  from a batching system, or some telematics system, by manual push button response or hand written on a delivery ticket and then subsequently entered into a system</t>
  </si>
  <si>
    <t>TruckFinishLoadTimestamp</t>
  </si>
  <si>
    <t>Truck Leave Plant Time</t>
  </si>
  <si>
    <t>The actual Date and Time that the loaded concrete truck drives through the gate of the concrete  plant heading for the customer's jobsite.   This date /time will be stored in the delivery system  but ultimately was derived  from some telematics system, by manual push button response or hand written on a delivery ticket and then subsequently entered into a system</t>
  </si>
  <si>
    <t>TruckLeavePlantTimestamp</t>
  </si>
  <si>
    <t>Truck Arrived Site Time</t>
  </si>
  <si>
    <t>TruckArriveSiteTimestamp</t>
  </si>
  <si>
    <t>Truck Start Unload Time</t>
  </si>
  <si>
    <t>TruckStartUnloadTimestamp</t>
  </si>
  <si>
    <t>Truck Finish Unload Time</t>
  </si>
  <si>
    <t>TruckFinishUnloadTimestamp</t>
  </si>
  <si>
    <t>Truck Leave Site Time</t>
  </si>
  <si>
    <t>TruckLeaveSiteTimestamp</t>
  </si>
  <si>
    <t>Truck Assigned Gap (In Minutes)</t>
  </si>
  <si>
    <t xml:space="preserve">This is the calculated  difference in minutes between the "Truck Start Load Time" and the "Truck Assigned Time" </t>
  </si>
  <si>
    <t>TruckAssignGap</t>
  </si>
  <si>
    <t>Truck At Plant After Time</t>
  </si>
  <si>
    <t>The actual Date and Time that a concrete truck arrive back at a concrete plant after making a delivery to a jobsite.   This date /time will be stored in the delivery system  but ultimatley was derived  from some telematics system, by manual push button response or hand written on a delivery ticket and then subsequently entered into a system</t>
  </si>
  <si>
    <t>TruckPlantAfterTimestamp</t>
  </si>
  <si>
    <t>Truck Slump (In Minutes)</t>
  </si>
  <si>
    <t xml:space="preserve">This is the calculated  difference in minutes between the "Truck Leave Plant Time" and the "Truck Finish Load Time" </t>
  </si>
  <si>
    <t>TruckSlumpMinutes</t>
  </si>
  <si>
    <t>Distance (For haulier payment)</t>
  </si>
  <si>
    <t>This typically is the shortest road distance between the concrete plant and the customer's jobsite.    This distance is not used in any optimization of travel by trucks between concrete plant and customer's jobsite but used as a standard for paying trucks for their work solely if their contract has some distance multiplier or component</t>
  </si>
  <si>
    <t>DistancePay</t>
  </si>
  <si>
    <t>sign</t>
  </si>
  <si>
    <t>Distance (Plant to site)</t>
  </si>
  <si>
    <t>As trucks are expected to travel to the jobsite via the fastest route, this is the expected / planned distance any truck will travel between the concrete plant and the customer's jobsite, going via the fastest route.   This is also know as the  "Distance-Fastest Time"</t>
  </si>
  <si>
    <t>SiteDistance</t>
  </si>
  <si>
    <t>Distance Unit of Measure</t>
  </si>
  <si>
    <t>SiteDistanceUnit</t>
  </si>
  <si>
    <t>Ship to Latitude</t>
  </si>
  <si>
    <t>ShipmentLatitude</t>
  </si>
  <si>
    <t>Ship to Longitude</t>
  </si>
  <si>
    <t>ShipmentLongitude</t>
  </si>
  <si>
    <t>Time Required Assign Date</t>
  </si>
  <si>
    <t>This term is used with SyncroTess and is the planned date / time for assigning the delivery to a truck to get the delivery to the customer on time.   So if it takes 15 minutes to load the truck and 30 minutes to travel to the customers site and the customer wants the delivery at 10:00am on 6-January then the planned Assign Date/Time would be 6-January 9:15am.   If you do not have any system that plans assignment time as defined here then please leave it blank</t>
  </si>
  <si>
    <t>RequestAssignTimestamp</t>
  </si>
  <si>
    <t>Sales Order Number</t>
  </si>
  <si>
    <t>SalesOrderNumber</t>
  </si>
  <si>
    <t>Sales Order Item Number</t>
  </si>
  <si>
    <t>SalesOrderItemNumber</t>
  </si>
  <si>
    <t>Travel Time (In Minutes Theoretical)</t>
  </si>
  <si>
    <t>The fastest estimated time that is expected for any concrete truck to travel from leaving the concrete plant to arriving at the customer's jobsite.  As time is the default unit of cost, this time is independent of distance. This time typically is set at the time the customer places the sales order with the business entity and does not consider of time of day, road conditions or toll roads. This time can be estimated be either determined using an in-house routing engine, external systems such as google maps or by general experience of the order taker / dispatcher</t>
  </si>
  <si>
    <t>TheoreticalTravelMinutes</t>
  </si>
  <si>
    <t>Load Time (In Minutes)</t>
  </si>
  <si>
    <t xml:space="preserve">This is the calculated  difference in minutes between the "Truck Finish Load Time" and the "Truck Start Load Time" </t>
  </si>
  <si>
    <t>LoadMinutes</t>
  </si>
  <si>
    <t>Washout Time (In Minutes)</t>
  </si>
  <si>
    <t xml:space="preserve">This is the calculated  difference in minutes between the "Truck Leave Sitet Time" and the "Truck Finish Unload Time" </t>
  </si>
  <si>
    <t>WashoutMinutes</t>
  </si>
  <si>
    <t>Ticket Date Time</t>
  </si>
  <si>
    <t>The date / time the ticket was sent.</t>
  </si>
  <si>
    <t>TicketTimestamp</t>
  </si>
  <si>
    <t>Delivery Status</t>
  </si>
  <si>
    <t>A code that has been harmonized from the business entity's delivery system to a standard code that represents the actual status of this delivery.  The majority of cases this value would  represent a normal delivery.  Some deliveries can be cancelled, diverted to another customer, diverted to waste or returned.  This status code represents how each report will process this delivery.</t>
  </si>
  <si>
    <t>DeliveryStatus</t>
  </si>
  <si>
    <t>Date</t>
  </si>
  <si>
    <t>This is the date that the loaded truck has left the concrete plant on the way to the customer's Site.  In more specific business terms , this is when the concrete has been issued out of stock in the concrete plant (Goods Issued)</t>
  </si>
  <si>
    <t>DeliveryDate</t>
  </si>
  <si>
    <t>date</t>
  </si>
  <si>
    <t>Ship to UTC Offset</t>
  </si>
  <si>
    <t>UTC offset in the format of -05:00 for New York on standard time. This works in coordination with the daylight savings time flag to properly display the local time of the delivery. All actual dates are stored in UTC. https://en.wikipedia.org/wiki/List_of_UTC_offsets</t>
  </si>
  <si>
    <t>ShipmentUtcOffset</t>
  </si>
  <si>
    <t>char</t>
  </si>
  <si>
    <t>Ship Daylight Savings Time</t>
  </si>
  <si>
    <t>A flag to represent whether the local time zone recognizes daylight savings time to properly display the local time for the delivery. All times are stored in UTC.</t>
  </si>
  <si>
    <t>ShipmentDaylightSavingsTimeFlag</t>
  </si>
  <si>
    <t>Truck In Plant Time (In Minutes)</t>
  </si>
  <si>
    <t xml:space="preserve">This is the calculated  difference in minutes between the "Truck Leave Plant Time" and the "Truck Assigned Time" </t>
  </si>
  <si>
    <t>TruckPlantMinutes</t>
  </si>
  <si>
    <t>Delivery Quantity</t>
  </si>
  <si>
    <t>DeliveryQuantity</t>
  </si>
  <si>
    <t>Arrive Site Is Accurate</t>
  </si>
  <si>
    <t>A True result in this field identifies that the Arrive Jobsite Status coming from the truck for a single delivery is considered to be acceptable based on a number of checks performed on the Arrive Jobsite Status and the associated statuses prior to and after this status.   A False in this determination indicates that something is inconsistent with this status compared to typically acceptable business processes and logical delivery flow</t>
  </si>
  <si>
    <t>ArriveSiteIsAccurate</t>
  </si>
  <si>
    <t>Leave Plant Is Accurate</t>
  </si>
  <si>
    <t>A True result in this field identifies that the Leave Plant Status coming from the truck for a single delivery is considered to be acceptable based on a number of checks performed on the Leave Plant Status and the associated statuses prior to and after this status.   A False in this determination indicates that something is inconsistent with this status compared to typically acceptable business processes and logical delivery flow</t>
  </si>
  <si>
    <t>LeavePlantIsAccurate</t>
  </si>
  <si>
    <t>Leave Site Is Accurate</t>
  </si>
  <si>
    <t>A True result in this field identifies that the Leave Jobsite Status coming from the truck for a single delivery is considered to be acceptable based on a number of checks performed on the Leave Jobsite Status and the associated statuses prior to this status.   A False in this determination indicates that something is inconsistent with this status compared to typically acceptable business processes and logical delivery flow</t>
  </si>
  <si>
    <t>LeaveSiteIsAccurate</t>
  </si>
  <si>
    <t>Start Load Is Accurate</t>
  </si>
  <si>
    <t>A True result in this field identifies that the Start Loading Status coming from the truck for a single delivery is considered to be acceptable based on a number of checks performed on the Start Loading Status and the associated statuses after this status.    A False in this determination indicates that something is inconsistent with this status compared to typically acceptable business processes and logical delivery flow</t>
  </si>
  <si>
    <t>StartLoadIsAccurate</t>
  </si>
  <si>
    <t>Start Unload Is Accurate</t>
  </si>
  <si>
    <t>A True result in this field identifies that the Start Unload Status coming from the truck for a single delivery is considered to be acceptable based on a number of checks performed on the Start Unload Status and the associated statuses prior to and after this status.    A False in this determination indicates that something is inconsistent with this status compared to typically acceptable business processes and logical delivery flow</t>
  </si>
  <si>
    <t>StartUnloadIsAccurate</t>
  </si>
  <si>
    <t>Plant Grouping</t>
  </si>
  <si>
    <t>PlantGroups</t>
  </si>
  <si>
    <t>Plant Grouping Identifier</t>
  </si>
  <si>
    <t>PlantGroupId</t>
  </si>
  <si>
    <t>Plant Grouping Name</t>
  </si>
  <si>
    <t>PlantGroupName</t>
  </si>
  <si>
    <t>Plant</t>
  </si>
  <si>
    <t>Plants</t>
  </si>
  <si>
    <t>Plant Name</t>
  </si>
  <si>
    <t>PlantName</t>
  </si>
  <si>
    <t>Plant Code</t>
  </si>
  <si>
    <t>PlantCode</t>
  </si>
  <si>
    <t>Plant Latitude</t>
  </si>
  <si>
    <t>PlantLatitude</t>
  </si>
  <si>
    <t>Plant Longitude</t>
  </si>
  <si>
    <t>PlantLongitude</t>
  </si>
  <si>
    <t>Plant Address</t>
  </si>
  <si>
    <t>PlantAddress</t>
  </si>
  <si>
    <t>Supplying Plant</t>
  </si>
  <si>
    <t>SupPlant</t>
  </si>
  <si>
    <t>Plant UTC Offset</t>
  </si>
  <si>
    <t>UTC offset in the format of -05:00  for New York on standard time. This works in coordination with the daylight savings time flag to properly display the local time of the plant. All actual dates are stored in UTC. https://en.wikipedia.org/wiki/List_of_UTC_offsets</t>
  </si>
  <si>
    <t>PlantUTCOffset</t>
  </si>
  <si>
    <t>Plant Daylight Savings Time</t>
  </si>
  <si>
    <t>PlantDaylightSavingsTimeFlag</t>
  </si>
  <si>
    <t>Plant Type</t>
  </si>
  <si>
    <t>PlantType</t>
  </si>
  <si>
    <t>Slump Method</t>
  </si>
  <si>
    <t>SlumpMethod</t>
  </si>
  <si>
    <t>Capacity Loads Per Hour</t>
  </si>
  <si>
    <t>CapLoadHour</t>
  </si>
  <si>
    <t>Loading Time Minutes</t>
  </si>
  <si>
    <t>LoadTimeMinutes</t>
  </si>
  <si>
    <t>Plant Legacy Id</t>
  </si>
  <si>
    <t>PlantLegacyId</t>
  </si>
  <si>
    <t>Product (Mix Design)</t>
  </si>
  <si>
    <t>Products</t>
  </si>
  <si>
    <t>Product Code</t>
  </si>
  <si>
    <t>ProductCode</t>
  </si>
  <si>
    <t>Product Name</t>
  </si>
  <si>
    <t>ProductName</t>
  </si>
  <si>
    <t>Product Summary</t>
  </si>
  <si>
    <t>ProductSummaries</t>
  </si>
  <si>
    <t>Product Yield Volume</t>
  </si>
  <si>
    <t>ProductYieldVolume</t>
  </si>
  <si>
    <t>Product Air Volume</t>
  </si>
  <si>
    <t>ProductAirVolume</t>
  </si>
  <si>
    <t>Product Material Volume</t>
  </si>
  <si>
    <t>ProductMaterialVolume</t>
  </si>
  <si>
    <t>Product Air Percent</t>
  </si>
  <si>
    <t>ProductAirPercent</t>
  </si>
  <si>
    <t>Product Yield Variation</t>
  </si>
  <si>
    <t>Actual Volume - Target Volume</t>
  </si>
  <si>
    <t>ProductYieldDifference</t>
  </si>
  <si>
    <t>Raw Material</t>
  </si>
  <si>
    <t>RawMaterials</t>
  </si>
  <si>
    <t>Raw Material Type</t>
  </si>
  <si>
    <t>RawMaterialType</t>
  </si>
  <si>
    <t>Raw Material Name</t>
  </si>
  <si>
    <t>RawMaterialName</t>
  </si>
  <si>
    <t>Raw Material Code</t>
  </si>
  <si>
    <t>RawMaterialCode</t>
  </si>
  <si>
    <t>Vendor Source</t>
  </si>
  <si>
    <t>VendorSource</t>
  </si>
  <si>
    <t>Recipe</t>
  </si>
  <si>
    <t>Recipes</t>
  </si>
  <si>
    <t>Material Quantity</t>
  </si>
  <si>
    <t>MaterialQuantity</t>
  </si>
  <si>
    <t>Material Unit of Measure</t>
  </si>
  <si>
    <t>MaterialQuantityUnit</t>
  </si>
  <si>
    <t>Specific Gravity</t>
  </si>
  <si>
    <t>SpecificGravity</t>
  </si>
  <si>
    <t>Material Volume</t>
  </si>
  <si>
    <t>MaterialVolume</t>
  </si>
  <si>
    <t>Truck</t>
  </si>
  <si>
    <t>Trucks</t>
  </si>
  <si>
    <t>Truck Name</t>
  </si>
  <si>
    <t>TruckName</t>
  </si>
  <si>
    <t>Truck Code</t>
  </si>
  <si>
    <t>TruckCode</t>
  </si>
  <si>
    <t>Truck Ownership Type</t>
  </si>
  <si>
    <t>Defines whether the truck is company owned or is owned by someone else like a contractor or a leasing company.</t>
  </si>
  <si>
    <t>TruckOwnerType</t>
  </si>
  <si>
    <t>Truck Type</t>
  </si>
  <si>
    <t>TruckType</t>
  </si>
  <si>
    <t>Truck Capacity (Estimated)</t>
  </si>
  <si>
    <t>TruckCapacity</t>
  </si>
  <si>
    <t>Truck Registration Number</t>
  </si>
  <si>
    <t>TruckRegistrationNumber</t>
  </si>
  <si>
    <t>Home Plant Identifier</t>
  </si>
  <si>
    <t>HomePlantId</t>
  </si>
  <si>
    <t>Truck Tare Weight</t>
  </si>
  <si>
    <t>TruckTareWeight</t>
  </si>
  <si>
    <t>l</t>
  </si>
  <si>
    <t>Dashboard</t>
  </si>
  <si>
    <t>Widget</t>
  </si>
  <si>
    <t>Field</t>
  </si>
  <si>
    <t xml:space="preserve">Calculation - Product/Business </t>
  </si>
  <si>
    <t>Calculation - Ian comment</t>
  </si>
  <si>
    <t>Column1</t>
  </si>
  <si>
    <t>Column2</t>
  </si>
  <si>
    <t>Design Yield</t>
  </si>
  <si>
    <t>Yield Variation Cost Over-Designed</t>
  </si>
  <si>
    <t>Yield Variation Cost</t>
  </si>
  <si>
    <t>Production Volume *  Yield Variation * Cost Base (Selling price)</t>
  </si>
  <si>
    <t>Yes</t>
  </si>
  <si>
    <t xml:space="preserve">Old logic: Number of Deliveries * Yield Variation * Cost Base for all Mix Designs  where Yield Variation is greater than 0          </t>
  </si>
  <si>
    <t>Number of Mixes</t>
  </si>
  <si>
    <t>Count of Mix Design where Yield Variation is greater than 0</t>
  </si>
  <si>
    <t>Production Volume</t>
  </si>
  <si>
    <t>Sum of [deliveryquantity] for all Mix Design where Yield Variation is less than 0</t>
  </si>
  <si>
    <t xml:space="preserve">Old logic: Sum of Production Volume for all Mix Design where Yield Variation is greater than 0              </t>
  </si>
  <si>
    <t>Yield Variation Cost Under-Designed</t>
  </si>
  <si>
    <t>Old logic: Number of Deliveries * Yield Variation * Cost Base for all Mix Designs  where Yield Variation is less than 0</t>
  </si>
  <si>
    <t>Count of Mix Design where Yield Variation is less than 0</t>
  </si>
  <si>
    <t>Highest Over Yield Mix</t>
  </si>
  <si>
    <t>Mix Name</t>
  </si>
  <si>
    <t>prod.prod_nm</t>
  </si>
  <si>
    <t xml:space="preserve">Old logic: Highest in set(Number of Deliveries * Yield Variation * Cost Base)          </t>
  </si>
  <si>
    <t>Bottom 5 Yield Variations</t>
  </si>
  <si>
    <t>Mix Design Name</t>
  </si>
  <si>
    <t>plant.plant_nm</t>
  </si>
  <si>
    <t xml:space="preserve">Old logic: Lowest 5 in set(Number of Deliveries * Yield Variation * Cost Base)          </t>
  </si>
  <si>
    <t>Top 5 Yield Variations</t>
  </si>
  <si>
    <t xml:space="preserve">Old logic: Highest 5 in set(Number of Deliveries * Yield Variation * Cost Base)          </t>
  </si>
  <si>
    <t>Design Yield Variations to Target</t>
  </si>
  <si>
    <t>sum(delivery quantity)</t>
  </si>
  <si>
    <t>Yield Volume</t>
  </si>
  <si>
    <t>prod.prod_yield_vol</t>
  </si>
  <si>
    <t>Air</t>
  </si>
  <si>
    <t>prod_sum.prod_air_pct</t>
  </si>
  <si>
    <t>Yield Variation</t>
  </si>
  <si>
    <t>If Imperial: 27ft*YieldVariationPercent
If Metric: 1000L * Yield Variation Percent</t>
  </si>
  <si>
    <t xml:space="preserve">Old logic: Number of Deliveries * Yield Variation * Cost Base          </t>
  </si>
  <si>
    <t>Mix Design</t>
  </si>
  <si>
    <t>Mix Design Code</t>
  </si>
  <si>
    <t>prod.prod_cd</t>
  </si>
  <si>
    <t>Air Volume</t>
  </si>
  <si>
    <t>prod_sum.prod_air_vol</t>
  </si>
  <si>
    <t>prod_sum.prod_mat_vol</t>
  </si>
  <si>
    <t>Material Id</t>
  </si>
  <si>
    <t>raw_mat.raw_mat_cd</t>
  </si>
  <si>
    <t>Quantity</t>
  </si>
  <si>
    <t>raw_mat.mat_qty, raw_mat.mat_uom</t>
  </si>
  <si>
    <t>raw_mat.specific_gravity</t>
  </si>
  <si>
    <t>Volume</t>
  </si>
  <si>
    <t>raw_mat.mat_volume</t>
  </si>
  <si>
    <t>Batching Accuracy</t>
  </si>
  <si>
    <t>Cumulative Cost Impact</t>
  </si>
  <si>
    <t>over-batched</t>
  </si>
  <si>
    <t>sum(top 5 most highest materials costs based on the batch accuracy last month view, projected over 12 months) (cement* 100*12, scm*80 * 12, aggregate*15*12, sand*15*12, additives*5*12)</t>
  </si>
  <si>
    <t>Maybe</t>
  </si>
  <si>
    <t>under-batched</t>
  </si>
  <si>
    <t>sum(top 5 negative material costs based on the batch accuracy last month view, projected over 12 months) (cement* 100*12, scm*80 * 12, aggregate*15*12, sand*15*12, additives*5*12)</t>
  </si>
  <si>
    <t>Highest Material Cost</t>
  </si>
  <si>
    <t>Material Type</t>
  </si>
  <si>
    <t>raw_mat.raw_mat_type</t>
  </si>
  <si>
    <t>cost impact (last 1 annual)</t>
  </si>
  <si>
    <r>
      <rPr>
        <sz val="11"/>
        <color rgb="FF444444"/>
        <rFont val="Calibri"/>
        <family val="2"/>
      </rPr>
      <t xml:space="preserve">Based on accuracy last month view: Max(material*material cost*12  </t>
    </r>
    <r>
      <rPr>
        <b/>
        <sz val="11"/>
        <color rgb="FFFF0000"/>
        <rFont val="Calibri"/>
        <family val="2"/>
      </rPr>
      <t>/   2000</t>
    </r>
    <r>
      <rPr>
        <sz val="11"/>
        <color rgb="FF444444"/>
        <rFont val="Calibri"/>
        <family val="2"/>
      </rPr>
      <t>)</t>
    </r>
  </si>
  <si>
    <t>Change</t>
  </si>
  <si>
    <t>Highest Material Variation</t>
  </si>
  <si>
    <t>Most Deliveries Out of Tolerance</t>
  </si>
  <si>
    <t>Deliveries out of tolerance</t>
  </si>
  <si>
    <r>
      <rPr>
        <b/>
        <sz val="11"/>
        <color rgb="FF000000"/>
        <rFont val="Calibri"/>
        <family val="2"/>
      </rPr>
      <t>Within the set of data selected, which plant material type had the most out of tolerance</t>
    </r>
    <r>
      <rPr>
        <b/>
        <sz val="11"/>
        <color rgb="FFFF0000"/>
        <rFont val="Calibri"/>
        <family val="2"/>
      </rPr>
      <t xml:space="preserve"> DELIVERIES  </t>
    </r>
    <r>
      <rPr>
        <b/>
        <strike/>
        <sz val="11"/>
        <color rgb="FF000000"/>
        <rFont val="Calibri"/>
        <family val="2"/>
      </rPr>
      <t>batches</t>
    </r>
    <r>
      <rPr>
        <b/>
        <sz val="11"/>
        <color rgb="FF000000"/>
        <rFont val="Calibri"/>
        <family val="2"/>
      </rPr>
      <t xml:space="preserve"> and how many</t>
    </r>
  </si>
  <si>
    <t>Looks at the threshold in the settings, if 1 material is out of tolerance, that delivery is marked out of tolerance (e.g cement is 2.5% out of tolerance and the setting is at 2%, that delivery is out of tolerance) Compare the actual batched amount to the target batched amount</t>
  </si>
  <si>
    <t>Deliveries in Tolerance (%)</t>
  </si>
  <si>
    <t>Month</t>
  </si>
  <si>
    <r>
      <rPr>
        <sz val="11"/>
        <color rgb="FF000000"/>
        <rFont val="Calibri"/>
        <family val="2"/>
      </rPr>
      <t xml:space="preserve">Month of the </t>
    </r>
    <r>
      <rPr>
        <b/>
        <sz val="11"/>
        <color rgb="FFFF0000"/>
        <rFont val="Calibri"/>
        <family val="2"/>
      </rPr>
      <t xml:space="preserve">DELIVERY  </t>
    </r>
    <r>
      <rPr>
        <strike/>
        <sz val="11"/>
        <color rgb="FF000000"/>
        <rFont val="Calibri"/>
        <family val="2"/>
      </rPr>
      <t>batch</t>
    </r>
    <r>
      <rPr>
        <sz val="11"/>
        <color rgb="FF000000"/>
        <rFont val="Calibri"/>
        <family val="2"/>
      </rPr>
      <t xml:space="preserve"> produced</t>
    </r>
  </si>
  <si>
    <t>Percentage in Tolerance</t>
  </si>
  <si>
    <r>
      <rPr>
        <b/>
        <sz val="11"/>
        <color rgb="FF000000"/>
        <rFont val="Calibri"/>
        <family val="2"/>
      </rPr>
      <t xml:space="preserve">Percent of total </t>
    </r>
    <r>
      <rPr>
        <b/>
        <sz val="11"/>
        <color rgb="FFFF0000"/>
        <rFont val="Calibri"/>
        <family val="2"/>
      </rPr>
      <t xml:space="preserve">DELIVERY </t>
    </r>
    <r>
      <rPr>
        <b/>
        <sz val="11"/>
        <color rgb="FF000000"/>
        <rFont val="Calibri"/>
        <family val="2"/>
      </rPr>
      <t xml:space="preserve"> </t>
    </r>
    <r>
      <rPr>
        <b/>
        <strike/>
        <sz val="11"/>
        <color rgb="FF000000"/>
        <rFont val="Calibri"/>
        <family val="2"/>
      </rPr>
      <t>batches</t>
    </r>
    <r>
      <rPr>
        <b/>
        <sz val="11"/>
        <color rgb="FF000000"/>
        <rFont val="Calibri"/>
        <family val="2"/>
      </rPr>
      <t xml:space="preserve"> that are within the tolerance levels for all material types</t>
    </r>
  </si>
  <si>
    <t>Individual Material - Variation and Spread</t>
  </si>
  <si>
    <t>Percentage Out of Tolerance</t>
  </si>
  <si>
    <t>batch_mat.batch_mat_variation</t>
  </si>
  <si>
    <t>dlvr.dlvr_nbr</t>
  </si>
  <si>
    <t>Raw Material Varation</t>
  </si>
  <si>
    <t>Date Delivered</t>
  </si>
  <si>
    <t>dlvr.dlvr_dt</t>
  </si>
  <si>
    <t>Median</t>
  </si>
  <si>
    <t>list.getNthSmallestElement(n = (list.count - 1) / 2)</t>
  </si>
  <si>
    <t>Indicative Cost Impact</t>
  </si>
  <si>
    <t>Cement Cost Impact</t>
  </si>
  <si>
    <r>
      <rPr>
        <b/>
        <sz val="11"/>
        <color rgb="FF000000"/>
        <rFont val="Calibri"/>
        <family val="2"/>
      </rPr>
      <t>Sum of batch_mat.actual_dry_wt - batch_mat.target_wet_batch where material type = 'Cement' * Cost Base * Costing Period</t>
    </r>
    <r>
      <rPr>
        <b/>
        <sz val="11"/>
        <color rgb="FFFF0000"/>
        <rFont val="Calibri"/>
        <family val="2"/>
      </rPr>
      <t xml:space="preserve">  /   2000</t>
    </r>
  </si>
  <si>
    <t>The Cost is in USD per US Ton and the weights are in LBS - these must be equalized - by dividing by 2000 LBS per US Tons (imperial) OR 1000 for Tonne to KGs (metric)</t>
  </si>
  <si>
    <t>SCM Cost Impact</t>
  </si>
  <si>
    <r>
      <rPr>
        <b/>
        <sz val="11"/>
        <color rgb="FF000000"/>
        <rFont val="Calibri"/>
        <family val="2"/>
      </rPr>
      <t xml:space="preserve">Sum of batch_mat.actual_dry_wt - batch_mat.target_wet_batch where material type = 'SCM' * Cost Base * Costing Period </t>
    </r>
    <r>
      <rPr>
        <b/>
        <sz val="11"/>
        <color rgb="FFFF0000"/>
        <rFont val="Calibri"/>
        <family val="2"/>
      </rPr>
      <t xml:space="preserve">  /   2000</t>
    </r>
  </si>
  <si>
    <t>Aggregate Cost Impact</t>
  </si>
  <si>
    <r>
      <rPr>
        <b/>
        <sz val="11"/>
        <color rgb="FF000000"/>
        <rFont val="Calibri"/>
        <family val="2"/>
      </rPr>
      <t>Sum of batch_mat.actual_dry_wt - batch_mat.target_wet_batchwhere material type = 'Coarse Aggregate' * Cost Base * Costing Period</t>
    </r>
    <r>
      <rPr>
        <b/>
        <sz val="11"/>
        <color rgb="FFFF0000"/>
        <rFont val="Calibri"/>
        <family val="2"/>
      </rPr>
      <t xml:space="preserve">  /   2000</t>
    </r>
  </si>
  <si>
    <t>Sand Cost Impact</t>
  </si>
  <si>
    <r>
      <rPr>
        <b/>
        <sz val="11"/>
        <color rgb="FF000000"/>
        <rFont val="Calibri"/>
        <family val="2"/>
      </rPr>
      <t>Sum of batch_mat.actual_dry_wt - batch_mat.target_wet_batchwhere material type = 'Fine Aggregate' * Cost Base * Costing Period</t>
    </r>
    <r>
      <rPr>
        <b/>
        <sz val="11"/>
        <color rgb="FFFF0000"/>
        <rFont val="Calibri"/>
        <family val="2"/>
      </rPr>
      <t xml:space="preserve">  /   2000</t>
    </r>
  </si>
  <si>
    <t>Additives Cost Impact</t>
  </si>
  <si>
    <r>
      <rPr>
        <b/>
        <sz val="11"/>
        <color rgb="FF000000"/>
        <rFont val="Calibri"/>
        <family val="2"/>
      </rPr>
      <t xml:space="preserve">Sum of batch_mat.actual_dry_wt - batch_mat.target_wet_batch where material type = 'Additives' * Cost Base * Costing Period </t>
    </r>
    <r>
      <rPr>
        <b/>
        <sz val="11"/>
        <color rgb="FFFF0000"/>
        <rFont val="Calibri"/>
        <family val="2"/>
      </rPr>
      <t xml:space="preserve"> /   2000</t>
    </r>
  </si>
  <si>
    <t>Average Variation from Target</t>
  </si>
  <si>
    <t>Cement Average Variation</t>
  </si>
  <si>
    <t>Average of batch_mat.batch_mat_variation where material type = 'Cement' * 100</t>
  </si>
  <si>
    <t>SCM Average Variation</t>
  </si>
  <si>
    <t>Average of batch_mat.batch_mat_variation where material type = 'SCM' * 100</t>
  </si>
  <si>
    <t>Aggregate Average Variation</t>
  </si>
  <si>
    <t>Average of batch_mat.batch_mat_variation where material type = 'Coarse Aggregate' * 100</t>
  </si>
  <si>
    <t>Sand Average Variation</t>
  </si>
  <si>
    <t>Average of batch_mat.batch_mat_variation where material type = 'Fine Aggregate' * 100</t>
  </si>
  <si>
    <t>Additives Average Variation</t>
  </si>
  <si>
    <t>Average of batch_mat.batch_mat_variation where material type = 'Additives' * 100</t>
  </si>
  <si>
    <t>Number of Deliveries Out of Tolerance</t>
  </si>
  <si>
    <t>Cement Number of Deliveries Out of Tolerance</t>
  </si>
  <si>
    <r>
      <rPr>
        <b/>
        <sz val="11"/>
        <color rgb="FF000000"/>
        <rFont val="Calibri"/>
        <family val="2"/>
      </rPr>
      <t xml:space="preserve">Count of </t>
    </r>
    <r>
      <rPr>
        <b/>
        <sz val="11"/>
        <color rgb="FFFF0000"/>
        <rFont val="Calibri"/>
        <family val="2"/>
      </rPr>
      <t>DELIVERIES</t>
    </r>
    <r>
      <rPr>
        <b/>
        <sz val="11"/>
        <color rgb="FF000000"/>
        <rFont val="Calibri"/>
        <family val="2"/>
      </rPr>
      <t xml:space="preserve"> </t>
    </r>
    <r>
      <rPr>
        <b/>
        <strike/>
        <sz val="11"/>
        <color rgb="FF000000"/>
        <rFont val="Calibri"/>
        <family val="2"/>
      </rPr>
      <t>batches</t>
    </r>
    <r>
      <rPr>
        <b/>
        <sz val="11"/>
        <color rgb="FF000000"/>
        <rFont val="Calibri"/>
        <family val="2"/>
      </rPr>
      <t xml:space="preserve"> where batch_mat.batch_mat_variation &lt;&gt; 0 where material type = 'Cement'</t>
    </r>
  </si>
  <si>
    <t>We have a pending change to make it at a delivery level not Batch level BUT ALSO I assume that if the variation between actual and target is below the tolerance then you must be setting it to 0 to make this formula work otherwise the formula is wrong</t>
  </si>
  <si>
    <t>SCM Number of Deliveries Out of Tolerance</t>
  </si>
  <si>
    <r>
      <rPr>
        <b/>
        <sz val="11"/>
        <color rgb="FF000000"/>
        <rFont val="Calibri"/>
        <family val="2"/>
      </rPr>
      <t xml:space="preserve">Count of </t>
    </r>
    <r>
      <rPr>
        <b/>
        <sz val="11"/>
        <color rgb="FFFF0000"/>
        <rFont val="Calibri"/>
        <family val="2"/>
      </rPr>
      <t>DELIVERIES</t>
    </r>
    <r>
      <rPr>
        <b/>
        <sz val="11"/>
        <color rgb="FF000000"/>
        <rFont val="Calibri"/>
        <family val="2"/>
      </rPr>
      <t xml:space="preserve"> </t>
    </r>
    <r>
      <rPr>
        <b/>
        <strike/>
        <sz val="11"/>
        <color rgb="FF000000"/>
        <rFont val="Calibri"/>
        <family val="2"/>
      </rPr>
      <t>batches</t>
    </r>
    <r>
      <rPr>
        <b/>
        <sz val="11"/>
        <color rgb="FF000000"/>
        <rFont val="Calibri"/>
        <family val="2"/>
      </rPr>
      <t xml:space="preserve"> where batch_mat.batch_mat_variation &lt;&gt; 0 where material type = 'SCM'</t>
    </r>
  </si>
  <si>
    <t>Aggregate Number of Deliveries Out of Tolerance</t>
  </si>
  <si>
    <r>
      <rPr>
        <b/>
        <sz val="11"/>
        <color rgb="FF000000"/>
        <rFont val="Calibri"/>
        <family val="2"/>
      </rPr>
      <t xml:space="preserve">Count of </t>
    </r>
    <r>
      <rPr>
        <b/>
        <sz val="11"/>
        <color rgb="FFFF0000"/>
        <rFont val="Calibri"/>
        <family val="2"/>
      </rPr>
      <t>DELIVERIES</t>
    </r>
    <r>
      <rPr>
        <b/>
        <strike/>
        <sz val="11"/>
        <color rgb="FFFF0000"/>
        <rFont val="Calibri"/>
        <family val="2"/>
      </rPr>
      <t xml:space="preserve"> </t>
    </r>
    <r>
      <rPr>
        <b/>
        <strike/>
        <sz val="11"/>
        <color rgb="FF000000"/>
        <rFont val="Calibri"/>
        <family val="2"/>
      </rPr>
      <t xml:space="preserve">batches </t>
    </r>
    <r>
      <rPr>
        <b/>
        <sz val="11"/>
        <color rgb="FF000000"/>
        <rFont val="Calibri"/>
        <family val="2"/>
      </rPr>
      <t>where batch_mat.batch_mat_variation &lt;&gt; 0 where material type = 'Coarse Aggregate'</t>
    </r>
  </si>
  <si>
    <t>Sand Number of Deliveries Out of Tolerance</t>
  </si>
  <si>
    <r>
      <rPr>
        <b/>
        <sz val="11"/>
        <color rgb="FF000000"/>
        <rFont val="Calibri"/>
        <family val="2"/>
      </rPr>
      <t xml:space="preserve">Count of </t>
    </r>
    <r>
      <rPr>
        <b/>
        <sz val="11"/>
        <color rgb="FFFF0000"/>
        <rFont val="Calibri"/>
        <family val="2"/>
      </rPr>
      <t>DELIVERIES</t>
    </r>
    <r>
      <rPr>
        <b/>
        <sz val="11"/>
        <color rgb="FF000000"/>
        <rFont val="Calibri"/>
        <family val="2"/>
      </rPr>
      <t xml:space="preserve"> </t>
    </r>
    <r>
      <rPr>
        <b/>
        <strike/>
        <sz val="11"/>
        <color rgb="FF000000"/>
        <rFont val="Calibri"/>
        <family val="2"/>
      </rPr>
      <t xml:space="preserve">batches </t>
    </r>
    <r>
      <rPr>
        <b/>
        <sz val="11"/>
        <color rgb="FF000000"/>
        <rFont val="Calibri"/>
        <family val="2"/>
      </rPr>
      <t>where batch_mat.batch_mat_variation &lt;&gt; 0 where material type = 'Fine Aggregate'</t>
    </r>
  </si>
  <si>
    <t>Additives Number of Deliveries Out of Tolerance</t>
  </si>
  <si>
    <r>
      <rPr>
        <b/>
        <sz val="11"/>
        <color rgb="FF000000"/>
        <rFont val="Calibri"/>
        <family val="2"/>
      </rPr>
      <t xml:space="preserve">Count of </t>
    </r>
    <r>
      <rPr>
        <b/>
        <sz val="11"/>
        <color rgb="FFFF0000"/>
        <rFont val="Calibri"/>
        <family val="2"/>
      </rPr>
      <t>DELIVERIES</t>
    </r>
    <r>
      <rPr>
        <b/>
        <strike/>
        <sz val="11"/>
        <color rgb="FF000000"/>
        <rFont val="Calibri"/>
        <family val="2"/>
      </rPr>
      <t xml:space="preserve"> batches </t>
    </r>
    <r>
      <rPr>
        <b/>
        <sz val="11"/>
        <color rgb="FF000000"/>
        <rFont val="Calibri"/>
        <family val="2"/>
      </rPr>
      <t>where batch_mat.batch_mat_variation &lt;&gt; 0 where material type = 'Additives'</t>
    </r>
  </si>
  <si>
    <t>Standard Deviation</t>
  </si>
  <si>
    <t>Cement Standard Deviation</t>
  </si>
  <si>
    <t>Standard Deviation of batch_mat.batch_mat_variation where material type = 'Cement' * 100</t>
  </si>
  <si>
    <t>SCM Standard Deviation</t>
  </si>
  <si>
    <t>Standard Deviation of batch_mat.batch_mat_variation where material type = 'SCM' * 100</t>
  </si>
  <si>
    <t>Aggregate Standard Deviation</t>
  </si>
  <si>
    <t>Standard Deviation of batch_mat.batch_mat_variation where material type = 'Coarse Aggregate' * 100</t>
  </si>
  <si>
    <t>Sand Standard Deviation</t>
  </si>
  <si>
    <t>Standard Deviation of batch_mat.batch_mat_variation where material type = 'Fine Aggregate' * 100</t>
  </si>
  <si>
    <t>Additives Standard Deviation</t>
  </si>
  <si>
    <t>Standard Deviation of batch_mat.batch_mat_variation where material type = 'Additives' * 100</t>
  </si>
  <si>
    <t>Customer Cost to Service</t>
  </si>
  <si>
    <t>Cumulative Cost to Service</t>
  </si>
  <si>
    <t>Cumilative Cost to Service</t>
  </si>
  <si>
    <t>sum(Total Cost Impact vs average of Top 5 customers)</t>
  </si>
  <si>
    <t>Filter out cancelled deliveries and pick up deliveries</t>
  </si>
  <si>
    <t>Most Expensive Customer</t>
  </si>
  <si>
    <t>Annualized Cost Impact vs average</t>
  </si>
  <si>
    <t>(CostToService(customer) - CostToService(All)) * DeliveryQuantity(Customer) * 365/days in period</t>
  </si>
  <si>
    <t>Delivery Volume</t>
  </si>
  <si>
    <t>sum(dlvr.dlvr_qty)</t>
  </si>
  <si>
    <t>Cost to Service</t>
  </si>
  <si>
    <t>truck cost per hour / 60 * sum(delivery cycle minutes) / sum(delivery volume) (delivery cycle minutes are calculated in the data pipeline)</t>
  </si>
  <si>
    <t>Cost Drivers</t>
  </si>
  <si>
    <t>Average Load Size</t>
  </si>
  <si>
    <t>avg(dlvr.dlvr_qty)</t>
  </si>
  <si>
    <t>Average on-site time</t>
  </si>
  <si>
    <t>avg(dlvr.onsite_min)</t>
  </si>
  <si>
    <t>Total Cost Impact vs average</t>
  </si>
  <si>
    <t>(CostToService(customer) - CostToService(All)) * DeliveryQuantity(Customer)</t>
  </si>
  <si>
    <t>sum(dlvr.dlvr.qty)</t>
  </si>
  <si>
    <t>truck cost per hour / 60 * sum(valid delivery cycle minutes) / sum(delivery volume)</t>
  </si>
  <si>
    <t>Load Efficiency</t>
  </si>
  <si>
    <t>Average On-Site Time</t>
  </si>
  <si>
    <t>Average Wait to Unload</t>
  </si>
  <si>
    <t>avg(dlvr.wait_unload_min)</t>
  </si>
  <si>
    <t>Average Unload Time</t>
  </si>
  <si>
    <t>avg(dlvr.unload_min)</t>
  </si>
  <si>
    <t>Average Travel Time</t>
  </si>
  <si>
    <t>avg(dlvr.travel_min)</t>
  </si>
  <si>
    <t>Ordering Impact</t>
  </si>
  <si>
    <t>On Site Time Var. to Plan</t>
  </si>
  <si>
    <t>avg(dlvr.onsite_min - dlvr.plan_onsite_min)</t>
  </si>
  <si>
    <t>Deliveries in Peak Time (%)</t>
  </si>
  <si>
    <t>count(deliveries in peak time) / count(deliveries) * 100
Deliveries in peak time = Deliveries with TruckLeavePlantTimestamps between StartPeaktime and EndPeakTime</t>
  </si>
  <si>
    <t>Customer Improvement Opportunity</t>
  </si>
  <si>
    <t>truck cost per hour / 60 * sum(delivery cycle minutes) / sum(delivery volume)</t>
  </si>
  <si>
    <t>count(deliveries in peak time) / count(deliveries) * 100</t>
  </si>
  <si>
    <t>sum(dlvr.dlvr_qty) (not on staging yet, but it works on dev)</t>
  </si>
  <si>
    <t>Customer Improvement Effect</t>
  </si>
  <si>
    <t>is the average load size from the customer improvement oportunity widget and than changed by the users</t>
  </si>
  <si>
    <t>is the average on site time from the customer improvement oportunity widget and than changed by the users</t>
  </si>
  <si>
    <t>AverageDeliveryCycleMinuntes</t>
  </si>
  <si>
    <t xml:space="preserve"> avg ( @dynamic field by plant from master data  + 2 * plannedTravelTime + OnSiteTime) - If @dynamic field is missing the nuse 20 as default</t>
  </si>
  <si>
    <t>Dynamic field is defaulted to 20 incase the number didn't exist</t>
  </si>
  <si>
    <t>We now use loading time from master data which  is the average of the plants, weighted by number of deliveries. If a customer has received deliveries from more than one plant.</t>
  </si>
  <si>
    <t>Initial Cost to Service</t>
  </si>
  <si>
    <t>initialAverageOnSiteTime * truckCostPerMinute / 60 /initialAverageLoadSize</t>
  </si>
  <si>
    <t>New Cost to Service</t>
  </si>
  <si>
    <t>newAverageOnSiteTime * truckCostPerMinute / 60 / newAverageLoadSize</t>
  </si>
  <si>
    <t>Change in Cost to Service</t>
  </si>
  <si>
    <t>NewCostToService - InitalCostToService</t>
  </si>
  <si>
    <t>Initial Total Cost</t>
  </si>
  <si>
    <r>
      <rPr>
        <b/>
        <sz val="11"/>
        <color rgb="FF000000"/>
        <rFont val="Calibri"/>
        <family val="2"/>
      </rPr>
      <t xml:space="preserve">(initialCostToService - </t>
    </r>
    <r>
      <rPr>
        <b/>
        <sz val="11"/>
        <color rgb="FFFF0000"/>
        <rFont val="Calibri"/>
        <family val="2"/>
      </rPr>
      <t>costToServiceAllCustomers</t>
    </r>
    <r>
      <rPr>
        <b/>
        <sz val="11"/>
        <color rgb="FF000000"/>
        <rFont val="Calibri"/>
        <family val="2"/>
      </rPr>
      <t>) * deliveryQuantity</t>
    </r>
  </si>
  <si>
    <t>New Total Cost</t>
  </si>
  <si>
    <r>
      <rPr>
        <b/>
        <sz val="11"/>
        <color rgb="FF000000"/>
        <rFont val="Calibri"/>
        <family val="2"/>
      </rPr>
      <t xml:space="preserve">(newCostToService - </t>
    </r>
    <r>
      <rPr>
        <b/>
        <sz val="11"/>
        <color rgb="FFFF0000"/>
        <rFont val="Calibri"/>
        <family val="2"/>
      </rPr>
      <t>costToServiceAllCustomers</t>
    </r>
    <r>
      <rPr>
        <b/>
        <sz val="11"/>
        <color rgb="FF000000"/>
        <rFont val="Calibri"/>
        <family val="2"/>
      </rPr>
      <t>) * deliveryQuantity</t>
    </r>
  </si>
  <si>
    <t>Change in Total Cost</t>
  </si>
  <si>
    <t>NewTotalCost - InitalTotalCost</t>
  </si>
  <si>
    <t>Delivery Distribution</t>
  </si>
  <si>
    <t>Plant Lat Long</t>
  </si>
  <si>
    <t>plant.plant_lat , plant.plant_long</t>
  </si>
  <si>
    <t>Delivery Lat Long</t>
  </si>
  <si>
    <t>dlvr -&gt; groupBy cust_id, cust_nm, ship_lat, ship_long  -&gt; select cust_id, cust_nm, ship_lat, ship_long</t>
  </si>
  <si>
    <t>Deliveries Volume</t>
  </si>
  <si>
    <t>dlvr  -&gt; groupBy cust_id, cust_nm, ship_lat, ship_long  -&gt; sum ( dlvr_qty )</t>
  </si>
  <si>
    <t>MIn Delivery Date</t>
  </si>
  <si>
    <t>dlvr  -&gt; groupBy cust_id, cust_nm, ship_lat, ship_long  -&gt; min ( dlvr_dt )</t>
  </si>
  <si>
    <t>dlvr  -&gt; groupBy cust_id, cust_nm, ship_lat, ship_long  -&gt; max ( dlvr_dt )</t>
  </si>
  <si>
    <t>Number of plants</t>
  </si>
  <si>
    <t>dlvr  -&gt; groupBy cust_id, cust_nm, ship_lat, ship_long  -&gt; distinct ( plant_id ) -&gt; count</t>
  </si>
  <si>
    <t xml:space="preserve">Status Accuracy </t>
  </si>
  <si>
    <t>Oppty #1 - Plant with highest potential to improve Status Accuracy</t>
  </si>
  <si>
    <t>Selected Plant</t>
  </si>
  <si>
    <t>MAX((1 - plant accuracy) * number of deliveries)</t>
  </si>
  <si>
    <t>Improvement time to average</t>
  </si>
  <si>
    <r>
      <rPr>
        <sz val="11.3"/>
        <color rgb="FFAB2F6B"/>
        <rFont val="JetBrains Mono"/>
      </rPr>
      <t xml:space="preserve">100m </t>
    </r>
    <r>
      <rPr>
        <sz val="11.3"/>
        <color rgb="FF383838"/>
        <rFont val="JetBrains Mono"/>
      </rPr>
      <t>* (</t>
    </r>
    <r>
      <rPr>
        <sz val="11.3"/>
        <color rgb="FF202020"/>
        <rFont val="JetBrains Mono"/>
      </rPr>
      <t xml:space="preserve">overallAccuracyPercent </t>
    </r>
    <r>
      <rPr>
        <sz val="11.3"/>
        <color rgb="FF383838"/>
        <rFont val="JetBrains Mono"/>
      </rPr>
      <t xml:space="preserve">/ </t>
    </r>
    <r>
      <rPr>
        <sz val="11.3"/>
        <color rgb="FFAB2F6B"/>
        <rFont val="JetBrains Mono"/>
      </rPr>
      <t xml:space="preserve">100m </t>
    </r>
    <r>
      <rPr>
        <sz val="11.3"/>
        <color rgb="FF383838"/>
        <rFont val="JetBrains Mono"/>
      </rPr>
      <t xml:space="preserve">* </t>
    </r>
    <r>
      <rPr>
        <sz val="11.3"/>
        <color rgb="FF202020"/>
        <rFont val="JetBrains Mono"/>
      </rPr>
      <t xml:space="preserve">currentNumberOfDeliveries </t>
    </r>
    <r>
      <rPr>
        <sz val="11.3"/>
        <color rgb="FF383838"/>
        <rFont val="JetBrains Mono"/>
      </rPr>
      <t xml:space="preserve">- </t>
    </r>
    <r>
      <rPr>
        <sz val="11.3"/>
        <color rgb="FF202020"/>
        <rFont val="JetBrains Mono"/>
      </rPr>
      <t xml:space="preserve">currentIsAccurateCount </t>
    </r>
    <r>
      <rPr>
        <sz val="11.3"/>
        <color rgb="FF383838"/>
        <rFont val="JetBrains Mono"/>
      </rPr>
      <t xml:space="preserve">/ </t>
    </r>
    <r>
      <rPr>
        <sz val="11.3"/>
        <color rgb="FF202020"/>
        <rFont val="JetBrains Mono"/>
      </rPr>
      <t>2</t>
    </r>
    <r>
      <rPr>
        <sz val="11.3"/>
        <color rgb="FF383838"/>
        <rFont val="JetBrains Mono"/>
      </rPr>
      <t xml:space="preserve">) / </t>
    </r>
    <r>
      <rPr>
        <sz val="11.3"/>
        <color rgb="FF202020"/>
        <rFont val="JetBrains Mono"/>
      </rPr>
      <t>overallNumberOfDeliveries</t>
    </r>
  </si>
  <si>
    <t>Reference - "SA - Opportunity calcs" sheet - Dev to populate</t>
  </si>
  <si>
    <t>Impact on overal accuracy</t>
  </si>
  <si>
    <t>Improvement time to average * 2 / 5</t>
  </si>
  <si>
    <t>Cost impact</t>
  </si>
  <si>
    <t>MAX(Plants with opportunity to average)</t>
  </si>
  <si>
    <t>Oppty #2 - Truck with highest potential to improve Status Accuracy</t>
  </si>
  <si>
    <r>
      <rPr>
        <sz val="11.3"/>
        <color rgb="FFAB2F6B"/>
        <rFont val="JetBrains Mono"/>
      </rPr>
      <t xml:space="preserve">100m </t>
    </r>
    <r>
      <rPr>
        <sz val="11.3"/>
        <color rgb="FF383838"/>
        <rFont val="JetBrains Mono"/>
      </rPr>
      <t>* (</t>
    </r>
    <r>
      <rPr>
        <sz val="11.3"/>
        <color rgb="FF202020"/>
        <rFont val="JetBrains Mono"/>
      </rPr>
      <t xml:space="preserve">overallAccuracyPercent </t>
    </r>
    <r>
      <rPr>
        <sz val="11.3"/>
        <color rgb="FF383838"/>
        <rFont val="JetBrains Mono"/>
      </rPr>
      <t xml:space="preserve">/ </t>
    </r>
    <r>
      <rPr>
        <sz val="11.3"/>
        <color rgb="FFAB2F6B"/>
        <rFont val="JetBrains Mono"/>
      </rPr>
      <t xml:space="preserve">100m </t>
    </r>
    <r>
      <rPr>
        <sz val="11.3"/>
        <color rgb="FF383838"/>
        <rFont val="JetBrains Mono"/>
      </rPr>
      <t xml:space="preserve">* </t>
    </r>
    <r>
      <rPr>
        <sz val="11.3"/>
        <color rgb="FF202020"/>
        <rFont val="JetBrains Mono"/>
      </rPr>
      <t xml:space="preserve">currentNumberOfDeliveries </t>
    </r>
    <r>
      <rPr>
        <sz val="11.3"/>
        <color rgb="FF383838"/>
        <rFont val="JetBrains Mono"/>
      </rPr>
      <t xml:space="preserve">- </t>
    </r>
    <r>
      <rPr>
        <sz val="11.3"/>
        <color rgb="FF202020"/>
        <rFont val="JetBrains Mono"/>
      </rPr>
      <t xml:space="preserve">currentIsAccurateCount </t>
    </r>
    <r>
      <rPr>
        <sz val="11.3"/>
        <color rgb="FF383838"/>
        <rFont val="JetBrains Mono"/>
      </rPr>
      <t xml:space="preserve">/ </t>
    </r>
    <r>
      <rPr>
        <sz val="11.3"/>
        <color rgb="FF202020"/>
        <rFont val="JetBrains Mono"/>
      </rPr>
      <t>3</t>
    </r>
    <r>
      <rPr>
        <sz val="11.3"/>
        <color rgb="FF383838"/>
        <rFont val="JetBrains Mono"/>
      </rPr>
      <t xml:space="preserve">) / </t>
    </r>
    <r>
      <rPr>
        <sz val="11.3"/>
        <color rgb="FF202020"/>
        <rFont val="JetBrains Mono"/>
      </rPr>
      <t>overallNumberOfDeliveries</t>
    </r>
  </si>
  <si>
    <t>Impact on overall accuracy</t>
  </si>
  <si>
    <t>Improvement time to average * 3 / 5</t>
  </si>
  <si>
    <t>MAX(Truck Opportunity to Average)</t>
  </si>
  <si>
    <t>Oppty #3 - Job Site with highest potential to improve Status Accuracy</t>
  </si>
  <si>
    <t>MAX(Jobsite opportunity to average)</t>
  </si>
  <si>
    <t xml:space="preserve">Status Accuracy by Truck  </t>
  </si>
  <si>
    <t>Truck Status zero</t>
  </si>
  <si>
    <t>Count of trucks where (count(LeavePlantAccurate) is 1)  + count(ArriveSiteIsAccurate is 1) + Count(StartUnload is accurate is 1) ) = 0</t>
  </si>
  <si>
    <t>Overall Status Accuracy</t>
  </si>
  <si>
    <t>Overall status accuracy</t>
  </si>
  <si>
    <t>100 * (count(accurate start load timestamps) + count(accurate leave plant timestamps) + count(accurate arrive site timestamps) + count(accurate start unload timestamps) + count(accurate leave site timestamps)) / (5 * count(deliveries))</t>
  </si>
  <si>
    <t>Dev team to to populate the logic refferencing Ian's doc:
https://hcgroupnet.sharepoint.com/:w:/r/teams/VOLT77/_layouts/15/Doc.aspx?action=edit&amp;sourcedoc=%7B394711ef-acd9-4a7b-96ba-24c20d315650%7D&amp;wdOrigin=TEAMS-WEB.teamsSdk.openFilePreview&amp;wdExp=TEAMS-CONTROL&amp;cid=df4d8e26-95c0-4af6-b2ee-e1fdcdfa853d</t>
  </si>
  <si>
    <t>Start Load accuracy</t>
  </si>
  <si>
    <t>count(accurate start load timestamps) / count(deliveries) * 100</t>
  </si>
  <si>
    <t>Dev</t>
  </si>
  <si>
    <t>Leave Plant accurcay</t>
  </si>
  <si>
    <t>count(accurate leave plant timestamps) / count(deliveries) * 100</t>
  </si>
  <si>
    <t xml:space="preserve">Arrive site accuracy </t>
  </si>
  <si>
    <t>count(accurate arrive site timestamps) / count(deliveries) * 100</t>
  </si>
  <si>
    <t xml:space="preserve">Start unload accuracy </t>
  </si>
  <si>
    <t>count(accurate start unload timestamps) / count(deliveries) * 100</t>
  </si>
  <si>
    <t>Leave site accuracy</t>
  </si>
  <si>
    <t>count(accurate leave site timestamps) / count(deliveries) * 100</t>
  </si>
  <si>
    <t xml:space="preserve">Status Accuracy by Plant </t>
  </si>
  <si>
    <t>Opportunity vs Average</t>
  </si>
  <si>
    <t xml:space="preserve">(Average accuracy - Plant accuracy) * costOpportunity (user input) / 10 *2 / 7 * sum(delivery volume for plant) * 365/days in period (annualized) 
</t>
  </si>
  <si>
    <t>Status Accuracy by Plant</t>
  </si>
  <si>
    <t>Total Errors</t>
  </si>
  <si>
    <t>Start load # error + Leave plant # error</t>
  </si>
  <si>
    <t>Average (Overall) Plant Accuracy</t>
  </si>
  <si>
    <t>100 * (count(accurate load time timestamps) + count(accurate leave plant timestamps)) / (2 * count(deliveries))</t>
  </si>
  <si>
    <t>Plant % accuracy</t>
  </si>
  <si>
    <t>100 * (count(accurate load time timestamps for plant) + count(accurate leave plant timestamps for plant)) / (2 * count(deliveries for plant)</t>
  </si>
  <si>
    <t>Start load % accuracy</t>
  </si>
  <si>
    <t>count(accurate load time timestamps for plant) / count(deliveries for plant)</t>
  </si>
  <si>
    <t>Start load # error</t>
  </si>
  <si>
    <t>count(inaccurate load time timestamps for plant)</t>
  </si>
  <si>
    <t>Leave plant % accuracy</t>
  </si>
  <si>
    <t>count(accurate leave site timestamps for plant) / count(deliveries for plant)</t>
  </si>
  <si>
    <t>Leave plant # error</t>
  </si>
  <si>
    <t>count(inaccurate leave plant timestamps for plant)</t>
  </si>
  <si>
    <t>Potential cause</t>
  </si>
  <si>
    <t># trucks with at least 1 leave plant error / # of trucks. The closer this ratio is to 1, the closer it is to the Plant as a root cause</t>
  </si>
  <si>
    <t>Old: compare the Leave Plant % Accuracy against the average of the Arrive Jobsite and Leave Jobsite % Accuracy and if the Leave Plant % Accuracy is less than the Average of the other 2 statuses then count it as 1 truck meeting that criteria.  Add up all trucks meeting that criteria and divide by the number of trucks that have made deliveries from this plant.  Expand to scale [-1, 1] by caclulation 2 * x - 1</t>
  </si>
  <si>
    <t>Dev NOTE must use the Trucks making deliveries from the plant.  In the example below, the truck may be making deliveries from multiple plant as in the example below.   Only consider the values for a truck from the specific plant not the trucks overall accuracy.</t>
  </si>
  <si>
    <t>sum(deliveryQuantity)</t>
  </si>
  <si>
    <t>Total Accuracy</t>
  </si>
  <si>
    <t>100 * (count(accurate arrive site timestamps) + count(accurate leave plant timestamps) + count(accurate start unload timestamps)) / (3 * count(deliveries)</t>
  </si>
  <si>
    <t>count(deliveries) * 3 * (1-Total Accuracy)</t>
  </si>
  <si>
    <t>100 * count(accurate arrive site timestamps) / count(deliveries)</t>
  </si>
  <si>
    <t>100 * count(accurate start unload timestamps) / count(deliveries)</t>
  </si>
  <si>
    <t xml:space="preserve">Status Accuracy by Truck Ownership  </t>
  </si>
  <si>
    <t>Leave Plant accuracy</t>
  </si>
  <si>
    <t>100 * count(accurate leave plant timestamps)  /  count(deliveries)</t>
  </si>
  <si>
    <t>Status Accuracy by Job site</t>
  </si>
  <si>
    <t>Arrive Site # Error + Leave Site # Error</t>
  </si>
  <si>
    <t>On-site % accuracy</t>
  </si>
  <si>
    <t>100 * (count(arrive site is accurate) + count(leave site is accurate)) / (2 * count(deliveries))</t>
  </si>
  <si>
    <t>Arrive site % accuracy</t>
  </si>
  <si>
    <t>100 * count(arrive site is accurate) / count(deliveries)</t>
  </si>
  <si>
    <t>Arrive site # error</t>
  </si>
  <si>
    <t>count(NOT arrive site is accurate)</t>
  </si>
  <si>
    <t>Leave site % accuracy</t>
  </si>
  <si>
    <t>100 * count(leave site is accurate) / count(deliveries)</t>
  </si>
  <si>
    <t>Leave site # error</t>
  </si>
  <si>
    <t>count(NOT leave site is accurate)</t>
  </si>
  <si>
    <t>CostOpportunity</t>
  </si>
  <si>
    <t xml:space="preserve">(Average accuracy - On-Site accuracy) * (costOpportunity (user input) / 10) *(2 / 7) * sum(delivery volume for jobsite) * 365/days in period (annualized) 
</t>
  </si>
  <si>
    <t>Customer Delivery Performance</t>
  </si>
  <si>
    <t>Oppty #1</t>
  </si>
  <si>
    <t>Cost Impact of top 5 most inefficient customers</t>
  </si>
  <si>
    <t>Sum of the Total Ineficient  ($) for the 5 customers with the lowest Total Inefficent ($)</t>
  </si>
  <si>
    <t>Oppty #2</t>
  </si>
  <si>
    <t>[Ovelap]Customer with Highest Total Overlap Widget</t>
  </si>
  <si>
    <t>For the customer with the largest "Overlap total minutes / Delivery"  Sum (Overlap Total Minutes f)  /  sum (total number of deliveries -1 )</t>
  </si>
  <si>
    <t xml:space="preserve">Updated from 5 to worst. Ian, please review and validate </t>
  </si>
  <si>
    <t xml:space="preserve">Oppty #3 </t>
  </si>
  <si>
    <t>[Gaps]Customer with the most gap minutes per load</t>
  </si>
  <si>
    <t>For the customer with the largest "Gaps total minutes / Delivery"  Sum (Overlap Total Minutes)  /  sum (total number of deliveries -1 )</t>
  </si>
  <si>
    <t xml:space="preserve">All Customers (First/main) </t>
  </si>
  <si>
    <t># of Pours</t>
  </si>
  <si>
    <r>
      <rPr>
        <b/>
        <sz val="11"/>
        <color rgb="FF000000"/>
        <rFont val="Calibri"/>
        <family val="2"/>
      </rPr>
      <t xml:space="preserve">dlvr -&gt; groupBy cust_id   =&gt; </t>
    </r>
    <r>
      <rPr>
        <sz val="11"/>
        <color rgb="FF000000"/>
        <rFont val="Calibri"/>
        <family val="2"/>
      </rPr>
      <t xml:space="preserve">  Count each day with a delivery</t>
    </r>
  </si>
  <si>
    <t>Total Inefficency ($)</t>
  </si>
  <si>
    <r>
      <rPr>
        <b/>
        <sz val="11"/>
        <color rgb="FF000000"/>
        <rFont val="Calibri"/>
        <family val="2"/>
      </rPr>
      <t xml:space="preserve">dlvr -&gt; groupBy cust_id   =&gt;  </t>
    </r>
    <r>
      <rPr>
        <sz val="11"/>
        <color rgb="FF000000"/>
        <rFont val="Calibri"/>
        <family val="2"/>
      </rPr>
      <t>Overlap/Gap  Total mins * Truck Hourly Rate Parameter/ 60 minutes</t>
    </r>
  </si>
  <si>
    <t>Truck Hourly Rate Parameter is the sme parameter used in custome rocst of service</t>
  </si>
  <si>
    <t>Total Inefficency ($/Deliveries)</t>
  </si>
  <si>
    <r>
      <rPr>
        <b/>
        <sz val="11"/>
        <color rgb="FF000000"/>
        <rFont val="Calibri"/>
        <family val="2"/>
      </rPr>
      <t xml:space="preserve">dlvr -&gt; groupBy cust_id   =&gt; </t>
    </r>
    <r>
      <rPr>
        <sz val="11"/>
        <color rgb="FF000000"/>
        <rFont val="Calibri"/>
        <family val="2"/>
      </rPr>
      <t xml:space="preserve"> Total Inefficency ($) / Total Number of Deliveries</t>
    </r>
  </si>
  <si>
    <t>Total Inefficency ($/yd3)</t>
  </si>
  <si>
    <r>
      <rPr>
        <b/>
        <sz val="11"/>
        <color rgb="FF000000"/>
        <rFont val="Calibri"/>
        <family val="2"/>
      </rPr>
      <t xml:space="preserve">dlvr -&gt; groupBy cust_id   =&gt;  </t>
    </r>
    <r>
      <rPr>
        <sz val="11"/>
        <color rgb="FF000000"/>
        <rFont val="Calibri"/>
        <family val="2"/>
      </rPr>
      <t>Total Inefficency ($) / Total Delivered Volume</t>
    </r>
  </si>
  <si>
    <t>Overlap/Gap  Total mins</t>
  </si>
  <si>
    <r>
      <rPr>
        <b/>
        <sz val="11"/>
        <color rgb="FF000000"/>
        <rFont val="Calibri"/>
        <family val="2"/>
      </rPr>
      <t>dlvr -&gt; groupBy cust_id   =&gt;</t>
    </r>
    <r>
      <rPr>
        <sz val="11"/>
        <color rgb="FF000000"/>
        <rFont val="Calibri"/>
        <family val="2"/>
      </rPr>
      <t xml:space="preserve">  Overlap Total mins +  Gap Total mins</t>
    </r>
  </si>
  <si>
    <t>Overlap/Gap  Total mins per delivery</t>
  </si>
  <si>
    <r>
      <rPr>
        <b/>
        <sz val="11"/>
        <color rgb="FF000000"/>
        <rFont val="Calibri"/>
        <family val="2"/>
      </rPr>
      <t xml:space="preserve">dlvr -&gt; groupBy cust_id   =&gt;  </t>
    </r>
    <r>
      <rPr>
        <sz val="11"/>
        <color rgb="FF000000"/>
        <rFont val="Calibri"/>
        <family val="2"/>
      </rPr>
      <t>Overlap/Gap  Total mins / (Total Number of deliveries -1)</t>
    </r>
  </si>
  <si>
    <t>Overlap Total mins</t>
  </si>
  <si>
    <r>
      <rPr>
        <b/>
        <sz val="11"/>
        <color rgb="FF000000"/>
        <rFont val="Calibri"/>
        <family val="2"/>
      </rPr>
      <t>dlvr -&gt; groupBy cust_id   =&gt;  T</t>
    </r>
    <r>
      <rPr>
        <sz val="11"/>
        <color rgb="FF000000"/>
        <rFont val="Calibri"/>
        <family val="2"/>
      </rPr>
      <t>otal minutes of Overlaps ONLY</t>
    </r>
  </si>
  <si>
    <t>Overlap total mins per delivery</t>
  </si>
  <si>
    <r>
      <rPr>
        <b/>
        <sz val="11"/>
        <color rgb="FF000000"/>
        <rFont val="Calibri"/>
        <family val="2"/>
      </rPr>
      <t>dlvr -&gt; groupBy cust_id   =&gt;</t>
    </r>
    <r>
      <rPr>
        <sz val="11"/>
        <color rgb="FF000000"/>
        <rFont val="Calibri"/>
        <family val="2"/>
      </rPr>
      <t xml:space="preserve">  Total minutes of Overlaps ONLY /  (Total Number of Deliveries -1)</t>
    </r>
  </si>
  <si>
    <t>Gap Total mins</t>
  </si>
  <si>
    <r>
      <rPr>
        <b/>
        <sz val="11"/>
        <color rgb="FF000000"/>
        <rFont val="Calibri"/>
        <family val="2"/>
      </rPr>
      <t>dlvr -&gt; groupBy cust_id   =&gt;  T</t>
    </r>
    <r>
      <rPr>
        <sz val="11"/>
        <color rgb="FF000000"/>
        <rFont val="Calibri"/>
        <family val="2"/>
      </rPr>
      <t>otal minutes of Gaps ONLY</t>
    </r>
  </si>
  <si>
    <t>Gap total mins per delivery</t>
  </si>
  <si>
    <r>
      <rPr>
        <b/>
        <sz val="11"/>
        <color rgb="FF000000"/>
        <rFont val="Calibri"/>
        <family val="2"/>
      </rPr>
      <t>dlvr -&gt; groupBy cust_id   =&gt;</t>
    </r>
    <r>
      <rPr>
        <sz val="11"/>
        <color rgb="FF000000"/>
        <rFont val="Calibri"/>
        <family val="2"/>
      </rPr>
      <t xml:space="preserve">  Total minutes of Gaps /  (Total Number of Deliveries -1)</t>
    </r>
  </si>
  <si>
    <t xml:space="preserve">Customer Delivery detail </t>
  </si>
  <si>
    <r>
      <rPr>
        <b/>
        <sz val="11"/>
        <color rgb="FF000000"/>
        <rFont val="Calibri"/>
        <family val="2"/>
      </rPr>
      <t xml:space="preserve">dlvr -&gt; groupBy cust_id &gt;jobsite_ID&gt;SalesOrder_#&gt;SaleOrderItem#&gt;Requested Delivery Date =&gt;  
</t>
    </r>
    <r>
      <rPr>
        <sz val="11"/>
        <color rgb="FF000000"/>
        <rFont val="Calibri"/>
        <family val="2"/>
      </rPr>
      <t>Overlap/Gap  Total mins * Truck Hourly Rate Parameter/ 60 minutes</t>
    </r>
  </si>
  <si>
    <r>
      <rPr>
        <b/>
        <sz val="11"/>
        <color rgb="FF000000"/>
        <rFont val="Calibri"/>
        <family val="2"/>
      </rPr>
      <t xml:space="preserve">dlvr -&gt; groupBy cust_id &gt;jobsite_ID&gt;SalesOrder_#&gt;SaleOrderItem#&gt;Requested Delivery Date =&gt;   
</t>
    </r>
    <r>
      <rPr>
        <sz val="11"/>
        <color rgb="FF000000"/>
        <rFont val="Calibri"/>
        <family val="2"/>
      </rPr>
      <t>Total Inefficency ($) / Total Number of Deliveries</t>
    </r>
  </si>
  <si>
    <r>
      <rPr>
        <b/>
        <sz val="11"/>
        <color rgb="FF000000"/>
        <rFont val="Calibri"/>
        <family val="2"/>
      </rPr>
      <t xml:space="preserve">dlvr -&gt; groupBy cust_id &gt;jobsite_ID&gt;SalesOrder_#&gt;SaleOrderItem#&gt;Requested Delivery Date =&gt;  
</t>
    </r>
    <r>
      <rPr>
        <sz val="11"/>
        <color rgb="FF000000"/>
        <rFont val="Calibri"/>
        <family val="2"/>
      </rPr>
      <t>Total Inefficency ($) / Total Delivered Volume</t>
    </r>
  </si>
  <si>
    <r>
      <rPr>
        <b/>
        <sz val="11"/>
        <color rgb="FF000000"/>
        <rFont val="Calibri"/>
        <family val="2"/>
      </rPr>
      <t xml:space="preserve">dlvr -&gt; groupBy cust_id &gt;jobsite_ID&gt;SalesOrder_#&gt;SaleOrderItem#&gt;Requested Delivery Date =&gt;  
</t>
    </r>
    <r>
      <rPr>
        <sz val="11"/>
        <color rgb="FF000000"/>
        <rFont val="Calibri"/>
        <family val="2"/>
      </rPr>
      <t>Overlap Total mins +  Gap Total mins</t>
    </r>
  </si>
  <si>
    <r>
      <rPr>
        <b/>
        <sz val="11"/>
        <color rgb="FF000000"/>
        <rFont val="Calibri"/>
        <family val="2"/>
      </rPr>
      <t xml:space="preserve">dlvr -&gt; groupBy cust_id &gt;jobsite_ID&gt;SalesOrder_#&gt;SaleOrderItem#&gt;Requested Delivery Date =&gt;
</t>
    </r>
    <r>
      <rPr>
        <sz val="11"/>
        <color rgb="FF000000"/>
        <rFont val="Calibri"/>
        <family val="2"/>
      </rPr>
      <t xml:space="preserve">  Overlap/Gap  Total mins / Total Number of deliveries </t>
    </r>
  </si>
  <si>
    <t xml:space="preserve">Per discussion with Ian at WoC, changing the values to use the number of deliveries that have a gap or an overlap. E.g If we have 10min Gap and 10 min Overlap, the average would be 10 for each (10/1). Previously, it would have been 5 (10/2) </t>
  </si>
  <si>
    <r>
      <rPr>
        <b/>
        <sz val="11"/>
        <color rgb="FF000000"/>
        <rFont val="Calibri"/>
        <family val="2"/>
      </rPr>
      <t xml:space="preserve">dlvr -&gt; groupBy cust_id &gt;jobsite_ID&gt;SalesOrder_#&gt;SaleOrderItem#&gt;Requested Delivery Date =&gt;
</t>
    </r>
    <r>
      <rPr>
        <sz val="11"/>
        <color rgb="FF000000"/>
        <rFont val="Calibri"/>
        <family val="2"/>
      </rPr>
      <t xml:space="preserve">  Total minutes of Overlaps ONLY</t>
    </r>
  </si>
  <si>
    <r>
      <rPr>
        <b/>
        <sz val="11"/>
        <color rgb="FF000000"/>
        <rFont val="Calibri"/>
        <family val="2"/>
      </rPr>
      <t xml:space="preserve">dlvr -&gt; groupBy cust_id &gt;jobsite_ID&gt;SalesOrder_#&gt;SaleOrderItem#&gt;Requested Delivery Date =&gt;
</t>
    </r>
    <r>
      <rPr>
        <sz val="11"/>
        <color rgb="FF000000"/>
        <rFont val="Calibri"/>
        <family val="2"/>
      </rPr>
      <t xml:space="preserve">  Total minutes of Overlaps ONLY /  Total Number of Deliveries</t>
    </r>
  </si>
  <si>
    <r>
      <rPr>
        <b/>
        <sz val="11"/>
        <color rgb="FF000000"/>
        <rFont val="Calibri"/>
        <family val="2"/>
      </rPr>
      <t xml:space="preserve">dlvr -&gt; groupBy cust_id &gt;jobsite_ID&gt;SalesOrder_#&gt;SaleOrderItem#&gt;Requested Delivery Date =&gt;
</t>
    </r>
    <r>
      <rPr>
        <sz val="11"/>
        <color rgb="FF000000"/>
        <rFont val="Calibri"/>
        <family val="2"/>
      </rPr>
      <t xml:space="preserve">  Total minutes of Gaps ONLY</t>
    </r>
  </si>
  <si>
    <r>
      <rPr>
        <b/>
        <sz val="11"/>
        <color rgb="FF000000"/>
        <rFont val="Calibri"/>
        <family val="2"/>
      </rPr>
      <t xml:space="preserve">dlvr -&gt; groupBy cust_id &gt;jobsite_ID&gt;SalesOrder_#&gt;SaleOrderItem#&gt;Requested Delivery Date =&gt;
</t>
    </r>
    <r>
      <rPr>
        <sz val="11"/>
        <color rgb="FF000000"/>
        <rFont val="Calibri"/>
        <family val="2"/>
      </rPr>
      <t xml:space="preserve">  Total minutes of Gaps ONLY /  Total Number of Deliveries</t>
    </r>
  </si>
  <si>
    <t>Truck Comparison</t>
  </si>
  <si>
    <t>Oppty Widget #1</t>
  </si>
  <si>
    <t>Cost Impact of bottom 5 trucks</t>
  </si>
  <si>
    <t>SUM(cost impact) across bottom 5 trucks</t>
  </si>
  <si>
    <t>Oppty Widget #2</t>
  </si>
  <si>
    <t>Most impactful metrics for bottom 5 trucks</t>
  </si>
  <si>
    <t>For each bottom 5 truck(SUM(Cost Impact for LPD, ALS, CT, Usage))</t>
  </si>
  <si>
    <t>Truck Comparison (Old Version)</t>
  </si>
  <si>
    <t>Across Fleets</t>
  </si>
  <si>
    <t>Delivered Volume</t>
  </si>
  <si>
    <t>For each fleet: SUM(DeliveryQuantity) / COUNT(trucks)</t>
  </si>
  <si>
    <t>Fleet types: All, company-owned, contract, spot, unknown</t>
  </si>
  <si>
    <t>For each fleet: SUM(DeliveryQuantity) / COUNT(Deliveries)</t>
  </si>
  <si>
    <t>Cycle Time (mins)</t>
  </si>
  <si>
    <t>For each fleet: SUM(DeliveryCycleMinutes) / COUNT(deliveries with valid cycle times)</t>
  </si>
  <si>
    <t>Loads per Day</t>
  </si>
  <si>
    <t>For each fleet: COUNT(Deliveries)/SUM(days worked for each trucks)
Day worked = day with at least 1 delivery</t>
  </si>
  <si>
    <t>Busy Hours</t>
  </si>
  <si>
    <t>For each fleet: DeliveryCycleMinutes * Loads per Day [both calculated above]</t>
  </si>
  <si>
    <t>Avg. load size / Capacity%</t>
  </si>
  <si>
    <t>For each fleet: AVERAGE(DeliveryQuantity / Truck Capacity)</t>
  </si>
  <si>
    <t>Status Accuracy</t>
  </si>
  <si>
    <t>For each fleet: AVERAGE(100 * (COUNT(accurate start load timestamps) + COUNT(accurate leave plant timestamps) + COUNT(accurate arrive site timestamps) + COUNT(accurate start unload timestamps) + COUNT(accurate leave site timestamps)) / (5 * COUNT(deliveries)))</t>
  </si>
  <si>
    <t>Truck Shift(hrs)</t>
  </si>
  <si>
    <r>
      <rPr>
        <sz val="10"/>
        <color rgb="FF000000"/>
        <rFont val="Calibri"/>
      </rPr>
      <t xml:space="preserve">For each fleet:
AVERAGE(Per Day Per Truck: Truck End Time - Truck Start Time ) 
whereTruck Start time  = MIN(Assign Time of each Delivery in each day)
Truck End Time  =  MAX (In Plant Time after Delivery Time of each Delivery in each day) 
If no In Plant Time After Delivery is available Then MAX (Leave Jobsite Time)  + Planned Travel Time  for the Last Delivery of that day)
</t>
    </r>
    <r>
      <rPr>
        <sz val="10"/>
        <color rgb="FFFF0000"/>
        <rFont val="Calibri"/>
      </rPr>
      <t xml:space="preserve">
</t>
    </r>
  </si>
  <si>
    <t>(Alternatively, if no InPlantTime (aka return to plant time) available then MAX(AssignTime) + Avg Cycle Time for that truck) - Nathan  July 18, 2023
Comment made because I have found instance where the last delivery does not have a LeaveJobsiteTime</t>
  </si>
  <si>
    <t>Loading Time (mins)</t>
  </si>
  <si>
    <t xml:space="preserve">For each fleet: avg(loadminutes)
</t>
  </si>
  <si>
    <t>Travel Time (mins.)</t>
  </si>
  <si>
    <t>For each fleet: avg(travelminutes)</t>
  </si>
  <si>
    <t>Unload Time (mins.)</t>
  </si>
  <si>
    <t>avg(unloadminutes)</t>
  </si>
  <si>
    <t>Distance to Customer</t>
  </si>
  <si>
    <t>AVERAGE(SiteDistance) Where Distance is &gt; 0</t>
  </si>
  <si>
    <t>All Trucks</t>
  </si>
  <si>
    <t>Ranking (%)</t>
  </si>
  <si>
    <t>Step 1 find for each truck  .... AVERAGE(Rankings of Volume Delivered, Truck Usage,  Busy Hours, Cycle Time, Capacity Utilization, Loading Time, Status Accuracy, Avg. Load Size / Truck Capacity)
Step 2 (Average Ranking for this truck - MIN(Average Ranking  across each truck in the selection)) / (MAX(Average Ranking  across each truck in the selection) - MIN(Average Ranking  across each truck in the selection))
NOTE  the selection could be "the fleet", "Company Owned", Or "Contracted"</t>
  </si>
  <si>
    <t>Cost Impact to Average</t>
  </si>
  <si>
    <t>SUM(Oppy in $ for Truck Usage %, Avg. load size, cycle time (min.), Loads/Day)</t>
  </si>
  <si>
    <t>SUM(DeliveryQuantity)</t>
  </si>
  <si>
    <t>Truck usage (%)</t>
  </si>
  <si>
    <t xml:space="preserve">COUNT(Days Worked) / Working days
NOTE: Working days is a setting, its the number of days the business is opened per year. If view is 30 days, working days = 365/30*300. </t>
  </si>
  <si>
    <t>Avg. load size</t>
  </si>
  <si>
    <t>AVERAGE(DeliveryQuantity)</t>
  </si>
  <si>
    <t>Cycle time (mins)</t>
  </si>
  <si>
    <t>AVERAGE(Delivery Cycle Time)</t>
  </si>
  <si>
    <t>Cycle time (mins) (calculated from above) 
* Loads per Day (calculated below) / 60</t>
  </si>
  <si>
    <t>Loads per day</t>
  </si>
  <si>
    <t>COUNT(Deliveries) / SUM(days worked)</t>
  </si>
  <si>
    <t>ALS% Capacity</t>
  </si>
  <si>
    <t xml:space="preserve">
 Avg. load size (calculated from above) / truck capacity</t>
  </si>
  <si>
    <t>Status accuracy (%)</t>
  </si>
  <si>
    <t>100 * (COUNT(accurate start load timestamps) + COUNT(accurate leave plant timestamps) + COUNT(accurate arrive site timestamps) + COUNT(accurate start unload timestamps) + COUNT(accurate leave site timestamps)) / (5 * COUNT(deliveries))</t>
  </si>
  <si>
    <t>Truck shift (hrs)</t>
  </si>
  <si>
    <t>AVERAGE(Per Day Per Truck: Truck End Time - Truck Start Time )  
WHERE
Truck Start time  = MIN(Assign Time of each Delivery in each day)
Truck End Time  =  MAX (In Plant Time after Delivery Time of each Delivery in each day)  
If no In Plant Time After Delivery is available Then MAX (Leave Jobsite Time)  + Planned Travel Time  for the Last Delivery of that day) 
If all of these values are not available then exlude this day's data from the average.</t>
  </si>
  <si>
    <t>Loading time (mins)</t>
  </si>
  <si>
    <t xml:space="preserve">AVERAGE(LoadMinutes)
</t>
  </si>
  <si>
    <t xml:space="preserve">Travel time (mins) </t>
  </si>
  <si>
    <t xml:space="preserve">AVERAGE(TravelMinutes)
</t>
  </si>
  <si>
    <t>OnSite time (mins)</t>
  </si>
  <si>
    <t xml:space="preserve">AVERAGE(OnsiteTime)
</t>
  </si>
  <si>
    <t xml:space="preserve">Dist. To cust. </t>
  </si>
  <si>
    <t>AVERAGE (SiteDistance)</t>
  </si>
  <si>
    <t>All Trucks - Hover Over</t>
  </si>
  <si>
    <t>Truck Usage % by Truck</t>
  </si>
  <si>
    <t xml:space="preserve">SUM(COUNT(Days Worked) per Truck) / COUNT(Trucks) / Number of Days Worked
</t>
  </si>
  <si>
    <t>Truck Usage All Fleet Average</t>
  </si>
  <si>
    <t>Truck Usage Cost Impact vs Average</t>
  </si>
  <si>
    <t>(Yearly Fixed cost/days worked for the truck - Yearly Fixed Cost/days worked for the avg fleet) * Days worked truck</t>
  </si>
  <si>
    <t>For Company Owned and Contracted only</t>
  </si>
  <si>
    <t>Average Load Size by Truck</t>
  </si>
  <si>
    <t>AVERAGE (DeliveryQuantity)  Sames As Above for each Truck</t>
  </si>
  <si>
    <t>Average Load Size All Fleet Average</t>
  </si>
  <si>
    <t>SUM(DeliveryQuantity) / COUNT (Deliveries)  Sames as Above for the Fleet</t>
  </si>
  <si>
    <t>Average Load Size Cost Impact vs Average</t>
  </si>
  <si>
    <t xml:space="preserve"> 365/days in period * Delivered Volume * [(Truck Cost per Minute * Truck Delivery Cycle Time (minutes) / All Fleet Average Load Size)] -(Truck Cost per Minute * Truck Delivery Cycle Time (minutes) / Truck Avg. Load Size) </t>
  </si>
  <si>
    <t>Cycle Time by Truck</t>
  </si>
  <si>
    <t>SUM(DeliveryCycleMinutes) / COUNT(deliveries) as above for the Truck</t>
  </si>
  <si>
    <t>Cycle Time All Fleet Average</t>
  </si>
  <si>
    <t>SUM(DeliveryCycleMinutes) / COUNT(deliveries) as above for the fleet</t>
  </si>
  <si>
    <t>Cycle Time Cost Impact vs Average</t>
  </si>
  <si>
    <t>Loads per Day by Trucj</t>
  </si>
  <si>
    <t>Loads per Day All Fleet Average</t>
  </si>
  <si>
    <t>COUNT(Deliveries) / SUM(days worked for each truck)</t>
  </si>
  <si>
    <t>Loads per Day Cost Impact vs Average</t>
  </si>
  <si>
    <t>365/days in period * (Fixed Cost/ Current # of loads in period - Fixed Cost / Fleet # of loads in period)*Current number of loads</t>
  </si>
  <si>
    <t>Overall Impact vs average</t>
  </si>
  <si>
    <t>Sum of all 4 opportunities for the truck</t>
  </si>
  <si>
    <t>Selected Truck</t>
  </si>
  <si>
    <t>Truck ID</t>
  </si>
  <si>
    <t>Fleet</t>
  </si>
  <si>
    <t>Truck Capacity</t>
  </si>
  <si>
    <t>TruckCapacity field in DimTruck</t>
  </si>
  <si>
    <t>Home Plant</t>
  </si>
  <si>
    <t>HomePlantName in DimTruck</t>
  </si>
  <si>
    <t>Overall Ranking</t>
  </si>
  <si>
    <t>Volume Delivered (Ranking)</t>
  </si>
  <si>
    <t>(Volume Delivered by this truck - MIN(Volume Delivered across each truck in the selection)) / (MAX(Volume Delivered across each truck in the selection) - MIN(Volume Delivered across each truck in the selection))
NOTE  the selection could be "the fleet", "Compnay Owned", Or "Contracted"</t>
  </si>
  <si>
    <t>Avg Load Size</t>
  </si>
  <si>
    <t>(Avg Load Size for this truck - MIN(Avg Load Size across each truck in the selection)) / (MAX(Avg Load Size  across each truck in the selection) - MIN(Avg Load Size across each truck in the selection))
NOTE  the selection could be "the fleet", "Company Owned", Or "Contracted"</t>
  </si>
  <si>
    <t>Usage (Ranking)</t>
  </si>
  <si>
    <t>(Usage of the truck - MIN(Usage across each truck in the selection)) / (MAX(Usage across each truck in the selection) - MIN(Usage across each truck in the selection))
NOTE the selection could be "the fleet", "Compnay Owned", Or "Contracted"</t>
  </si>
  <si>
    <t>Busy Hours (Ranking)</t>
  </si>
  <si>
    <t>(Busy Hours for this truck - MIN(Busy Hours across each truck in the selection)) / (MAX(Busy Hours across each truck in the selection) - MIN(Busy Hours across each truck in the selection))
NOTE the selection could be "the fleet", "Compnay Owned", Or "Contracted"</t>
  </si>
  <si>
    <t>Cycle Time (Ranking)</t>
  </si>
  <si>
    <t>1- ((Truck's AVG Cycle Time - MIN(AVG Cycle Time for each truck in the Selection)) / (MAX(AVG Cycle Time for each truck in the Selection) - MIN(AVG Cycle Time for each truck in the Selection))
NOTE  1 .the selection could be "the fleet", "Compnay Owned", Or "Contracted"
2. This calculation is slightly different to the rest - a small cycle time id good where as the other metric, bigger is best</t>
  </si>
  <si>
    <t>Loading Time (Ranking)</t>
  </si>
  <si>
    <t>1- ((Truck's AVG Loading Time - MIN(AVG Loading Time for ecah truck in the Selection)) / (MAX(AVG Loading  Time for ecah truck in the Selection) - MIN(AVG Loading  Time for each truck in the Selection))
NOTE  1 .the selection could be "the fleet", "Compnay Owned", Or "Contracted"
2. This calculation is slightly different to the rest - a small Loading time id good where as the other metrics, bigger is best</t>
  </si>
  <si>
    <t>Status Accuracy (Ranking)</t>
  </si>
  <si>
    <t>(Status Accuracy for this truck - MIN(Status Accuracy  across each truck in the selection)) / (MAX(Status Accuracy  across each truck in the selection) - MIN(Status Accuracy  across each truck in the selection))
NOTE the selection could be "the fleet", "Compnay Owned", Or "Contracted"</t>
  </si>
  <si>
    <t>Avg. Load Size / Capacity</t>
  </si>
  <si>
    <t>(Avg. Load Size / Capacity for this truck - MIN(Avg. Load Size / Capacity across each truck in the selection)) / (MAX(Avg. Load Size / Capacity across each truck in the selection) - MIN(Avg. Load Size / Capacity across each truck in the selection))
NOTE the selection could be "the fleet", "Compnay Owned", Or "Contracted"</t>
  </si>
  <si>
    <t>Selected Truck - hover over</t>
  </si>
  <si>
    <t>OwnerType</t>
  </si>
  <si>
    <t>Delivery number</t>
  </si>
  <si>
    <t>Delivery Sequence</t>
  </si>
  <si>
    <t>If its the first, second, third etc. delivery of the day for that truck</t>
  </si>
  <si>
    <t>Deliver From (Plant Identifier)</t>
  </si>
  <si>
    <t>Plant Name of the PlantID associated to the delivery</t>
  </si>
  <si>
    <t>Job Site</t>
  </si>
  <si>
    <t>ShipmentAddress</t>
  </si>
  <si>
    <t>Assign time</t>
  </si>
  <si>
    <t>At plant time</t>
  </si>
  <si>
    <t>Start load time</t>
  </si>
  <si>
    <t>Finish load time</t>
  </si>
  <si>
    <t>Leave Plant time</t>
  </si>
  <si>
    <t>Arrived Site time</t>
  </si>
  <si>
    <t>Start Unload time</t>
  </si>
  <si>
    <t>Leave Site time</t>
  </si>
  <si>
    <t>Arrive Plant After time</t>
  </si>
  <si>
    <t>Loading time</t>
  </si>
  <si>
    <t>Travel time</t>
  </si>
  <si>
    <t>Unloading time</t>
  </si>
  <si>
    <t>Slide Over Panel - All Deliveries</t>
  </si>
  <si>
    <t>Loading Plant</t>
  </si>
  <si>
    <t>Delivery Location</t>
  </si>
  <si>
    <t>Start Load</t>
  </si>
  <si>
    <t>Leave Plant</t>
  </si>
  <si>
    <t>Arrive job</t>
  </si>
  <si>
    <t>Start unload</t>
  </si>
  <si>
    <t>Leave Job</t>
  </si>
  <si>
    <t>Arrive Plant</t>
  </si>
  <si>
    <t>Status Accuracy of Start Load</t>
  </si>
  <si>
    <t>Status Accuracy of Leave Plant</t>
  </si>
  <si>
    <t>Status Accuracy of Arrive JobSite</t>
  </si>
  <si>
    <t>ArriveJobSiteIsAccurate</t>
  </si>
  <si>
    <t>Status Accuracy of Start Unload</t>
  </si>
  <si>
    <t>Status Accuracy of Leave JobSite</t>
  </si>
  <si>
    <t>LeaveJobsiteIsAccurate</t>
  </si>
  <si>
    <t>Cycle Time</t>
  </si>
  <si>
    <t>Here we show the cycle time based on the timestamps
PlantAftertimestamp - AssignTimestamp</t>
  </si>
  <si>
    <t>No</t>
  </si>
  <si>
    <t>O2A</t>
  </si>
  <si>
    <t>Progress bar - landing page</t>
  </si>
  <si>
    <t>Completed past 2 months</t>
  </si>
  <si>
    <t>Completed this month</t>
  </si>
  <si>
    <t>Actions in progress</t>
  </si>
  <si>
    <t>Available opportunities</t>
  </si>
  <si>
    <t>Demand Spread Index</t>
  </si>
  <si>
    <t>DSI Table</t>
  </si>
  <si>
    <t>Plant Group DSI</t>
  </si>
  <si>
    <t>Sum (all trucks working in all plants in that interval) / Max (trucks in the period) -&gt; Average of each day</t>
  </si>
  <si>
    <t>Plant Average DSI</t>
  </si>
  <si>
    <t>average(SUM(Truck working in each intervals) / ((Max trucks in same interval * # of 15min blocks)) -&gt; Average of each day</t>
  </si>
  <si>
    <t>DSI</t>
  </si>
  <si>
    <t>SUM(Truck working in each intervals) / ((Max trucks in same interval * # of 15min blocks) - See DSI vs Plant Group DSI tab for an example</t>
  </si>
  <si>
    <t>Annualized Cost Impact per plant</t>
  </si>
  <si>
    <t>See widget 4 below (calculator), this is the math to follow. Current state = current DSI
Target State = Average DSI
Improvement opportunity = Volume*Truck cost /60 * average cycle time / average load size * (1- Current DSI / Target DSI) * (365/number of days in period)</t>
  </si>
  <si>
    <t>Cost Impact of Group DSI</t>
  </si>
  <si>
    <t xml:space="preserve">Improvement opportunity = Volume*Truck cost /60 * average cycle time / average load size * (1- Plant Average DSI / Group DSI) </t>
  </si>
  <si>
    <t>Cost Impact of Average Plants</t>
  </si>
  <si>
    <t>sum (Cost impact per plant)</t>
  </si>
  <si>
    <t>Last 12 months</t>
  </si>
  <si>
    <t>Average (Plant DSIs in the last 12 months)</t>
  </si>
  <si>
    <t>DSI by Month</t>
  </si>
  <si>
    <t>Same values as above but on a line graph</t>
  </si>
  <si>
    <t>Plant Group Average</t>
  </si>
  <si>
    <t>Deliveries in progress</t>
  </si>
  <si>
    <t>Average DSI</t>
  </si>
  <si>
    <t>working interval is the moment the truck is assigned to a delivery to the moment the truck is back at the plant after completing a delivery, split in 15min increments. A truck that leaves at 13:58 and comes back at 15:01 would count in 6 increments</t>
  </si>
  <si>
    <t>Deliveries in Progress by day</t>
  </si>
  <si>
    <t># of Trucks working in 15-minute block</t>
  </si>
  <si>
    <t>For that specific day</t>
  </si>
  <si>
    <t>Deliveries in Progress by month</t>
  </si>
  <si>
    <t>Average (# of Trucks working in 15-minute block)</t>
  </si>
  <si>
    <t>The monthly view is the average of all days of the month, thus representing the "average day"</t>
  </si>
  <si>
    <t>Calculator</t>
  </si>
  <si>
    <t>DSI - Current</t>
  </si>
  <si>
    <t>Same way to calculate as above</t>
  </si>
  <si>
    <t>DSI - Target</t>
  </si>
  <si>
    <t>Manually inputed by user</t>
  </si>
  <si>
    <t>Line graph curve</t>
  </si>
  <si>
    <t xml:space="preserve">Drawn by calculating the values for each DSI %
Truck cost /60 * average cycle time of plants / average load size </t>
  </si>
  <si>
    <t>Number of trucks required - Current</t>
  </si>
  <si>
    <t>Max (Average (# of Trucks working in 15-minute block))</t>
  </si>
  <si>
    <t>Number of trucks required - Target</t>
  </si>
  <si>
    <t>round up (Current number of trucks / New Busy hours * current busy hours)</t>
  </si>
  <si>
    <t>Busy Hours - Current</t>
  </si>
  <si>
    <t>Cycle time (mins) * Loads per Day / 60 
OR
DSI * 12</t>
  </si>
  <si>
    <t>Busy Hours - Target</t>
  </si>
  <si>
    <t>"The Calculation in ACDC is actually the new region DSI + Improved value in % (cell above) x 12
or  take the current Busy Hours adnd multiply it by the improved value. E.g: Current busy hours = 7.8 and current DSI = 65%. If Target DSI = 70%, do 7.8*70/65</t>
  </si>
  <si>
    <t>AVERAGE(Valid Delivery Cycle Time)</t>
  </si>
  <si>
    <t>ALS (yd3)</t>
  </si>
  <si>
    <t>SUM(Delivery Volume across fleet)/COUNT(Deliveries)</t>
  </si>
  <si>
    <t>Truck Usage</t>
  </si>
  <si>
    <t>COUNT(DAYS_WORKED) / WORKING_DAYS</t>
  </si>
  <si>
    <t>Cost per yd3 - current</t>
  </si>
  <si>
    <t xml:space="preserve">Truck cost /60 * average cycle time of plants / average load size </t>
  </si>
  <si>
    <t>Cost per yd3 - target</t>
  </si>
  <si>
    <t>Same"Truck Cost per hr * 60 * Average Cycle Time /  ALS * Current Busy Hours / New Busy Hours
This is to proportion the fixed cost (daily rate) over more hours thereofre reducing costs"</t>
  </si>
  <si>
    <t>Truck Cost per hr * 60 * Average Cycle Time /  ALS * Current Busy Hours / New Busy Hours</t>
  </si>
  <si>
    <t>Utilization Capacity</t>
  </si>
  <si>
    <t>Usage x Busy Hours * 60 * ALS / Average Cycle Time in minutes  * No Working Days Paramater</t>
  </si>
  <si>
    <t>Volume (last 12 months)</t>
  </si>
  <si>
    <t>SUM (Delivery quantities)</t>
  </si>
  <si>
    <t>Cost Benefit per yd3</t>
  </si>
  <si>
    <t>Cost per Yard target scenario - Cost per yard Current scenario</t>
  </si>
  <si>
    <t>Annualized Improvement Opportunity (Cost Impact)</t>
  </si>
  <si>
    <t>Volume * Cost benefit per yd3 * 365/days in period</t>
  </si>
  <si>
    <t>Worst 5 plants moving to average</t>
  </si>
  <si>
    <t>Plant group with highest improvement opportunity (centralization opportunity)</t>
  </si>
  <si>
    <t xml:space="preserve"> Volume * Cost benefit per yd3</t>
  </si>
  <si>
    <t>This is like putting the plant average as the "current" scenario in the calculator and the Plant Group DSI as the "Target" Scenario.</t>
  </si>
  <si>
    <t>Margin by Customer</t>
  </si>
  <si>
    <t>Everywhere (core calculation)</t>
  </si>
  <si>
    <t>Margin on materials (MoM)</t>
  </si>
  <si>
    <t>Margin = Sum of ConcretelInvoice - Sum of Total Material Cost -&gt;  when FlagInvoiceisValid = 1</t>
  </si>
  <si>
    <t>Margin on materials after delivery (MoMD)</t>
  </si>
  <si>
    <t>Margin = (Sum of TotalInvoice - Sum of Total Material Cost - (Truck cost per hour/60 * DeliveryCycleMinutes) -&gt;  when FlagInvoiceisValid = 1</t>
  </si>
  <si>
    <t>Margin Unit Rate</t>
  </si>
  <si>
    <t>Margin / Volume</t>
  </si>
  <si>
    <t>Margin depends on the margin selected (MoM or MoMD)</t>
  </si>
  <si>
    <t>Margin %</t>
  </si>
  <si>
    <t>MoM -&gt; Margin / Sum(Concrete Invoice)
MoMD -&gt; Margin / Sum(Total Invoice)</t>
  </si>
  <si>
    <t>Margin Total</t>
  </si>
  <si>
    <t>Sum (Margin)</t>
  </si>
  <si>
    <t>KPI Widget</t>
  </si>
  <si>
    <t>Margin / Sum(Total Invoice)</t>
  </si>
  <si>
    <t>Margin (+ve)</t>
  </si>
  <si>
    <t>Sum (Margin) for each customer with margin &gt; 0</t>
  </si>
  <si>
    <t>Margin (-VE)</t>
  </si>
  <si>
    <t>Sum (Margin) for each customer with margin &lt; 0</t>
  </si>
  <si>
    <t>Valid Deliveries</t>
  </si>
  <si>
    <t># of deliveries with FlagInvoiceValid = 1 / # of deliveries</t>
  </si>
  <si>
    <t>Customer Top 5 / Bottom 5</t>
  </si>
  <si>
    <t>Margin / Volume for each customer</t>
  </si>
  <si>
    <t>Margin / Sum(Total Invoice) for each customer</t>
  </si>
  <si>
    <t>Sum (Margin) for each customer</t>
  </si>
  <si>
    <t>Sum(DeliveryQuantity)</t>
  </si>
  <si>
    <t>-&gt;  when FlagInvoiceisValid = 1</t>
  </si>
  <si>
    <t>Margin By Customer</t>
  </si>
  <si>
    <t>Margin UR / Margin % or Margin % for each customer</t>
  </si>
  <si>
    <t>Margin depends on the margin selected (MoM or MoMD) and the view selected (UR, % or Total)</t>
  </si>
  <si>
    <t>Margin By Customer-shipto</t>
  </si>
  <si>
    <t>Margin UR / Margin % or Margin % for each customer-shipto</t>
  </si>
  <si>
    <t>Scatter Plot</t>
  </si>
  <si>
    <t>Margin by customer-plant-shipto</t>
  </si>
  <si>
    <t>Margin UR / Margin % or Margin % for each customer-plant-shipto</t>
  </si>
  <si>
    <t>Margin by customer</t>
  </si>
  <si>
    <t>Customer by product, ship-to and plant table</t>
  </si>
  <si>
    <t>MoM</t>
  </si>
  <si>
    <t>Margin = Sum of TotalInvoice - Sum of Total Material Cost -&gt;  when FlagInvoiceisValid = 1</t>
  </si>
  <si>
    <t>Depends on the view selected (UR, % or Total)</t>
  </si>
  <si>
    <t>MoMD</t>
  </si>
  <si>
    <t>Margin = (Sum of TotalInvoice - Sum of Total Material Cost - (Truck cost per hour /60* DeliveryCycleMinutes) -&gt;  when FlagInvoiceisValid = 1</t>
  </si>
  <si>
    <t xml:space="preserve">Volume </t>
  </si>
  <si>
    <t>Opp to average</t>
  </si>
  <si>
    <t>For each Customer-Ship-to-product-plant. 
If plant filter active: (Total UR MOMD for that plant - Current Unit rate) * Volume (for that row)
If not: (Total UR MOMD for all customers - Current Unit rate) * Volume (for that row)</t>
  </si>
  <si>
    <t>Always MOMD
If negative value, return 0</t>
  </si>
  <si>
    <t>Tooltips</t>
  </si>
  <si>
    <t>Unit Price</t>
  </si>
  <si>
    <t>TotalInvoice / Sum(Delivery Quanity)</t>
  </si>
  <si>
    <t>Unit Material Cost</t>
  </si>
  <si>
    <t>TotalMaterialCost/ Sum(Delivery Quanity)</t>
  </si>
  <si>
    <t>Unit Delivery Cost</t>
  </si>
  <si>
    <t>DeliveryCycleMinutes*(Truck cost per hour/60) / Sum(Delivery Quanity)</t>
  </si>
  <si>
    <t>MoM Unit Rate</t>
  </si>
  <si>
    <t>( Sum of ConcretelInvoice - Sum of Total Material Cost)/ Sum(Delivery Quanity) -&gt;  when FlagInvoiceisValid = 1</t>
  </si>
  <si>
    <t>MoM Total</t>
  </si>
  <si>
    <t>Sum of ConcretelInvoice - Sum of Total Material Cost -&gt;  when FlagInvoiceisValid = 1</t>
  </si>
  <si>
    <t>MoM %</t>
  </si>
  <si>
    <t>(Sum of ConcretelInvoice - Sum of Total Material Cost)/sum(totalinvoice) -&gt;  when FlagInvoiceisValid = 1</t>
  </si>
  <si>
    <t>MoMD Unit Rate</t>
  </si>
  <si>
    <t>(Sum of TotalInvoice - Sum of Total Material Cost - (Truck cost per hour/60* DeliveryCycleMinutes)/ Sum(deliveryQuanity) -&gt;  when FlagInvoiceisValid = 1</t>
  </si>
  <si>
    <t>MoMD Total</t>
  </si>
  <si>
    <t>(Sum of TotalInvoice - Sum of Total Material Cost - (Truck cost per hour/60 * DeliveryCycleMinutes) -&gt;  when FlagInvoiceisValid = 1</t>
  </si>
  <si>
    <t>MoMD %</t>
  </si>
  <si>
    <t>(Sum of TotalInvoice - Sum of Total Material Cost - (Truck cost per hour/60 * DeliveryCycleMinutes) / Sum(TotalInvoice) -&gt; when FlagInvoiceisValid = 1</t>
  </si>
  <si>
    <t>Average (Cycle time) for each delivery by Ship to, Customer, plant group, plant</t>
  </si>
  <si>
    <t>Delivery Cost</t>
  </si>
  <si>
    <t>Average (DeliveryCycleMinutes)*Truck cost per hour/60 for each delivery by Ship to, Customer, plant group, plant -&gt;  when FlagInvoiceisValid = 1</t>
  </si>
  <si>
    <t xml:space="preserve">Average (DeliveryQuantity) for each delivery by Ship to, Customer, plant group, plant </t>
  </si>
  <si>
    <t>Opportunity Widget</t>
  </si>
  <si>
    <t>MoMD Opportunity</t>
  </si>
  <si>
    <t xml:space="preserve">For each Customer-Ship-to-plant (Average UR margin for all - Current Unit rate) * Volume for MoMD. </t>
  </si>
  <si>
    <t>when FlagInvoiceisValid = 1 and deliverystatus = Delivered. Last 3 months and annualized</t>
  </si>
  <si>
    <t>Average Selling Price &amp; Margin</t>
  </si>
  <si>
    <t>All widgets (data is grouped differently)</t>
  </si>
  <si>
    <t>Customer Price (Concrete price)</t>
  </si>
  <si>
    <t>Sum(ConcreteInvoice)/Sum(DeliveryQuantity) -&gt;  when FlagProductCostValid = 1 and deliverystatus = Delivered</t>
  </si>
  <si>
    <t>Need to determine what 2 fields to use in our DB (Customer price vs Selling price)</t>
  </si>
  <si>
    <t>Service Charges</t>
  </si>
  <si>
    <t>sum(LogisticsSurchargeInvoice)/Sum(DeliveryQuantity) -&gt;  when FlagProductCostValid = 1 and deliverystatus = Delivered</t>
  </si>
  <si>
    <t>Selling Price</t>
  </si>
  <si>
    <t>Sum(TotalInvoice)/Sum(DeliveryQuantity)  -&gt;  when FlagProductCostValid = 1 and deliverystatus = Delivered</t>
  </si>
  <si>
    <t>Material Cost</t>
  </si>
  <si>
    <t>Sum(TotalMaterialCosts)/Sum(DeliveryQuantity)  -&gt;  when FlagProductCostValid = 1 and deliverystatus = Delivered</t>
  </si>
  <si>
    <t>Margin = Sum of TotalInvoice - Sum of Total Material Cost -&gt;  when FlagProductCostValid = 1 and deliverystatus = Delivered</t>
  </si>
  <si>
    <t>Sum(DeliveryCycleMinutes)*Truck cost per hour/60 -&gt; -&gt;  when FlagProductCostValid = 1 and deliverystatus = Delivered</t>
  </si>
  <si>
    <t>Margin = (Sum of TotalInvoice - Sum of Total Material Cost - (Truck cost per hour /60* DeliveryCycleMinutes) -&gt;  when FlagProductCostValid = 1 and deliverystatus = Delivered</t>
  </si>
  <si>
    <t>Total Volume</t>
  </si>
  <si>
    <t>Core Calculation</t>
  </si>
  <si>
    <t>COUNT(Days Worked in period) / Working days in period
Days worked = days with at least 1 delivery
Total working days in period = Annual working days *days in period/365
WHEN
DeliveryStatus = Delivered and Type = Delivery</t>
  </si>
  <si>
    <t>Days worked is determined by the deliveryDate of a delivery
annual working day is a business setting (Json file and DimBusiness table)</t>
  </si>
  <si>
    <t>when DeliveryStatus = Delivered and Type = Delivery</t>
  </si>
  <si>
    <t>Usage</t>
  </si>
  <si>
    <t>See above</t>
  </si>
  <si>
    <t>vs Previous</t>
  </si>
  <si>
    <t xml:space="preserve">Comparison with the same period last year, so if 12 months: (Truck Usage (Last rolling 12 months) - Truck Usage (last rolling 12 months starting 1 year before)) / (last rolling 12 months starting 1 year before)) </t>
  </si>
  <si>
    <t>Average from November 2023 to december 2022
vs
Average from November 2022 to December 2021</t>
  </si>
  <si>
    <t>Company Owned</t>
  </si>
  <si>
    <t>Truck Usage when ownership type = Company Owned</t>
  </si>
  <si>
    <t>Contracted</t>
  </si>
  <si>
    <t>Truck Usage when ownership type = Contracted</t>
  </si>
  <si>
    <t>Spot Volume</t>
  </si>
  <si>
    <t xml:space="preserve"> sum(deliveryQuantity) when ownership type = Spot / total volume</t>
  </si>
  <si>
    <t>Top5/Bottom 5 + Opportunity Page</t>
  </si>
  <si>
    <t xml:space="preserve">Opportunity </t>
  </si>
  <si>
    <t>(Avg ALL Trucks Usage% - Truck Usage %)  * truck cost per day * Annual Work Days * %Fixed cost</t>
  </si>
  <si>
    <t>Usage by Ownership</t>
  </si>
  <si>
    <t>Usage line</t>
  </si>
  <si>
    <t>Rolling 12 months Average (Days worked by truck / working days in the period) for all trucks within a truck ownership type
Working days in the period = Days worked in year / 365 * days in period</t>
  </si>
  <si>
    <t>In the trucks table, there is a TruckOwnerType field 
We have a table called TrucksDailyUsage, that is currently not populated that could be where we store which trucks worked when. Or we can calculate that from the delivery table. Each delivery has a DeliveryDate
Days worked in the year is a business setting. It is not stored in our SQL DB at the moment. It will be stored as a dimension in the star schema. For now its a value in a JSON file. we can default it to 300</t>
  </si>
  <si>
    <t>Usage by Truck</t>
  </si>
  <si>
    <t>Usage bar</t>
  </si>
  <si>
    <t xml:space="preserve">Truck Usage per truck </t>
  </si>
  <si>
    <t>The colour is determined by the truck ownership type</t>
  </si>
  <si>
    <t>Usage by truck capacity</t>
  </si>
  <si>
    <t>Line</t>
  </si>
  <si>
    <t>Truck Usage per truck capacity group</t>
  </si>
  <si>
    <t>Top/bottom 10 trucks</t>
  </si>
  <si>
    <t xml:space="preserve">Truck </t>
  </si>
  <si>
    <t>home plant of truck</t>
  </si>
  <si>
    <t>Ownership</t>
  </si>
  <si>
    <t>Truck ownership</t>
  </si>
  <si>
    <t>Days worked by truck / working days in the period
Working days in the period = Days worked in year / 365 * days in period</t>
  </si>
  <si>
    <t xml:space="preserve">Top/bottom 10 trucks </t>
  </si>
  <si>
    <t>Sum(Delivery quantities) last 12 months when DeliveryStatus = Delivered and Type = Delivery</t>
  </si>
  <si>
    <t>#2 Unused Usage % Fixed Cost = (Avg Truck Usage% - Truck Usage %)  * truck cost per day * Annual Work Days</t>
  </si>
  <si>
    <t>Still need to confirm the exact logic</t>
  </si>
  <si>
    <t>Usage by plant</t>
  </si>
  <si>
    <t>For each plant: COUNT(Days Worked in period) / Working days in period</t>
  </si>
  <si>
    <t>Usage by truck by plant</t>
  </si>
  <si>
    <t>For each truck: COUNT(Deliveries)/SUM(days worked for each trucks)</t>
  </si>
  <si>
    <t>Each truck is put in the column of its home plant</t>
  </si>
  <si>
    <t>Margin by Product</t>
  </si>
  <si>
    <t>Margin = Sum of ConcretelInvoice - Sum of Total Material Cost -&gt;  when FlagProductCostValid = 1</t>
  </si>
  <si>
    <t xml:space="preserve">MoM -&gt; Margin / Sum(Concrete Invoice)
</t>
  </si>
  <si>
    <t>Sum (Margin) for each product with margin &lt; 0</t>
  </si>
  <si>
    <t># of deliveries with FlagProductCostValid = 1 / # of deliveries</t>
  </si>
  <si>
    <t>product Top 5 / Bottom 5</t>
  </si>
  <si>
    <t>Opportunity = (Avg MoM Unit rate - MoM Unit rate for that product) * volume for that product
Avg MoM Unit Rate = Sum (Concrete Invoice - Material Cost)/Volume for all Deliveries 
MoM Unit rate for product = Sum (Concrete Invoice - Material Cost)/Volume for each product
If plant filter active: (Total UR MOMD for that plant - Current Unit rate) * Volume (for that row)
If not: (Total UR MOMD for all products - Current Unit rate) * Volume (for that row)</t>
  </si>
  <si>
    <t>Margin / Volume for each product</t>
  </si>
  <si>
    <t>Margin / Sum(Total Invoice) for each product</t>
  </si>
  <si>
    <t>Sum (Margin) for each product</t>
  </si>
  <si>
    <t>Margin By product</t>
  </si>
  <si>
    <t>Margin UR / Margin % or Margin % for each product</t>
  </si>
  <si>
    <t>Margin By product-plant</t>
  </si>
  <si>
    <t>Margin UR / Margin % or Margin % for each product-plant</t>
  </si>
  <si>
    <t>Avg MoM Unit rate for all products</t>
  </si>
  <si>
    <t>(Sum of ConcretelInvoice - Sum of Total Material Cost)/(sum delivery quantity) -&gt;  when FlagProductCostValid = 1</t>
  </si>
  <si>
    <t xml:space="preserve">
Opportunity = (Avg MoM Unit rate - MoM Unit rate for that product) * volume for that product
Avg MoM Unit Rate = Sum (Concrete Invoice - Material Cost)/Volume for all Deliveries 
MoM Unit rate for product = Sum (Concrete Invoice - Material Cost)/Volume for each product
If plant filter active: (Total UR MOMD for that plant - Current Unit rate) * Volume (for that row)
If not: (Total UR MOMD for all products - Current Unit rate) * Volume (for that row)</t>
  </si>
  <si>
    <t>KPI</t>
  </si>
  <si>
    <t>Percent of deliveries in tolerance </t>
  </si>
  <si>
    <t>Percent of all deliveries that are within the tolerance levels for all material types (same as batching accuracy)</t>
  </si>
  <si>
    <t>Volume delivered/plant</t>
  </si>
  <si>
    <t>Sum(DeliveryQuantity)/count(plants that did a delivery) when status = delivered and type = delivery</t>
  </si>
  <si>
    <t>avg % overyield</t>
  </si>
  <si>
    <t>Sum(Yield Variation) when Yield variation &gt; 0 (same as in design yield)</t>
  </si>
  <si>
    <t xml:space="preserve"> =( (Sum of TotalInvoice - Sum of Total Material Cost - (Truck cost per hour/60 * DeliveryCycleMinutes))(sum(total Invoice) -&gt;¬† when FlagProductCostValid = 1</t>
  </si>
  <si>
    <t>MOM %</t>
  </si>
  <si>
    <t>( Sum of ConcretelInvoice - Sum of Total Material Cost)/ Sum(Concrete Invoice) -&gt;¬† when FlagProductCostValid = 1</t>
  </si>
  <si>
    <t>Logistics Costs % of Selling Price</t>
  </si>
  <si>
    <t>(Truck cost per hour/60 * Sum(DeliveryCycleMinutes)) / Sum(Total Invoice)</t>
  </si>
  <si>
    <t>volume/truck hour</t>
  </si>
  <si>
    <t>Average load size/avg CycleMinutes</t>
  </si>
  <si>
    <t>Sum(deliveryquantity)/(count of deliveries) when status = delivered and type = delivery</t>
  </si>
  <si>
    <t>Avg(Delivery Cycle minutes)</t>
  </si>
  <si>
    <t>Travel Time (one way)</t>
  </si>
  <si>
    <t>Avg(TravelTime)</t>
  </si>
  <si>
    <t>On site time</t>
  </si>
  <si>
    <t>Avg (on site time)</t>
  </si>
  <si>
    <t>Load time</t>
  </si>
  <si>
    <t xml:space="preserve">Avg(Loadtime) </t>
  </si>
  <si>
    <t>Avg (Truck usage
COUNT(Days Worked in period) / Working days in period
Days worked = days with at least 1 delivery
Total working days in period = Annual working days *days in period/365
WHEN
DeliveryStatus = Delivered and Type = Delivery</t>
  </si>
  <si>
    <t>Loads/truck/day</t>
  </si>
  <si>
    <t>count of deliveries / # of unique truck-days for Company Owned Trucks</t>
  </si>
  <si>
    <t>Volume/truck/day</t>
  </si>
  <si>
    <t>tbd</t>
  </si>
  <si>
    <t>Sum( delivery quantity) / # of unique truck-days</t>
  </si>
  <si>
    <t>put a pin for now, review with tony</t>
  </si>
  <si>
    <t>Utilization</t>
  </si>
  <si>
    <t xml:space="preserve">Sum( delivery quantity) / (count unique trucks)*365/days in period for Company Owned Trucks </t>
  </si>
  <si>
    <t>Truck Idle time %</t>
  </si>
  <si>
    <t>(1-(busy hours/shift hours))</t>
  </si>
  <si>
    <t>SHIFT HOUR For each fleet:
AVERAGE(Per Day Per Truck: Truck End Time - Truck Start Time ) 
whereTruck Start time  = MIN(Assign Time of each Delivery in each day)
Truck End Time  =  MAX (In Plant Time after Delivery Time of each Delivery in each day) 
If no In Plant Time After Delivery is available Then MAX (Leave Jobsite Time)  + Planned Travel Time  for the Last Delivery of that day)</t>
  </si>
  <si>
    <t>Overall Status Accuracy %</t>
  </si>
  <si>
    <t>count(accurate start load +leave plant + arrive site + start unload + leave site) / count(deliveries) *5</t>
  </si>
  <si>
    <t>Average Gap</t>
  </si>
  <si>
    <t>(((Sum of all gap)/60)*trucking cost)/(total volume with a gap)</t>
  </si>
  <si>
    <t>Average Overlap</t>
  </si>
  <si>
    <t>(((Sum of all overlaps)/60)*trucking cost)/(total volume with an overlap)</t>
  </si>
  <si>
    <t>Sum( delivery quantity) / # of unique truck-days for Company Owned Trucks</t>
  </si>
  <si>
    <t>Truck Comparison (New Version)</t>
  </si>
  <si>
    <t>All trucks (Fleet) table</t>
  </si>
  <si>
    <t>TruckOwnershipType</t>
  </si>
  <si>
    <t>Cost Impact</t>
  </si>
  <si>
    <t>Sum(deliveryquantity)</t>
  </si>
  <si>
    <t>Volume Per Day</t>
  </si>
  <si>
    <t>Sum(deliveryquantity)/count(days worked by the truck)
Day worked = day with at least 1 delivery</t>
  </si>
  <si>
    <t>Sum(deliveryquantity)/count(deliveries)</t>
  </si>
  <si>
    <t>Capacity</t>
  </si>
  <si>
    <t>Capacity in truck table</t>
  </si>
  <si>
    <t>Loads Per Day</t>
  </si>
  <si>
    <t>COUNT(Deliveries)/SUM(days worked for each trucks)
Day worked = day with at least 1 delivery</t>
  </si>
  <si>
    <t xml:space="preserve">SUM(COUNT(Days Worked) per Truck)/ Number of Days Worked in the period
</t>
  </si>
  <si>
    <t>Check the truck usage dashboard, this metric is already built</t>
  </si>
  <si>
    <t>Unproductive days (days with less than X loads)</t>
  </si>
  <si>
    <t>The user can set a threshold in the settings. Count of working days with less than X deliveries done by that truck
E.g if the user sets it at 2, include all days with 0,1 and 2 deliveries.</t>
  </si>
  <si>
    <t>Shift hours</t>
  </si>
  <si>
    <t>This is how we do it today in react,  not sure what performance will look like here.</t>
  </si>
  <si>
    <t>Avg(DeliveryCycleMinutes) 
* Loads per Day / 60</t>
  </si>
  <si>
    <t>Busy hours (%)</t>
  </si>
  <si>
    <t>Busy hours / shift hours</t>
  </si>
  <si>
    <t>Avg (DeliveryCycleMinutes)</t>
  </si>
  <si>
    <t>Yard Mixing Time</t>
  </si>
  <si>
    <t>Leave Plant - FinishLoad</t>
  </si>
  <si>
    <t>On site washout time</t>
  </si>
  <si>
    <t>avg (washout minutes)</t>
  </si>
  <si>
    <t>Opportunities</t>
  </si>
  <si>
    <t xml:space="preserve"> (Fixed Cost/ Current # of loads in period - Fixed Cost / Fleet # of loads in period)*Current number of loads</t>
  </si>
  <si>
    <t>should match the hover in the app</t>
  </si>
  <si>
    <t>Cycle time</t>
  </si>
  <si>
    <t>(TruckCycle time - Avg cycle time)*Truck Loads Per Day*Number of days*Truck Cost per minute</t>
  </si>
  <si>
    <t>Avg load size</t>
  </si>
  <si>
    <t xml:space="preserve">Truck Usage </t>
  </si>
  <si>
    <t>Truck details</t>
  </si>
  <si>
    <t>Ranking - High is good</t>
  </si>
  <si>
    <t>Same calc for all metrics, just replace Load size with any metric
(Avg Load Size for this truck - MIN(Avg Load Size across each truck in the selection)) / (MAX(Avg Load Size  across each truck in the selection) - MIN(Avg Load Size across each truck in the selection))
NOTE  the selection could be "the fleet", "Company Owned", Or "Contracted"</t>
  </si>
  <si>
    <t>Ranking - High is bad</t>
  </si>
  <si>
    <t xml:space="preserve">Same calc for all metrics, just replace Load size with any metric
1 - ((Truck's AVG Loading Time - MIN(AVG Loading Time for ecah truck in the Selection)) / (MAX(AVG Loading  Time for ecah truck in the Selection) - MIN(AVG Loading  Time for each truck in the Selection))
</t>
  </si>
  <si>
    <t>Avg load size / capacity</t>
  </si>
  <si>
    <t>avg(deliveryquantity) / truck capacity</t>
  </si>
  <si>
    <t>Loading Time</t>
  </si>
  <si>
    <t>Travel Time</t>
  </si>
  <si>
    <t>Unload Time</t>
  </si>
  <si>
    <t>Dead Space between deliveries</t>
  </si>
  <si>
    <t xml:space="preserve"> For each day with 2 deliveries or more: (Truck shift hours - busy hours)/(#deliveries -1). Then do the average of the days</t>
  </si>
  <si>
    <t>Busy hours</t>
  </si>
  <si>
    <t>Avg(delivery quantity)</t>
  </si>
  <si>
    <t>Yearly Utilization (per truck)</t>
  </si>
  <si>
    <t>Truck Usage * DaysWorkedPerYear * Loads per day * Avg Load Size</t>
  </si>
  <si>
    <t>Calculator - Cost Control</t>
  </si>
  <si>
    <t># of trucks</t>
  </si>
  <si>
    <t>count (trucks) with at least 1 delivery in the period</t>
  </si>
  <si>
    <t>count of trucks * Utilization</t>
  </si>
  <si>
    <t>Cost per Yard current</t>
  </si>
  <si>
    <t>(truck cost per hour/60) * cycle time / avg(delivery quantity)</t>
  </si>
  <si>
    <t>Cost per Yard target</t>
  </si>
  <si>
    <t>(truck cost per hour/60) * cycle time / avg(delivery quantity) * old busy hours/new busy hours</t>
  </si>
  <si>
    <t>Opportunity</t>
  </si>
  <si>
    <t>(Old cost per yard - target cost per yard) * volume</t>
  </si>
  <si>
    <t>Calculator - Growth</t>
  </si>
  <si>
    <t>Margin = (Sum of TotalInvoice - Sum of Total Material Cost - (Truck cost per hour/60 * DeliveryCycleMinutes) -&gt; when FlagProductCostValid = 1</t>
  </si>
  <si>
    <t>(New volume - Old Volume) * MoMD</t>
  </si>
  <si>
    <t>Globalization Concern</t>
  </si>
  <si>
    <t>Geographic Concern</t>
  </si>
  <si>
    <t>Imperial (example)</t>
  </si>
  <si>
    <t>Metric (example)</t>
  </si>
  <si>
    <t>Additional Comments</t>
  </si>
  <si>
    <t>Canada</t>
  </si>
  <si>
    <t>Yield variation cost</t>
  </si>
  <si>
    <t>Currency</t>
  </si>
  <si>
    <t>All Countries</t>
  </si>
  <si>
    <t>N/A</t>
  </si>
  <si>
    <t>$</t>
  </si>
  <si>
    <t>Production volume</t>
  </si>
  <si>
    <t>yd³</t>
  </si>
  <si>
    <t>m³</t>
  </si>
  <si>
    <t>M3</t>
  </si>
  <si>
    <t xml:space="preserve">Concrete Volume </t>
  </si>
  <si>
    <t>Kg</t>
  </si>
  <si>
    <t>Weight</t>
  </si>
  <si>
    <t>KM/M</t>
  </si>
  <si>
    <t>Distance</t>
  </si>
  <si>
    <t>Oppty #3</t>
  </si>
  <si>
    <t>Liters</t>
  </si>
  <si>
    <t>Water Volume</t>
  </si>
  <si>
    <t>Top 5 under/over yield</t>
  </si>
  <si>
    <t>Ml</t>
  </si>
  <si>
    <t>Concrete AdMixture</t>
  </si>
  <si>
    <t>Design Yield Variations</t>
  </si>
  <si>
    <t>ft³</t>
  </si>
  <si>
    <t>L</t>
  </si>
  <si>
    <t>Metric countries are aiming for a yield of 1000L (1m3)</t>
  </si>
  <si>
    <t>Edit Tolerances</t>
  </si>
  <si>
    <t>Cost Base</t>
  </si>
  <si>
    <t>Other</t>
  </si>
  <si>
    <t>SG should be unitless</t>
  </si>
  <si>
    <t>Over-batched/under-batched</t>
  </si>
  <si>
    <t>Oppty widget #2</t>
  </si>
  <si>
    <t>Costing Period</t>
  </si>
  <si>
    <t>Edit Tolerances - cement</t>
  </si>
  <si>
    <t>Cost/weight</t>
  </si>
  <si>
    <t>Currency / weight</t>
  </si>
  <si>
    <t>Local Currency / ton</t>
  </si>
  <si>
    <t>Local Currency / tonne</t>
  </si>
  <si>
    <t>Edit Tolerances - SCM</t>
  </si>
  <si>
    <t>Edit Tolerances - aggregate</t>
  </si>
  <si>
    <t>Edit Tolerances - sand</t>
  </si>
  <si>
    <t>Edit Tolerances - additives</t>
  </si>
  <si>
    <t>Cost/volume</t>
  </si>
  <si>
    <t>Currency / volume</t>
  </si>
  <si>
    <t>Local Currency / oz</t>
  </si>
  <si>
    <t>Local Currency / ml</t>
  </si>
  <si>
    <t>Customer Cost of Service</t>
  </si>
  <si>
    <t>Cost/yd3</t>
  </si>
  <si>
    <t>Total cost impact</t>
  </si>
  <si>
    <t>Deliver volume</t>
  </si>
  <si>
    <t>Cost to service</t>
  </si>
  <si>
    <t>Average load size</t>
  </si>
  <si>
    <t>Total CI vs Average</t>
  </si>
  <si>
    <t>Delivery volume</t>
  </si>
  <si>
    <t>Local Currency /yd³</t>
  </si>
  <si>
    <t>Local Currency/m³</t>
  </si>
  <si>
    <t>Current Cost to Service</t>
  </si>
  <si>
    <t>Opportunity Widget #1</t>
  </si>
  <si>
    <t>Opportunity Widget #2</t>
  </si>
  <si>
    <t>Opportunity Widget #3</t>
  </si>
  <si>
    <t>Status Accuracy by Truck</t>
  </si>
  <si>
    <t>Status Accuracy by Jobsite</t>
  </si>
  <si>
    <t>Settings</t>
  </si>
  <si>
    <t>Cost impact of 10% improvement</t>
  </si>
  <si>
    <t>Efficiency by Customer</t>
  </si>
  <si>
    <t>Total Inefficiency</t>
  </si>
  <si>
    <t>Efficiency by Pour</t>
  </si>
  <si>
    <t>Cost Impact vs Average</t>
  </si>
  <si>
    <t>Miles</t>
  </si>
  <si>
    <t>Km</t>
  </si>
  <si>
    <t>Cement Opportunity</t>
  </si>
  <si>
    <t>Total Opportunity</t>
  </si>
  <si>
    <t>Excess Cement</t>
  </si>
  <si>
    <t>Insufficient cement</t>
  </si>
  <si>
    <t>Product Opportunity (top 5 / bottom 5)</t>
  </si>
  <si>
    <t>Annualized total opportunity</t>
  </si>
  <si>
    <t>All Products</t>
  </si>
  <si>
    <t>Annualized opportunity</t>
  </si>
  <si>
    <t>Grade Strength</t>
  </si>
  <si>
    <t>Pressure</t>
  </si>
  <si>
    <t>PSI</t>
  </si>
  <si>
    <t>MPa</t>
  </si>
  <si>
    <t>3 Mo. Volume</t>
  </si>
  <si>
    <t>Cement Opportunity (lb/yd3)</t>
  </si>
  <si>
    <t>Weight/Voume</t>
  </si>
  <si>
    <t>lb/yd³</t>
  </si>
  <si>
    <t>kg/m³</t>
  </si>
  <si>
    <t>K-Factor</t>
  </si>
  <si>
    <t>May change depending on customer geography, even within a country</t>
  </si>
  <si>
    <t>Comparison vs Product Opportunity</t>
  </si>
  <si>
    <t>Cost impact of excess cement</t>
  </si>
  <si>
    <t>Required Cement</t>
  </si>
  <si>
    <t>UOM</t>
  </si>
  <si>
    <t>Weight/Volume</t>
  </si>
  <si>
    <t>lbs | yd³</t>
  </si>
  <si>
    <t>kg | m³</t>
  </si>
  <si>
    <t>Target Strength</t>
  </si>
  <si>
    <t>Cement required for Actual Strength</t>
  </si>
  <si>
    <t>lbs</t>
  </si>
  <si>
    <t>Cement required for Water/Cementitious Ratio</t>
  </si>
  <si>
    <t>Cement required for Minimum Cementitious</t>
  </si>
  <si>
    <t>Plant with highest opportunity</t>
  </si>
  <si>
    <t>Oppty widget 2</t>
  </si>
  <si>
    <t>Opprtunity</t>
  </si>
  <si>
    <t>DSI Improvement Calculator</t>
  </si>
  <si>
    <t>Cost per yd3</t>
  </si>
  <si>
    <t>Cost yd3</t>
  </si>
  <si>
    <t>Map</t>
  </si>
  <si>
    <t>Material Moisture Testing</t>
  </si>
  <si>
    <t>Batch Water Proportions</t>
  </si>
  <si>
    <t>Water Volume / Concrete Volume</t>
  </si>
  <si>
    <t>gal | yd³</t>
  </si>
  <si>
    <t>L | m³</t>
  </si>
  <si>
    <t>Moisture Testing Coverage / Results</t>
  </si>
  <si>
    <t>Testing and Moisture by Material</t>
  </si>
  <si>
    <t>Ton</t>
  </si>
  <si>
    <t>Tonne</t>
  </si>
  <si>
    <t>Page</t>
  </si>
  <si>
    <t>Landing</t>
  </si>
  <si>
    <t>Opportunity Value</t>
  </si>
  <si>
    <t>Cumulative Cost Impact: Over-batched + -1 * under-batched</t>
  </si>
  <si>
    <t>Yield variation cost over-designed + -1 * yield variation cost under-designed</t>
  </si>
  <si>
    <t>Cumulative cost impact highest 5 customers</t>
  </si>
  <si>
    <t>Cost Impact of plant with highest potential  + cost impact of bottom 5 trucks + cost impact of bottom 5 jobsite</t>
  </si>
  <si>
    <t>Truck Activity Comparison</t>
  </si>
  <si>
    <t>Needs to be mapped to data model to find out</t>
  </si>
  <si>
    <t>Widget name</t>
  </si>
  <si>
    <t xml:space="preserve">Data field - level 1 </t>
  </si>
  <si>
    <t>Data field level 2</t>
  </si>
  <si>
    <t xml:space="preserve">Is this an input fields or calculation or N/A? </t>
  </si>
  <si>
    <t>Mapping to DataModel</t>
  </si>
  <si>
    <t>If calculation, what is the formula?</t>
  </si>
  <si>
    <t>Remarks / Comments</t>
  </si>
  <si>
    <t>Top widget: overall stats</t>
  </si>
  <si>
    <t> </t>
  </si>
  <si>
    <t>Top 5 customer by overlap/gap</t>
  </si>
  <si>
    <t xml:space="preserve">First </t>
  </si>
  <si>
    <t>Total Inefficiency ($)</t>
  </si>
  <si>
    <t>Deliveries.DeliveryGapOverlapMinutes</t>
  </si>
  <si>
    <t>Overlap * Truck Hourly Rate / 60</t>
  </si>
  <si>
    <t>Total Inefficiency ($/Deliveries)</t>
  </si>
  <si>
    <t>based on Total Inefficiency ($)</t>
  </si>
  <si>
    <t>Total Inefficiency ($) / Number of deliveries</t>
  </si>
  <si>
    <t>Total Inefficiency ($/m3)</t>
  </si>
  <si>
    <t>Total Inefficiency ($) / Volume</t>
  </si>
  <si>
    <t>Total minute / Number of Deliveries</t>
  </si>
  <si>
    <t>Divice by number of deliveries or number of deliveries with overlap?</t>
  </si>
  <si>
    <t>T</t>
  </si>
  <si>
    <t>Divice by number of deliveries or number of deliveries with gap?</t>
  </si>
  <si>
    <t>Overlap/Gap  total mins per delivery</t>
  </si>
  <si>
    <t xml:space="preserve">Total minutes/ Total Number of deliveries  (Gap + overlap) </t>
  </si>
  <si>
    <t>Second</t>
  </si>
  <si>
    <t>Total Inefficiency ($) per delivery</t>
  </si>
  <si>
    <t>Total minutes per delivery * $/60</t>
  </si>
  <si>
    <t>Total Inefficiency ($) per delivery / Number of deliveries</t>
  </si>
  <si>
    <t>Total Inefficiency ($) per delivery / Volume</t>
  </si>
  <si>
    <t>Total delivery minute / Number of Deliveries</t>
  </si>
  <si>
    <t>Total delievry minute / Number of Deliveries</t>
  </si>
  <si>
    <t>Third</t>
  </si>
  <si>
    <t>Loading and unloading detail</t>
  </si>
  <si>
    <t>Overlap/Gap</t>
  </si>
  <si>
    <t>Deliveries.DeliveryQuantity</t>
  </si>
  <si>
    <t>Time of Assign</t>
  </si>
  <si>
    <t>Deliveries.TruckAssignTimestamp</t>
  </si>
  <si>
    <t>Time of SL</t>
  </si>
  <si>
    <t>Deliveries.TruckStartLoadTimestamp</t>
  </si>
  <si>
    <t>Time of FL</t>
  </si>
  <si>
    <t>Deliveries.TruckFinishLoadTimestamp</t>
  </si>
  <si>
    <t>Time of LP</t>
  </si>
  <si>
    <t>Deliveries.TruckLeavePlantTimestamp</t>
  </si>
  <si>
    <t>Time of Arrive site</t>
  </si>
  <si>
    <t>Deliveries.TruckArriveSiteTimestamp</t>
  </si>
  <si>
    <t>Time of SU</t>
  </si>
  <si>
    <t>Deliveries.TruckStartUnloadTimestamp</t>
  </si>
  <si>
    <t>Time of FU</t>
  </si>
  <si>
    <t>Deliveries.TruckFinishUnloadTimestamp</t>
  </si>
  <si>
    <t>Time of LS</t>
  </si>
  <si>
    <t>Deliveries.TruckLeaveSiteTimestamp</t>
  </si>
  <si>
    <t>Total Volume of Assign Gap</t>
  </si>
  <si>
    <t>Deliveries.TruckAssignGap</t>
  </si>
  <si>
    <t>Total Volume of Loading</t>
  </si>
  <si>
    <t>Deliveries.LoadMinutes</t>
  </si>
  <si>
    <t>Total Volume ofTravelling</t>
  </si>
  <si>
    <t>Deliveries.TravelMinutes</t>
  </si>
  <si>
    <t>Total wait to unload</t>
  </si>
  <si>
    <t>Deliveries.WaitToUnloadMinutes</t>
  </si>
  <si>
    <t>Total Volume of unloading</t>
  </si>
  <si>
    <t>Deliveries.UnloadMinutes</t>
  </si>
  <si>
    <t>Fourth</t>
  </si>
  <si>
    <t>Deliveries.CustomerId -&gt; customers</t>
  </si>
  <si>
    <t>Not on figma?</t>
  </si>
  <si>
    <t>Ship-to-name</t>
  </si>
  <si>
    <t>Deliveries.CustomerId -&gt; customers?</t>
  </si>
  <si>
    <t>Sale Order</t>
  </si>
  <si>
    <t>Deliveries.SalesOrderNumber</t>
  </si>
  <si>
    <t>SO Item</t>
  </si>
  <si>
    <t>Deliveries.SalesOrderItemNumber</t>
  </si>
  <si>
    <t>Day of Delivery</t>
  </si>
  <si>
    <t>Deliveries.DeliveryDate</t>
  </si>
  <si>
    <t>First Assignment</t>
  </si>
  <si>
    <t>Deliveries.ShipmentLatitude?</t>
  </si>
  <si>
    <t>Final Assignemnt</t>
  </si>
  <si>
    <t>Deliveries.ShipmentLongitude?</t>
  </si>
  <si>
    <t>Total number of quantity</t>
  </si>
  <si>
    <t>Total number of delivery</t>
  </si>
  <si>
    <t>count(deliveries) per order?</t>
  </si>
  <si>
    <t>Bottom right widget</t>
  </si>
  <si>
    <r>
      <rPr>
        <sz val="11"/>
        <color rgb="FF000000"/>
        <rFont val="Calibri"/>
        <family val="2"/>
      </rPr>
      <t xml:space="preserve">Input:
- WORKING_DAYS: User input
Calculated truck metrics:
- DAYS_WORKED: Number of days a truck had some activity
</t>
    </r>
    <r>
      <rPr>
        <sz val="11"/>
        <color rgb="FFFFC000"/>
        <rFont val="Calibri"/>
        <family val="2"/>
      </rPr>
      <t xml:space="preserve">Beforehand calculate truck rankings ((Truck KPI - MIN(KPI)) / (MAX(KPI) - MIN(KPI))):
</t>
    </r>
    <r>
      <rPr>
        <sz val="11"/>
        <color rgb="FF000000"/>
        <rFont val="Calibri"/>
        <family val="2"/>
      </rPr>
      <t xml:space="preserve">- Delivered Volume Ranking
- Truck usage % Ranking
- Cycle time Ranking
- Busy Ranking
</t>
    </r>
    <r>
      <rPr>
        <sz val="11"/>
        <color rgb="FFFF0000"/>
        <rFont val="Calibri"/>
        <family val="2"/>
      </rPr>
      <t xml:space="preserve">- Capacity utilization Ranking
</t>
    </r>
    <r>
      <rPr>
        <sz val="11"/>
        <color rgb="FF000000"/>
        <rFont val="Calibri"/>
        <family val="2"/>
      </rPr>
      <t>- Loading time Ranking
- Status accuracy Ranking
- Avg. Load Size / Truck Capacity Ranking</t>
    </r>
  </si>
  <si>
    <t>Data Model</t>
  </si>
  <si>
    <t>Comments</t>
  </si>
  <si>
    <t>Trucks.TruckName</t>
  </si>
  <si>
    <t>Rank</t>
  </si>
  <si>
    <t>AVERAGE(Rankings of Volume Delivered, Truck Usage, Busy Hours, Cycle Time, Capacity Utilization, Loading Time, Status Accuracy, Avg. Load Size / Truck Capacity) / MAX(Average of Rankings)</t>
  </si>
  <si>
    <t>Trucks.TruckCapacity</t>
  </si>
  <si>
    <t>SUM(Deliveries.DeliveryQuantity)</t>
  </si>
  <si>
    <t>Truck usage %</t>
  </si>
  <si>
    <t>AVERAGE(Deliveries.DeliveryQuantity)</t>
  </si>
  <si>
    <t>AVERAGE(Deliveries.DeliveryCycleMinutes)</t>
  </si>
  <si>
    <t>Busy</t>
  </si>
  <si>
    <t>Cycle time * Loads per day / 60</t>
  </si>
  <si>
    <t>COUNT(Deliveries) / DAYS_WORKED</t>
  </si>
  <si>
    <t>Average load size / Trucks.TruckCapacity</t>
  </si>
  <si>
    <t>Status accuracy</t>
  </si>
  <si>
    <t>100 * (COUNT(Deliveries.StartLoadIsAccurate) + COUNT(Deliveries.LeavePlantIsAccurate) + COUNT(Deliveries.ArriveSiteIsAccurate) + COUNT(Deliveries.StartUnloadIsAccurate) + COUNT(Deliveries.LeaveSiteIsAccurate)) / (5 * COUNT(deliveries))</t>
  </si>
  <si>
    <t>Truck shift</t>
  </si>
  <si>
    <t>AVERAGE(Per Day): MAX(Deliveries.TruckPlantAfterTimestamp) - MIN(Deliveries.TruckAssignTimestamp))  - Do we have Truck Sign On and Off times</t>
  </si>
  <si>
    <t>If Deliveries.TruckPlantAfterTimestamp is null then MAX(Deliveries.TruckLeaveSiteTimestamp)  + Deliveries.TheoreticalTravelMinutes for the Last Delivery of that day)</t>
  </si>
  <si>
    <t>AVERAGE(Deliveries.LoadMinutes)</t>
  </si>
  <si>
    <t>AVERAGE(Deliveries.TravelMinutes)</t>
  </si>
  <si>
    <t>Unload time</t>
  </si>
  <si>
    <t>AVERAGE(Deliveries.UnloadMinutes)</t>
  </si>
  <si>
    <t>Distance to customer</t>
  </si>
  <si>
    <t>AVERAGE(Deliveries.SiteDistance)</t>
  </si>
  <si>
    <t>Mapping to Data Model</t>
  </si>
  <si>
    <t>Cost Impact for LPD, ALS, CT, Usage</t>
  </si>
  <si>
    <t>Cycle Time Valid Flag</t>
  </si>
  <si>
    <t>Truck Capacity = derived from Delivery Volume</t>
  </si>
  <si>
    <t>Accuracy Flags</t>
  </si>
  <si>
    <t>Truck Assign Timestamp</t>
  </si>
  <si>
    <t>Truck In Plant Timestamp</t>
  </si>
  <si>
    <t>Planned Travel Time</t>
  </si>
  <si>
    <t>Truck Leave Site Timestamp</t>
  </si>
  <si>
    <t>Truck Sign On Time</t>
  </si>
  <si>
    <t>Truck Sign Off Time</t>
  </si>
  <si>
    <t>Truck Leave Plant Timestamp</t>
  </si>
  <si>
    <t>Truck Start Load Timestamp</t>
  </si>
  <si>
    <t>Truck Arrive Site Timestamp</t>
  </si>
  <si>
    <t>?</t>
  </si>
  <si>
    <t>Annualized Truck Fixed Cost = Parameter?</t>
  </si>
  <si>
    <t>Truck Cost per Minute = Truck Hourly Rate Parameter?</t>
  </si>
  <si>
    <t>% Drivers Wages = Parameter?</t>
  </si>
  <si>
    <t>TruckName?</t>
  </si>
  <si>
    <t>via Deliveries.PlantId?</t>
  </si>
  <si>
    <t>Truck Type?</t>
  </si>
  <si>
    <t>TruckType?</t>
  </si>
  <si>
    <t>Term</t>
  </si>
  <si>
    <t>Category</t>
  </si>
  <si>
    <t>Description</t>
  </si>
  <si>
    <t>Additives</t>
  </si>
  <si>
    <t>Materials</t>
  </si>
  <si>
    <t>A category of materials used in concrete mixes</t>
  </si>
  <si>
    <t>Arrive Jobsite Time</t>
  </si>
  <si>
    <t>The timestamp generated when a concrete truck arrives at the jobsite for the delivery</t>
  </si>
  <si>
    <t>Arrive Plant After Time</t>
  </si>
  <si>
    <t>The timestamp generated when the truck arrives back at the plant after completing its delivery</t>
  </si>
  <si>
    <t>Assign Time</t>
  </si>
  <si>
    <t xml:space="preserve">The timestamp generated when ticket (concrete delivery) is assigned to a truck </t>
  </si>
  <si>
    <t>The average number of deliveries a truck makes per day over a given timeframe</t>
  </si>
  <si>
    <t>Avg. Load Size / Truck Capacity</t>
  </si>
  <si>
    <t>The ratio fo the average load size / truck capacity</t>
  </si>
  <si>
    <t>How many hours per day a truck is performing deliveries.</t>
  </si>
  <si>
    <t>Coarse Aggregate</t>
  </si>
  <si>
    <t>A category of materials used in concrete mixes (E.g., rock)</t>
  </si>
  <si>
    <t>The average amount of time it takes for a delivery to be completed from start to finish. Caclulated as Arrive Plant After Time - Assign Ticket Time</t>
  </si>
  <si>
    <t>Delivery Gap</t>
  </si>
  <si>
    <t>Sales, Delivery</t>
  </si>
  <si>
    <t>Delivery Overlap</t>
  </si>
  <si>
    <t>Delivery Voume</t>
  </si>
  <si>
    <t>Delivery, Sales</t>
  </si>
  <si>
    <t>The volume of concrete actually delivered in a given time period by a given set of trucks.</t>
  </si>
  <si>
    <t>A measure of how constant demand for concrete is throughtout a day. E.g., 100% DSI would mean demand is constant from 8AM to 5PM (actual hours may be different)</t>
  </si>
  <si>
    <t>Fine Aggregate</t>
  </si>
  <si>
    <t>A category of materials used in concrete mixes (E.g., sand)</t>
  </si>
  <si>
    <t>Production</t>
  </si>
  <si>
    <t>The advertised strength of concrete a certain mix is designed for</t>
  </si>
  <si>
    <t>Jobsite</t>
  </si>
  <si>
    <t>The location a customer needs the concrete delivered to.</t>
  </si>
  <si>
    <t>A customer can have multiple jobsites</t>
  </si>
  <si>
    <t>K-factor</t>
  </si>
  <si>
    <t>A risk factor that is adjusted based on tolerance for sub-strength mixes. I.e., how often a producer is OK with a given product not achieving grade strength</t>
  </si>
  <si>
    <t>Leave Jobsite Time</t>
  </si>
  <si>
    <t>The timestamp generated when a concrete truck leaves the jobsite after unloading the delivery</t>
  </si>
  <si>
    <t>Leave Plant Time</t>
  </si>
  <si>
    <t>The timestamp generated when a concrete truck leaves the plant for a delivery</t>
  </si>
  <si>
    <t>The time it takes for a concrete truck to complete the loading of concrete at the plant. Calculated as start unload time.</t>
  </si>
  <si>
    <t>as start unload time???  - by SUO</t>
  </si>
  <si>
    <t>Material Moisture %</t>
  </si>
  <si>
    <t>Materials, Production</t>
  </si>
  <si>
    <t>A measure of how much of a given material's weight is water</t>
  </si>
  <si>
    <t>Calculation TBD</t>
  </si>
  <si>
    <t>Moisture Testing Coverage</t>
  </si>
  <si>
    <t>A measure of how often material is being tested for material</t>
  </si>
  <si>
    <t>Order</t>
  </si>
  <si>
    <t>The actual receipt of items requested by a customer</t>
  </si>
  <si>
    <t>Each jobsite will place an order</t>
  </si>
  <si>
    <t>Order item</t>
  </si>
  <si>
    <t>One line item of a given order. Each order item corresponds to a product</t>
  </si>
  <si>
    <t>Each order can have multiple sales order items</t>
  </si>
  <si>
    <t>Plant Group</t>
  </si>
  <si>
    <t>Also called Regions, Management units etc. This is a group of plants belonging to an overarching group. Highest level of the hierarchy</t>
  </si>
  <si>
    <t>Pour</t>
  </si>
  <si>
    <t>A series of deliveries on a given day of one particular order-order item combo</t>
  </si>
  <si>
    <t xml:space="preserve">
Each sales order/sales-order item combination consists of multiple pours
Each pour takes place on one day
Each pour can have multiple deliveries (a.k.a loads, tickets)
Each delivery is carried out by one truck</t>
  </si>
  <si>
    <t>Product</t>
  </si>
  <si>
    <t>Sales, Materials, Production, Delivery</t>
  </si>
  <si>
    <t>A specific mix of concrete defined by multiple characteristics</t>
  </si>
  <si>
    <t>SCM</t>
  </si>
  <si>
    <t>Semi-cementitious Material</t>
  </si>
  <si>
    <t>Start Load Time</t>
  </si>
  <si>
    <t>The timestamp generated when a concrete truck begins loading concrete for a delivery</t>
  </si>
  <si>
    <t>Start Unload Time</t>
  </si>
  <si>
    <t>The timestamp generated when a concrete truck begins unloading concrete at the jobsite</t>
  </si>
  <si>
    <t>The strength a mix should be designed to achieve given a grade strength and K-factor</t>
  </si>
  <si>
    <t>The time it takes for a concrete truck to travel to the jobsite from the plant. Calculated as Arrive Jobsite Time - Leave Plant time</t>
  </si>
  <si>
    <t>The estimated capacity of a given truck. Calculated as the maximum volume a truck delivered within a the last 12 months</t>
  </si>
  <si>
    <t>Not sure if the timeframe to calculate the max volume is actually 12 months or not</t>
  </si>
  <si>
    <t>Truck Usage %</t>
  </si>
  <si>
    <t>A measure of how many days per year a truck performs at least one delivery. Calculated as (# of days with one delivery) / (# of working days) where # of working is a user provided input</t>
  </si>
  <si>
    <t>Unloading Time</t>
  </si>
  <si>
    <r>
      <t xml:space="preserve">The time it takes for a concrete truck to pour concrete. </t>
    </r>
    <r>
      <rPr>
        <sz val="11"/>
        <color rgb="FFFF0000"/>
        <rFont val="Calibri"/>
        <family val="2"/>
        <scheme val="minor"/>
      </rPr>
      <t>Calculation needed</t>
    </r>
  </si>
  <si>
    <t>Waiting Time</t>
  </si>
  <si>
    <t>The time between when a concrete truck arrives at the jobste and when it actually begins pouring concrete. Calculated as Start Unload Time - Arrive Jobsite time</t>
  </si>
  <si>
    <t>Water / Cementitious Ratio</t>
  </si>
  <si>
    <t>The ratio of water to cement in a given mix</t>
  </si>
  <si>
    <t>Estimate Page</t>
  </si>
  <si>
    <t>Summary</t>
  </si>
  <si>
    <t>Total Material Costs per yard</t>
  </si>
  <si>
    <t>Average Selling Price</t>
  </si>
  <si>
    <t>Material Costs</t>
  </si>
  <si>
    <t>Delivery Costs</t>
  </si>
  <si>
    <t>Other Costs</t>
  </si>
  <si>
    <t>Margin</t>
  </si>
  <si>
    <t>Product 1</t>
  </si>
  <si>
    <t>Concrete Mix 1</t>
  </si>
  <si>
    <t>Product 2</t>
  </si>
  <si>
    <t>Material Costs 1</t>
  </si>
  <si>
    <t>Material Name</t>
  </si>
  <si>
    <t>Cost per Tonne</t>
  </si>
  <si>
    <t>Cost</t>
  </si>
  <si>
    <t>Be careful of unit conversion here</t>
  </si>
  <si>
    <t>Discount</t>
  </si>
  <si>
    <t>Material 1</t>
  </si>
  <si>
    <t>Extras</t>
  </si>
  <si>
    <t>N/a</t>
  </si>
  <si>
    <t>Material 2</t>
  </si>
  <si>
    <t>Material 3</t>
  </si>
  <si>
    <t>Total Margin</t>
  </si>
  <si>
    <t>Delivery Costs for Product 1</t>
  </si>
  <si>
    <t>Actual Margin</t>
  </si>
  <si>
    <t># of deliveries for product</t>
  </si>
  <si>
    <t>Not going to appear</t>
  </si>
  <si>
    <t>Product Delivery Costs per yd</t>
  </si>
  <si>
    <t>Product Specific Load Size</t>
  </si>
  <si>
    <t>Product Specific Load Time</t>
  </si>
  <si>
    <t>Product Specific On Site time</t>
  </si>
  <si>
    <t>Concrete Mix 2</t>
  </si>
  <si>
    <t>Material Costs 2</t>
  </si>
  <si>
    <t>Material Details</t>
  </si>
  <si>
    <t>Truck Cost</t>
  </si>
  <si>
    <t>Delivery Costs for Product 2</t>
  </si>
  <si>
    <t>Delivery Cycle</t>
  </si>
  <si>
    <t>Extra Margin</t>
  </si>
  <si>
    <t>Extra Product Name</t>
  </si>
  <si>
    <t>Unit</t>
  </si>
  <si>
    <t>Price</t>
  </si>
  <si>
    <t>Extra Product 1</t>
  </si>
  <si>
    <t>per load</t>
  </si>
  <si>
    <t>Extra Product 2</t>
  </si>
  <si>
    <t>per m3</t>
  </si>
  <si>
    <t>Extra Product 3</t>
  </si>
  <si>
    <t>Total Delivery Costs</t>
  </si>
  <si>
    <t>Calculated</t>
  </si>
  <si>
    <t>Truck Cost per hour</t>
  </si>
  <si>
    <t>Global Settings</t>
  </si>
  <si>
    <t>Load Size</t>
  </si>
  <si>
    <t>Input</t>
  </si>
  <si>
    <t>Can be set Per Product</t>
  </si>
  <si>
    <t>Utilization Factor</t>
  </si>
  <si>
    <t>Delivery Cycle time</t>
  </si>
  <si>
    <t xml:space="preserve">Load Time </t>
  </si>
  <si>
    <t>Can be set per product</t>
  </si>
  <si>
    <t>Input or Calculation</t>
  </si>
  <si>
    <t>This can be overwritten</t>
  </si>
  <si>
    <t>Travel Distance</t>
  </si>
  <si>
    <t>Using 60km/h as avg speed</t>
  </si>
  <si>
    <t xml:space="preserve">On Site Time </t>
  </si>
  <si>
    <t>This can be overwritten. Can be set Per Product</t>
  </si>
  <si>
    <t>Cannot be set by product</t>
  </si>
  <si>
    <t>Washdown Time</t>
  </si>
  <si>
    <t>Administration</t>
  </si>
  <si>
    <t>Plant Fixed Costs</t>
  </si>
  <si>
    <t>Plant Variable Costs</t>
  </si>
  <si>
    <t>Customer Discount</t>
  </si>
  <si>
    <t>Pricing Widget (top right widget)</t>
  </si>
  <si>
    <t>Overhead Costs</t>
  </si>
  <si>
    <t>Target Margin %</t>
  </si>
  <si>
    <t>Margin UR</t>
  </si>
  <si>
    <t>This will not appear in the actual widget</t>
  </si>
  <si>
    <t>Sub total</t>
  </si>
  <si>
    <t>Remove discount</t>
  </si>
  <si>
    <t>This is a margin, not a cost</t>
  </si>
  <si>
    <t>Current</t>
  </si>
  <si>
    <t>Target</t>
  </si>
  <si>
    <t>Business Settings</t>
  </si>
  <si>
    <t>Avg Load size</t>
  </si>
  <si>
    <t>days worked</t>
  </si>
  <si>
    <t>Fixed Cost %</t>
  </si>
  <si>
    <t>Yearly Utilization</t>
  </si>
  <si>
    <t>Cost control</t>
  </si>
  <si>
    <t>Growth</t>
  </si>
  <si>
    <t>Cost Per Yard</t>
  </si>
  <si>
    <t>Margin Unit Rate (MoMD)</t>
  </si>
  <si>
    <t>Costs</t>
  </si>
  <si>
    <t>Total Cost</t>
  </si>
  <si>
    <t>Total Fixed</t>
  </si>
  <si>
    <t>Total Variable</t>
  </si>
  <si>
    <t>Variable per m3</t>
  </si>
  <si>
    <t>Total per m3</t>
  </si>
  <si>
    <t>Parameters</t>
  </si>
  <si>
    <t>=</t>
  </si>
  <si>
    <t>We use the AggregatedDeliveriesSlot table to get the results like below</t>
  </si>
  <si>
    <t>Plant 1</t>
  </si>
  <si>
    <t>Plant DSI</t>
  </si>
  <si>
    <t>Plant 2</t>
  </si>
  <si>
    <t>Daily Plant Group DSI</t>
  </si>
  <si>
    <t xml:space="preserve">Plant Group Average </t>
  </si>
  <si>
    <t>Time (slot)</t>
  </si>
  <si>
    <t>Trucks required</t>
  </si>
  <si>
    <t>Max Truck Required in period</t>
  </si>
  <si>
    <t>DSI per min</t>
  </si>
  <si>
    <t>Time</t>
  </si>
  <si>
    <t>DSI per 15min</t>
  </si>
  <si>
    <t xml:space="preserve">Parameters </t>
  </si>
  <si>
    <t>Model</t>
  </si>
  <si>
    <t>Current + 1%</t>
  </si>
  <si>
    <t>Targeted</t>
  </si>
  <si>
    <t xml:space="preserve"> - Truck Cost / hr</t>
  </si>
  <si>
    <t>Demand Spread Index (DSI)</t>
  </si>
  <si>
    <t xml:space="preserve"> - Number of working Days per Annum</t>
  </si>
  <si>
    <t>Days in period</t>
  </si>
  <si>
    <t>Avg. Load Size (yd3)</t>
  </si>
  <si>
    <t>Cost   ($/yd3)</t>
  </si>
  <si>
    <t>Volume (last month)</t>
  </si>
  <si>
    <t>Improvement Opportunity</t>
  </si>
  <si>
    <t>costimpact=deliveryStats.TotalDeliveredVolume * (current.CostPerVolume - target.CostPerVolume)</t>
  </si>
  <si>
    <t>Table:</t>
  </si>
  <si>
    <t xml:space="preserve">Improvement opportunity = Volume*Truck cost /60 * cycle time / average load size * (1- Current DSI / Target DSI) </t>
  </si>
  <si>
    <t>Improvement opportunity = Volume*Truck cost /60 * cycle time / average load size * (1- Current DSI / Target DSI)</t>
  </si>
  <si>
    <t xml:space="preserve">Truck cost /60 * cycle time / average load size * Current DSI / Target DSI - (Truck cost /60 * cycle time / average load size) </t>
  </si>
  <si>
    <t>Demoimp1</t>
  </si>
  <si>
    <t>Month of may</t>
  </si>
  <si>
    <t>Month of May</t>
  </si>
  <si>
    <t>Avg DSI</t>
  </si>
  <si>
    <t>Group DSI</t>
  </si>
  <si>
    <t>I think we look at the individual plant maximum instead of the sum of all plants</t>
  </si>
  <si>
    <t>Slot</t>
  </si>
  <si>
    <t>TrucksRequiredCount</t>
  </si>
  <si>
    <t>Max truck in period</t>
  </si>
  <si>
    <t>DSI per slot</t>
  </si>
  <si>
    <t>Region</t>
  </si>
  <si>
    <t>TrucksRequiredCountREGION</t>
  </si>
  <si>
    <t>For may 1st</t>
  </si>
  <si>
    <t>Dover</t>
  </si>
  <si>
    <t>Springfield</t>
  </si>
  <si>
    <t>Washington</t>
  </si>
  <si>
    <t>SumTruck</t>
  </si>
  <si>
    <t>DSIDisvisor</t>
  </si>
  <si>
    <t xml:space="preserve"> Max Truck = 18</t>
  </si>
  <si>
    <t>Count/2 = 48</t>
  </si>
  <si>
    <t>Group</t>
  </si>
  <si>
    <t>Comment</t>
  </si>
  <si>
    <t>COUNT(Days Worked in period) / Working days in period
Days worked = days with at least 1 delivery
Total working days in period = Annual working days *days in period/365
WHEN
DeliveryStatus = Delivered</t>
  </si>
  <si>
    <t>Sum(Delivery quantities) last 12 months</t>
  </si>
  <si>
    <t>Data</t>
  </si>
  <si>
    <t>Truck cost per hour (DimBusiness table)</t>
  </si>
  <si>
    <t>DeliveryID</t>
  </si>
  <si>
    <t>FlagInvoiceValid</t>
  </si>
  <si>
    <t>ProductID</t>
  </si>
  <si>
    <t>TotalRevenue</t>
  </si>
  <si>
    <t>Delivery factor (delivery table)</t>
  </si>
  <si>
    <t>DeliveryCost</t>
  </si>
  <si>
    <t>Unit Rate</t>
  </si>
  <si>
    <t>%</t>
  </si>
  <si>
    <t>Total</t>
  </si>
  <si>
    <t>PlantA</t>
  </si>
  <si>
    <t>CustomerA</t>
  </si>
  <si>
    <t>ProductA</t>
  </si>
  <si>
    <t>ShiptoA</t>
  </si>
  <si>
    <t>ShiptoC</t>
  </si>
  <si>
    <t>ShiptoB</t>
  </si>
  <si>
    <t>PlantB</t>
  </si>
  <si>
    <t>MbC Table</t>
  </si>
  <si>
    <t>AveragePlantA</t>
  </si>
  <si>
    <t>per yard</t>
  </si>
  <si>
    <t>AveragePlantB</t>
  </si>
  <si>
    <t>Opportunity Page</t>
  </si>
  <si>
    <t>Use customer</t>
  </si>
  <si>
    <t>Ship to</t>
  </si>
  <si>
    <t>Compare to avg of all</t>
  </si>
  <si>
    <t>3 months</t>
  </si>
  <si>
    <t>Decimals</t>
  </si>
  <si>
    <t>Good</t>
  </si>
  <si>
    <t>Priority</t>
  </si>
  <si>
    <t>Dimensions</t>
  </si>
  <si>
    <t>Related Dashboards</t>
  </si>
  <si>
    <t>Received Benchmark</t>
  </si>
  <si>
    <t>yds3/h or m3/h</t>
  </si>
  <si>
    <t>High</t>
  </si>
  <si>
    <t>P1</t>
  </si>
  <si>
    <t>Plant Group, Plant, Customer, Job Site, Truck</t>
  </si>
  <si>
    <t>Truck Activity Comparison
Truck Usage
Demand Spread Index</t>
  </si>
  <si>
    <t>Y</t>
  </si>
  <si>
    <t>min</t>
  </si>
  <si>
    <t>Low</t>
  </si>
  <si>
    <t>Plant Group, Plant, Customer, Job Site, Truck,</t>
  </si>
  <si>
    <t>Truck Activity Comparison
CCoS
CDP</t>
  </si>
  <si>
    <t>Load Time</t>
  </si>
  <si>
    <t>Truck Activity Comparison
CCoS</t>
  </si>
  <si>
    <t>Volume per plant</t>
  </si>
  <si>
    <t>CCoS
CDP</t>
  </si>
  <si>
    <t>Loads/truck/day (Company Owned)</t>
  </si>
  <si>
    <t>n/a</t>
  </si>
  <si>
    <r>
      <rPr>
        <sz val="12"/>
        <color rgb="FF000000"/>
        <rFont val="Aptos Narrow"/>
      </rPr>
      <t>Plant Group, Home Plant</t>
    </r>
    <r>
      <rPr>
        <strike/>
        <sz val="12"/>
        <color rgb="FF000000"/>
        <rFont val="Aptos Narrow"/>
      </rPr>
      <t>, Customer, Job Site,</t>
    </r>
    <r>
      <rPr>
        <sz val="12"/>
        <color rgb="FF000000"/>
        <rFont val="Aptos Narrow"/>
      </rPr>
      <t xml:space="preserve"> Truck</t>
    </r>
  </si>
  <si>
    <t>Truck Activity Comparison
Truck Usage
DSI</t>
  </si>
  <si>
    <t>Volume/truck/day (Company Owned)</t>
  </si>
  <si>
    <t>yds3/m3</t>
  </si>
  <si>
    <r>
      <rPr>
        <sz val="12"/>
        <color rgb="FF000000"/>
        <rFont val="Aptos Narrow"/>
      </rPr>
      <t xml:space="preserve">Plant Group, Home Plant, </t>
    </r>
    <r>
      <rPr>
        <strike/>
        <sz val="12"/>
        <color rgb="FF000000"/>
        <rFont val="Aptos Narrow"/>
      </rPr>
      <t>Customer, Job Site,</t>
    </r>
    <r>
      <rPr>
        <sz val="12"/>
        <color rgb="FF000000"/>
        <rFont val="Aptos Narrow"/>
      </rPr>
      <t xml:space="preserve"> Truck</t>
    </r>
  </si>
  <si>
    <t>Utilization (Company Owned)</t>
  </si>
  <si>
    <t>Plant Group, Home Plant, Truck</t>
  </si>
  <si>
    <t>Plant Group, Plant, Truck, Job Site</t>
  </si>
  <si>
    <t>Percent of deliveries in tolerance</t>
  </si>
  <si>
    <t>P2</t>
  </si>
  <si>
    <t>Prod</t>
  </si>
  <si>
    <t>Plant, Plant group,</t>
  </si>
  <si>
    <t xml:space="preserve">Plant, Plant group, </t>
  </si>
  <si>
    <t xml:space="preserve">Product, Plant, Grade, </t>
  </si>
  <si>
    <t xml:space="preserve">Customer Cost of Service
Truck Activity Comparison
</t>
  </si>
  <si>
    <t>Plant Group, Plant, Customer, Job Site, Truck, Product</t>
  </si>
  <si>
    <t>Plant Group, Plant (Home), Customer, Job Site, Truck</t>
  </si>
  <si>
    <t>Plant Group, Plant, Customer, Job Site</t>
  </si>
  <si>
    <t>P3</t>
  </si>
  <si>
    <t>Sales</t>
  </si>
  <si>
    <t>Plant group, Plant, Customer, Product, Job Site, Grade</t>
  </si>
  <si>
    <t>Margin by Customer
Margin by Product
Sales Analyzer</t>
  </si>
  <si>
    <t>Margin by Customer
Customer Cost of Service
Sales Analyzer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</si>
</sst>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quot;$&quot;* #,##0.00_);_(&quot;$&quot;* \(#,##0.00\);_(&quot;$&quot;* &quot;-&quot;??_);_(@_)"/>
    <numFmt numFmtId="165" formatCode="_(* #,##0.00_);_(* \(#,##0.00\);_(* &quot;-&quot;??_);_(@_)"/>
    <numFmt numFmtId="166" formatCode="_-&quot;$&quot;* #,##0.00_-;\-&quot;$&quot;* #,##0.00_-;_-&quot;$&quot;* &quot;-&quot;??_-;_-@_-"/>
    <numFmt numFmtId="167" formatCode="_-[$$-409]* #,##0.00_ ;_-[$$-409]* \-#,##0.00\ ;_-[$$-409]* &quot;-&quot;??_ ;_-@_ "/>
    <numFmt numFmtId="168" formatCode="0.0%"/>
    <numFmt numFmtId="169" formatCode="0.0"/>
    <numFmt numFmtId="170" formatCode="_-* #,##0\ _€_-;\-* #,##0\ _€_-;_-* &quot;-&quot;??\ _€_-;_-@_-"/>
    <numFmt numFmtId="171" formatCode="_-* #,##0_-;\-* #,##0_-;_-* &quot;-&quot;??_-;_-@_-"/>
    <numFmt numFmtId="172" formatCode="_-* #,##0.0_-;\-* #,##0.0_-;_-* &quot;-&quot;?_-;_-@_-"/>
    <numFmt numFmtId="173" formatCode="0.0000000"/>
    <numFmt numFmtId="174" formatCode="_(* #,##0_);_(* \(#,##0\);_(* &quot;-&quot;??_);_(@_)"/>
    <numFmt numFmtId="175" formatCode="_(&quot;$&quot;* #,##0_);_(&quot;$&quot;* \(#,##0\);_(&quot;$&quot;* &quot;-&quot;??_);_(@_)"/>
  </numFmts>
  <fonts count="59">
    <font>
      <sz val="11"/>
      <color theme="1"/>
      <name val="Calibri"/>
      <family val="2"/>
      <scheme val="minor"/>
    </font>
    <font>
      <sz val="12"/>
      <color theme="1"/>
      <name val="Calibri"/>
      <family val="2"/>
      <scheme val="minor"/>
    </font>
    <font>
      <b/>
      <sz val="11"/>
      <color theme="1"/>
      <name val="Calibri"/>
      <family val="2"/>
      <scheme val="minor"/>
    </font>
    <font>
      <b/>
      <sz val="12"/>
      <color theme="1"/>
      <name val="ZapfHumnst BT"/>
    </font>
    <font>
      <sz val="11"/>
      <color theme="1"/>
      <name val="ZapfHumnst BT"/>
    </font>
    <font>
      <sz val="11"/>
      <color indexed="10"/>
      <name val="ZapfHumnst BT"/>
    </font>
    <font>
      <b/>
      <sz val="9"/>
      <color theme="1"/>
      <name val="ZapfHumnst BT"/>
    </font>
    <font>
      <b/>
      <sz val="11"/>
      <color theme="1"/>
      <name val="Calibri"/>
      <family val="2"/>
    </font>
    <font>
      <b/>
      <sz val="11"/>
      <color rgb="FF000000"/>
      <name val="Calibri"/>
      <family val="2"/>
    </font>
    <font>
      <b/>
      <sz val="11"/>
      <color rgb="FFFF0000"/>
      <name val="Calibri"/>
      <family val="2"/>
    </font>
    <font>
      <sz val="11"/>
      <color rgb="FF444444"/>
      <name val="Calibri"/>
      <family val="2"/>
    </font>
    <font>
      <b/>
      <strike/>
      <sz val="11"/>
      <color rgb="FF000000"/>
      <name val="Calibri"/>
      <family val="2"/>
    </font>
    <font>
      <sz val="11"/>
      <color theme="1"/>
      <name val="Calibri"/>
      <family val="2"/>
    </font>
    <font>
      <sz val="11"/>
      <color rgb="FF000000"/>
      <name val="Calibri"/>
      <family val="2"/>
    </font>
    <font>
      <strike/>
      <sz val="11"/>
      <color rgb="FF000000"/>
      <name val="Calibri"/>
      <family val="2"/>
    </font>
    <font>
      <b/>
      <strike/>
      <sz val="11"/>
      <color rgb="FFFF0000"/>
      <name val="Calibri"/>
      <family val="2"/>
    </font>
    <font>
      <i/>
      <sz val="11"/>
      <color rgb="FF000000"/>
      <name val="Calibri"/>
      <family val="2"/>
    </font>
    <font>
      <b/>
      <sz val="11"/>
      <color rgb="FFFFFFFF"/>
      <name val="Calibri"/>
      <family val="2"/>
    </font>
    <font>
      <sz val="11"/>
      <color rgb="FF444444"/>
      <name val="Calibri"/>
      <family val="2"/>
      <charset val="1"/>
    </font>
    <font>
      <sz val="11"/>
      <color rgb="FFFF0000"/>
      <name val="Calibri"/>
      <family val="2"/>
      <scheme val="minor"/>
    </font>
    <font>
      <sz val="11"/>
      <color rgb="FF000000"/>
      <name val="Calibri"/>
      <family val="2"/>
      <scheme val="minor"/>
    </font>
    <font>
      <sz val="11"/>
      <color rgb="FFE2EFDA"/>
      <name val="Calibri"/>
      <family val="2"/>
      <scheme val="minor"/>
    </font>
    <font>
      <sz val="11"/>
      <color rgb="FF000000"/>
      <name val="ZapfHumnst BT"/>
    </font>
    <font>
      <sz val="11"/>
      <color rgb="FF000000"/>
      <name val="Calibri"/>
      <family val="2"/>
      <charset val="1"/>
    </font>
    <font>
      <sz val="9"/>
      <color rgb="FF333333"/>
      <name val="Segoe UI"/>
      <family val="2"/>
    </font>
    <font>
      <sz val="11"/>
      <color rgb="FFFF0000"/>
      <name val="Calibri"/>
      <family val="2"/>
    </font>
    <font>
      <sz val="10"/>
      <name val="Calibri"/>
      <family val="2"/>
    </font>
    <font>
      <sz val="11"/>
      <color rgb="FFFFC000"/>
      <name val="Calibri"/>
      <family val="2"/>
    </font>
    <font>
      <sz val="11"/>
      <color rgb="FFFFC000"/>
      <name val="Calibri"/>
      <family val="2"/>
      <scheme val="minor"/>
    </font>
    <font>
      <b/>
      <sz val="11"/>
      <color rgb="FF000000"/>
      <name val="Calibri"/>
      <family val="2"/>
      <scheme val="minor"/>
    </font>
    <font>
      <sz val="11.3"/>
      <color rgb="FFAB2F6B"/>
      <name val="JetBrains Mono"/>
    </font>
    <font>
      <sz val="11.3"/>
      <color rgb="FF383838"/>
      <name val="JetBrains Mono"/>
    </font>
    <font>
      <sz val="11.3"/>
      <color rgb="FF202020"/>
      <name val="JetBrains Mono"/>
    </font>
    <font>
      <b/>
      <sz val="11"/>
      <color theme="0"/>
      <name val="Calibri"/>
      <family val="2"/>
      <scheme val="minor"/>
    </font>
    <font>
      <sz val="11"/>
      <color theme="1"/>
      <name val="Arial"/>
      <family val="2"/>
    </font>
    <font>
      <sz val="8"/>
      <name val="Calibri"/>
      <family val="2"/>
      <scheme val="minor"/>
    </font>
    <font>
      <sz val="9"/>
      <name val="Calibri"/>
      <family val="2"/>
      <scheme val="minor"/>
    </font>
    <font>
      <strike/>
      <sz val="11"/>
      <color theme="1"/>
      <name val="Calibri"/>
      <family val="2"/>
      <scheme val="minor"/>
    </font>
    <font>
      <sz val="11"/>
      <color theme="1"/>
      <name val="Calibri"/>
      <family val="2"/>
      <scheme val="minor"/>
    </font>
    <font>
      <b/>
      <sz val="11"/>
      <color theme="1"/>
      <name val="Arial"/>
      <family val="2"/>
    </font>
    <font>
      <b/>
      <sz val="10"/>
      <color rgb="FF000000"/>
      <name val="Helvetica Neue"/>
      <family val="2"/>
    </font>
    <font>
      <sz val="12"/>
      <color rgb="FF000000"/>
      <name val="Calibri"/>
      <family val="2"/>
    </font>
    <font>
      <sz val="10"/>
      <color rgb="FF000000"/>
      <name val="Helvetica Neue"/>
      <family val="2"/>
    </font>
    <font>
      <i/>
      <sz val="11"/>
      <color theme="1"/>
      <name val="Calibri"/>
      <family val="2"/>
      <scheme val="minor"/>
    </font>
    <font>
      <sz val="12"/>
      <color rgb="FF000000"/>
      <name val="Aptos Narrow"/>
    </font>
    <font>
      <b/>
      <sz val="14"/>
      <color theme="0"/>
      <name val="Arial"/>
      <family val="2"/>
    </font>
    <font>
      <sz val="9"/>
      <color rgb="FF000000"/>
      <name val="Calibri"/>
      <family val="2"/>
    </font>
    <font>
      <b/>
      <sz val="9"/>
      <color rgb="FF000000"/>
      <name val="Tahoma"/>
      <family val="2"/>
    </font>
    <font>
      <sz val="9"/>
      <color rgb="FF000000"/>
      <name val="Tahoma"/>
      <family val="2"/>
    </font>
    <font>
      <sz val="12"/>
      <color rgb="FF000000"/>
      <name val="Aptos Narrow"/>
      <family val="2"/>
    </font>
    <font>
      <b/>
      <sz val="12"/>
      <color rgb="FF000000"/>
      <name val="Aptos Narrow"/>
      <family val="2"/>
    </font>
    <font>
      <b/>
      <sz val="12"/>
      <color theme="1"/>
      <name val="Calibri"/>
      <family val="2"/>
      <scheme val="minor"/>
    </font>
    <font>
      <sz val="10"/>
      <color rgb="FF000000"/>
      <name val="Calibri"/>
    </font>
    <font>
      <sz val="10"/>
      <color rgb="FFFF0000"/>
      <name val="Calibri"/>
    </font>
    <font>
      <sz val="10"/>
      <name val="Calibri"/>
    </font>
    <font>
      <strike/>
      <sz val="12"/>
      <color rgb="FF000000"/>
      <name val="Aptos Narrow"/>
    </font>
    <font>
      <sz val="11"/>
      <color rgb="FFB6C2CF"/>
      <name val="-Apple-System"/>
      <charset val="1"/>
    </font>
    <font>
      <sz val="12"/>
      <color rgb="FF000000"/>
      <name val="Calibri"/>
      <family val="2"/>
      <scheme val="minor"/>
    </font>
    <font>
      <b/>
      <sz val="11"/>
      <color rgb="FFFF0000"/>
      <name val="Calibri"/>
      <family val="2"/>
      <scheme val="minor"/>
    </font>
  </fonts>
  <fills count="26">
    <fill>
      <patternFill patternType="none"/>
    </fill>
    <fill>
      <patternFill patternType="gray125"/>
    </fill>
    <fill>
      <patternFill patternType="solid">
        <fgColor indexed="22"/>
        <bgColor indexed="64"/>
      </patternFill>
    </fill>
    <fill>
      <patternFill patternType="solid">
        <fgColor rgb="FFFF0000"/>
        <bgColor indexed="64"/>
      </patternFill>
    </fill>
    <fill>
      <patternFill patternType="solid">
        <fgColor rgb="FFC1F7BC"/>
        <bgColor indexed="64"/>
      </patternFill>
    </fill>
    <fill>
      <patternFill patternType="solid">
        <fgColor rgb="FFF7B7B7"/>
        <bgColor indexed="64"/>
      </patternFill>
    </fill>
    <fill>
      <patternFill patternType="solid">
        <fgColor rgb="FFFFD966"/>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002060"/>
        <bgColor rgb="FF000000"/>
      </patternFill>
    </fill>
    <fill>
      <patternFill patternType="solid">
        <fgColor rgb="FFF2F2F2"/>
        <bgColor rgb="FF000000"/>
      </patternFill>
    </fill>
    <fill>
      <patternFill patternType="solid">
        <fgColor rgb="FFD9D9D9"/>
        <bgColor rgb="FFD9D9D9"/>
      </patternFill>
    </fill>
    <fill>
      <patternFill patternType="solid">
        <fgColor rgb="FFFFFF00"/>
        <bgColor indexed="64"/>
      </patternFill>
    </fill>
    <fill>
      <patternFill patternType="solid">
        <fgColor rgb="FF002060"/>
        <bgColor indexed="64"/>
      </patternFill>
    </fill>
    <fill>
      <patternFill patternType="solid">
        <fgColor theme="0"/>
        <bgColor indexed="64"/>
      </patternFill>
    </fill>
    <fill>
      <patternFill patternType="solid">
        <fgColor theme="9"/>
        <bgColor indexed="64"/>
      </patternFill>
    </fill>
    <fill>
      <patternFill patternType="solid">
        <fgColor theme="4" tint="0.79998168889431442"/>
        <bgColor theme="4" tint="0.79998168889431442"/>
      </patternFill>
    </fill>
    <fill>
      <patternFill patternType="solid">
        <fgColor rgb="FFD9E1F2"/>
        <bgColor rgb="FFD9E1F2"/>
      </patternFill>
    </fill>
    <fill>
      <patternFill patternType="solid">
        <fgColor theme="9" tint="-0.49998474074526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282E33"/>
        <bgColor indexed="64"/>
      </patternFill>
    </fill>
    <fill>
      <patternFill patternType="solid">
        <fgColor theme="6" tint="0.79998168889431442"/>
        <bgColor indexed="64"/>
      </patternFill>
    </fill>
    <fill>
      <patternFill patternType="solid">
        <fgColor rgb="FF92D050"/>
        <bgColor indexed="64"/>
      </patternFill>
    </fill>
    <fill>
      <patternFill patternType="solid">
        <fgColor theme="0" tint="-4.9989318521683403E-2"/>
        <bgColor indexed="64"/>
      </patternFill>
    </fill>
  </fills>
  <borders count="48">
    <border>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right style="thin">
        <color indexed="64"/>
      </right>
      <top/>
      <bottom style="thin">
        <color rgb="FFBFBFBF"/>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hair">
        <color indexed="64"/>
      </top>
      <bottom style="hair">
        <color indexed="64"/>
      </bottom>
      <diagonal/>
    </border>
    <border>
      <left/>
      <right/>
      <top style="hair">
        <color indexed="64"/>
      </top>
      <bottom/>
      <diagonal/>
    </border>
    <border>
      <left/>
      <right/>
      <top/>
      <bottom style="thin">
        <color theme="1"/>
      </bottom>
      <diagonal/>
    </border>
    <border>
      <left/>
      <right/>
      <top/>
      <bottom style="hair">
        <color indexed="64"/>
      </bottom>
      <diagonal/>
    </border>
    <border>
      <left/>
      <right/>
      <top style="thick">
        <color rgb="FF548235"/>
      </top>
      <bottom/>
      <diagonal/>
    </border>
    <border>
      <left/>
      <right/>
      <top/>
      <bottom style="thick">
        <color rgb="FF548235"/>
      </bottom>
      <diagonal/>
    </border>
    <border>
      <left/>
      <right/>
      <top style="thin">
        <color theme="4" tint="0.39997558519241921"/>
      </top>
      <bottom style="thin">
        <color theme="4" tint="0.39997558519241921"/>
      </bottom>
      <diagonal/>
    </border>
    <border>
      <left/>
      <right/>
      <top style="thin">
        <color rgb="FF8EA9DB"/>
      </top>
      <bottom style="thin">
        <color rgb="FF8EA9DB"/>
      </bottom>
      <diagonal/>
    </border>
    <border>
      <left style="thin">
        <color indexed="64"/>
      </left>
      <right style="thin">
        <color indexed="64"/>
      </right>
      <top style="thin">
        <color indexed="64"/>
      </top>
      <bottom style="thin">
        <color indexed="64"/>
      </bottom>
      <diagonal/>
    </border>
    <border>
      <left/>
      <right/>
      <top style="thick">
        <color theme="9" tint="-0.24994659260841701"/>
      </top>
      <bottom/>
      <diagonal/>
    </border>
    <border>
      <left/>
      <right/>
      <top/>
      <bottom style="thick">
        <color theme="9"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theme="4" tint="0.39997558519241921"/>
      </bottom>
      <diagonal/>
    </border>
    <border>
      <left/>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thin">
        <color rgb="FF000000"/>
      </left>
      <right/>
      <top style="thin">
        <color rgb="FF44B3E1"/>
      </top>
      <bottom style="thin">
        <color rgb="FF44B3E1"/>
      </bottom>
      <diagonal/>
    </border>
    <border>
      <left/>
      <right style="thin">
        <color rgb="FF000000"/>
      </right>
      <top style="thin">
        <color theme="4" tint="0.39997558519241921"/>
      </top>
      <bottom style="thin">
        <color theme="4" tint="0.39997558519241921"/>
      </bottom>
      <diagonal/>
    </border>
    <border>
      <left/>
      <right/>
      <top style="thin">
        <color theme="4" tint="0.39997558519241921"/>
      </top>
      <bottom style="thin">
        <color rgb="FF000000"/>
      </bottom>
      <diagonal/>
    </border>
    <border>
      <left/>
      <right style="thin">
        <color rgb="FF000000"/>
      </right>
      <top style="thin">
        <color theme="4" tint="0.39997558519241921"/>
      </top>
      <bottom style="thin">
        <color rgb="FF000000"/>
      </bottom>
      <diagonal/>
    </border>
    <border>
      <left style="thin">
        <color rgb="FF000000"/>
      </left>
      <right/>
      <top style="thin">
        <color theme="4" tint="0.39997558519241921"/>
      </top>
      <bottom style="thin">
        <color theme="4" tint="0.39997558519241921"/>
      </bottom>
      <diagonal/>
    </border>
    <border>
      <left style="thin">
        <color rgb="FF000000"/>
      </left>
      <right/>
      <top style="thin">
        <color theme="4" tint="0.39997558519241921"/>
      </top>
      <bottom style="thin">
        <color rgb="FF000000"/>
      </bottom>
      <diagonal/>
    </border>
    <border>
      <left style="thin">
        <color rgb="FF000000"/>
      </left>
      <right/>
      <top style="thin">
        <color rgb="FF44B3E1"/>
      </top>
      <bottom/>
      <diagonal/>
    </border>
    <border>
      <left/>
      <right/>
      <top style="thin">
        <color theme="4" tint="0.39997558519241921"/>
      </top>
      <bottom/>
      <diagonal/>
    </border>
    <border>
      <left/>
      <right style="thin">
        <color rgb="FF000000"/>
      </right>
      <top style="thin">
        <color theme="4" tint="0.39997558519241921"/>
      </top>
      <bottom/>
      <diagonal/>
    </border>
  </borders>
  <cellStyleXfs count="10">
    <xf numFmtId="0" fontId="0" fillId="0" borderId="0"/>
    <xf numFmtId="0" fontId="34" fillId="0" borderId="0"/>
    <xf numFmtId="9" fontId="34" fillId="0" borderId="0" applyFont="0" applyFill="0" applyBorder="0" applyAlignment="0" applyProtection="0"/>
    <xf numFmtId="166" fontId="34" fillId="0" borderId="0" applyFont="0" applyFill="0" applyBorder="0" applyAlignment="0" applyProtection="0"/>
    <xf numFmtId="9" fontId="38" fillId="0" borderId="0" applyFont="0" applyFill="0" applyBorder="0" applyAlignment="0" applyProtection="0"/>
    <xf numFmtId="43" fontId="34"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295">
    <xf numFmtId="0" fontId="0" fillId="0" borderId="0" xfId="0"/>
    <xf numFmtId="0" fontId="3" fillId="0" borderId="1" xfId="0" applyFont="1" applyBorder="1" applyAlignment="1">
      <alignment wrapText="1"/>
    </xf>
    <xf numFmtId="0" fontId="4" fillId="0" borderId="1" xfId="0" applyFont="1" applyBorder="1" applyAlignment="1">
      <alignment wrapText="1"/>
    </xf>
    <xf numFmtId="22" fontId="5" fillId="0" borderId="1" xfId="0" applyNumberFormat="1" applyFont="1" applyBorder="1" applyAlignment="1">
      <alignment wrapText="1"/>
    </xf>
    <xf numFmtId="0" fontId="4" fillId="0" borderId="1" xfId="0" applyFont="1" applyBorder="1" applyAlignment="1">
      <alignment horizontal="center" wrapText="1"/>
    </xf>
    <xf numFmtId="0" fontId="6" fillId="2" borderId="1" xfId="0" applyFont="1" applyFill="1" applyBorder="1" applyAlignment="1">
      <alignment vertical="top" wrapText="1"/>
    </xf>
    <xf numFmtId="0" fontId="6" fillId="2" borderId="1" xfId="0" applyFont="1" applyFill="1" applyBorder="1" applyAlignment="1">
      <alignment horizontal="center" vertical="top" wrapText="1"/>
    </xf>
    <xf numFmtId="0" fontId="8" fillId="0" borderId="0" xfId="0" applyFont="1" applyAlignment="1">
      <alignment vertical="top" wrapText="1"/>
    </xf>
    <xf numFmtId="0" fontId="0" fillId="0" borderId="0" xfId="0" applyAlignment="1">
      <alignment horizontal="left" vertical="top"/>
    </xf>
    <xf numFmtId="0" fontId="17" fillId="9" borderId="3" xfId="0" applyFont="1" applyFill="1" applyBorder="1" applyAlignment="1">
      <alignment wrapText="1"/>
    </xf>
    <xf numFmtId="0" fontId="17" fillId="9" borderId="5" xfId="0" applyFont="1" applyFill="1" applyBorder="1" applyAlignment="1">
      <alignment wrapText="1"/>
    </xf>
    <xf numFmtId="0" fontId="0" fillId="0" borderId="0" xfId="0" applyAlignment="1">
      <alignment vertical="top"/>
    </xf>
    <xf numFmtId="0" fontId="0" fillId="3" borderId="0" xfId="0" applyFill="1" applyAlignment="1">
      <alignment horizontal="center" vertical="top"/>
    </xf>
    <xf numFmtId="0" fontId="0" fillId="4" borderId="0" xfId="0" applyFill="1" applyAlignment="1">
      <alignment horizontal="center" vertical="top"/>
    </xf>
    <xf numFmtId="0" fontId="0" fillId="5" borderId="0" xfId="0" applyFill="1" applyAlignment="1">
      <alignment horizontal="center" vertical="top"/>
    </xf>
    <xf numFmtId="0" fontId="2" fillId="6" borderId="0" xfId="0" applyFont="1" applyFill="1" applyAlignment="1">
      <alignment horizontal="center" vertical="top"/>
    </xf>
    <xf numFmtId="0" fontId="19" fillId="0" borderId="0" xfId="0" applyFont="1" applyAlignment="1">
      <alignment vertical="top"/>
    </xf>
    <xf numFmtId="0" fontId="0" fillId="8" borderId="0" xfId="0" applyFill="1" applyAlignment="1">
      <alignment horizontal="center" vertical="top"/>
    </xf>
    <xf numFmtId="0" fontId="0" fillId="0" borderId="0" xfId="0" applyAlignment="1">
      <alignment vertical="top" wrapText="1"/>
    </xf>
    <xf numFmtId="0" fontId="18" fillId="0" borderId="0" xfId="0" applyFont="1" applyAlignment="1">
      <alignment vertical="top"/>
    </xf>
    <xf numFmtId="0" fontId="21" fillId="0" borderId="0" xfId="0" applyFont="1" applyAlignment="1">
      <alignment horizontal="center" vertical="top"/>
    </xf>
    <xf numFmtId="0" fontId="8" fillId="0" borderId="0" xfId="0" quotePrefix="1" applyFont="1" applyAlignment="1">
      <alignment vertical="top"/>
    </xf>
    <xf numFmtId="0" fontId="2" fillId="0" borderId="0" xfId="0" applyFont="1" applyAlignment="1">
      <alignment vertical="top" wrapText="1"/>
    </xf>
    <xf numFmtId="0" fontId="22" fillId="0" borderId="12" xfId="0" applyFont="1" applyBorder="1" applyAlignment="1">
      <alignment wrapText="1"/>
    </xf>
    <xf numFmtId="0" fontId="22" fillId="0" borderId="13" xfId="0" applyFont="1" applyBorder="1" applyAlignment="1">
      <alignment wrapText="1"/>
    </xf>
    <xf numFmtId="0" fontId="23" fillId="0" borderId="0" xfId="0" applyFont="1"/>
    <xf numFmtId="0" fontId="20" fillId="0" borderId="0" xfId="0" applyFont="1" applyAlignment="1">
      <alignment vertical="top" wrapText="1"/>
    </xf>
    <xf numFmtId="0" fontId="24" fillId="0" borderId="0" xfId="0" applyFont="1"/>
    <xf numFmtId="0" fontId="13" fillId="0" borderId="0" xfId="0" applyFont="1"/>
    <xf numFmtId="0" fontId="16" fillId="0" borderId="0" xfId="0" applyFont="1"/>
    <xf numFmtId="0" fontId="17" fillId="9" borderId="2" xfId="0" applyFont="1" applyFill="1" applyBorder="1"/>
    <xf numFmtId="0" fontId="17" fillId="9" borderId="3" xfId="0" applyFont="1" applyFill="1" applyBorder="1"/>
    <xf numFmtId="0" fontId="17" fillId="9" borderId="4" xfId="0" applyFont="1" applyFill="1" applyBorder="1"/>
    <xf numFmtId="0" fontId="8" fillId="0" borderId="6" xfId="0" applyFont="1" applyBorder="1"/>
    <xf numFmtId="0" fontId="13" fillId="10" borderId="0" xfId="0" applyFont="1" applyFill="1"/>
    <xf numFmtId="0" fontId="13" fillId="0" borderId="7" xfId="0" applyFont="1" applyBorder="1"/>
    <xf numFmtId="0" fontId="13" fillId="0" borderId="8" xfId="0" applyFont="1" applyBorder="1"/>
    <xf numFmtId="0" fontId="13" fillId="0" borderId="6" xfId="0" applyFont="1" applyBorder="1"/>
    <xf numFmtId="0" fontId="13" fillId="11" borderId="0" xfId="0" applyFont="1" applyFill="1"/>
    <xf numFmtId="0" fontId="13" fillId="11" borderId="7" xfId="0" applyFont="1" applyFill="1" applyBorder="1"/>
    <xf numFmtId="0" fontId="25" fillId="0" borderId="7" xfId="0" applyFont="1" applyBorder="1"/>
    <xf numFmtId="0" fontId="25" fillId="10" borderId="0" xfId="0" applyFont="1" applyFill="1"/>
    <xf numFmtId="0" fontId="25" fillId="0" borderId="8" xfId="0" applyFont="1" applyBorder="1"/>
    <xf numFmtId="0" fontId="25" fillId="11" borderId="7" xfId="0" applyFont="1" applyFill="1" applyBorder="1"/>
    <xf numFmtId="0" fontId="13" fillId="0" borderId="9" xfId="0" applyFont="1" applyBorder="1"/>
    <xf numFmtId="0" fontId="13" fillId="0" borderId="10" xfId="0" applyFont="1" applyBorder="1"/>
    <xf numFmtId="0" fontId="13" fillId="0" borderId="11" xfId="0" applyFont="1" applyBorder="1"/>
    <xf numFmtId="0" fontId="25" fillId="0" borderId="8" xfId="0" applyFont="1" applyBorder="1" applyAlignment="1">
      <alignment wrapText="1"/>
    </xf>
    <xf numFmtId="0" fontId="23" fillId="0" borderId="0" xfId="0" applyFont="1" applyAlignment="1">
      <alignment vertical="center" wrapText="1"/>
    </xf>
    <xf numFmtId="0" fontId="13" fillId="10" borderId="0" xfId="0" applyFont="1" applyFill="1" applyAlignment="1">
      <alignment wrapText="1"/>
    </xf>
    <xf numFmtId="0" fontId="25" fillId="11" borderId="0" xfId="0" applyFont="1" applyFill="1"/>
    <xf numFmtId="0" fontId="25" fillId="0" borderId="0" xfId="0" applyFont="1"/>
    <xf numFmtId="0" fontId="0" fillId="0" borderId="0" xfId="0" applyAlignment="1">
      <alignment horizontal="left" vertical="top" wrapText="1"/>
    </xf>
    <xf numFmtId="0" fontId="26" fillId="0" borderId="14" xfId="0" applyFont="1" applyBorder="1" applyAlignment="1">
      <alignment wrapText="1"/>
    </xf>
    <xf numFmtId="0" fontId="26" fillId="0" borderId="15" xfId="0" applyFont="1" applyBorder="1" applyAlignment="1">
      <alignment vertical="top" wrapText="1"/>
    </xf>
    <xf numFmtId="0" fontId="8" fillId="0" borderId="0" xfId="0" applyFont="1"/>
    <xf numFmtId="0" fontId="13" fillId="0" borderId="0" xfId="0" applyFont="1" applyAlignment="1">
      <alignment wrapText="1"/>
    </xf>
    <xf numFmtId="0" fontId="19" fillId="0" borderId="0" xfId="0" applyFont="1" applyAlignment="1">
      <alignment vertical="top" wrapText="1"/>
    </xf>
    <xf numFmtId="0" fontId="2" fillId="0" borderId="0" xfId="0" applyFont="1"/>
    <xf numFmtId="0" fontId="0" fillId="12" borderId="0" xfId="0" applyFill="1"/>
    <xf numFmtId="0" fontId="19" fillId="0" borderId="0" xfId="0" applyFont="1"/>
    <xf numFmtId="0" fontId="28" fillId="8" borderId="0" xfId="0" applyFont="1" applyFill="1"/>
    <xf numFmtId="0" fontId="0" fillId="0" borderId="0" xfId="0" applyAlignment="1">
      <alignment wrapText="1"/>
    </xf>
    <xf numFmtId="0" fontId="20" fillId="12" borderId="0" xfId="0" applyFont="1" applyFill="1" applyAlignment="1">
      <alignment vertical="top"/>
    </xf>
    <xf numFmtId="0" fontId="28" fillId="0" borderId="0" xfId="0" applyFont="1"/>
    <xf numFmtId="0" fontId="20" fillId="0" borderId="0" xfId="0" applyFont="1"/>
    <xf numFmtId="0" fontId="0" fillId="7" borderId="0" xfId="0" applyFill="1" applyAlignment="1">
      <alignment vertical="top"/>
    </xf>
    <xf numFmtId="0" fontId="0" fillId="7" borderId="0" xfId="0" applyFill="1" applyAlignment="1">
      <alignment vertical="top" wrapText="1"/>
    </xf>
    <xf numFmtId="0" fontId="29" fillId="0" borderId="16" xfId="0" applyFont="1" applyBorder="1" applyAlignment="1">
      <alignment vertical="top"/>
    </xf>
    <xf numFmtId="0" fontId="29" fillId="0" borderId="16" xfId="0" applyFont="1" applyBorder="1" applyAlignment="1">
      <alignment vertical="top" wrapText="1"/>
    </xf>
    <xf numFmtId="0" fontId="13" fillId="7" borderId="0" xfId="0" applyFont="1" applyFill="1" applyAlignment="1">
      <alignment vertical="top"/>
    </xf>
    <xf numFmtId="0" fontId="20" fillId="0" borderId="0" xfId="0" applyFont="1" applyAlignment="1">
      <alignment vertical="top"/>
    </xf>
    <xf numFmtId="0" fontId="13" fillId="0" borderId="0" xfId="0" applyFont="1" applyAlignment="1">
      <alignment vertical="top"/>
    </xf>
    <xf numFmtId="0" fontId="26" fillId="10" borderId="14" xfId="0" applyFont="1" applyFill="1" applyBorder="1" applyAlignment="1">
      <alignment wrapText="1"/>
    </xf>
    <xf numFmtId="0" fontId="33" fillId="13" borderId="15" xfId="0" applyFont="1" applyFill="1" applyBorder="1"/>
    <xf numFmtId="0" fontId="33" fillId="13" borderId="0" xfId="0" applyFont="1" applyFill="1"/>
    <xf numFmtId="0" fontId="0" fillId="14" borderId="15" xfId="0" applyFill="1" applyBorder="1"/>
    <xf numFmtId="0" fontId="0" fillId="14" borderId="0" xfId="0" applyFill="1"/>
    <xf numFmtId="0" fontId="0" fillId="14" borderId="0" xfId="0" applyFill="1" applyAlignment="1">
      <alignment wrapText="1"/>
    </xf>
    <xf numFmtId="0" fontId="8" fillId="0" borderId="0" xfId="0" applyFont="1" applyAlignment="1">
      <alignment vertical="top"/>
    </xf>
    <xf numFmtId="0" fontId="13" fillId="0" borderId="0" xfId="0" applyFont="1" applyAlignment="1">
      <alignment vertical="top" wrapText="1"/>
    </xf>
    <xf numFmtId="0" fontId="13" fillId="7" borderId="0" xfId="0" applyFont="1" applyFill="1" applyAlignment="1">
      <alignment vertical="top" wrapText="1"/>
    </xf>
    <xf numFmtId="0" fontId="33" fillId="13" borderId="17" xfId="0" applyFont="1" applyFill="1" applyBorder="1"/>
    <xf numFmtId="0" fontId="0" fillId="8" borderId="0" xfId="0" applyFill="1"/>
    <xf numFmtId="0" fontId="36" fillId="0" borderId="14" xfId="0" applyFont="1" applyBorder="1" applyAlignment="1">
      <alignment vertical="top" wrapText="1"/>
    </xf>
    <xf numFmtId="0" fontId="36" fillId="0" borderId="0" xfId="0" applyFont="1" applyAlignment="1">
      <alignment vertical="top" wrapText="1"/>
    </xf>
    <xf numFmtId="0" fontId="20" fillId="0" borderId="18" xfId="0" applyFont="1" applyBorder="1" applyAlignment="1">
      <alignment vertical="center"/>
    </xf>
    <xf numFmtId="0" fontId="20" fillId="0" borderId="0" xfId="0" applyFont="1" applyAlignment="1">
      <alignment vertical="center"/>
    </xf>
    <xf numFmtId="0" fontId="20" fillId="0" borderId="19" xfId="0" applyFont="1" applyBorder="1" applyAlignment="1">
      <alignment vertical="center"/>
    </xf>
    <xf numFmtId="0" fontId="13" fillId="11" borderId="0" xfId="0" applyFont="1" applyFill="1" applyAlignment="1">
      <alignment wrapText="1"/>
    </xf>
    <xf numFmtId="0" fontId="26" fillId="11" borderId="14" xfId="0" applyFont="1" applyFill="1" applyBorder="1" applyAlignment="1">
      <alignment wrapText="1"/>
    </xf>
    <xf numFmtId="0" fontId="2" fillId="0" borderId="16" xfId="0" applyFont="1" applyBorder="1" applyAlignment="1">
      <alignment vertical="top"/>
    </xf>
    <xf numFmtId="0" fontId="2" fillId="0" borderId="16" xfId="0" applyFont="1" applyBorder="1" applyAlignment="1">
      <alignment vertical="top" wrapText="1"/>
    </xf>
    <xf numFmtId="0" fontId="10" fillId="0" borderId="0" xfId="0" applyFont="1"/>
    <xf numFmtId="0" fontId="9"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2" fillId="0" borderId="0" xfId="0" applyFont="1" applyAlignment="1">
      <alignment vertical="top" wrapText="1"/>
    </xf>
    <xf numFmtId="0" fontId="30" fillId="8" borderId="0" xfId="0" applyFont="1" applyFill="1" applyAlignment="1">
      <alignment wrapText="1"/>
    </xf>
    <xf numFmtId="0" fontId="2" fillId="12" borderId="0" xfId="0" applyFont="1" applyFill="1" applyAlignment="1">
      <alignment vertical="top" wrapText="1"/>
    </xf>
    <xf numFmtId="0" fontId="0" fillId="12" borderId="0" xfId="0" applyFill="1" applyAlignment="1">
      <alignment vertical="top" wrapText="1"/>
    </xf>
    <xf numFmtId="167" fontId="0" fillId="0" borderId="0" xfId="0" applyNumberFormat="1"/>
    <xf numFmtId="9" fontId="0" fillId="0" borderId="0" xfId="0" applyNumberFormat="1"/>
    <xf numFmtId="0" fontId="0" fillId="3" borderId="0" xfId="0" applyFill="1" applyAlignment="1">
      <alignment vertical="top" wrapText="1"/>
    </xf>
    <xf numFmtId="0" fontId="2" fillId="0" borderId="0" xfId="0" applyFont="1" applyAlignment="1">
      <alignment vertical="top"/>
    </xf>
    <xf numFmtId="0" fontId="37" fillId="0" borderId="0" xfId="0" applyFont="1" applyAlignment="1">
      <alignment vertical="top"/>
    </xf>
    <xf numFmtId="0" fontId="37" fillId="0" borderId="0" xfId="0" applyFont="1" applyAlignment="1">
      <alignment vertical="top" wrapText="1"/>
    </xf>
    <xf numFmtId="0" fontId="34" fillId="0" borderId="6" xfId="1" applyBorder="1"/>
    <xf numFmtId="0" fontId="34" fillId="0" borderId="0" xfId="1"/>
    <xf numFmtId="0" fontId="39" fillId="0" borderId="0" xfId="1" applyFont="1"/>
    <xf numFmtId="9" fontId="34" fillId="0" borderId="0" xfId="4" applyFont="1"/>
    <xf numFmtId="9" fontId="34" fillId="12" borderId="0" xfId="1" applyNumberFormat="1" applyFill="1"/>
    <xf numFmtId="0" fontId="39" fillId="0" borderId="6" xfId="1" applyFont="1" applyBorder="1"/>
    <xf numFmtId="0" fontId="34" fillId="12" borderId="0" xfId="1" applyFill="1"/>
    <xf numFmtId="9" fontId="34" fillId="0" borderId="0" xfId="1" applyNumberFormat="1"/>
    <xf numFmtId="20" fontId="34" fillId="0" borderId="0" xfId="1" applyNumberFormat="1"/>
    <xf numFmtId="9" fontId="0" fillId="0" borderId="0" xfId="2" applyFont="1"/>
    <xf numFmtId="20" fontId="34" fillId="0" borderId="6" xfId="1" applyNumberFormat="1" applyBorder="1"/>
    <xf numFmtId="17" fontId="0" fillId="0" borderId="0" xfId="0" applyNumberFormat="1"/>
    <xf numFmtId="168" fontId="0" fillId="15" borderId="0" xfId="4" applyNumberFormat="1" applyFont="1" applyFill="1"/>
    <xf numFmtId="168" fontId="0" fillId="15" borderId="0" xfId="0" applyNumberFormat="1" applyFill="1"/>
    <xf numFmtId="168" fontId="0" fillId="12" borderId="0" xfId="4" applyNumberFormat="1" applyFont="1" applyFill="1"/>
    <xf numFmtId="0" fontId="40" fillId="0" borderId="0" xfId="0" applyFont="1"/>
    <xf numFmtId="0" fontId="0" fillId="16" borderId="20" xfId="0" applyFill="1" applyBorder="1"/>
    <xf numFmtId="0" fontId="41" fillId="17" borderId="21" xfId="0" applyFont="1" applyFill="1" applyBorder="1"/>
    <xf numFmtId="0" fontId="42" fillId="0" borderId="0" xfId="0" applyFont="1"/>
    <xf numFmtId="9" fontId="42" fillId="0" borderId="0" xfId="4" applyFont="1"/>
    <xf numFmtId="0" fontId="0" fillId="3" borderId="0" xfId="0" applyFill="1"/>
    <xf numFmtId="0" fontId="0" fillId="0" borderId="20" xfId="0" applyBorder="1"/>
    <xf numFmtId="0" fontId="41" fillId="0" borderId="21" xfId="0" applyFont="1" applyBorder="1"/>
    <xf numFmtId="0" fontId="43" fillId="3" borderId="0" xfId="0" applyFont="1" applyFill="1"/>
    <xf numFmtId="0" fontId="43" fillId="0" borderId="0" xfId="0" applyFont="1"/>
    <xf numFmtId="47" fontId="42" fillId="0" borderId="0" xfId="0" applyNumberFormat="1" applyFont="1"/>
    <xf numFmtId="0" fontId="44" fillId="0" borderId="0" xfId="0" applyFont="1"/>
    <xf numFmtId="0" fontId="44" fillId="0" borderId="0" xfId="0" applyFont="1" applyAlignment="1">
      <alignment wrapText="1"/>
    </xf>
    <xf numFmtId="0" fontId="34" fillId="0" borderId="0" xfId="1" applyAlignment="1">
      <alignment vertical="center"/>
    </xf>
    <xf numFmtId="0" fontId="45" fillId="0" borderId="0" xfId="1" applyFont="1" applyAlignment="1">
      <alignment horizontal="center" vertical="center"/>
    </xf>
    <xf numFmtId="0" fontId="34" fillId="19" borderId="22" xfId="1" applyFill="1" applyBorder="1" applyAlignment="1">
      <alignment vertical="center"/>
    </xf>
    <xf numFmtId="168" fontId="0" fillId="0" borderId="0" xfId="2" applyNumberFormat="1" applyFont="1" applyAlignment="1">
      <alignment vertical="center"/>
    </xf>
    <xf numFmtId="168" fontId="0" fillId="19" borderId="22" xfId="2" applyNumberFormat="1" applyFont="1" applyFill="1" applyBorder="1" applyAlignment="1">
      <alignment vertical="center"/>
    </xf>
    <xf numFmtId="2" fontId="34" fillId="0" borderId="0" xfId="1" applyNumberFormat="1" applyAlignment="1">
      <alignment vertical="center"/>
    </xf>
    <xf numFmtId="169" fontId="34" fillId="0" borderId="0" xfId="1" applyNumberFormat="1" applyAlignment="1">
      <alignment vertical="center"/>
    </xf>
    <xf numFmtId="2" fontId="34" fillId="19" borderId="22" xfId="1" applyNumberFormat="1" applyFill="1" applyBorder="1" applyAlignment="1">
      <alignment vertical="center"/>
    </xf>
    <xf numFmtId="9" fontId="0" fillId="19" borderId="22" xfId="2" applyFont="1" applyFill="1" applyBorder="1" applyAlignment="1">
      <alignment vertical="center"/>
    </xf>
    <xf numFmtId="9" fontId="0" fillId="0" borderId="0" xfId="2" applyFont="1" applyAlignment="1">
      <alignment vertical="center"/>
    </xf>
    <xf numFmtId="1" fontId="34" fillId="0" borderId="0" xfId="1" applyNumberFormat="1" applyAlignment="1">
      <alignment vertical="center"/>
    </xf>
    <xf numFmtId="0" fontId="34" fillId="0" borderId="23" xfId="1" applyBorder="1" applyAlignment="1">
      <alignment vertical="center"/>
    </xf>
    <xf numFmtId="170" fontId="0" fillId="19" borderId="22" xfId="2" applyNumberFormat="1" applyFont="1" applyFill="1" applyBorder="1" applyAlignment="1">
      <alignment vertical="center"/>
    </xf>
    <xf numFmtId="171" fontId="0" fillId="0" borderId="23" xfId="5" applyNumberFormat="1" applyFont="1" applyBorder="1" applyAlignment="1">
      <alignment vertical="center"/>
    </xf>
    <xf numFmtId="0" fontId="34" fillId="0" borderId="24" xfId="1" applyBorder="1" applyAlignment="1">
      <alignment vertical="center"/>
    </xf>
    <xf numFmtId="171" fontId="34" fillId="0" borderId="24" xfId="1" applyNumberFormat="1" applyBorder="1" applyAlignment="1">
      <alignment vertical="center"/>
    </xf>
    <xf numFmtId="172" fontId="34" fillId="0" borderId="0" xfId="1" applyNumberFormat="1" applyAlignment="1">
      <alignment vertical="center"/>
    </xf>
    <xf numFmtId="173" fontId="34" fillId="0" borderId="0" xfId="1" applyNumberFormat="1" applyAlignment="1">
      <alignment vertical="center"/>
    </xf>
    <xf numFmtId="170" fontId="34" fillId="0" borderId="0" xfId="1" applyNumberFormat="1" applyAlignment="1">
      <alignment vertical="center"/>
    </xf>
    <xf numFmtId="0" fontId="46" fillId="0" borderId="0" xfId="0" applyFont="1"/>
    <xf numFmtId="0" fontId="49" fillId="0" borderId="0" xfId="0" applyFont="1"/>
    <xf numFmtId="0" fontId="50" fillId="0" borderId="0" xfId="0" applyFont="1"/>
    <xf numFmtId="9" fontId="34" fillId="19" borderId="22" xfId="1" applyNumberFormat="1" applyFill="1" applyBorder="1" applyAlignment="1">
      <alignment vertical="center"/>
    </xf>
    <xf numFmtId="0" fontId="1" fillId="0" borderId="0" xfId="6"/>
    <xf numFmtId="0" fontId="51" fillId="0" borderId="0" xfId="6" applyFont="1"/>
    <xf numFmtId="164" fontId="0" fillId="0" borderId="0" xfId="9" applyFont="1"/>
    <xf numFmtId="0" fontId="1" fillId="0" borderId="25" xfId="6" applyBorder="1"/>
    <xf numFmtId="0" fontId="51" fillId="0" borderId="26" xfId="6" applyFont="1" applyBorder="1"/>
    <xf numFmtId="0" fontId="51" fillId="0" borderId="27" xfId="6" applyFont="1" applyBorder="1"/>
    <xf numFmtId="0" fontId="1" fillId="0" borderId="6" xfId="6" applyBorder="1"/>
    <xf numFmtId="0" fontId="1" fillId="20" borderId="7" xfId="6" applyFill="1" applyBorder="1"/>
    <xf numFmtId="2" fontId="1" fillId="0" borderId="0" xfId="6" applyNumberFormat="1"/>
    <xf numFmtId="2" fontId="1" fillId="20" borderId="7" xfId="6" applyNumberFormat="1" applyFill="1" applyBorder="1"/>
    <xf numFmtId="9" fontId="0" fillId="0" borderId="0" xfId="7" applyFont="1" applyBorder="1"/>
    <xf numFmtId="9" fontId="0" fillId="20" borderId="7" xfId="7" applyFont="1" applyFill="1" applyBorder="1"/>
    <xf numFmtId="2" fontId="1" fillId="0" borderId="7" xfId="6" applyNumberFormat="1" applyBorder="1"/>
    <xf numFmtId="1" fontId="1" fillId="0" borderId="0" xfId="6" applyNumberFormat="1"/>
    <xf numFmtId="1" fontId="1" fillId="0" borderId="7" xfId="6" applyNumberFormat="1" applyBorder="1"/>
    <xf numFmtId="0" fontId="1" fillId="0" borderId="7" xfId="6" applyBorder="1"/>
    <xf numFmtId="0" fontId="51" fillId="0" borderId="6" xfId="6" applyFont="1" applyBorder="1"/>
    <xf numFmtId="174" fontId="0" fillId="0" borderId="0" xfId="8" applyNumberFormat="1" applyFont="1" applyBorder="1"/>
    <xf numFmtId="164" fontId="0" fillId="0" borderId="0" xfId="9" applyFont="1" applyBorder="1"/>
    <xf numFmtId="175" fontId="0" fillId="0" borderId="7" xfId="9" applyNumberFormat="1" applyFont="1" applyBorder="1"/>
    <xf numFmtId="0" fontId="1" fillId="0" borderId="9" xfId="6" applyBorder="1"/>
    <xf numFmtId="0" fontId="1" fillId="0" borderId="10" xfId="6" applyBorder="1"/>
    <xf numFmtId="0" fontId="1" fillId="0" borderId="26" xfId="6" applyBorder="1"/>
    <xf numFmtId="174" fontId="1" fillId="0" borderId="27" xfId="6" applyNumberFormat="1" applyBorder="1"/>
    <xf numFmtId="174" fontId="1" fillId="0" borderId="7" xfId="6" applyNumberFormat="1" applyBorder="1"/>
    <xf numFmtId="174" fontId="0" fillId="21" borderId="7" xfId="8" applyNumberFormat="1" applyFont="1" applyFill="1" applyBorder="1"/>
    <xf numFmtId="164" fontId="0" fillId="0" borderId="0" xfId="9" applyFont="1" applyFill="1" applyBorder="1"/>
    <xf numFmtId="164" fontId="0" fillId="20" borderId="7" xfId="9" applyFont="1" applyFill="1" applyBorder="1"/>
    <xf numFmtId="0" fontId="1" fillId="0" borderId="11" xfId="6" applyBorder="1"/>
    <xf numFmtId="174" fontId="1" fillId="21" borderId="0" xfId="6" applyNumberFormat="1" applyFill="1"/>
    <xf numFmtId="175" fontId="0" fillId="0" borderId="0" xfId="9" applyNumberFormat="1" applyFont="1" applyBorder="1"/>
    <xf numFmtId="175" fontId="0" fillId="0" borderId="10" xfId="9" applyNumberFormat="1" applyFont="1" applyBorder="1"/>
    <xf numFmtId="0" fontId="26" fillId="10" borderId="0" xfId="0" applyFont="1" applyFill="1" applyAlignment="1">
      <alignment vertical="top" wrapText="1"/>
    </xf>
    <xf numFmtId="167" fontId="34" fillId="0" borderId="0" xfId="1" applyNumberFormat="1" applyAlignment="1">
      <alignment vertical="center"/>
    </xf>
    <xf numFmtId="9" fontId="34" fillId="0" borderId="0" xfId="1" applyNumberFormat="1" applyAlignment="1">
      <alignment vertical="center"/>
    </xf>
    <xf numFmtId="0" fontId="54" fillId="0" borderId="15" xfId="0" applyFont="1" applyBorder="1" applyAlignment="1">
      <alignment vertical="top" wrapText="1"/>
    </xf>
    <xf numFmtId="173" fontId="34" fillId="19" borderId="22" xfId="1" applyNumberFormat="1" applyFill="1" applyBorder="1" applyAlignment="1">
      <alignment vertical="center"/>
    </xf>
    <xf numFmtId="0" fontId="50" fillId="0" borderId="0" xfId="0" applyFont="1" applyAlignment="1">
      <alignment horizontal="center"/>
    </xf>
    <xf numFmtId="0" fontId="49" fillId="0" borderId="0" xfId="0" applyFont="1" applyAlignment="1">
      <alignment horizontal="center"/>
    </xf>
    <xf numFmtId="0" fontId="0" fillId="0" borderId="0" xfId="0" applyAlignment="1">
      <alignment horizontal="center"/>
    </xf>
    <xf numFmtId="0" fontId="56" fillId="22" borderId="0" xfId="0" applyFont="1" applyFill="1"/>
    <xf numFmtId="2" fontId="57" fillId="14" borderId="7" xfId="6" applyNumberFormat="1" applyFont="1" applyFill="1" applyBorder="1"/>
    <xf numFmtId="43" fontId="1" fillId="0" borderId="0" xfId="6" applyNumberFormat="1"/>
    <xf numFmtId="0" fontId="1" fillId="23" borderId="0" xfId="6" applyFill="1"/>
    <xf numFmtId="164" fontId="0" fillId="23" borderId="0" xfId="9" applyFont="1" applyFill="1"/>
    <xf numFmtId="164" fontId="1" fillId="23" borderId="0" xfId="6" applyNumberFormat="1" applyFill="1"/>
    <xf numFmtId="43" fontId="1" fillId="23" borderId="0" xfId="6" applyNumberFormat="1" applyFill="1"/>
    <xf numFmtId="0" fontId="51" fillId="23" borderId="0" xfId="6" applyFont="1" applyFill="1"/>
    <xf numFmtId="9" fontId="1" fillId="0" borderId="0" xfId="6" applyNumberFormat="1"/>
    <xf numFmtId="175" fontId="1" fillId="0" borderId="0" xfId="6" applyNumberFormat="1"/>
    <xf numFmtId="9" fontId="0" fillId="24" borderId="0" xfId="0" applyNumberFormat="1" applyFill="1"/>
    <xf numFmtId="0" fontId="0" fillId="25" borderId="0" xfId="0" applyFill="1"/>
    <xf numFmtId="0" fontId="2" fillId="25" borderId="0" xfId="0" applyFont="1" applyFill="1"/>
    <xf numFmtId="167" fontId="2" fillId="25" borderId="0" xfId="0" applyNumberFormat="1" applyFont="1" applyFill="1"/>
    <xf numFmtId="167" fontId="0" fillId="25" borderId="0" xfId="0" applyNumberFormat="1" applyFill="1"/>
    <xf numFmtId="0" fontId="0" fillId="25" borderId="20" xfId="0" applyFill="1" applyBorder="1"/>
    <xf numFmtId="0" fontId="0" fillId="25" borderId="0" xfId="0" applyFill="1" applyAlignment="1">
      <alignment horizontal="left"/>
    </xf>
    <xf numFmtId="0" fontId="0" fillId="25" borderId="28" xfId="0" applyFill="1" applyBorder="1"/>
    <xf numFmtId="0" fontId="0" fillId="25" borderId="29" xfId="0" applyFill="1" applyBorder="1"/>
    <xf numFmtId="0" fontId="0" fillId="25" borderId="29" xfId="0" applyFill="1" applyBorder="1" applyAlignment="1">
      <alignment horizontal="left"/>
    </xf>
    <xf numFmtId="0" fontId="0" fillId="25" borderId="30" xfId="0" applyFill="1" applyBorder="1" applyAlignment="1">
      <alignment horizontal="left"/>
    </xf>
    <xf numFmtId="0" fontId="2" fillId="25" borderId="31" xfId="0" applyFont="1" applyFill="1" applyBorder="1"/>
    <xf numFmtId="0" fontId="0" fillId="24" borderId="0" xfId="0" applyFill="1"/>
    <xf numFmtId="0" fontId="0" fillId="25" borderId="32" xfId="0" applyFill="1" applyBorder="1" applyAlignment="1">
      <alignment horizontal="left"/>
    </xf>
    <xf numFmtId="0" fontId="0" fillId="25" borderId="31" xfId="0" applyFill="1" applyBorder="1"/>
    <xf numFmtId="0" fontId="43" fillId="25" borderId="31" xfId="0" applyFont="1" applyFill="1" applyBorder="1"/>
    <xf numFmtId="0" fontId="43" fillId="25" borderId="0" xfId="0" applyFont="1" applyFill="1"/>
    <xf numFmtId="0" fontId="58" fillId="25" borderId="0" xfId="0" applyFont="1" applyFill="1" applyAlignment="1">
      <alignment horizontal="left" vertical="center"/>
    </xf>
    <xf numFmtId="0" fontId="58" fillId="25" borderId="32" xfId="0" applyFont="1" applyFill="1" applyBorder="1" applyAlignment="1">
      <alignment horizontal="left" vertical="center"/>
    </xf>
    <xf numFmtId="0" fontId="0" fillId="25" borderId="33" xfId="0" applyFill="1" applyBorder="1"/>
    <xf numFmtId="167" fontId="0" fillId="25" borderId="34" xfId="0" applyNumberFormat="1" applyFill="1" applyBorder="1"/>
    <xf numFmtId="0" fontId="0" fillId="24" borderId="29" xfId="0" applyFill="1" applyBorder="1"/>
    <xf numFmtId="0" fontId="0" fillId="25" borderId="30" xfId="0" applyFill="1" applyBorder="1"/>
    <xf numFmtId="0" fontId="0" fillId="25" borderId="32" xfId="0" applyFill="1" applyBorder="1"/>
    <xf numFmtId="0" fontId="2" fillId="25" borderId="36" xfId="0" applyFont="1" applyFill="1" applyBorder="1"/>
    <xf numFmtId="0" fontId="2" fillId="25" borderId="37" xfId="0" applyFont="1" applyFill="1" applyBorder="1"/>
    <xf numFmtId="167" fontId="2" fillId="25" borderId="38" xfId="0" applyNumberFormat="1" applyFont="1" applyFill="1" applyBorder="1"/>
    <xf numFmtId="0" fontId="49" fillId="25" borderId="39" xfId="0" applyFont="1" applyFill="1" applyBorder="1"/>
    <xf numFmtId="167" fontId="0" fillId="24" borderId="40" xfId="0" applyNumberFormat="1" applyFill="1" applyBorder="1"/>
    <xf numFmtId="0" fontId="0" fillId="25" borderId="41" xfId="0" applyFill="1" applyBorder="1"/>
    <xf numFmtId="0" fontId="0" fillId="25" borderId="43" xfId="0" applyFill="1" applyBorder="1"/>
    <xf numFmtId="0" fontId="0" fillId="25" borderId="44" xfId="0" applyFill="1" applyBorder="1"/>
    <xf numFmtId="167" fontId="0" fillId="24" borderId="42" xfId="0" applyNumberFormat="1" applyFill="1" applyBorder="1"/>
    <xf numFmtId="0" fontId="2" fillId="25" borderId="28" xfId="0" applyFont="1" applyFill="1" applyBorder="1"/>
    <xf numFmtId="167" fontId="2" fillId="25" borderId="29" xfId="0" applyNumberFormat="1" applyFont="1" applyFill="1" applyBorder="1"/>
    <xf numFmtId="167" fontId="0" fillId="24" borderId="0" xfId="0" applyNumberFormat="1" applyFill="1"/>
    <xf numFmtId="167" fontId="0" fillId="25" borderId="32" xfId="0" applyNumberFormat="1" applyFill="1" applyBorder="1"/>
    <xf numFmtId="0" fontId="0" fillId="24" borderId="34" xfId="0" applyFill="1" applyBorder="1"/>
    <xf numFmtId="167" fontId="0" fillId="24" borderId="34" xfId="0" applyNumberFormat="1" applyFill="1" applyBorder="1"/>
    <xf numFmtId="167" fontId="0" fillId="25" borderId="35" xfId="0" applyNumberFormat="1" applyFill="1" applyBorder="1"/>
    <xf numFmtId="0" fontId="58" fillId="25" borderId="34" xfId="0" applyFont="1" applyFill="1" applyBorder="1" applyAlignment="1">
      <alignment horizontal="left" vertical="center"/>
    </xf>
    <xf numFmtId="0" fontId="58" fillId="25" borderId="35" xfId="0" applyFont="1" applyFill="1" applyBorder="1" applyAlignment="1">
      <alignment horizontal="left" vertical="center"/>
    </xf>
    <xf numFmtId="0" fontId="58" fillId="25" borderId="0" xfId="0" applyFont="1" applyFill="1" applyAlignment="1">
      <alignment vertical="center"/>
    </xf>
    <xf numFmtId="0" fontId="58" fillId="25" borderId="32" xfId="0" applyFont="1" applyFill="1" applyBorder="1" applyAlignment="1">
      <alignment vertical="center"/>
    </xf>
    <xf numFmtId="0" fontId="58" fillId="25" borderId="34" xfId="0" applyFont="1" applyFill="1" applyBorder="1" applyAlignment="1">
      <alignment vertical="center"/>
    </xf>
    <xf numFmtId="0" fontId="58" fillId="25" borderId="35" xfId="0" applyFont="1" applyFill="1" applyBorder="1" applyAlignment="1">
      <alignment vertical="center"/>
    </xf>
    <xf numFmtId="0" fontId="0" fillId="0" borderId="0" xfId="0" quotePrefix="1"/>
    <xf numFmtId="0" fontId="0" fillId="24" borderId="31" xfId="0" applyFill="1" applyBorder="1"/>
    <xf numFmtId="0" fontId="0" fillId="24" borderId="33" xfId="0" applyFill="1" applyBorder="1"/>
    <xf numFmtId="0" fontId="0" fillId="25" borderId="0" xfId="0" applyFill="1" applyAlignment="1">
      <alignment horizontal="center"/>
    </xf>
    <xf numFmtId="0" fontId="0" fillId="25" borderId="31" xfId="0" applyFill="1" applyBorder="1" applyAlignment="1">
      <alignment horizontal="left"/>
    </xf>
    <xf numFmtId="9" fontId="0" fillId="25" borderId="0" xfId="0" applyNumberFormat="1" applyFill="1"/>
    <xf numFmtId="10" fontId="0" fillId="25" borderId="0" xfId="0" applyNumberFormat="1" applyFill="1"/>
    <xf numFmtId="0" fontId="0" fillId="25" borderId="35" xfId="0" applyFill="1" applyBorder="1"/>
    <xf numFmtId="0" fontId="49" fillId="25" borderId="45" xfId="0" applyFont="1" applyFill="1" applyBorder="1"/>
    <xf numFmtId="0" fontId="0" fillId="25" borderId="46" xfId="0" applyFill="1" applyBorder="1"/>
    <xf numFmtId="169" fontId="0" fillId="24" borderId="47" xfId="0" applyNumberFormat="1" applyFill="1" applyBorder="1"/>
    <xf numFmtId="0" fontId="49" fillId="25" borderId="31" xfId="0" applyFont="1" applyFill="1" applyBorder="1"/>
    <xf numFmtId="43" fontId="0" fillId="25" borderId="32" xfId="0" applyNumberFormat="1" applyFill="1" applyBorder="1"/>
    <xf numFmtId="167" fontId="0" fillId="25" borderId="0" xfId="0" applyNumberFormat="1" applyFill="1" applyAlignment="1">
      <alignment horizontal="center"/>
    </xf>
    <xf numFmtId="167" fontId="43" fillId="25" borderId="0" xfId="0" applyNumberFormat="1" applyFont="1" applyFill="1"/>
    <xf numFmtId="9" fontId="0" fillId="24" borderId="47" xfId="0" applyNumberFormat="1" applyFill="1" applyBorder="1"/>
    <xf numFmtId="0" fontId="49" fillId="25" borderId="31" xfId="0" applyFont="1" applyFill="1" applyBorder="1" applyAlignment="1">
      <alignment horizontal="left" indent="1"/>
    </xf>
    <xf numFmtId="0" fontId="0" fillId="24" borderId="32" xfId="0" applyFill="1" applyBorder="1"/>
    <xf numFmtId="0" fontId="49" fillId="25" borderId="31" xfId="0" applyFont="1" applyFill="1" applyBorder="1" applyAlignment="1">
      <alignment horizontal="left" indent="2"/>
    </xf>
    <xf numFmtId="0" fontId="49" fillId="25" borderId="33" xfId="0" applyFont="1" applyFill="1" applyBorder="1" applyAlignment="1">
      <alignment horizontal="left" indent="2"/>
    </xf>
    <xf numFmtId="0" fontId="0" fillId="25" borderId="34" xfId="0" applyFill="1" applyBorder="1"/>
    <xf numFmtId="0" fontId="0" fillId="24" borderId="35" xfId="0" applyFill="1" applyBorder="1"/>
    <xf numFmtId="0" fontId="0" fillId="25" borderId="0" xfId="0" applyFill="1" applyAlignment="1">
      <alignment horizontal="right"/>
    </xf>
    <xf numFmtId="167" fontId="0" fillId="25" borderId="0" xfId="0" applyNumberFormat="1" applyFill="1" applyAlignment="1">
      <alignment horizontal="right"/>
    </xf>
    <xf numFmtId="0" fontId="20" fillId="25" borderId="0" xfId="0" applyFont="1" applyFill="1" applyAlignment="1">
      <alignment horizontal="right"/>
    </xf>
    <xf numFmtId="167" fontId="20" fillId="25" borderId="0" xfId="0" applyNumberFormat="1" applyFont="1" applyFill="1" applyAlignment="1">
      <alignment horizontal="right"/>
    </xf>
    <xf numFmtId="167" fontId="20" fillId="25" borderId="0" xfId="0" applyNumberFormat="1" applyFont="1" applyFill="1"/>
    <xf numFmtId="0" fontId="43" fillId="25" borderId="32" xfId="0" applyFont="1" applyFill="1" applyBorder="1"/>
    <xf numFmtId="0" fontId="12" fillId="0" borderId="0" xfId="0" applyFont="1" applyAlignment="1">
      <alignment horizontal="left" vertical="top" wrapText="1"/>
    </xf>
    <xf numFmtId="0" fontId="0" fillId="0" borderId="0" xfId="0" applyAlignment="1">
      <alignment horizontal="left" vertical="top" wrapText="1"/>
    </xf>
    <xf numFmtId="0" fontId="58" fillId="25" borderId="0" xfId="0" applyFont="1" applyFill="1" applyAlignment="1">
      <alignment horizontal="left" vertical="center"/>
    </xf>
    <xf numFmtId="0" fontId="58" fillId="25" borderId="32" xfId="0" applyFont="1" applyFill="1" applyBorder="1" applyAlignment="1">
      <alignment horizontal="left" vertical="center"/>
    </xf>
    <xf numFmtId="0" fontId="2" fillId="0" borderId="0" xfId="0" applyFont="1" applyAlignment="1">
      <alignment horizontal="center"/>
    </xf>
    <xf numFmtId="0" fontId="2" fillId="25" borderId="0" xfId="0" applyFont="1" applyFill="1" applyAlignment="1">
      <alignment horizontal="center"/>
    </xf>
    <xf numFmtId="0" fontId="2" fillId="25" borderId="28" xfId="0" applyFont="1" applyFill="1" applyBorder="1" applyAlignment="1">
      <alignment horizontal="center"/>
    </xf>
    <xf numFmtId="0" fontId="2" fillId="25" borderId="29" xfId="0" applyFont="1" applyFill="1" applyBorder="1" applyAlignment="1">
      <alignment horizontal="center"/>
    </xf>
    <xf numFmtId="0" fontId="0" fillId="25" borderId="28" xfId="0" applyFill="1" applyBorder="1" applyAlignment="1">
      <alignment horizontal="center"/>
    </xf>
    <xf numFmtId="0" fontId="0" fillId="25" borderId="30" xfId="0" applyFill="1" applyBorder="1" applyAlignment="1">
      <alignment horizontal="center"/>
    </xf>
    <xf numFmtId="0" fontId="34" fillId="0" borderId="0" xfId="1" applyAlignment="1">
      <alignment horizontal="center"/>
    </xf>
    <xf numFmtId="0" fontId="34" fillId="0" borderId="7" xfId="1" applyBorder="1" applyAlignment="1">
      <alignment horizontal="center"/>
    </xf>
    <xf numFmtId="0" fontId="45" fillId="18" borderId="0" xfId="1" applyFont="1" applyFill="1" applyAlignment="1">
      <alignment horizontal="center" vertical="center"/>
    </xf>
  </cellXfs>
  <cellStyles count="10">
    <cellStyle name="Comma 2" xfId="5" xr:uid="{07459DA5-B9E1-924A-A77A-0A13774BC32F}"/>
    <cellStyle name="Comma 3" xfId="8" xr:uid="{BD88396E-85D1-C640-B263-86913AC094D3}"/>
    <cellStyle name="Currency 2" xfId="3" xr:uid="{9F83C5B0-D0EC-A24B-B907-75126068C05E}"/>
    <cellStyle name="Currency 3" xfId="9" xr:uid="{CB058BE5-D4CA-704D-A333-99DC598547AF}"/>
    <cellStyle name="Normal" xfId="0" builtinId="0"/>
    <cellStyle name="Normal 2" xfId="1" xr:uid="{DD470366-2437-DB49-8205-4BDD8EBDBA48}"/>
    <cellStyle name="Normal 3" xfId="6" xr:uid="{39A13CCD-62B8-554A-876C-57C9C59D1161}"/>
    <cellStyle name="Percent" xfId="4" builtinId="5"/>
    <cellStyle name="Percent 2" xfId="2" xr:uid="{C4C07FCC-B822-C445-AA90-B6D5576E8843}"/>
    <cellStyle name="Percent 3" xfId="7" xr:uid="{5BD5227C-C0A5-E74C-8CA9-07C0CE02E1A5}"/>
  </cellStyles>
  <dxfs count="46">
    <dxf>
      <font>
        <b val="0"/>
        <i val="0"/>
        <strike val="0"/>
        <condense val="0"/>
        <extend val="0"/>
        <outline val="0"/>
        <shadow val="0"/>
        <u val="none"/>
        <vertAlign val="baseline"/>
        <sz val="12"/>
        <color rgb="FF000000"/>
        <name val="Aptos Narrow"/>
        <family val="2"/>
        <scheme val="none"/>
      </font>
    </dxf>
    <dxf>
      <font>
        <b val="0"/>
        <i val="0"/>
        <strike val="0"/>
        <condense val="0"/>
        <extend val="0"/>
        <outline val="0"/>
        <shadow val="0"/>
        <u val="none"/>
        <vertAlign val="baseline"/>
        <sz val="12"/>
        <color rgb="FF000000"/>
        <name val="Aptos Narrow"/>
        <family val="2"/>
        <scheme val="none"/>
      </font>
    </dxf>
    <dxf>
      <font>
        <b val="0"/>
        <i val="0"/>
        <strike val="0"/>
        <condense val="0"/>
        <extend val="0"/>
        <outline val="0"/>
        <shadow val="0"/>
        <u val="none"/>
        <vertAlign val="baseline"/>
        <sz val="12"/>
        <color rgb="FF000000"/>
        <name val="Aptos Narrow"/>
        <family val="2"/>
        <scheme val="none"/>
      </font>
    </dxf>
    <dxf>
      <font>
        <b val="0"/>
        <i val="0"/>
        <strike val="0"/>
        <condense val="0"/>
        <extend val="0"/>
        <outline val="0"/>
        <shadow val="0"/>
        <u val="none"/>
        <vertAlign val="baseline"/>
        <sz val="12"/>
        <color rgb="FF000000"/>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ptos Narrow"/>
        <family val="2"/>
        <scheme val="none"/>
      </font>
      <alignment horizontal="center"/>
    </dxf>
    <dxf>
      <font>
        <b val="0"/>
        <i val="0"/>
        <strike val="0"/>
        <condense val="0"/>
        <extend val="0"/>
        <outline val="0"/>
        <shadow val="0"/>
        <u val="none"/>
        <vertAlign val="baseline"/>
        <sz val="12"/>
        <color rgb="FF000000"/>
        <name val="Aptos Narrow"/>
        <family val="2"/>
        <scheme val="none"/>
      </font>
    </dxf>
    <dxf>
      <font>
        <b val="0"/>
        <i val="0"/>
        <strike val="0"/>
        <condense val="0"/>
        <extend val="0"/>
        <outline val="0"/>
        <shadow val="0"/>
        <u val="none"/>
        <vertAlign val="baseline"/>
        <sz val="12"/>
        <color rgb="FF000000"/>
        <name val="Aptos Narrow"/>
        <family val="2"/>
        <scheme val="none"/>
      </font>
    </dxf>
    <dxf>
      <font>
        <b val="0"/>
        <i val="0"/>
        <strike val="0"/>
        <condense val="0"/>
        <extend val="0"/>
        <outline val="0"/>
        <shadow val="0"/>
        <u val="none"/>
        <vertAlign val="baseline"/>
        <sz val="12"/>
        <color rgb="FF000000"/>
        <name val="Aptos Narrow"/>
        <family val="2"/>
        <scheme val="none"/>
      </font>
    </dxf>
    <dxf>
      <font>
        <b/>
        <i val="0"/>
        <strike val="0"/>
        <condense val="0"/>
        <extend val="0"/>
        <outline val="0"/>
        <shadow val="0"/>
        <u val="none"/>
        <vertAlign val="baseline"/>
        <sz val="12"/>
        <color rgb="FF000000"/>
        <name val="Aptos Narrow"/>
        <family val="2"/>
        <scheme val="none"/>
      </font>
    </dxf>
    <dxf>
      <border outline="0">
        <bottom style="thin">
          <color theme="1"/>
        </bottom>
      </border>
    </dxf>
    <dxf>
      <border outline="0">
        <top style="thin">
          <color theme="1"/>
        </top>
      </border>
    </dxf>
    <dxf>
      <font>
        <b/>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alignment horizontal="general" vertical="bottom" textRotation="0" wrapText="1" indent="0" justifyLastLine="0" shrinkToFit="0" readingOrder="0"/>
    </dxf>
    <dxf>
      <border outline="0">
        <bottom style="hair">
          <color indexed="64"/>
        </bottom>
      </border>
    </dxf>
    <dxf>
      <border outline="0">
        <top style="hair">
          <color indexed="64"/>
        </top>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rgb="FFC1F7BC"/>
        </patternFill>
      </fill>
      <alignment horizontal="center" vertical="top" textRotation="0" wrapText="0" indent="0" justifyLastLine="0" shrinkToFit="0" readingOrder="0"/>
    </dxf>
    <dxf>
      <font>
        <b val="0"/>
        <color rgb="FF000000"/>
      </font>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top" textRotation="0" wrapText="0" indent="0" justifyLastLine="0" shrinkToFit="0" readingOrder="0"/>
    </dxf>
    <dxf>
      <border outline="0">
        <bottom style="thin">
          <color theme="1"/>
        </bottom>
      </border>
    </dxf>
    <dxf>
      <border outline="0">
        <top style="thin">
          <color theme="1"/>
        </top>
      </border>
    </dxf>
    <dxf>
      <font>
        <b/>
        <i val="0"/>
        <strike val="0"/>
        <condense val="0"/>
        <extend val="0"/>
        <outline val="0"/>
        <shadow val="0"/>
        <u val="none"/>
        <vertAlign val="baseline"/>
        <sz val="11"/>
        <color rgb="FF000000"/>
        <name val="Calibri"/>
        <family val="2"/>
        <scheme val="minor"/>
      </font>
      <fill>
        <patternFill patternType="none"/>
      </fill>
      <alignment horizontal="general" vertical="top" textRotation="0" wrapText="0" indent="0" justifyLastLine="0" shrinkToFit="0" readingOrder="0"/>
    </dxf>
    <dxf>
      <font>
        <color rgb="FF000000"/>
      </font>
      <fill>
        <patternFill patternType="solid">
          <bgColor rgb="FFFF0000"/>
        </patternFill>
      </fill>
    </dxf>
    <dxf>
      <fill>
        <patternFill patternType="solid">
          <bgColor rgb="FFE2EFDA"/>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
      <alignment vertical="top"/>
    </dxf>
    <dxf>
      <alignment vertical="top"/>
    </dxf>
    <dxf>
      <alignment vertical="top"/>
    </dxf>
    <dxf>
      <alignment vertical="top" wrapText="1"/>
    </dxf>
    <dxf>
      <alignment vertical="top" wrapText="1"/>
    </dxf>
    <dxf>
      <alignment vertical="top"/>
    </dxf>
    <dxf>
      <alignment vertical="top"/>
    </dxf>
    <dxf>
      <alignment vertical="top"/>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'TAC_Calculator (2) Fixed costs'!$B$27</c:f>
              <c:strCache>
                <c:ptCount val="1"/>
                <c:pt idx="0">
                  <c:v>Utilization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'TAC_Calculator (2) Fixed costs'!$B$28:$B$115</c:f>
              <c:numCache>
                <c:formatCode>General</c:formatCode>
                <c:ptCount val="88"/>
                <c:pt idx="0">
                  <c:v>876.52173913041736</c:v>
                </c:pt>
                <c:pt idx="1">
                  <c:v>964.17391304346074</c:v>
                </c:pt>
                <c:pt idx="2">
                  <c:v>1051.8260869565042</c:v>
                </c:pt>
                <c:pt idx="3">
                  <c:v>1139.4782608695475</c:v>
                </c:pt>
                <c:pt idx="4">
                  <c:v>1227.130434782591</c:v>
                </c:pt>
                <c:pt idx="5">
                  <c:v>1314.7826086956347</c:v>
                </c:pt>
                <c:pt idx="6">
                  <c:v>1402.4347826086782</c:v>
                </c:pt>
                <c:pt idx="7">
                  <c:v>1490.0869565217217</c:v>
                </c:pt>
                <c:pt idx="8">
                  <c:v>1577.7391304347652</c:v>
                </c:pt>
                <c:pt idx="9">
                  <c:v>1665.3913043478087</c:v>
                </c:pt>
                <c:pt idx="10">
                  <c:v>1753.0434782608522</c:v>
                </c:pt>
                <c:pt idx="11">
                  <c:v>1840.6956521738957</c:v>
                </c:pt>
                <c:pt idx="12">
                  <c:v>1928.347826086939</c:v>
                </c:pt>
                <c:pt idx="13">
                  <c:v>2015.9999999999827</c:v>
                </c:pt>
                <c:pt idx="14">
                  <c:v>2103.6521739130258</c:v>
                </c:pt>
                <c:pt idx="15">
                  <c:v>2191.3043478260693</c:v>
                </c:pt>
                <c:pt idx="16">
                  <c:v>2278.9565217391128</c:v>
                </c:pt>
                <c:pt idx="17">
                  <c:v>2366.6086956521567</c:v>
                </c:pt>
                <c:pt idx="18">
                  <c:v>2454.2608695651993</c:v>
                </c:pt>
                <c:pt idx="19">
                  <c:v>2541.9130434782437</c:v>
                </c:pt>
                <c:pt idx="20">
                  <c:v>2629.5652173912868</c:v>
                </c:pt>
                <c:pt idx="21">
                  <c:v>2717.2173913043302</c:v>
                </c:pt>
                <c:pt idx="22">
                  <c:v>2804.8695652173828</c:v>
                </c:pt>
                <c:pt idx="23">
                  <c:v>2892.5217391304263</c:v>
                </c:pt>
                <c:pt idx="24">
                  <c:v>2980.1739130434698</c:v>
                </c:pt>
                <c:pt idx="25">
                  <c:v>3067.8260869565129</c:v>
                </c:pt>
                <c:pt idx="26">
                  <c:v>3155.4782608695568</c:v>
                </c:pt>
                <c:pt idx="27">
                  <c:v>3243.1304347825999</c:v>
                </c:pt>
                <c:pt idx="28">
                  <c:v>3330.7826086956434</c:v>
                </c:pt>
                <c:pt idx="29">
                  <c:v>3418.4347826086873</c:v>
                </c:pt>
                <c:pt idx="30">
                  <c:v>3506.0869565217299</c:v>
                </c:pt>
                <c:pt idx="31">
                  <c:v>3593.7391304347739</c:v>
                </c:pt>
                <c:pt idx="32">
                  <c:v>3681.3913043478178</c:v>
                </c:pt>
                <c:pt idx="33">
                  <c:v>3769.0434782608604</c:v>
                </c:pt>
                <c:pt idx="34">
                  <c:v>3856.6956521739044</c:v>
                </c:pt>
                <c:pt idx="35">
                  <c:v>3944.3478260869483</c:v>
                </c:pt>
                <c:pt idx="36">
                  <c:v>4031.9999999999909</c:v>
                </c:pt>
                <c:pt idx="37">
                  <c:v>4119.6521739130349</c:v>
                </c:pt>
                <c:pt idx="38">
                  <c:v>4207.304347826087</c:v>
                </c:pt>
                <c:pt idx="39">
                  <c:v>4294.9565217391309</c:v>
                </c:pt>
                <c:pt idx="40">
                  <c:v>4382.608695652174</c:v>
                </c:pt>
                <c:pt idx="41">
                  <c:v>4470.2608695652179</c:v>
                </c:pt>
                <c:pt idx="42">
                  <c:v>4557.913043478261</c:v>
                </c:pt>
                <c:pt idx="43">
                  <c:v>4645.565217391304</c:v>
                </c:pt>
                <c:pt idx="44">
                  <c:v>4733.217391304348</c:v>
                </c:pt>
                <c:pt idx="45">
                  <c:v>4820.869565217391</c:v>
                </c:pt>
                <c:pt idx="46">
                  <c:v>4908.5217391304341</c:v>
                </c:pt>
                <c:pt idx="47">
                  <c:v>4996.1739130434789</c:v>
                </c:pt>
                <c:pt idx="48">
                  <c:v>5110.1217391304344</c:v>
                </c:pt>
                <c:pt idx="49">
                  <c:v>5171.4782608695659</c:v>
                </c:pt>
                <c:pt idx="50">
                  <c:v>5259.1304347826081</c:v>
                </c:pt>
                <c:pt idx="51">
                  <c:v>5259.1304347826081</c:v>
                </c:pt>
                <c:pt idx="52">
                  <c:v>5346.782608695652</c:v>
                </c:pt>
                <c:pt idx="53">
                  <c:v>5434.434782608696</c:v>
                </c:pt>
                <c:pt idx="54">
                  <c:v>5522.0869565217399</c:v>
                </c:pt>
                <c:pt idx="55">
                  <c:v>5609.739130434783</c:v>
                </c:pt>
                <c:pt idx="56">
                  <c:v>5697.3913043478269</c:v>
                </c:pt>
                <c:pt idx="57">
                  <c:v>5785.0434782608691</c:v>
                </c:pt>
                <c:pt idx="58">
                  <c:v>5872.695652173913</c:v>
                </c:pt>
                <c:pt idx="59">
                  <c:v>5960.347826086956</c:v>
                </c:pt>
                <c:pt idx="60">
                  <c:v>6048</c:v>
                </c:pt>
                <c:pt idx="61">
                  <c:v>6135.652173913044</c:v>
                </c:pt>
                <c:pt idx="62">
                  <c:v>6223.304347826087</c:v>
                </c:pt>
                <c:pt idx="63">
                  <c:v>6310.9565217391309</c:v>
                </c:pt>
                <c:pt idx="64">
                  <c:v>6398.608695652174</c:v>
                </c:pt>
                <c:pt idx="65">
                  <c:v>6486.2608695652088</c:v>
                </c:pt>
                <c:pt idx="66">
                  <c:v>6573.9130434782528</c:v>
                </c:pt>
                <c:pt idx="67">
                  <c:v>6661.5652173912958</c:v>
                </c:pt>
                <c:pt idx="68">
                  <c:v>6749.2173913043389</c:v>
                </c:pt>
                <c:pt idx="69">
                  <c:v>6836.8695652173819</c:v>
                </c:pt>
                <c:pt idx="70">
                  <c:v>6924.5217391304268</c:v>
                </c:pt>
                <c:pt idx="71">
                  <c:v>7012.1739130434698</c:v>
                </c:pt>
                <c:pt idx="72">
                  <c:v>7099.8260869565147</c:v>
                </c:pt>
                <c:pt idx="73">
                  <c:v>7187.4782608695568</c:v>
                </c:pt>
                <c:pt idx="74">
                  <c:v>7275.1304347825999</c:v>
                </c:pt>
                <c:pt idx="75">
                  <c:v>7362.7826086956429</c:v>
                </c:pt>
                <c:pt idx="76">
                  <c:v>7450.434782608686</c:v>
                </c:pt>
                <c:pt idx="77">
                  <c:v>7538.0869565217326</c:v>
                </c:pt>
                <c:pt idx="78">
                  <c:v>7625.7391304347757</c:v>
                </c:pt>
                <c:pt idx="79">
                  <c:v>7713.3913043478169</c:v>
                </c:pt>
                <c:pt idx="80">
                  <c:v>7801.0434782608618</c:v>
                </c:pt>
                <c:pt idx="81">
                  <c:v>7888.6956521739039</c:v>
                </c:pt>
                <c:pt idx="82">
                  <c:v>7976.3478260869488</c:v>
                </c:pt>
                <c:pt idx="83">
                  <c:v>8063.99999999999</c:v>
                </c:pt>
                <c:pt idx="84">
                  <c:v>8151.652173913033</c:v>
                </c:pt>
                <c:pt idx="85">
                  <c:v>8239.3043478260788</c:v>
                </c:pt>
                <c:pt idx="86">
                  <c:v>8326.9565217391209</c:v>
                </c:pt>
                <c:pt idx="87">
                  <c:v>8414.6086956521667</c:v>
                </c:pt>
              </c:numCache>
            </c:numRef>
          </c:xVal>
          <c:yVal>
            <c:numRef>
              <c:f>'TAC_Calculator (2) Fixed costs'!$A$28:$A$115</c:f>
              <c:numCache>
                <c:formatCode>_(* #,##0.00_);_(* \(#,##0.00\);_(* "-"??_);_(@_)</c:formatCode>
                <c:ptCount val="88"/>
                <c:pt idx="0">
                  <c:v>235.86471508052156</c:v>
                </c:pt>
                <c:pt idx="1">
                  <c:v>214.8622800155857</c:v>
                </c:pt>
                <c:pt idx="2">
                  <c:v>197.36025079480589</c:v>
                </c:pt>
                <c:pt idx="3">
                  <c:v>182.55084145414611</c:v>
                </c:pt>
                <c:pt idx="4">
                  <c:v>169.85706201929486</c:v>
                </c:pt>
                <c:pt idx="5">
                  <c:v>158.85578650909045</c:v>
                </c:pt>
                <c:pt idx="6">
                  <c:v>149.22967043766161</c:v>
                </c:pt>
                <c:pt idx="7">
                  <c:v>140.73603860993032</c:v>
                </c:pt>
                <c:pt idx="8">
                  <c:v>133.18614365194696</c:v>
                </c:pt>
                <c:pt idx="9">
                  <c:v>126.43097447901447</c:v>
                </c:pt>
                <c:pt idx="10">
                  <c:v>120.35132222337525</c:v>
                </c:pt>
                <c:pt idx="11">
                  <c:v>114.8506844682731</c:v>
                </c:pt>
                <c:pt idx="12">
                  <c:v>109.85010469090754</c:v>
                </c:pt>
                <c:pt idx="13">
                  <c:v>105.28435793766069</c:v>
                </c:pt>
                <c:pt idx="14">
                  <c:v>101.09909008051777</c:v>
                </c:pt>
                <c:pt idx="15">
                  <c:v>97.248643651946281</c:v>
                </c:pt>
                <c:pt idx="16">
                  <c:v>93.694385410187991</c:v>
                </c:pt>
                <c:pt idx="17">
                  <c:v>90.403405556708066</c:v>
                </c:pt>
                <c:pt idx="18">
                  <c:v>87.347495692762479</c:v>
                </c:pt>
                <c:pt idx="19">
                  <c:v>84.502338233226865</c:v>
                </c:pt>
                <c:pt idx="20">
                  <c:v>81.846857937660346</c:v>
                </c:pt>
                <c:pt idx="21">
                  <c:v>79.362698951485186</c:v>
                </c:pt>
                <c:pt idx="22">
                  <c:v>77.033799901945756</c:v>
                </c:pt>
                <c:pt idx="23">
                  <c:v>74.846046249348333</c:v>
                </c:pt>
                <c:pt idx="24">
                  <c:v>72.786983988080181</c:v>
                </c:pt>
                <c:pt idx="25">
                  <c:v>70.845582427455938</c:v>
                </c:pt>
                <c:pt idx="26">
                  <c:v>69.01203650908856</c:v>
                </c:pt>
                <c:pt idx="27">
                  <c:v>67.277601180903233</c:v>
                </c:pt>
                <c:pt idx="28">
                  <c:v>65.634451922622389</c:v>
                </c:pt>
                <c:pt idx="29">
                  <c:v>64.075566728868765</c:v>
                </c:pt>
                <c:pt idx="30">
                  <c:v>62.59462579480283</c:v>
                </c:pt>
                <c:pt idx="31">
                  <c:v>61.185925881910826</c:v>
                </c:pt>
                <c:pt idx="32">
                  <c:v>59.844306917251785</c:v>
                </c:pt>
                <c:pt idx="33">
                  <c:v>58.565088834669922</c:v>
                </c:pt>
                <c:pt idx="34">
                  <c:v>57.344017028569034</c:v>
                </c:pt>
                <c:pt idx="35">
                  <c:v>56.177215080517072</c:v>
                </c:pt>
                <c:pt idx="36">
                  <c:v>55.061143651945649</c:v>
                </c:pt>
                <c:pt idx="37">
                  <c:v>53.992564624590017</c:v>
                </c:pt>
                <c:pt idx="38">
                  <c:v>52.968509723374105</c:v>
                </c:pt>
                <c:pt idx="39">
                  <c:v>51.986252981391594</c:v>
                </c:pt>
                <c:pt idx="40">
                  <c:v>51.043286509088389</c:v>
                </c:pt>
                <c:pt idx="41">
                  <c:v>50.137299114130407</c:v>
                </c:pt>
                <c:pt idx="42">
                  <c:v>49.266157388209272</c:v>
                </c:pt>
                <c:pt idx="43">
                  <c:v>48.427888934964407</c:v>
                </c:pt>
                <c:pt idx="44">
                  <c:v>47.620667461469345</c:v>
                </c:pt>
                <c:pt idx="45">
                  <c:v>46.842799496101385</c:v>
                </c:pt>
                <c:pt idx="46">
                  <c:v>46.092712529496559</c:v>
                </c:pt>
                <c:pt idx="47">
                  <c:v>45.368944403825232</c:v>
                </c:pt>
                <c:pt idx="48">
                  <c:v>44.465165337806852</c:v>
                </c:pt>
                <c:pt idx="49">
                  <c:v>43.995011690686454</c:v>
                </c:pt>
                <c:pt idx="50">
                  <c:v>43.342393651945542</c:v>
                </c:pt>
                <c:pt idx="51">
                  <c:v>43.342393651945542</c:v>
                </c:pt>
                <c:pt idx="52">
                  <c:v>42.711172925950223</c:v>
                </c:pt>
                <c:pt idx="53">
                  <c:v>42.100314158857977</c:v>
                </c:pt>
                <c:pt idx="54">
                  <c:v>41.508847733578186</c:v>
                </c:pt>
                <c:pt idx="55">
                  <c:v>40.935864634088396</c:v>
                </c:pt>
                <c:pt idx="56">
                  <c:v>40.380511783813667</c:v>
                </c:pt>
                <c:pt idx="57">
                  <c:v>39.841987807789693</c:v>
                </c:pt>
                <c:pt idx="58">
                  <c:v>39.319539174333599</c:v>
                </c:pt>
                <c:pt idx="59">
                  <c:v>38.812456677155623</c:v>
                </c:pt>
                <c:pt idx="60">
                  <c:v>38.320072223374105</c:v>
                </c:pt>
                <c:pt idx="61">
                  <c:v>37.841755896843495</c:v>
                </c:pt>
                <c:pt idx="62">
                  <c:v>37.376913269651773</c:v>
                </c:pt>
                <c:pt idx="63">
                  <c:v>36.92498293765982</c:v>
                </c:pt>
                <c:pt idx="64">
                  <c:v>36.485434258599156</c:v>
                </c:pt>
                <c:pt idx="65">
                  <c:v>36.057765273567199</c:v>
                </c:pt>
                <c:pt idx="66">
                  <c:v>35.641500794802724</c:v>
                </c:pt>
                <c:pt idx="67">
                  <c:v>35.236190644426777</c:v>
                </c:pt>
                <c:pt idx="68">
                  <c:v>34.84140803042424</c:v>
                </c:pt>
                <c:pt idx="69">
                  <c:v>34.456748047549972</c:v>
                </c:pt>
                <c:pt idx="70">
                  <c:v>34.081826292090234</c:v>
                </c:pt>
                <c:pt idx="71">
                  <c:v>33.716277580517001</c:v>
                </c:pt>
                <c:pt idx="72">
                  <c:v>33.359754763056678</c:v>
                </c:pt>
                <c:pt idx="73">
                  <c:v>33.011927624071006</c:v>
                </c:pt>
                <c:pt idx="74">
                  <c:v>32.672481861928361</c:v>
                </c:pt>
                <c:pt idx="75">
                  <c:v>32.341118141741489</c:v>
                </c:pt>
                <c:pt idx="76">
                  <c:v>32.01755121497078</c:v>
                </c:pt>
                <c:pt idx="77">
                  <c:v>31.701509100450544</c:v>
                </c:pt>
                <c:pt idx="78">
                  <c:v>31.3927323218963</c:v>
                </c:pt>
                <c:pt idx="79">
                  <c:v>31.090973197400114</c:v>
                </c:pt>
                <c:pt idx="80">
                  <c:v>30.79599517682518</c:v>
                </c:pt>
                <c:pt idx="81">
                  <c:v>30.507572223374137</c:v>
                </c:pt>
                <c:pt idx="82">
                  <c:v>30.225488235933003</c:v>
                </c:pt>
                <c:pt idx="83">
                  <c:v>29.949536509088428</c:v>
                </c:pt>
                <c:pt idx="84">
                  <c:v>29.679519227982436</c:v>
                </c:pt>
                <c:pt idx="85">
                  <c:v>29.415246995410609</c:v>
                </c:pt>
                <c:pt idx="86">
                  <c:v>29.15653838878767</c:v>
                </c:pt>
                <c:pt idx="87">
                  <c:v>28.903219544802703</c:v>
                </c:pt>
              </c:numCache>
            </c:numRef>
          </c:yVal>
          <c:smooth val="1"/>
          <c:extLst>
            <c:ext xmlns:c16="http://schemas.microsoft.com/office/drawing/2014/chart" uri="{C3380CC4-5D6E-409C-BE32-E72D297353CC}">
              <c16:uniqueId val="{00000000-F887-4104-A2E6-885E02652C70}"/>
            </c:ext>
          </c:extLst>
        </c:ser>
        <c:dLbls>
          <c:showLegendKey val="0"/>
          <c:showVal val="0"/>
          <c:showCatName val="0"/>
          <c:showSerName val="0"/>
          <c:showPercent val="0"/>
          <c:showBubbleSize val="0"/>
        </c:dLbls>
        <c:axId val="1015060544"/>
        <c:axId val="1015057904"/>
      </c:scatterChart>
      <c:valAx>
        <c:axId val="1015060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57904"/>
        <c:crosses val="autoZero"/>
        <c:crossBetween val="midCat"/>
      </c:valAx>
      <c:valAx>
        <c:axId val="101505790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6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'TAC_Calculator (2) Fixed co-tes'!$B$27</c:f>
              <c:strCache>
                <c:ptCount val="1"/>
                <c:pt idx="0">
                  <c:v>Utilization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'TAC_Calculator (2) Fixed co-tes'!$B$28:$B$115</c:f>
              <c:numCache>
                <c:formatCode>General</c:formatCode>
                <c:ptCount val="88"/>
                <c:pt idx="0">
                  <c:v>876.52173913041736</c:v>
                </c:pt>
                <c:pt idx="1">
                  <c:v>964.17391304346074</c:v>
                </c:pt>
                <c:pt idx="2">
                  <c:v>1051.8260869565042</c:v>
                </c:pt>
                <c:pt idx="3">
                  <c:v>1139.4782608695475</c:v>
                </c:pt>
                <c:pt idx="4">
                  <c:v>1227.130434782591</c:v>
                </c:pt>
                <c:pt idx="5">
                  <c:v>1314.7826086956347</c:v>
                </c:pt>
                <c:pt idx="6">
                  <c:v>1402.4347826086782</c:v>
                </c:pt>
                <c:pt idx="7">
                  <c:v>1490.0869565217217</c:v>
                </c:pt>
                <c:pt idx="8">
                  <c:v>1577.7391304347652</c:v>
                </c:pt>
                <c:pt idx="9">
                  <c:v>1665.3913043478087</c:v>
                </c:pt>
                <c:pt idx="10">
                  <c:v>1753.0434782608522</c:v>
                </c:pt>
                <c:pt idx="11">
                  <c:v>1840.6956521738957</c:v>
                </c:pt>
                <c:pt idx="12">
                  <c:v>1928.347826086939</c:v>
                </c:pt>
                <c:pt idx="13">
                  <c:v>2015.9999999999827</c:v>
                </c:pt>
                <c:pt idx="14">
                  <c:v>2103.6521739130258</c:v>
                </c:pt>
                <c:pt idx="15">
                  <c:v>2191.3043478260693</c:v>
                </c:pt>
                <c:pt idx="16">
                  <c:v>2278.9565217391128</c:v>
                </c:pt>
                <c:pt idx="17">
                  <c:v>2366.6086956521567</c:v>
                </c:pt>
                <c:pt idx="18">
                  <c:v>2454.2608695651993</c:v>
                </c:pt>
                <c:pt idx="19">
                  <c:v>2541.9130434782437</c:v>
                </c:pt>
                <c:pt idx="20">
                  <c:v>2629.5652173912868</c:v>
                </c:pt>
                <c:pt idx="21">
                  <c:v>2717.2173913043302</c:v>
                </c:pt>
                <c:pt idx="22">
                  <c:v>2804.8695652173828</c:v>
                </c:pt>
                <c:pt idx="23">
                  <c:v>2892.5217391304263</c:v>
                </c:pt>
                <c:pt idx="24">
                  <c:v>2980.1739130434698</c:v>
                </c:pt>
                <c:pt idx="25">
                  <c:v>3067.8260869565129</c:v>
                </c:pt>
                <c:pt idx="26">
                  <c:v>3155.4782608695568</c:v>
                </c:pt>
                <c:pt idx="27">
                  <c:v>3243.1304347825999</c:v>
                </c:pt>
                <c:pt idx="28">
                  <c:v>3330.7826086956434</c:v>
                </c:pt>
                <c:pt idx="29">
                  <c:v>3418.4347826086873</c:v>
                </c:pt>
                <c:pt idx="30">
                  <c:v>3506.0869565217299</c:v>
                </c:pt>
                <c:pt idx="31">
                  <c:v>3593.7391304347739</c:v>
                </c:pt>
                <c:pt idx="32">
                  <c:v>3681.3913043478178</c:v>
                </c:pt>
                <c:pt idx="33">
                  <c:v>3769.0434782608604</c:v>
                </c:pt>
                <c:pt idx="34">
                  <c:v>3856.6956521739044</c:v>
                </c:pt>
                <c:pt idx="35">
                  <c:v>3944.3478260869483</c:v>
                </c:pt>
                <c:pt idx="36">
                  <c:v>4031.9999999999909</c:v>
                </c:pt>
                <c:pt idx="37">
                  <c:v>4119.6521739130349</c:v>
                </c:pt>
                <c:pt idx="38">
                  <c:v>4207.304347826087</c:v>
                </c:pt>
                <c:pt idx="39">
                  <c:v>4294.9565217391309</c:v>
                </c:pt>
                <c:pt idx="40">
                  <c:v>4382.608695652174</c:v>
                </c:pt>
                <c:pt idx="41">
                  <c:v>4470.2608695652179</c:v>
                </c:pt>
                <c:pt idx="42">
                  <c:v>4557.913043478261</c:v>
                </c:pt>
                <c:pt idx="43">
                  <c:v>4645.565217391304</c:v>
                </c:pt>
                <c:pt idx="44">
                  <c:v>4733.217391304348</c:v>
                </c:pt>
                <c:pt idx="45">
                  <c:v>4820.869565217391</c:v>
                </c:pt>
                <c:pt idx="46">
                  <c:v>4908.5217391304341</c:v>
                </c:pt>
                <c:pt idx="47">
                  <c:v>4996.1739130434789</c:v>
                </c:pt>
                <c:pt idx="48">
                  <c:v>3593.7391304347825</c:v>
                </c:pt>
                <c:pt idx="49">
                  <c:v>5171.4782608695659</c:v>
                </c:pt>
                <c:pt idx="50">
                  <c:v>5259.1304347826081</c:v>
                </c:pt>
                <c:pt idx="51">
                  <c:v>5259.1304347826081</c:v>
                </c:pt>
                <c:pt idx="52">
                  <c:v>5346.782608695652</c:v>
                </c:pt>
                <c:pt idx="53">
                  <c:v>5434.434782608696</c:v>
                </c:pt>
                <c:pt idx="54">
                  <c:v>5522.0869565217399</c:v>
                </c:pt>
                <c:pt idx="55">
                  <c:v>5609.739130434783</c:v>
                </c:pt>
                <c:pt idx="56">
                  <c:v>5697.3913043478269</c:v>
                </c:pt>
                <c:pt idx="57">
                  <c:v>5785.0434782608691</c:v>
                </c:pt>
                <c:pt idx="58">
                  <c:v>5872.695652173913</c:v>
                </c:pt>
                <c:pt idx="59">
                  <c:v>5960.347826086956</c:v>
                </c:pt>
                <c:pt idx="60">
                  <c:v>6048</c:v>
                </c:pt>
                <c:pt idx="61">
                  <c:v>6135.652173913044</c:v>
                </c:pt>
                <c:pt idx="62">
                  <c:v>6223.304347826087</c:v>
                </c:pt>
                <c:pt idx="63">
                  <c:v>6310.9565217391309</c:v>
                </c:pt>
                <c:pt idx="64">
                  <c:v>6398.608695652174</c:v>
                </c:pt>
                <c:pt idx="65">
                  <c:v>6486.2608695652088</c:v>
                </c:pt>
                <c:pt idx="66">
                  <c:v>6573.9130434782528</c:v>
                </c:pt>
                <c:pt idx="67">
                  <c:v>6661.5652173912958</c:v>
                </c:pt>
                <c:pt idx="68">
                  <c:v>6749.2173913043389</c:v>
                </c:pt>
                <c:pt idx="69">
                  <c:v>6836.8695652173819</c:v>
                </c:pt>
                <c:pt idx="70">
                  <c:v>6924.5217391304268</c:v>
                </c:pt>
                <c:pt idx="71">
                  <c:v>7012.1739130434698</c:v>
                </c:pt>
                <c:pt idx="72">
                  <c:v>7099.8260869565147</c:v>
                </c:pt>
                <c:pt idx="73">
                  <c:v>7187.4782608695568</c:v>
                </c:pt>
                <c:pt idx="74">
                  <c:v>7275.1304347825999</c:v>
                </c:pt>
                <c:pt idx="75">
                  <c:v>7362.7826086956429</c:v>
                </c:pt>
                <c:pt idx="76">
                  <c:v>7450.434782608686</c:v>
                </c:pt>
                <c:pt idx="77">
                  <c:v>7538.0869565217326</c:v>
                </c:pt>
                <c:pt idx="78">
                  <c:v>7625.7391304347757</c:v>
                </c:pt>
                <c:pt idx="79">
                  <c:v>7713.3913043478169</c:v>
                </c:pt>
                <c:pt idx="80">
                  <c:v>7801.0434782608618</c:v>
                </c:pt>
                <c:pt idx="81">
                  <c:v>7888.6956521739039</c:v>
                </c:pt>
                <c:pt idx="82">
                  <c:v>7976.3478260869488</c:v>
                </c:pt>
                <c:pt idx="83">
                  <c:v>8063.99999999999</c:v>
                </c:pt>
                <c:pt idx="84">
                  <c:v>8151.652173913033</c:v>
                </c:pt>
                <c:pt idx="85">
                  <c:v>8239.3043478260788</c:v>
                </c:pt>
                <c:pt idx="86">
                  <c:v>8326.9565217391209</c:v>
                </c:pt>
                <c:pt idx="87">
                  <c:v>8414.6086956521667</c:v>
                </c:pt>
              </c:numCache>
            </c:numRef>
          </c:xVal>
          <c:yVal>
            <c:numRef>
              <c:f>'TAC_Calculator (2) Fixed co-tes'!$A$28:$A$115</c:f>
              <c:numCache>
                <c:formatCode>_(* #,##0.00_);_(* \(#,##0.00\);_(* "-"??_);_(@_)</c:formatCode>
                <c:ptCount val="88"/>
                <c:pt idx="0">
                  <c:v>53.290833333333715</c:v>
                </c:pt>
                <c:pt idx="1">
                  <c:v>51.563095238095563</c:v>
                </c:pt>
                <c:pt idx="2">
                  <c:v>50.123313492063765</c:v>
                </c:pt>
                <c:pt idx="3">
                  <c:v>48.905036630036868</c:v>
                </c:pt>
                <c:pt idx="4">
                  <c:v>47.860799319728095</c:v>
                </c:pt>
                <c:pt idx="5">
                  <c:v>46.955793650793822</c:v>
                </c:pt>
                <c:pt idx="6">
                  <c:v>46.163913690476349</c:v>
                </c:pt>
                <c:pt idx="7">
                  <c:v>45.465196078431511</c:v>
                </c:pt>
                <c:pt idx="8">
                  <c:v>44.844113756613886</c:v>
                </c:pt>
                <c:pt idx="9">
                  <c:v>44.288408521303374</c:v>
                </c:pt>
                <c:pt idx="10">
                  <c:v>43.788273809523908</c:v>
                </c:pt>
                <c:pt idx="11">
                  <c:v>43.335770975056782</c:v>
                </c:pt>
                <c:pt idx="12">
                  <c:v>42.924404761904846</c:v>
                </c:pt>
                <c:pt idx="13">
                  <c:v>42.548809523809595</c:v>
                </c:pt>
                <c:pt idx="14">
                  <c:v>42.204513888888968</c:v>
                </c:pt>
                <c:pt idx="15">
                  <c:v>41.88776190476198</c:v>
                </c:pt>
                <c:pt idx="16">
                  <c:v>41.595375457875527</c:v>
                </c:pt>
                <c:pt idx="17">
                  <c:v>41.324647266313988</c:v>
                </c:pt>
                <c:pt idx="18">
                  <c:v>41.073256802721147</c:v>
                </c:pt>
                <c:pt idx="19">
                  <c:v>40.83920361247953</c:v>
                </c:pt>
                <c:pt idx="20">
                  <c:v>40.620753968254014</c:v>
                </c:pt>
                <c:pt idx="21">
                  <c:v>40.416397849462413</c:v>
                </c:pt>
                <c:pt idx="22">
                  <c:v>40.224813988095264</c:v>
                </c:pt>
                <c:pt idx="23">
                  <c:v>40.044841269841299</c:v>
                </c:pt>
                <c:pt idx="24">
                  <c:v>39.875455182072855</c:v>
                </c:pt>
                <c:pt idx="25">
                  <c:v>39.715748299319749</c:v>
                </c:pt>
                <c:pt idx="26">
                  <c:v>39.564914021164036</c:v>
                </c:pt>
                <c:pt idx="27">
                  <c:v>39.42223294723297</c:v>
                </c:pt>
                <c:pt idx="28">
                  <c:v>39.287061403508794</c:v>
                </c:pt>
                <c:pt idx="29">
                  <c:v>39.158821733821753</c:v>
                </c:pt>
                <c:pt idx="30">
                  <c:v>39.036994047619068</c:v>
                </c:pt>
                <c:pt idx="31">
                  <c:v>38.921109175377481</c:v>
                </c:pt>
                <c:pt idx="32">
                  <c:v>38.810742630385505</c:v>
                </c:pt>
                <c:pt idx="33">
                  <c:v>38.705509413067574</c:v>
                </c:pt>
                <c:pt idx="34">
                  <c:v>38.605059523809537</c:v>
                </c:pt>
                <c:pt idx="35">
                  <c:v>38.509074074074086</c:v>
                </c:pt>
                <c:pt idx="36">
                  <c:v>38.417261904761915</c:v>
                </c:pt>
                <c:pt idx="37">
                  <c:v>38.329356636271548</c:v>
                </c:pt>
                <c:pt idx="38">
                  <c:v>38.245114087301594</c:v>
                </c:pt>
                <c:pt idx="39">
                  <c:v>38.164310009718179</c:v>
                </c:pt>
                <c:pt idx="40">
                  <c:v>38.086738095238097</c:v>
                </c:pt>
                <c:pt idx="41">
                  <c:v>38.012208216619989</c:v>
                </c:pt>
                <c:pt idx="42">
                  <c:v>37.940544871794877</c:v>
                </c:pt>
                <c:pt idx="43">
                  <c:v>37.871585804132984</c:v>
                </c:pt>
                <c:pt idx="44">
                  <c:v>37.805180776014112</c:v>
                </c:pt>
                <c:pt idx="45">
                  <c:v>37.741190476190482</c:v>
                </c:pt>
                <c:pt idx="46">
                  <c:v>37.679485544217691</c:v>
                </c:pt>
                <c:pt idx="47">
                  <c:v>37.619945697577279</c:v>
                </c:pt>
                <c:pt idx="48">
                  <c:v>38.921109175377481</c:v>
                </c:pt>
                <c:pt idx="49">
                  <c:v>37.506920903954807</c:v>
                </c:pt>
                <c:pt idx="50">
                  <c:v>37.453234126984135</c:v>
                </c:pt>
                <c:pt idx="51">
                  <c:v>37.453234126984135</c:v>
                </c:pt>
                <c:pt idx="52">
                  <c:v>37.40130757220922</c:v>
                </c:pt>
                <c:pt idx="53">
                  <c:v>37.351056067588331</c:v>
                </c:pt>
                <c:pt idx="54">
                  <c:v>37.302399848828422</c:v>
                </c:pt>
                <c:pt idx="55">
                  <c:v>37.255264136904763</c:v>
                </c:pt>
                <c:pt idx="56">
                  <c:v>37.209578754578757</c:v>
                </c:pt>
                <c:pt idx="57">
                  <c:v>37.165277777777781</c:v>
                </c:pt>
                <c:pt idx="58">
                  <c:v>37.12229921819474</c:v>
                </c:pt>
                <c:pt idx="59">
                  <c:v>37.080584733893566</c:v>
                </c:pt>
                <c:pt idx="60">
                  <c:v>37.040079365079372</c:v>
                </c:pt>
                <c:pt idx="61">
                  <c:v>37.00073129251701</c:v>
                </c:pt>
                <c:pt idx="62">
                  <c:v>36.962491616364858</c:v>
                </c:pt>
                <c:pt idx="63">
                  <c:v>36.92531415343916</c:v>
                </c:pt>
                <c:pt idx="64">
                  <c:v>36.88915525114156</c:v>
                </c:pt>
                <c:pt idx="65">
                  <c:v>36.853973616473624</c:v>
                </c:pt>
                <c:pt idx="66">
                  <c:v>36.819730158730167</c:v>
                </c:pt>
                <c:pt idx="67">
                  <c:v>36.786387844611532</c:v>
                </c:pt>
                <c:pt idx="68">
                  <c:v>36.753911564625859</c:v>
                </c:pt>
                <c:pt idx="69">
                  <c:v>36.722268009768015</c:v>
                </c:pt>
                <c:pt idx="70">
                  <c:v>36.691425557564806</c:v>
                </c:pt>
                <c:pt idx="71">
                  <c:v>36.661354166666676</c:v>
                </c:pt>
                <c:pt idx="72">
                  <c:v>36.632025279247507</c:v>
                </c:pt>
                <c:pt idx="73">
                  <c:v>36.603411730545886</c:v>
                </c:pt>
                <c:pt idx="74">
                  <c:v>36.575487664945506</c:v>
                </c:pt>
                <c:pt idx="75">
                  <c:v>36.548228458049898</c:v>
                </c:pt>
                <c:pt idx="76">
                  <c:v>36.521610644257713</c:v>
                </c:pt>
                <c:pt idx="77">
                  <c:v>36.495611849390926</c:v>
                </c:pt>
                <c:pt idx="78">
                  <c:v>36.470210727969352</c:v>
                </c:pt>
                <c:pt idx="79">
                  <c:v>36.445386904761918</c:v>
                </c:pt>
                <c:pt idx="80">
                  <c:v>36.421120920278234</c:v>
                </c:pt>
                <c:pt idx="81">
                  <c:v>36.397394179894192</c:v>
                </c:pt>
                <c:pt idx="82">
                  <c:v>36.374188906331774</c:v>
                </c:pt>
                <c:pt idx="83">
                  <c:v>36.351488095238111</c:v>
                </c:pt>
                <c:pt idx="84">
                  <c:v>36.329275473630325</c:v>
                </c:pt>
                <c:pt idx="85">
                  <c:v>36.307535460992916</c:v>
                </c:pt>
                <c:pt idx="86">
                  <c:v>36.286253132832094</c:v>
                </c:pt>
                <c:pt idx="87">
                  <c:v>36.265414186507947</c:v>
                </c:pt>
              </c:numCache>
            </c:numRef>
          </c:yVal>
          <c:smooth val="1"/>
          <c:extLst>
            <c:ext xmlns:c16="http://schemas.microsoft.com/office/drawing/2014/chart" uri="{C3380CC4-5D6E-409C-BE32-E72D297353CC}">
              <c16:uniqueId val="{00000000-6D23-49A1-B4BF-A3272D769461}"/>
            </c:ext>
          </c:extLst>
        </c:ser>
        <c:dLbls>
          <c:showLegendKey val="0"/>
          <c:showVal val="0"/>
          <c:showCatName val="0"/>
          <c:showSerName val="0"/>
          <c:showPercent val="0"/>
          <c:showBubbleSize val="0"/>
        </c:dLbls>
        <c:axId val="1015060544"/>
        <c:axId val="1015057904"/>
      </c:scatterChart>
      <c:valAx>
        <c:axId val="1015060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57904"/>
        <c:crosses val="autoZero"/>
        <c:crossBetween val="midCat"/>
      </c:valAx>
      <c:valAx>
        <c:axId val="101505790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6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TAC_Calculator!$B$24</c:f>
              <c:strCache>
                <c:ptCount val="1"/>
                <c:pt idx="0">
                  <c:v>Utilization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TAC_Calculator!$B$25:$B$112</c:f>
              <c:numCache>
                <c:formatCode>General</c:formatCode>
                <c:ptCount val="88"/>
                <c:pt idx="0">
                  <c:v>283.49999999999432</c:v>
                </c:pt>
                <c:pt idx="1">
                  <c:v>311.84999999999434</c:v>
                </c:pt>
                <c:pt idx="2">
                  <c:v>340.1999999999943</c:v>
                </c:pt>
                <c:pt idx="3">
                  <c:v>368.54999999999433</c:v>
                </c:pt>
                <c:pt idx="4">
                  <c:v>396.89999999999424</c:v>
                </c:pt>
                <c:pt idx="5">
                  <c:v>425.24999999999426</c:v>
                </c:pt>
                <c:pt idx="6">
                  <c:v>453.59999999999434</c:v>
                </c:pt>
                <c:pt idx="7">
                  <c:v>481.94999999999442</c:v>
                </c:pt>
                <c:pt idx="8">
                  <c:v>510.29999999999433</c:v>
                </c:pt>
                <c:pt idx="9">
                  <c:v>538.64999999999418</c:v>
                </c:pt>
                <c:pt idx="10">
                  <c:v>566.99999999999432</c:v>
                </c:pt>
                <c:pt idx="11">
                  <c:v>595.34999999999422</c:v>
                </c:pt>
                <c:pt idx="12">
                  <c:v>623.69999999999436</c:v>
                </c:pt>
                <c:pt idx="13">
                  <c:v>652.04999999999427</c:v>
                </c:pt>
                <c:pt idx="14">
                  <c:v>680.39999999999418</c:v>
                </c:pt>
                <c:pt idx="15">
                  <c:v>708.74999999999432</c:v>
                </c:pt>
                <c:pt idx="16">
                  <c:v>737.09999999999434</c:v>
                </c:pt>
                <c:pt idx="17">
                  <c:v>765.44999999999436</c:v>
                </c:pt>
                <c:pt idx="18">
                  <c:v>793.79999999999404</c:v>
                </c:pt>
                <c:pt idx="19">
                  <c:v>822.14999999999418</c:v>
                </c:pt>
                <c:pt idx="20">
                  <c:v>850.49999999999409</c:v>
                </c:pt>
                <c:pt idx="21">
                  <c:v>878.84999999999422</c:v>
                </c:pt>
                <c:pt idx="22">
                  <c:v>907.19999999999709</c:v>
                </c:pt>
                <c:pt idx="23">
                  <c:v>935.54999999999723</c:v>
                </c:pt>
                <c:pt idx="24">
                  <c:v>963.89999999999691</c:v>
                </c:pt>
                <c:pt idx="25">
                  <c:v>992.24999999999704</c:v>
                </c:pt>
                <c:pt idx="26">
                  <c:v>1020.5999999999971</c:v>
                </c:pt>
                <c:pt idx="27">
                  <c:v>1048.9499999999973</c:v>
                </c:pt>
                <c:pt idx="28">
                  <c:v>1077.299999999997</c:v>
                </c:pt>
                <c:pt idx="29">
                  <c:v>1105.6499999999971</c:v>
                </c:pt>
                <c:pt idx="30">
                  <c:v>1133.999999999997</c:v>
                </c:pt>
                <c:pt idx="31">
                  <c:v>1162.349999999997</c:v>
                </c:pt>
                <c:pt idx="32">
                  <c:v>1190.6999999999973</c:v>
                </c:pt>
                <c:pt idx="33">
                  <c:v>1219.049999999997</c:v>
                </c:pt>
                <c:pt idx="34">
                  <c:v>1247.3999999999971</c:v>
                </c:pt>
                <c:pt idx="35">
                  <c:v>1275.7499999999973</c:v>
                </c:pt>
                <c:pt idx="36">
                  <c:v>1304.099999999997</c:v>
                </c:pt>
                <c:pt idx="37">
                  <c:v>1332.4499999999971</c:v>
                </c:pt>
                <c:pt idx="38">
                  <c:v>1360.7999999999997</c:v>
                </c:pt>
                <c:pt idx="39">
                  <c:v>1389.1499999999999</c:v>
                </c:pt>
                <c:pt idx="40">
                  <c:v>1417.5</c:v>
                </c:pt>
                <c:pt idx="41">
                  <c:v>1445.8499999999997</c:v>
                </c:pt>
                <c:pt idx="42">
                  <c:v>1474.1999999999998</c:v>
                </c:pt>
                <c:pt idx="43">
                  <c:v>1502.55</c:v>
                </c:pt>
                <c:pt idx="44">
                  <c:v>1530.9000000000003</c:v>
                </c:pt>
                <c:pt idx="45">
                  <c:v>1559.25</c:v>
                </c:pt>
                <c:pt idx="46">
                  <c:v>1587.5999999999997</c:v>
                </c:pt>
                <c:pt idx="47">
                  <c:v>1615.9499999999998</c:v>
                </c:pt>
                <c:pt idx="48">
                  <c:v>1653.7499999999995</c:v>
                </c:pt>
                <c:pt idx="49">
                  <c:v>1470</c:v>
                </c:pt>
                <c:pt idx="50">
                  <c:v>1672.6499999999999</c:v>
                </c:pt>
                <c:pt idx="51">
                  <c:v>1701</c:v>
                </c:pt>
                <c:pt idx="52">
                  <c:v>1729.35</c:v>
                </c:pt>
                <c:pt idx="53">
                  <c:v>1757.6999999999996</c:v>
                </c:pt>
                <c:pt idx="54">
                  <c:v>1786.0499999999995</c:v>
                </c:pt>
                <c:pt idx="55">
                  <c:v>1814.3999999999999</c:v>
                </c:pt>
                <c:pt idx="56">
                  <c:v>1842.7499999999998</c:v>
                </c:pt>
                <c:pt idx="57">
                  <c:v>1871.0999999999995</c:v>
                </c:pt>
                <c:pt idx="58">
                  <c:v>1899.4499999999996</c:v>
                </c:pt>
                <c:pt idx="59">
                  <c:v>1927.8</c:v>
                </c:pt>
                <c:pt idx="60">
                  <c:v>1956.1499999999999</c:v>
                </c:pt>
                <c:pt idx="61">
                  <c:v>1984.5000000000002</c:v>
                </c:pt>
                <c:pt idx="62">
                  <c:v>2012.8499999999995</c:v>
                </c:pt>
                <c:pt idx="63">
                  <c:v>2041.1999999999998</c:v>
                </c:pt>
                <c:pt idx="64">
                  <c:v>2069.5499999999997</c:v>
                </c:pt>
                <c:pt idx="65">
                  <c:v>2097.8999999999969</c:v>
                </c:pt>
                <c:pt idx="66">
                  <c:v>2126.2499999999968</c:v>
                </c:pt>
                <c:pt idx="67">
                  <c:v>2154.5999999999967</c:v>
                </c:pt>
                <c:pt idx="68">
                  <c:v>2182.9499999999966</c:v>
                </c:pt>
                <c:pt idx="69">
                  <c:v>2211.2999999999965</c:v>
                </c:pt>
                <c:pt idx="70">
                  <c:v>2239.6499999999969</c:v>
                </c:pt>
                <c:pt idx="71">
                  <c:v>2267.9999999999968</c:v>
                </c:pt>
                <c:pt idx="72">
                  <c:v>2296.3499999999972</c:v>
                </c:pt>
                <c:pt idx="73">
                  <c:v>2324.6999999999971</c:v>
                </c:pt>
                <c:pt idx="74">
                  <c:v>2353.0499999999975</c:v>
                </c:pt>
                <c:pt idx="75">
                  <c:v>2381.3999999999969</c:v>
                </c:pt>
                <c:pt idx="76">
                  <c:v>2409.7499999999968</c:v>
                </c:pt>
                <c:pt idx="77">
                  <c:v>2438.0999999999972</c:v>
                </c:pt>
                <c:pt idx="78">
                  <c:v>2466.4499999999971</c:v>
                </c:pt>
                <c:pt idx="79">
                  <c:v>2494.799999999997</c:v>
                </c:pt>
                <c:pt idx="80">
                  <c:v>2523.1499999999969</c:v>
                </c:pt>
                <c:pt idx="81">
                  <c:v>2551.4999999999968</c:v>
                </c:pt>
                <c:pt idx="82">
                  <c:v>2579.8499999999972</c:v>
                </c:pt>
                <c:pt idx="83">
                  <c:v>2608.1999999999971</c:v>
                </c:pt>
                <c:pt idx="84">
                  <c:v>2636.5499999999965</c:v>
                </c:pt>
                <c:pt idx="85">
                  <c:v>2664.8999999999965</c:v>
                </c:pt>
                <c:pt idx="86">
                  <c:v>2693.2499999999968</c:v>
                </c:pt>
                <c:pt idx="87">
                  <c:v>2721.5999999999972</c:v>
                </c:pt>
              </c:numCache>
            </c:numRef>
          </c:xVal>
          <c:yVal>
            <c:numRef>
              <c:f>TAC_Calculator!$A$25:$A$112</c:f>
              <c:numCache>
                <c:formatCode>General</c:formatCode>
                <c:ptCount val="88"/>
                <c:pt idx="0">
                  <c:v>288.06584362140552</c:v>
                </c:pt>
                <c:pt idx="1">
                  <c:v>259.25925925926441</c:v>
                </c:pt>
                <c:pt idx="2">
                  <c:v>235.69023569023994</c:v>
                </c:pt>
                <c:pt idx="3">
                  <c:v>216.04938271605297</c:v>
                </c:pt>
                <c:pt idx="4">
                  <c:v>199.43019943020246</c:v>
                </c:pt>
                <c:pt idx="5">
                  <c:v>185.18518518518783</c:v>
                </c:pt>
                <c:pt idx="6">
                  <c:v>172.83950617284179</c:v>
                </c:pt>
                <c:pt idx="7">
                  <c:v>162.03703703703903</c:v>
                </c:pt>
                <c:pt idx="8">
                  <c:v>152.50544662309548</c:v>
                </c:pt>
                <c:pt idx="9">
                  <c:v>144.03292181070117</c:v>
                </c:pt>
                <c:pt idx="10">
                  <c:v>136.45224171540104</c:v>
                </c:pt>
                <c:pt idx="11">
                  <c:v>129.62962962963093</c:v>
                </c:pt>
                <c:pt idx="12">
                  <c:v>123.45679012345795</c:v>
                </c:pt>
                <c:pt idx="13">
                  <c:v>117.84511784511889</c:v>
                </c:pt>
                <c:pt idx="14">
                  <c:v>112.72141706924414</c:v>
                </c:pt>
                <c:pt idx="15">
                  <c:v>108.02469135802559</c:v>
                </c:pt>
                <c:pt idx="16">
                  <c:v>103.70370370370452</c:v>
                </c:pt>
                <c:pt idx="17">
                  <c:v>99.715099715100465</c:v>
                </c:pt>
                <c:pt idx="18">
                  <c:v>96.021947873800428</c:v>
                </c:pt>
                <c:pt idx="19">
                  <c:v>92.592592592593249</c:v>
                </c:pt>
                <c:pt idx="20">
                  <c:v>89.39974457215898</c:v>
                </c:pt>
                <c:pt idx="21">
                  <c:v>86.419753086420329</c:v>
                </c:pt>
                <c:pt idx="22">
                  <c:v>83.632019115890614</c:v>
                </c:pt>
                <c:pt idx="23">
                  <c:v>81.018518518518761</c:v>
                </c:pt>
                <c:pt idx="24">
                  <c:v>78.563411896745464</c:v>
                </c:pt>
                <c:pt idx="25">
                  <c:v>76.252723311547058</c:v>
                </c:pt>
                <c:pt idx="26">
                  <c:v>74.074074074074289</c:v>
                </c:pt>
                <c:pt idx="27">
                  <c:v>72.016460905349987</c:v>
                </c:pt>
                <c:pt idx="28">
                  <c:v>70.070070070070258</c:v>
                </c:pt>
                <c:pt idx="29">
                  <c:v>68.226120857699982</c:v>
                </c:pt>
                <c:pt idx="30">
                  <c:v>66.476733143399969</c:v>
                </c:pt>
                <c:pt idx="31">
                  <c:v>64.81481481481498</c:v>
                </c:pt>
                <c:pt idx="32">
                  <c:v>63.233965672990216</c:v>
                </c:pt>
                <c:pt idx="33">
                  <c:v>61.728395061728534</c:v>
                </c:pt>
                <c:pt idx="34">
                  <c:v>60.292850990525544</c:v>
                </c:pt>
                <c:pt idx="35">
                  <c:v>58.922558922559055</c:v>
                </c:pt>
                <c:pt idx="36">
                  <c:v>57.613168724279959</c:v>
                </c:pt>
                <c:pt idx="37">
                  <c:v>56.3607085346217</c:v>
                </c:pt>
                <c:pt idx="38">
                  <c:v>55.161544523246761</c:v>
                </c:pt>
                <c:pt idx="39">
                  <c:v>54.012345679012341</c:v>
                </c:pt>
                <c:pt idx="40">
                  <c:v>52.910052910052904</c:v>
                </c:pt>
                <c:pt idx="41">
                  <c:v>51.851851851851848</c:v>
                </c:pt>
                <c:pt idx="42">
                  <c:v>50.835148874364563</c:v>
                </c:pt>
                <c:pt idx="43">
                  <c:v>49.857549857549849</c:v>
                </c:pt>
                <c:pt idx="44">
                  <c:v>48.916841369671559</c:v>
                </c:pt>
                <c:pt idx="45">
                  <c:v>48.010973936899859</c:v>
                </c:pt>
                <c:pt idx="46">
                  <c:v>47.138047138047135</c:v>
                </c:pt>
                <c:pt idx="47">
                  <c:v>46.296296296296298</c:v>
                </c:pt>
                <c:pt idx="48">
                  <c:v>45.484080571799865</c:v>
                </c:pt>
                <c:pt idx="49">
                  <c:v>50</c:v>
                </c:pt>
                <c:pt idx="50">
                  <c:v>43.942247332077834</c:v>
                </c:pt>
                <c:pt idx="51">
                  <c:v>43.209876543209873</c:v>
                </c:pt>
                <c:pt idx="52">
                  <c:v>42.501517911353979</c:v>
                </c:pt>
                <c:pt idx="53">
                  <c:v>41.816009557945037</c:v>
                </c:pt>
                <c:pt idx="54">
                  <c:v>41.152263374485592</c:v>
                </c:pt>
                <c:pt idx="55">
                  <c:v>40.509259259259252</c:v>
                </c:pt>
                <c:pt idx="56">
                  <c:v>39.886039886039882</c:v>
                </c:pt>
                <c:pt idx="57">
                  <c:v>39.281705948372611</c:v>
                </c:pt>
                <c:pt idx="58">
                  <c:v>38.695411829740181</c:v>
                </c:pt>
                <c:pt idx="59">
                  <c:v>38.126361655773415</c:v>
                </c:pt>
                <c:pt idx="60">
                  <c:v>37.573805689747715</c:v>
                </c:pt>
                <c:pt idx="61">
                  <c:v>37.037037037037031</c:v>
                </c:pt>
                <c:pt idx="62">
                  <c:v>36.515388628064684</c:v>
                </c:pt>
                <c:pt idx="63">
                  <c:v>36.008230452674894</c:v>
                </c:pt>
                <c:pt idx="64">
                  <c:v>35.514967021816332</c:v>
                </c:pt>
                <c:pt idx="65">
                  <c:v>35.035035035035079</c:v>
                </c:pt>
                <c:pt idx="66">
                  <c:v>34.567901234567941</c:v>
                </c:pt>
                <c:pt idx="67">
                  <c:v>34.113060428849948</c:v>
                </c:pt>
                <c:pt idx="68">
                  <c:v>33.67003367003371</c:v>
                </c:pt>
                <c:pt idx="69">
                  <c:v>33.238366571699942</c:v>
                </c:pt>
                <c:pt idx="70">
                  <c:v>32.817627754336655</c:v>
                </c:pt>
                <c:pt idx="71">
                  <c:v>32.407407407407447</c:v>
                </c:pt>
                <c:pt idx="72">
                  <c:v>32.007315957933272</c:v>
                </c:pt>
                <c:pt idx="73">
                  <c:v>31.616982836495065</c:v>
                </c:pt>
                <c:pt idx="74">
                  <c:v>31.236055332440909</c:v>
                </c:pt>
                <c:pt idx="75">
                  <c:v>30.864197530864232</c:v>
                </c:pt>
                <c:pt idx="76">
                  <c:v>30.501089324618771</c:v>
                </c:pt>
                <c:pt idx="77">
                  <c:v>30.146425495262733</c:v>
                </c:pt>
                <c:pt idx="78">
                  <c:v>29.799914857386153</c:v>
                </c:pt>
                <c:pt idx="79">
                  <c:v>29.461279461279492</c:v>
                </c:pt>
                <c:pt idx="80">
                  <c:v>29.130253849355004</c:v>
                </c:pt>
                <c:pt idx="81">
                  <c:v>28.806584362139951</c:v>
                </c:pt>
                <c:pt idx="82">
                  <c:v>28.490028490028518</c:v>
                </c:pt>
                <c:pt idx="83">
                  <c:v>28.180354267310815</c:v>
                </c:pt>
                <c:pt idx="84">
                  <c:v>27.877339705296723</c:v>
                </c:pt>
                <c:pt idx="85">
                  <c:v>27.580772261623352</c:v>
                </c:pt>
                <c:pt idx="86">
                  <c:v>27.290448343079952</c:v>
                </c:pt>
                <c:pt idx="87">
                  <c:v>27.006172839506196</c:v>
                </c:pt>
              </c:numCache>
            </c:numRef>
          </c:yVal>
          <c:smooth val="1"/>
          <c:extLst>
            <c:ext xmlns:c16="http://schemas.microsoft.com/office/drawing/2014/chart" uri="{C3380CC4-5D6E-409C-BE32-E72D297353CC}">
              <c16:uniqueId val="{00000000-A5D2-6047-B99B-917C91DFE193}"/>
            </c:ext>
          </c:extLst>
        </c:ser>
        <c:dLbls>
          <c:showLegendKey val="0"/>
          <c:showVal val="0"/>
          <c:showCatName val="0"/>
          <c:showSerName val="0"/>
          <c:showPercent val="0"/>
          <c:showBubbleSize val="0"/>
        </c:dLbls>
        <c:axId val="1015060544"/>
        <c:axId val="1015057904"/>
      </c:scatterChart>
      <c:valAx>
        <c:axId val="1015060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57904"/>
        <c:crosses val="autoZero"/>
        <c:crossBetween val="midCat"/>
      </c:valAx>
      <c:valAx>
        <c:axId val="1015057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6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25440455753019E-2"/>
          <c:y val="1.8682071520720926E-2"/>
          <c:w val="0.92799149338834053"/>
          <c:h val="0.76206384916171188"/>
        </c:manualLayout>
      </c:layout>
      <c:barChart>
        <c:barDir val="col"/>
        <c:grouping val="clustered"/>
        <c:varyColors val="0"/>
        <c:ser>
          <c:idx val="0"/>
          <c:order val="0"/>
          <c:spPr>
            <a:solidFill>
              <a:schemeClr val="accent1"/>
            </a:solidFill>
            <a:ln>
              <a:noFill/>
            </a:ln>
            <a:effectLst/>
          </c:spPr>
          <c:invertIfNegative val="0"/>
          <c:cat>
            <c:numRef>
              <c:f>'DSI vs Plant Group DSI'!$A$5:$A$100</c:f>
              <c:numCache>
                <c:formatCode>h:mm</c:formatCode>
                <c:ptCount val="96"/>
                <c:pt idx="0">
                  <c:v>0</c:v>
                </c:pt>
                <c:pt idx="1">
                  <c:v>1.0416666666666666E-2</c:v>
                </c:pt>
                <c:pt idx="2">
                  <c:v>2.0833333333333301E-2</c:v>
                </c:pt>
                <c:pt idx="3">
                  <c:v>3.125E-2</c:v>
                </c:pt>
                <c:pt idx="4">
                  <c:v>4.1666666666666699E-2</c:v>
                </c:pt>
                <c:pt idx="5">
                  <c:v>5.2083333333333301E-2</c:v>
                </c:pt>
                <c:pt idx="6">
                  <c:v>6.25E-2</c:v>
                </c:pt>
                <c:pt idx="7">
                  <c:v>7.2916666666666699E-2</c:v>
                </c:pt>
                <c:pt idx="8">
                  <c:v>8.3333333333333301E-2</c:v>
                </c:pt>
                <c:pt idx="9">
                  <c:v>9.375E-2</c:v>
                </c:pt>
                <c:pt idx="10">
                  <c:v>0.104166666666667</c:v>
                </c:pt>
                <c:pt idx="11">
                  <c:v>0.114583333333333</c:v>
                </c:pt>
                <c:pt idx="12">
                  <c:v>0.125</c:v>
                </c:pt>
                <c:pt idx="13">
                  <c:v>0.13541666666666699</c:v>
                </c:pt>
                <c:pt idx="14">
                  <c:v>0.14583333333333301</c:v>
                </c:pt>
                <c:pt idx="15">
                  <c:v>0.15625</c:v>
                </c:pt>
                <c:pt idx="16">
                  <c:v>0.16666666666666699</c:v>
                </c:pt>
                <c:pt idx="17">
                  <c:v>0.17708333333333301</c:v>
                </c:pt>
                <c:pt idx="18">
                  <c:v>0.1875</c:v>
                </c:pt>
                <c:pt idx="19">
                  <c:v>0.19791666666666699</c:v>
                </c:pt>
                <c:pt idx="20">
                  <c:v>0.20833333333333301</c:v>
                </c:pt>
                <c:pt idx="21">
                  <c:v>0.21875</c:v>
                </c:pt>
                <c:pt idx="22">
                  <c:v>0.22916666666666699</c:v>
                </c:pt>
                <c:pt idx="23">
                  <c:v>0.23958333333333301</c:v>
                </c:pt>
                <c:pt idx="24">
                  <c:v>0.25</c:v>
                </c:pt>
                <c:pt idx="25">
                  <c:v>0.26041666666666702</c:v>
                </c:pt>
                <c:pt idx="26">
                  <c:v>0.27083333333333298</c:v>
                </c:pt>
                <c:pt idx="27">
                  <c:v>0.28125</c:v>
                </c:pt>
                <c:pt idx="28">
                  <c:v>0.29166666666666702</c:v>
                </c:pt>
                <c:pt idx="29">
                  <c:v>0.30208333333333298</c:v>
                </c:pt>
                <c:pt idx="30">
                  <c:v>0.3125</c:v>
                </c:pt>
                <c:pt idx="31">
                  <c:v>0.32291666666666702</c:v>
                </c:pt>
                <c:pt idx="32">
                  <c:v>0.33333333333333298</c:v>
                </c:pt>
                <c:pt idx="33">
                  <c:v>0.34375</c:v>
                </c:pt>
                <c:pt idx="34">
                  <c:v>0.35416666666666702</c:v>
                </c:pt>
                <c:pt idx="35">
                  <c:v>0.36458333333333298</c:v>
                </c:pt>
                <c:pt idx="36">
                  <c:v>0.375</c:v>
                </c:pt>
                <c:pt idx="37">
                  <c:v>0.38541666666666702</c:v>
                </c:pt>
                <c:pt idx="38">
                  <c:v>0.39583333333333298</c:v>
                </c:pt>
                <c:pt idx="39">
                  <c:v>0.40625</c:v>
                </c:pt>
                <c:pt idx="40">
                  <c:v>0.41666666666666702</c:v>
                </c:pt>
                <c:pt idx="41">
                  <c:v>0.42708333333333298</c:v>
                </c:pt>
                <c:pt idx="42">
                  <c:v>0.4375</c:v>
                </c:pt>
                <c:pt idx="43">
                  <c:v>0.44791666666666702</c:v>
                </c:pt>
                <c:pt idx="44">
                  <c:v>0.45833333333333298</c:v>
                </c:pt>
                <c:pt idx="45">
                  <c:v>0.46875</c:v>
                </c:pt>
                <c:pt idx="46">
                  <c:v>0.47916666666666702</c:v>
                </c:pt>
                <c:pt idx="47">
                  <c:v>0.48958333333333298</c:v>
                </c:pt>
                <c:pt idx="48">
                  <c:v>0.5</c:v>
                </c:pt>
                <c:pt idx="49">
                  <c:v>0.51041666666666696</c:v>
                </c:pt>
                <c:pt idx="50">
                  <c:v>0.52083333333333304</c:v>
                </c:pt>
                <c:pt idx="51">
                  <c:v>0.53125</c:v>
                </c:pt>
                <c:pt idx="52">
                  <c:v>0.54166666666666696</c:v>
                </c:pt>
                <c:pt idx="53">
                  <c:v>0.55208333333333304</c:v>
                </c:pt>
                <c:pt idx="54">
                  <c:v>0.5625</c:v>
                </c:pt>
                <c:pt idx="55">
                  <c:v>0.57291666666666696</c:v>
                </c:pt>
                <c:pt idx="56">
                  <c:v>0.58333333333333304</c:v>
                </c:pt>
                <c:pt idx="57">
                  <c:v>0.59375</c:v>
                </c:pt>
                <c:pt idx="58">
                  <c:v>0.60416666666666696</c:v>
                </c:pt>
                <c:pt idx="59">
                  <c:v>0.61458333333333304</c:v>
                </c:pt>
                <c:pt idx="60">
                  <c:v>0.625</c:v>
                </c:pt>
                <c:pt idx="61">
                  <c:v>0.63541666666666696</c:v>
                </c:pt>
                <c:pt idx="62">
                  <c:v>0.64583333333333304</c:v>
                </c:pt>
                <c:pt idx="63">
                  <c:v>0.65625</c:v>
                </c:pt>
                <c:pt idx="64">
                  <c:v>0.66666666666666696</c:v>
                </c:pt>
                <c:pt idx="65">
                  <c:v>0.67708333333333304</c:v>
                </c:pt>
                <c:pt idx="66">
                  <c:v>0.6875</c:v>
                </c:pt>
                <c:pt idx="67">
                  <c:v>0.69791666666666696</c:v>
                </c:pt>
                <c:pt idx="68">
                  <c:v>0.70833333333333304</c:v>
                </c:pt>
                <c:pt idx="69">
                  <c:v>0.71875</c:v>
                </c:pt>
                <c:pt idx="70">
                  <c:v>0.72916666666666696</c:v>
                </c:pt>
                <c:pt idx="71">
                  <c:v>0.73958333333333304</c:v>
                </c:pt>
                <c:pt idx="72">
                  <c:v>0.75</c:v>
                </c:pt>
                <c:pt idx="73">
                  <c:v>0.76041666666666696</c:v>
                </c:pt>
                <c:pt idx="74">
                  <c:v>0.77083333333333304</c:v>
                </c:pt>
                <c:pt idx="75">
                  <c:v>0.78125</c:v>
                </c:pt>
                <c:pt idx="76">
                  <c:v>0.79166666666666696</c:v>
                </c:pt>
                <c:pt idx="77">
                  <c:v>0.80208333333333304</c:v>
                </c:pt>
                <c:pt idx="78">
                  <c:v>0.8125</c:v>
                </c:pt>
                <c:pt idx="79">
                  <c:v>0.82291666666666696</c:v>
                </c:pt>
                <c:pt idx="80">
                  <c:v>0.83333333333333304</c:v>
                </c:pt>
                <c:pt idx="81">
                  <c:v>0.84375</c:v>
                </c:pt>
                <c:pt idx="82">
                  <c:v>0.85416666666666696</c:v>
                </c:pt>
                <c:pt idx="83">
                  <c:v>0.86458333333333304</c:v>
                </c:pt>
                <c:pt idx="84">
                  <c:v>0.875</c:v>
                </c:pt>
                <c:pt idx="85">
                  <c:v>0.88541666666666696</c:v>
                </c:pt>
                <c:pt idx="86">
                  <c:v>0.89583333333333304</c:v>
                </c:pt>
                <c:pt idx="87">
                  <c:v>0.90625</c:v>
                </c:pt>
                <c:pt idx="88">
                  <c:v>0.91666666666666696</c:v>
                </c:pt>
                <c:pt idx="89">
                  <c:v>0.92708333333333304</c:v>
                </c:pt>
                <c:pt idx="90">
                  <c:v>0.9375</c:v>
                </c:pt>
                <c:pt idx="91">
                  <c:v>0.94791666666666696</c:v>
                </c:pt>
                <c:pt idx="92">
                  <c:v>0.95833333333333304</c:v>
                </c:pt>
                <c:pt idx="93">
                  <c:v>0.96875</c:v>
                </c:pt>
                <c:pt idx="94">
                  <c:v>0.97916666666666696</c:v>
                </c:pt>
                <c:pt idx="95">
                  <c:v>0.98958333333333304</c:v>
                </c:pt>
              </c:numCache>
            </c:numRef>
          </c:cat>
          <c:val>
            <c:numRef>
              <c:f>'DSI vs Plant Group DSI'!$B$5:$B$100</c:f>
              <c:numCache>
                <c:formatCode>General</c:formatCode>
                <c:ptCount val="96"/>
                <c:pt idx="0">
                  <c:v>5</c:v>
                </c:pt>
                <c:pt idx="1">
                  <c:v>5</c:v>
                </c:pt>
                <c:pt idx="2">
                  <c:v>5</c:v>
                </c:pt>
                <c:pt idx="3">
                  <c:v>5</c:v>
                </c:pt>
                <c:pt idx="4">
                  <c:v>5</c:v>
                </c:pt>
                <c:pt idx="5">
                  <c:v>5</c:v>
                </c:pt>
                <c:pt idx="6">
                  <c:v>5</c:v>
                </c:pt>
                <c:pt idx="7">
                  <c:v>5</c:v>
                </c:pt>
                <c:pt idx="8">
                  <c:v>5</c:v>
                </c:pt>
                <c:pt idx="9">
                  <c:v>5</c:v>
                </c:pt>
                <c:pt idx="10">
                  <c:v>5</c:v>
                </c:pt>
                <c:pt idx="11">
                  <c:v>5</c:v>
                </c:pt>
                <c:pt idx="12">
                  <c:v>5</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6</c:v>
                </c:pt>
                <c:pt idx="38">
                  <c:v>6</c:v>
                </c:pt>
                <c:pt idx="39">
                  <c:v>6</c:v>
                </c:pt>
                <c:pt idx="40">
                  <c:v>7</c:v>
                </c:pt>
                <c:pt idx="41">
                  <c:v>7</c:v>
                </c:pt>
                <c:pt idx="42">
                  <c:v>7</c:v>
                </c:pt>
                <c:pt idx="43">
                  <c:v>7</c:v>
                </c:pt>
                <c:pt idx="44">
                  <c:v>7</c:v>
                </c:pt>
                <c:pt idx="45">
                  <c:v>6</c:v>
                </c:pt>
                <c:pt idx="46">
                  <c:v>6</c:v>
                </c:pt>
                <c:pt idx="47">
                  <c:v>7</c:v>
                </c:pt>
                <c:pt idx="48">
                  <c:v>7</c:v>
                </c:pt>
                <c:pt idx="49">
                  <c:v>8</c:v>
                </c:pt>
                <c:pt idx="50">
                  <c:v>8</c:v>
                </c:pt>
                <c:pt idx="51">
                  <c:v>8</c:v>
                </c:pt>
                <c:pt idx="52">
                  <c:v>8</c:v>
                </c:pt>
                <c:pt idx="53">
                  <c:v>8</c:v>
                </c:pt>
                <c:pt idx="54">
                  <c:v>8</c:v>
                </c:pt>
                <c:pt idx="55">
                  <c:v>8</c:v>
                </c:pt>
                <c:pt idx="56">
                  <c:v>9</c:v>
                </c:pt>
                <c:pt idx="57">
                  <c:v>8</c:v>
                </c:pt>
                <c:pt idx="58">
                  <c:v>8</c:v>
                </c:pt>
                <c:pt idx="59">
                  <c:v>9</c:v>
                </c:pt>
                <c:pt idx="60">
                  <c:v>9</c:v>
                </c:pt>
                <c:pt idx="61">
                  <c:v>9</c:v>
                </c:pt>
                <c:pt idx="62">
                  <c:v>9</c:v>
                </c:pt>
                <c:pt idx="63">
                  <c:v>9</c:v>
                </c:pt>
                <c:pt idx="64">
                  <c:v>10</c:v>
                </c:pt>
                <c:pt idx="65">
                  <c:v>9</c:v>
                </c:pt>
                <c:pt idx="66">
                  <c:v>9</c:v>
                </c:pt>
                <c:pt idx="67">
                  <c:v>8</c:v>
                </c:pt>
                <c:pt idx="68">
                  <c:v>8</c:v>
                </c:pt>
                <c:pt idx="69">
                  <c:v>7</c:v>
                </c:pt>
                <c:pt idx="70">
                  <c:v>8</c:v>
                </c:pt>
                <c:pt idx="71">
                  <c:v>7</c:v>
                </c:pt>
                <c:pt idx="72">
                  <c:v>7</c:v>
                </c:pt>
                <c:pt idx="73">
                  <c:v>7</c:v>
                </c:pt>
                <c:pt idx="74">
                  <c:v>7</c:v>
                </c:pt>
                <c:pt idx="75">
                  <c:v>8</c:v>
                </c:pt>
                <c:pt idx="76">
                  <c:v>8</c:v>
                </c:pt>
                <c:pt idx="77">
                  <c:v>7</c:v>
                </c:pt>
                <c:pt idx="78">
                  <c:v>6</c:v>
                </c:pt>
                <c:pt idx="79">
                  <c:v>6</c:v>
                </c:pt>
                <c:pt idx="80">
                  <c:v>5</c:v>
                </c:pt>
                <c:pt idx="81">
                  <c:v>5</c:v>
                </c:pt>
                <c:pt idx="82">
                  <c:v>4</c:v>
                </c:pt>
                <c:pt idx="83">
                  <c:v>4</c:v>
                </c:pt>
                <c:pt idx="84">
                  <c:v>4</c:v>
                </c:pt>
                <c:pt idx="85">
                  <c:v>3</c:v>
                </c:pt>
                <c:pt idx="86">
                  <c:v>3</c:v>
                </c:pt>
                <c:pt idx="87">
                  <c:v>3</c:v>
                </c:pt>
                <c:pt idx="88">
                  <c:v>2</c:v>
                </c:pt>
                <c:pt idx="89">
                  <c:v>2</c:v>
                </c:pt>
                <c:pt idx="90">
                  <c:v>2</c:v>
                </c:pt>
                <c:pt idx="91">
                  <c:v>0</c:v>
                </c:pt>
                <c:pt idx="92">
                  <c:v>0</c:v>
                </c:pt>
                <c:pt idx="93">
                  <c:v>0</c:v>
                </c:pt>
                <c:pt idx="94">
                  <c:v>0</c:v>
                </c:pt>
                <c:pt idx="95">
                  <c:v>0</c:v>
                </c:pt>
              </c:numCache>
            </c:numRef>
          </c:val>
          <c:extLst>
            <c:ext xmlns:c16="http://schemas.microsoft.com/office/drawing/2014/chart" uri="{C3380CC4-5D6E-409C-BE32-E72D297353CC}">
              <c16:uniqueId val="{00000000-8DF8-764A-A5E2-9372ECF9AC34}"/>
            </c:ext>
          </c:extLst>
        </c:ser>
        <c:dLbls>
          <c:showLegendKey val="0"/>
          <c:showVal val="0"/>
          <c:showCatName val="0"/>
          <c:showSerName val="0"/>
          <c:showPercent val="0"/>
          <c:showBubbleSize val="0"/>
        </c:dLbls>
        <c:gapWidth val="219"/>
        <c:overlap val="-27"/>
        <c:axId val="652661912"/>
        <c:axId val="652660600"/>
      </c:barChart>
      <c:catAx>
        <c:axId val="652661912"/>
        <c:scaling>
          <c:orientation val="minMax"/>
        </c:scaling>
        <c:delete val="0"/>
        <c:axPos val="b"/>
        <c:numFmt formatCode="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660600"/>
        <c:crosses val="autoZero"/>
        <c:auto val="1"/>
        <c:lblAlgn val="ctr"/>
        <c:lblOffset val="100"/>
        <c:noMultiLvlLbl val="0"/>
      </c:catAx>
      <c:valAx>
        <c:axId val="652660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661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734344448554668E-2"/>
          <c:y val="1.8682057946640164E-2"/>
          <c:w val="0.92799149338834053"/>
          <c:h val="0.76206384916171188"/>
        </c:manualLayout>
      </c:layout>
      <c:barChart>
        <c:barDir val="col"/>
        <c:grouping val="clustered"/>
        <c:varyColors val="0"/>
        <c:ser>
          <c:idx val="0"/>
          <c:order val="0"/>
          <c:spPr>
            <a:solidFill>
              <a:schemeClr val="accent1"/>
            </a:solidFill>
            <a:ln>
              <a:noFill/>
            </a:ln>
            <a:effectLst/>
          </c:spPr>
          <c:invertIfNegative val="0"/>
          <c:cat>
            <c:numRef>
              <c:f>'DSI vs Plant Group DSI'!$F$5:$F$100</c:f>
              <c:numCache>
                <c:formatCode>h:mm</c:formatCode>
                <c:ptCount val="96"/>
                <c:pt idx="0">
                  <c:v>0</c:v>
                </c:pt>
                <c:pt idx="1">
                  <c:v>1.0416666666666666E-2</c:v>
                </c:pt>
                <c:pt idx="2">
                  <c:v>2.0833333333333301E-2</c:v>
                </c:pt>
                <c:pt idx="3">
                  <c:v>3.125E-2</c:v>
                </c:pt>
                <c:pt idx="4">
                  <c:v>4.1666666666666699E-2</c:v>
                </c:pt>
                <c:pt idx="5">
                  <c:v>5.2083333333333301E-2</c:v>
                </c:pt>
                <c:pt idx="6">
                  <c:v>6.25E-2</c:v>
                </c:pt>
                <c:pt idx="7">
                  <c:v>7.2916666666666699E-2</c:v>
                </c:pt>
                <c:pt idx="8">
                  <c:v>8.3333333333333301E-2</c:v>
                </c:pt>
                <c:pt idx="9">
                  <c:v>9.375E-2</c:v>
                </c:pt>
                <c:pt idx="10">
                  <c:v>0.104166666666667</c:v>
                </c:pt>
                <c:pt idx="11">
                  <c:v>0.114583333333333</c:v>
                </c:pt>
                <c:pt idx="12">
                  <c:v>0.125</c:v>
                </c:pt>
                <c:pt idx="13">
                  <c:v>0.13541666666666699</c:v>
                </c:pt>
                <c:pt idx="14">
                  <c:v>0.14583333333333301</c:v>
                </c:pt>
                <c:pt idx="15">
                  <c:v>0.15625</c:v>
                </c:pt>
                <c:pt idx="16">
                  <c:v>0.16666666666666699</c:v>
                </c:pt>
                <c:pt idx="17">
                  <c:v>0.17708333333333301</c:v>
                </c:pt>
                <c:pt idx="18">
                  <c:v>0.1875</c:v>
                </c:pt>
                <c:pt idx="19">
                  <c:v>0.19791666666666699</c:v>
                </c:pt>
                <c:pt idx="20">
                  <c:v>0.20833333333333301</c:v>
                </c:pt>
                <c:pt idx="21">
                  <c:v>0.21875</c:v>
                </c:pt>
                <c:pt idx="22">
                  <c:v>0.22916666666666699</c:v>
                </c:pt>
                <c:pt idx="23">
                  <c:v>0.23958333333333301</c:v>
                </c:pt>
                <c:pt idx="24">
                  <c:v>0.25</c:v>
                </c:pt>
                <c:pt idx="25">
                  <c:v>0.26041666666666702</c:v>
                </c:pt>
                <c:pt idx="26">
                  <c:v>0.27083333333333298</c:v>
                </c:pt>
                <c:pt idx="27">
                  <c:v>0.28125</c:v>
                </c:pt>
                <c:pt idx="28">
                  <c:v>0.29166666666666702</c:v>
                </c:pt>
                <c:pt idx="29">
                  <c:v>0.30208333333333298</c:v>
                </c:pt>
                <c:pt idx="30">
                  <c:v>0.3125</c:v>
                </c:pt>
                <c:pt idx="31">
                  <c:v>0.32291666666666702</c:v>
                </c:pt>
                <c:pt idx="32">
                  <c:v>0.33333333333333298</c:v>
                </c:pt>
                <c:pt idx="33">
                  <c:v>0.34375</c:v>
                </c:pt>
                <c:pt idx="34">
                  <c:v>0.35416666666666702</c:v>
                </c:pt>
                <c:pt idx="35">
                  <c:v>0.36458333333333298</c:v>
                </c:pt>
                <c:pt idx="36">
                  <c:v>0.375</c:v>
                </c:pt>
                <c:pt idx="37">
                  <c:v>0.38541666666666702</c:v>
                </c:pt>
                <c:pt idx="38">
                  <c:v>0.39583333333333298</c:v>
                </c:pt>
                <c:pt idx="39">
                  <c:v>0.40625</c:v>
                </c:pt>
                <c:pt idx="40">
                  <c:v>0.41666666666666702</c:v>
                </c:pt>
                <c:pt idx="41">
                  <c:v>0.42708333333333298</c:v>
                </c:pt>
                <c:pt idx="42">
                  <c:v>0.4375</c:v>
                </c:pt>
                <c:pt idx="43">
                  <c:v>0.44791666666666702</c:v>
                </c:pt>
                <c:pt idx="44">
                  <c:v>0.45833333333333298</c:v>
                </c:pt>
                <c:pt idx="45">
                  <c:v>0.46875</c:v>
                </c:pt>
                <c:pt idx="46">
                  <c:v>0.47916666666666702</c:v>
                </c:pt>
                <c:pt idx="47">
                  <c:v>0.48958333333333298</c:v>
                </c:pt>
                <c:pt idx="48">
                  <c:v>0.5</c:v>
                </c:pt>
                <c:pt idx="49">
                  <c:v>0.51041666666666696</c:v>
                </c:pt>
                <c:pt idx="50">
                  <c:v>0.52083333333333304</c:v>
                </c:pt>
                <c:pt idx="51">
                  <c:v>0.53125</c:v>
                </c:pt>
                <c:pt idx="52">
                  <c:v>0.54166666666666696</c:v>
                </c:pt>
                <c:pt idx="53">
                  <c:v>0.55208333333333304</c:v>
                </c:pt>
                <c:pt idx="54">
                  <c:v>0.5625</c:v>
                </c:pt>
                <c:pt idx="55">
                  <c:v>0.57291666666666696</c:v>
                </c:pt>
                <c:pt idx="56">
                  <c:v>0.58333333333333304</c:v>
                </c:pt>
                <c:pt idx="57">
                  <c:v>0.59375</c:v>
                </c:pt>
                <c:pt idx="58">
                  <c:v>0.60416666666666696</c:v>
                </c:pt>
                <c:pt idx="59">
                  <c:v>0.61458333333333304</c:v>
                </c:pt>
                <c:pt idx="60">
                  <c:v>0.625</c:v>
                </c:pt>
                <c:pt idx="61">
                  <c:v>0.63541666666666696</c:v>
                </c:pt>
                <c:pt idx="62">
                  <c:v>0.64583333333333304</c:v>
                </c:pt>
                <c:pt idx="63">
                  <c:v>0.65625</c:v>
                </c:pt>
                <c:pt idx="64">
                  <c:v>0.66666666666666696</c:v>
                </c:pt>
                <c:pt idx="65">
                  <c:v>0.67708333333333304</c:v>
                </c:pt>
                <c:pt idx="66">
                  <c:v>0.6875</c:v>
                </c:pt>
                <c:pt idx="67">
                  <c:v>0.69791666666666696</c:v>
                </c:pt>
                <c:pt idx="68">
                  <c:v>0.70833333333333304</c:v>
                </c:pt>
                <c:pt idx="69">
                  <c:v>0.71875</c:v>
                </c:pt>
                <c:pt idx="70">
                  <c:v>0.72916666666666696</c:v>
                </c:pt>
                <c:pt idx="71">
                  <c:v>0.73958333333333304</c:v>
                </c:pt>
                <c:pt idx="72">
                  <c:v>0.75</c:v>
                </c:pt>
                <c:pt idx="73">
                  <c:v>0.76041666666666696</c:v>
                </c:pt>
                <c:pt idx="74">
                  <c:v>0.77083333333333304</c:v>
                </c:pt>
                <c:pt idx="75">
                  <c:v>0.78125</c:v>
                </c:pt>
                <c:pt idx="76">
                  <c:v>0.79166666666666696</c:v>
                </c:pt>
                <c:pt idx="77">
                  <c:v>0.80208333333333304</c:v>
                </c:pt>
                <c:pt idx="78">
                  <c:v>0.8125</c:v>
                </c:pt>
                <c:pt idx="79">
                  <c:v>0.82291666666666696</c:v>
                </c:pt>
                <c:pt idx="80">
                  <c:v>0.83333333333333304</c:v>
                </c:pt>
                <c:pt idx="81">
                  <c:v>0.84375</c:v>
                </c:pt>
                <c:pt idx="82">
                  <c:v>0.85416666666666696</c:v>
                </c:pt>
                <c:pt idx="83">
                  <c:v>0.86458333333333304</c:v>
                </c:pt>
                <c:pt idx="84">
                  <c:v>0.875</c:v>
                </c:pt>
                <c:pt idx="85">
                  <c:v>0.88541666666666696</c:v>
                </c:pt>
                <c:pt idx="86">
                  <c:v>0.89583333333333304</c:v>
                </c:pt>
                <c:pt idx="87">
                  <c:v>0.90625</c:v>
                </c:pt>
                <c:pt idx="88">
                  <c:v>0.91666666666666696</c:v>
                </c:pt>
                <c:pt idx="89">
                  <c:v>0.92708333333333304</c:v>
                </c:pt>
                <c:pt idx="90">
                  <c:v>0.9375</c:v>
                </c:pt>
                <c:pt idx="91">
                  <c:v>0.94791666666666696</c:v>
                </c:pt>
                <c:pt idx="92">
                  <c:v>0.95833333333333304</c:v>
                </c:pt>
                <c:pt idx="93">
                  <c:v>0.96875</c:v>
                </c:pt>
                <c:pt idx="94">
                  <c:v>0.97916666666666696</c:v>
                </c:pt>
                <c:pt idx="95">
                  <c:v>0.98958333333333304</c:v>
                </c:pt>
              </c:numCache>
            </c:numRef>
          </c:cat>
          <c:val>
            <c:numRef>
              <c:f>'DSI vs Plant Group DSI'!$L$5:$L$100</c:f>
              <c:numCache>
                <c:formatCode>General</c:formatCode>
                <c:ptCount val="96"/>
                <c:pt idx="0">
                  <c:v>5</c:v>
                </c:pt>
                <c:pt idx="1">
                  <c:v>5</c:v>
                </c:pt>
                <c:pt idx="2">
                  <c:v>5</c:v>
                </c:pt>
                <c:pt idx="3">
                  <c:v>5</c:v>
                </c:pt>
                <c:pt idx="4">
                  <c:v>5</c:v>
                </c:pt>
                <c:pt idx="5">
                  <c:v>5</c:v>
                </c:pt>
                <c:pt idx="6">
                  <c:v>5</c:v>
                </c:pt>
                <c:pt idx="7">
                  <c:v>5</c:v>
                </c:pt>
                <c:pt idx="8">
                  <c:v>5</c:v>
                </c:pt>
                <c:pt idx="9">
                  <c:v>8</c:v>
                </c:pt>
                <c:pt idx="10">
                  <c:v>8</c:v>
                </c:pt>
                <c:pt idx="11">
                  <c:v>8</c:v>
                </c:pt>
                <c:pt idx="12">
                  <c:v>9</c:v>
                </c:pt>
                <c:pt idx="13">
                  <c:v>4</c:v>
                </c:pt>
                <c:pt idx="14">
                  <c:v>5</c:v>
                </c:pt>
                <c:pt idx="15">
                  <c:v>5</c:v>
                </c:pt>
                <c:pt idx="16">
                  <c:v>5</c:v>
                </c:pt>
                <c:pt idx="17">
                  <c:v>5</c:v>
                </c:pt>
                <c:pt idx="18">
                  <c:v>5</c:v>
                </c:pt>
                <c:pt idx="19">
                  <c:v>5</c:v>
                </c:pt>
                <c:pt idx="20">
                  <c:v>5</c:v>
                </c:pt>
                <c:pt idx="21">
                  <c:v>5</c:v>
                </c:pt>
                <c:pt idx="22">
                  <c:v>4</c:v>
                </c:pt>
                <c:pt idx="23">
                  <c:v>5</c:v>
                </c:pt>
                <c:pt idx="24">
                  <c:v>5</c:v>
                </c:pt>
                <c:pt idx="25">
                  <c:v>5</c:v>
                </c:pt>
                <c:pt idx="26">
                  <c:v>5</c:v>
                </c:pt>
                <c:pt idx="27">
                  <c:v>5</c:v>
                </c:pt>
                <c:pt idx="28">
                  <c:v>5</c:v>
                </c:pt>
                <c:pt idx="29">
                  <c:v>5</c:v>
                </c:pt>
                <c:pt idx="30">
                  <c:v>5</c:v>
                </c:pt>
                <c:pt idx="31">
                  <c:v>5</c:v>
                </c:pt>
                <c:pt idx="32">
                  <c:v>5</c:v>
                </c:pt>
                <c:pt idx="33">
                  <c:v>5</c:v>
                </c:pt>
                <c:pt idx="34">
                  <c:v>5</c:v>
                </c:pt>
                <c:pt idx="35">
                  <c:v>6</c:v>
                </c:pt>
                <c:pt idx="36">
                  <c:v>10</c:v>
                </c:pt>
                <c:pt idx="37">
                  <c:v>12</c:v>
                </c:pt>
                <c:pt idx="38">
                  <c:v>12</c:v>
                </c:pt>
                <c:pt idx="39">
                  <c:v>12</c:v>
                </c:pt>
                <c:pt idx="40">
                  <c:v>14</c:v>
                </c:pt>
                <c:pt idx="41">
                  <c:v>14</c:v>
                </c:pt>
                <c:pt idx="42">
                  <c:v>14</c:v>
                </c:pt>
                <c:pt idx="43">
                  <c:v>15</c:v>
                </c:pt>
                <c:pt idx="44">
                  <c:v>15</c:v>
                </c:pt>
                <c:pt idx="45">
                  <c:v>15</c:v>
                </c:pt>
                <c:pt idx="46">
                  <c:v>16</c:v>
                </c:pt>
                <c:pt idx="47">
                  <c:v>19</c:v>
                </c:pt>
                <c:pt idx="48">
                  <c:v>19</c:v>
                </c:pt>
                <c:pt idx="49">
                  <c:v>20</c:v>
                </c:pt>
                <c:pt idx="50">
                  <c:v>20</c:v>
                </c:pt>
                <c:pt idx="51">
                  <c:v>20</c:v>
                </c:pt>
                <c:pt idx="52">
                  <c:v>20</c:v>
                </c:pt>
                <c:pt idx="53">
                  <c:v>18</c:v>
                </c:pt>
                <c:pt idx="54">
                  <c:v>16</c:v>
                </c:pt>
                <c:pt idx="55">
                  <c:v>16</c:v>
                </c:pt>
                <c:pt idx="56">
                  <c:v>18</c:v>
                </c:pt>
                <c:pt idx="57">
                  <c:v>16</c:v>
                </c:pt>
                <c:pt idx="58">
                  <c:v>16</c:v>
                </c:pt>
                <c:pt idx="59">
                  <c:v>18</c:v>
                </c:pt>
                <c:pt idx="60">
                  <c:v>18</c:v>
                </c:pt>
                <c:pt idx="61">
                  <c:v>18</c:v>
                </c:pt>
                <c:pt idx="62">
                  <c:v>18</c:v>
                </c:pt>
                <c:pt idx="63">
                  <c:v>18</c:v>
                </c:pt>
                <c:pt idx="64">
                  <c:v>20</c:v>
                </c:pt>
                <c:pt idx="65">
                  <c:v>18</c:v>
                </c:pt>
                <c:pt idx="66">
                  <c:v>18</c:v>
                </c:pt>
                <c:pt idx="67">
                  <c:v>16</c:v>
                </c:pt>
                <c:pt idx="68">
                  <c:v>16</c:v>
                </c:pt>
                <c:pt idx="69">
                  <c:v>14</c:v>
                </c:pt>
                <c:pt idx="70">
                  <c:v>16</c:v>
                </c:pt>
                <c:pt idx="71">
                  <c:v>14</c:v>
                </c:pt>
                <c:pt idx="72">
                  <c:v>14</c:v>
                </c:pt>
                <c:pt idx="73">
                  <c:v>14</c:v>
                </c:pt>
                <c:pt idx="74">
                  <c:v>14</c:v>
                </c:pt>
                <c:pt idx="75">
                  <c:v>16</c:v>
                </c:pt>
                <c:pt idx="76">
                  <c:v>16</c:v>
                </c:pt>
                <c:pt idx="77">
                  <c:v>14</c:v>
                </c:pt>
                <c:pt idx="78">
                  <c:v>12</c:v>
                </c:pt>
                <c:pt idx="79">
                  <c:v>12</c:v>
                </c:pt>
                <c:pt idx="80">
                  <c:v>10</c:v>
                </c:pt>
                <c:pt idx="81">
                  <c:v>10</c:v>
                </c:pt>
                <c:pt idx="82">
                  <c:v>8</c:v>
                </c:pt>
                <c:pt idx="83">
                  <c:v>8</c:v>
                </c:pt>
                <c:pt idx="84">
                  <c:v>8</c:v>
                </c:pt>
                <c:pt idx="85">
                  <c:v>6</c:v>
                </c:pt>
                <c:pt idx="86">
                  <c:v>6</c:v>
                </c:pt>
                <c:pt idx="87">
                  <c:v>6</c:v>
                </c:pt>
                <c:pt idx="88">
                  <c:v>4</c:v>
                </c:pt>
                <c:pt idx="89">
                  <c:v>4</c:v>
                </c:pt>
                <c:pt idx="90">
                  <c:v>4</c:v>
                </c:pt>
                <c:pt idx="91">
                  <c:v>0</c:v>
                </c:pt>
                <c:pt idx="92">
                  <c:v>0</c:v>
                </c:pt>
                <c:pt idx="93">
                  <c:v>0</c:v>
                </c:pt>
                <c:pt idx="94">
                  <c:v>0</c:v>
                </c:pt>
                <c:pt idx="95">
                  <c:v>0</c:v>
                </c:pt>
              </c:numCache>
            </c:numRef>
          </c:val>
          <c:extLst>
            <c:ext xmlns:c16="http://schemas.microsoft.com/office/drawing/2014/chart" uri="{C3380CC4-5D6E-409C-BE32-E72D297353CC}">
              <c16:uniqueId val="{00000000-D2A0-A643-9E65-DB8E36538C83}"/>
            </c:ext>
          </c:extLst>
        </c:ser>
        <c:dLbls>
          <c:showLegendKey val="0"/>
          <c:showVal val="0"/>
          <c:showCatName val="0"/>
          <c:showSerName val="0"/>
          <c:showPercent val="0"/>
          <c:showBubbleSize val="0"/>
        </c:dLbls>
        <c:gapWidth val="219"/>
        <c:overlap val="-27"/>
        <c:axId val="652661912"/>
        <c:axId val="652660600"/>
      </c:barChart>
      <c:catAx>
        <c:axId val="652661912"/>
        <c:scaling>
          <c:orientation val="minMax"/>
        </c:scaling>
        <c:delete val="0"/>
        <c:axPos val="b"/>
        <c:numFmt formatCode="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660600"/>
        <c:crosses val="autoZero"/>
        <c:auto val="1"/>
        <c:lblAlgn val="ctr"/>
        <c:lblOffset val="100"/>
        <c:noMultiLvlLbl val="0"/>
      </c:catAx>
      <c:valAx>
        <c:axId val="652660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661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'DSI Calculator Widget'!$E$57:$E$89</c:f>
              <c:numCache>
                <c:formatCode>0%</c:formatCode>
                <c:ptCount val="33"/>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numCache>
            </c:numRef>
          </c:xVal>
          <c:yVal>
            <c:numRef>
              <c:f>'DSI Calculator Widget'!$F$57:$F$89</c:f>
              <c:numCache>
                <c:formatCode>_-[$$-409]* #,##0.00_ ;_-[$$-409]* \-#,##0.00\ ;_-[$$-409]* "-"??_ ;_-@_ </c:formatCode>
                <c:ptCount val="33"/>
                <c:pt idx="0">
                  <c:v>3042.9166666666674</c:v>
                </c:pt>
                <c:pt idx="1">
                  <c:v>1521.4583333333337</c:v>
                </c:pt>
                <c:pt idx="2">
                  <c:v>1014.3055555555559</c:v>
                </c:pt>
                <c:pt idx="3">
                  <c:v>760.72916666666686</c:v>
                </c:pt>
                <c:pt idx="4">
                  <c:v>608.58333333333337</c:v>
                </c:pt>
                <c:pt idx="5">
                  <c:v>507.15277777777794</c:v>
                </c:pt>
                <c:pt idx="6">
                  <c:v>434.70238095238102</c:v>
                </c:pt>
                <c:pt idx="7">
                  <c:v>380.36458333333343</c:v>
                </c:pt>
                <c:pt idx="8">
                  <c:v>338.1018518518519</c:v>
                </c:pt>
                <c:pt idx="9">
                  <c:v>304.29166666666669</c:v>
                </c:pt>
                <c:pt idx="10">
                  <c:v>276.62878787878793</c:v>
                </c:pt>
                <c:pt idx="11">
                  <c:v>253.57638888888897</c:v>
                </c:pt>
                <c:pt idx="12">
                  <c:v>234.07051282051287</c:v>
                </c:pt>
                <c:pt idx="13">
                  <c:v>217.35119047619051</c:v>
                </c:pt>
                <c:pt idx="14">
                  <c:v>202.86111111111117</c:v>
                </c:pt>
                <c:pt idx="15">
                  <c:v>190.18229166666671</c:v>
                </c:pt>
                <c:pt idx="16">
                  <c:v>178.99509803921572</c:v>
                </c:pt>
                <c:pt idx="17">
                  <c:v>169.05092592592595</c:v>
                </c:pt>
                <c:pt idx="18">
                  <c:v>160.15350877192984</c:v>
                </c:pt>
                <c:pt idx="19">
                  <c:v>152.14583333333334</c:v>
                </c:pt>
                <c:pt idx="20">
                  <c:v>144.90079365079367</c:v>
                </c:pt>
                <c:pt idx="21">
                  <c:v>138.31439393939397</c:v>
                </c:pt>
                <c:pt idx="22">
                  <c:v>132.30072463768118</c:v>
                </c:pt>
                <c:pt idx="23">
                  <c:v>126.78819444444449</c:v>
                </c:pt>
                <c:pt idx="24">
                  <c:v>121.7166666666667</c:v>
                </c:pt>
                <c:pt idx="25">
                  <c:v>117.03525641025644</c:v>
                </c:pt>
                <c:pt idx="26">
                  <c:v>112.70061728395063</c:v>
                </c:pt>
                <c:pt idx="27">
                  <c:v>108.67559523809526</c:v>
                </c:pt>
                <c:pt idx="28">
                  <c:v>104.92816091954028</c:v>
                </c:pt>
                <c:pt idx="29">
                  <c:v>101.43055555555559</c:v>
                </c:pt>
                <c:pt idx="30">
                  <c:v>98.158602150537661</c:v>
                </c:pt>
                <c:pt idx="31">
                  <c:v>95.091145833333357</c:v>
                </c:pt>
                <c:pt idx="32">
                  <c:v>92.209595959595987</c:v>
                </c:pt>
              </c:numCache>
            </c:numRef>
          </c:yVal>
          <c:smooth val="1"/>
          <c:extLst>
            <c:ext xmlns:c16="http://schemas.microsoft.com/office/drawing/2014/chart" uri="{C3380CC4-5D6E-409C-BE32-E72D297353CC}">
              <c16:uniqueId val="{00000001-1A57-4A2F-BC76-DE19654AC894}"/>
            </c:ext>
          </c:extLst>
        </c:ser>
        <c:dLbls>
          <c:showLegendKey val="0"/>
          <c:showVal val="0"/>
          <c:showCatName val="0"/>
          <c:showSerName val="0"/>
          <c:showPercent val="0"/>
          <c:showBubbleSize val="0"/>
        </c:dLbls>
        <c:axId val="1102293511"/>
        <c:axId val="1286837255"/>
      </c:scatterChart>
      <c:valAx>
        <c:axId val="1102293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837255"/>
        <c:crosses val="autoZero"/>
        <c:crossBetween val="midCat"/>
      </c:valAx>
      <c:valAx>
        <c:axId val="128683725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2935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2192D71D-37B5-430B-BAD4-24B4CA3857F8}">
    <Anchor>
      <Comment id="{1638023C-07FD-409B-8841-B86EB88898A3}"/>
    </Anchor>
    <History>
      <Event time="2024-10-16T23:55:26.98" id="{D728D27E-1B0D-45CD-BEE8-9F6A96EA9731}">
        <Attribution userId="S::emile.robillard@c60.ai::8326579e-c6a5-4897-8a68-b99f42d5fd11" userName="Emile Robillard" userProvider="AD"/>
        <Anchor>
          <Comment id="{1638023C-07FD-409B-8841-B86EB88898A3}"/>
        </Anchor>
        <Create/>
      </Event>
      <Event time="2024-10-16T23:55:26.98" id="{A0191F3A-EDE5-49C1-A9F7-6E60B5CFA5E3}">
        <Attribution userId="S::emile.robillard@c60.ai::8326579e-c6a5-4897-8a68-b99f42d5fd11" userName="Emile Robillard" userProvider="AD"/>
        <Anchor>
          <Comment id="{1638023C-07FD-409B-8841-B86EB88898A3}"/>
        </Anchor>
        <Assign userId="S::trevor.panas@c60.ai::6b8f2a59-7500-4126-a1c0-8c1d3572b1c5" userName="Trevor Panas" userProvider="AD"/>
      </Event>
      <Event time="2024-10-16T23:55:26.98" id="{FFFB2872-0878-450D-A61D-F11C621FB3B3}">
        <Attribution userId="S::emile.robillard@c60.ai::8326579e-c6a5-4897-8a68-b99f42d5fd11" userName="Emile Robillard" userProvider="AD"/>
        <Anchor>
          <Comment id="{1638023C-07FD-409B-8841-B86EB88898A3}"/>
        </Anchor>
        <SetTitle title="@Trevor Panas you mentionned wanting to review the summary screen on a previous call this week, what fields would you expect to see here?"/>
      </Event>
    </History>
  </Task>
</Task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342902</xdr:colOff>
      <xdr:row>28</xdr:row>
      <xdr:rowOff>706</xdr:rowOff>
    </xdr:from>
    <xdr:to>
      <xdr:col>21</xdr:col>
      <xdr:colOff>174274</xdr:colOff>
      <xdr:row>49</xdr:row>
      <xdr:rowOff>7056</xdr:rowOff>
    </xdr:to>
    <xdr:graphicFrame macro="">
      <xdr:nvGraphicFramePr>
        <xdr:cNvPr id="2" name="Chart 1">
          <a:extLst>
            <a:ext uri="{FF2B5EF4-FFF2-40B4-BE49-F238E27FC236}">
              <a16:creationId xmlns:a16="http://schemas.microsoft.com/office/drawing/2014/main" id="{E27225A6-1E6F-41DB-A0FC-B12C72EAB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342902</xdr:colOff>
      <xdr:row>28</xdr:row>
      <xdr:rowOff>706</xdr:rowOff>
    </xdr:from>
    <xdr:to>
      <xdr:col>21</xdr:col>
      <xdr:colOff>174274</xdr:colOff>
      <xdr:row>49</xdr:row>
      <xdr:rowOff>7056</xdr:rowOff>
    </xdr:to>
    <xdr:graphicFrame macro="">
      <xdr:nvGraphicFramePr>
        <xdr:cNvPr id="2" name="Chart 1">
          <a:extLst>
            <a:ext uri="{FF2B5EF4-FFF2-40B4-BE49-F238E27FC236}">
              <a16:creationId xmlns:a16="http://schemas.microsoft.com/office/drawing/2014/main" id="{7ACE6533-0563-4DC9-9681-B3A84CCC9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190502</xdr:colOff>
      <xdr:row>19</xdr:row>
      <xdr:rowOff>706</xdr:rowOff>
    </xdr:from>
    <xdr:to>
      <xdr:col>10</xdr:col>
      <xdr:colOff>155224</xdr:colOff>
      <xdr:row>37</xdr:row>
      <xdr:rowOff>7056</xdr:rowOff>
    </xdr:to>
    <xdr:graphicFrame macro="">
      <xdr:nvGraphicFramePr>
        <xdr:cNvPr id="2" name="Chart 1">
          <a:extLst>
            <a:ext uri="{FF2B5EF4-FFF2-40B4-BE49-F238E27FC236}">
              <a16:creationId xmlns:a16="http://schemas.microsoft.com/office/drawing/2014/main" id="{82B354B6-12AE-4745-B8A6-912FA928FD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381000</xdr:colOff>
      <xdr:row>5</xdr:row>
      <xdr:rowOff>0</xdr:rowOff>
    </xdr:from>
    <xdr:to>
      <xdr:col>25</xdr:col>
      <xdr:colOff>209550</xdr:colOff>
      <xdr:row>25</xdr:row>
      <xdr:rowOff>123825</xdr:rowOff>
    </xdr:to>
    <xdr:graphicFrame macro="">
      <xdr:nvGraphicFramePr>
        <xdr:cNvPr id="2" name="Chart 1">
          <a:extLst>
            <a:ext uri="{FF2B5EF4-FFF2-40B4-BE49-F238E27FC236}">
              <a16:creationId xmlns:a16="http://schemas.microsoft.com/office/drawing/2014/main" id="{0B5A33E6-A966-8A46-82F6-5281923B2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396875</xdr:colOff>
      <xdr:row>27</xdr:row>
      <xdr:rowOff>22225</xdr:rowOff>
    </xdr:from>
    <xdr:to>
      <xdr:col>24</xdr:col>
      <xdr:colOff>415925</xdr:colOff>
      <xdr:row>47</xdr:row>
      <xdr:rowOff>136525</xdr:rowOff>
    </xdr:to>
    <xdr:graphicFrame macro="">
      <xdr:nvGraphicFramePr>
        <xdr:cNvPr id="3" name="Chart 2">
          <a:extLst>
            <a:ext uri="{FF2B5EF4-FFF2-40B4-BE49-F238E27FC236}">
              <a16:creationId xmlns:a16="http://schemas.microsoft.com/office/drawing/2014/main" id="{4E7FACE5-7738-5246-95D5-248C82A675B9}"/>
            </a:ext>
            <a:ext uri="{147F2762-F138-4A5C-976F-8EAC2B608ADB}">
              <a16:predDERef xmlns:a16="http://schemas.microsoft.com/office/drawing/2014/main" pred="{0B5A33E6-A966-8A46-82F6-5281923B2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504825</xdr:colOff>
      <xdr:row>24</xdr:row>
      <xdr:rowOff>114300</xdr:rowOff>
    </xdr:from>
    <xdr:to>
      <xdr:col>12</xdr:col>
      <xdr:colOff>504825</xdr:colOff>
      <xdr:row>24</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24A30A3E-9CCA-1E4E-82BB-DBC7764BB35A}"/>
                </a:ext>
                <a:ext uri="{147F2762-F138-4A5C-976F-8EAC2B608ADB}">
                  <a16:predDERef xmlns:a16="http://schemas.microsoft.com/office/drawing/2014/main" pred="{1ABE8A19-B3BF-9041-8882-0143AE144870}"/>
                </a:ext>
              </a:extLst>
            </xdr14:cNvPr>
            <xdr14:cNvContentPartPr/>
          </xdr14:nvContentPartPr>
          <xdr14:nvPr macro=""/>
          <xdr14:xfrm>
            <a:off x="10220325" y="4438650"/>
            <a:ext cx="0" cy="0"/>
          </xdr14:xfrm>
        </xdr:contentPart>
      </mc:Choice>
      <mc:Fallback xmlns="">
        <xdr:pic>
          <xdr:nvPicPr>
            <xdr:cNvPr id="7" name="">
              <a:extLst>
                <a:ext uri="{FF2B5EF4-FFF2-40B4-BE49-F238E27FC236}">
                  <a16:creationId xmlns:a16="http://schemas.microsoft.com/office/drawing/2014/main" id="{DDC72276-109B-4C1F-A252-39F951C44562}"/>
                </a:ext>
                <a:ext uri="{147F2762-F138-4A5C-976F-8EAC2B608ADB}">
                  <a16:predDERef xmlns:a16="http://schemas.microsoft.com/office/drawing/2014/main" pred="{1ABE8A19-B3BF-9041-8882-0143AE144870}"/>
                </a:ext>
              </a:extLst>
            </xdr:cNvPr>
            <xdr:cNvPicPr/>
          </xdr:nvPicPr>
          <xdr:blipFill>
            <a:blip xmlns:r="http://schemas.openxmlformats.org/officeDocument/2006/relationships" r:embed="rId4"/>
            <a:stretch>
              <a:fillRect/>
            </a:stretch>
          </xdr:blipFill>
          <xdr:spPr>
            <a:xfrm>
              <a:off x="10220325" y="4438650"/>
              <a:ext cx="0" cy="0"/>
            </a:xfrm>
            <a:prstGeom prst="rect">
              <a:avLst/>
            </a:prstGeom>
          </xdr:spPr>
        </xdr:pic>
      </mc:Fallback>
    </mc:AlternateContent>
    <xdr:clientData/>
  </xdr:twoCellAnchor>
  <xdr:twoCellAnchor>
    <xdr:from>
      <xdr:col>20</xdr:col>
      <xdr:colOff>304800</xdr:colOff>
      <xdr:row>30</xdr:row>
      <xdr:rowOff>104775</xdr:rowOff>
    </xdr:from>
    <xdr:to>
      <xdr:col>23</xdr:col>
      <xdr:colOff>514350</xdr:colOff>
      <xdr:row>45</xdr:row>
      <xdr:rowOff>76200</xdr:rowOff>
    </xdr:to>
    <xdr:sp macro="" textlink="">
      <xdr:nvSpPr>
        <xdr:cNvPr id="5" name="Rectangle 7">
          <a:extLst>
            <a:ext uri="{FF2B5EF4-FFF2-40B4-BE49-F238E27FC236}">
              <a16:creationId xmlns:a16="http://schemas.microsoft.com/office/drawing/2014/main" id="{8F9D61B5-CA87-E04E-8D5E-831B604B3EF2}"/>
            </a:ext>
            <a:ext uri="{147F2762-F138-4A5C-976F-8EAC2B608ADB}">
              <a16:predDERef xmlns:a16="http://schemas.microsoft.com/office/drawing/2014/main" pred="{DDC72276-109B-4C1F-A252-39F951C44562}"/>
            </a:ext>
          </a:extLst>
        </xdr:cNvPr>
        <xdr:cNvSpPr/>
      </xdr:nvSpPr>
      <xdr:spPr>
        <a:xfrm>
          <a:off x="20916900" y="5768975"/>
          <a:ext cx="2228850" cy="2828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47625</xdr:colOff>
      <xdr:row>4</xdr:row>
      <xdr:rowOff>219075</xdr:rowOff>
    </xdr:from>
    <xdr:ext cx="4314286" cy="3577767"/>
    <xdr:pic>
      <xdr:nvPicPr>
        <xdr:cNvPr id="2" name="Picture 1">
          <a:extLst>
            <a:ext uri="{FF2B5EF4-FFF2-40B4-BE49-F238E27FC236}">
              <a16:creationId xmlns:a16="http://schemas.microsoft.com/office/drawing/2014/main" id="{C104D8A7-CF1D-6647-A030-DCD275F82D55}"/>
            </a:ext>
          </a:extLst>
        </xdr:cNvPr>
        <xdr:cNvPicPr>
          <a:picLocks noChangeAspect="1"/>
        </xdr:cNvPicPr>
      </xdr:nvPicPr>
      <xdr:blipFill>
        <a:blip xmlns:r="http://schemas.openxmlformats.org/officeDocument/2006/relationships" r:embed="rId1"/>
        <a:stretch>
          <a:fillRect/>
        </a:stretch>
      </xdr:blipFill>
      <xdr:spPr>
        <a:xfrm>
          <a:off x="13725525" y="1133475"/>
          <a:ext cx="4314286" cy="3577767"/>
        </a:xfrm>
        <a:prstGeom prst="rect">
          <a:avLst/>
        </a:prstGeom>
      </xdr:spPr>
    </xdr:pic>
    <xdr:clientData/>
  </xdr:oneCellAnchor>
  <xdr:twoCellAnchor>
    <xdr:from>
      <xdr:col>6</xdr:col>
      <xdr:colOff>276225</xdr:colOff>
      <xdr:row>56</xdr:row>
      <xdr:rowOff>76200</xdr:rowOff>
    </xdr:from>
    <xdr:to>
      <xdr:col>9</xdr:col>
      <xdr:colOff>552450</xdr:colOff>
      <xdr:row>71</xdr:row>
      <xdr:rowOff>104775</xdr:rowOff>
    </xdr:to>
    <xdr:graphicFrame macro="">
      <xdr:nvGraphicFramePr>
        <xdr:cNvPr id="4" name="Chart 3">
          <a:extLst>
            <a:ext uri="{FF2B5EF4-FFF2-40B4-BE49-F238E27FC236}">
              <a16:creationId xmlns:a16="http://schemas.microsoft.com/office/drawing/2014/main" id="{20761E1E-1514-5DD9-6774-7CBC7F504EEC}"/>
            </a:ext>
            <a:ext uri="{147F2762-F138-4A5C-976F-8EAC2B608ADB}">
              <a16:predDERef xmlns:a16="http://schemas.microsoft.com/office/drawing/2014/main" pred="{C104D8A7-CF1D-6647-A030-DCD275F82D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704850</xdr:colOff>
      <xdr:row>5</xdr:row>
      <xdr:rowOff>171450</xdr:rowOff>
    </xdr:from>
    <xdr:to>
      <xdr:col>29</xdr:col>
      <xdr:colOff>571500</xdr:colOff>
      <xdr:row>18</xdr:row>
      <xdr:rowOff>152400</xdr:rowOff>
    </xdr:to>
    <xdr:pic>
      <xdr:nvPicPr>
        <xdr:cNvPr id="2" name="Picture 2">
          <a:extLst>
            <a:ext uri="{FF2B5EF4-FFF2-40B4-BE49-F238E27FC236}">
              <a16:creationId xmlns:a16="http://schemas.microsoft.com/office/drawing/2014/main" id="{8612AC43-1680-0C42-94BA-1EB705B5F754}"/>
            </a:ext>
          </a:extLst>
        </xdr:cNvPr>
        <xdr:cNvPicPr>
          <a:picLocks noChangeAspect="1"/>
        </xdr:cNvPicPr>
      </xdr:nvPicPr>
      <xdr:blipFill>
        <a:blip xmlns:r="http://schemas.openxmlformats.org/officeDocument/2006/relationships" r:embed="rId1"/>
        <a:stretch>
          <a:fillRect/>
        </a:stretch>
      </xdr:blipFill>
      <xdr:spPr>
        <a:xfrm>
          <a:off x="26904950" y="1301750"/>
          <a:ext cx="4108450" cy="262255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4-05T14:11:21.135"/>
    </inkml:context>
    <inkml:brush xml:id="br0">
      <inkml:brushProperty name="width" value="0.1" units="cm"/>
      <inkml:brushProperty name="height" value="0.1" units="cm"/>
      <inkml:brushProperty name="color" value="#E71224"/>
    </inkml:brush>
  </inkml:definitions>
  <inkml:trace contextRef="#ctx0" brushRef="#br0">30016 14170 16383 0 0,'0'0'0'0'0</inkml:trace>
</inkml:ink>
</file>

<file path=xl/persons/person.xml><?xml version="1.0" encoding="utf-8"?>
<personList xmlns="http://schemas.microsoft.com/office/spreadsheetml/2018/threadedcomments" xmlns:x="http://schemas.openxmlformats.org/spreadsheetml/2006/main">
  <person displayName="Nathan Eckel" id="{9B9ED1EC-4C6D-4C5A-9C87-A5555ECC91DC}" userId="nathan.eckel@c60.ai" providerId="PeoplePicker"/>
  <person displayName="Trevor Panas" id="{44B693D9-8490-43D9-8FAB-60EFEDAA2A49}" userId="trevor.panas@c60.ai" providerId="PeoplePicker"/>
  <person displayName="Emile Robillard" id="{069910AD-72FC-45C2-B867-45148C64A7F8}" userId="S::emile.robillard@c60.ai::8326579e-c6a5-4897-8a68-b99f42d5fd11" providerId="AD"/>
  <person displayName="Horn, Ian (Skygate) AUS" id="{07769CC5-7112-4045-A9FE-82CD5FFCC9D2}" userId="S::ian.horn@hanson.com.au::e55d98bd-9c78-46e5-b7aa-a189a9e336b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FCBA1E-8357-4D22-9833-92D1AC4A4F6A}" name="Table1" displayName="Table1" ref="A1:G455" totalsRowShown="0" headerRowDxfId="45" dataDxfId="44">
  <autoFilter ref="A1:G455" xr:uid="{7FF62F26-FD0A-47CA-BE5C-3469573DAB37}">
    <filterColumn colId="0">
      <filters>
        <filter val="Customer Cost to Service"/>
      </filters>
    </filterColumn>
  </autoFilter>
  <tableColumns count="7">
    <tableColumn id="1" xr3:uid="{BB7E10DE-571C-4683-8E25-28DC0FB615C5}" name="Dashboard" dataDxfId="43"/>
    <tableColumn id="2" xr3:uid="{B74A0C90-2F00-4760-AA14-DE08E0673DAB}" name="Widget" dataDxfId="42"/>
    <tableColumn id="3" xr3:uid="{BC1159ED-7F74-44C3-95C7-C286C3119E6D}" name="Field" dataDxfId="41"/>
    <tableColumn id="4" xr3:uid="{9FA05FA4-1FCF-49FE-9BE9-B69E1B58E3D6}" name="Calculation - Product/Business " dataDxfId="40"/>
    <tableColumn id="5" xr3:uid="{2CAD4991-80A1-429C-B52F-3EED98F28F87}" name="Calculation - Ian comment" dataDxfId="39"/>
    <tableColumn id="6" xr3:uid="{4078927E-0870-48A2-848B-D59793FBE314}" name="Column1" dataDxfId="38"/>
    <tableColumn id="7" xr3:uid="{E76D482B-0186-4353-9D50-AC0BBFE6F216}" name="Column2" dataDxfId="3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619649-33B2-4BDD-B701-998E08274E19}" name="Table4" displayName="Table4" ref="A1:H84" totalsRowShown="0" headerRowDxfId="36" dataDxfId="35">
  <autoFilter ref="A1:H84" xr:uid="{04619649-33B2-4BDD-B701-998E08274E19}"/>
  <tableColumns count="8">
    <tableColumn id="1" xr3:uid="{4F501D50-CA81-4B3E-AE5F-12C558235D90}" name="Dashboard" dataDxfId="34"/>
    <tableColumn id="2" xr3:uid="{2639C60D-A64C-4232-8EC5-BB1BB1C5981B}" name="Widget" dataDxfId="33"/>
    <tableColumn id="3" xr3:uid="{C5F9A315-BAF5-4180-9405-7921E36F6801}" name="Field" dataDxfId="32"/>
    <tableColumn id="4" xr3:uid="{C3ACDE2F-BCA6-4900-8BEA-0212EABCE682}" name="Globalization Concern" dataDxfId="31"/>
    <tableColumn id="5" xr3:uid="{2C5E62E3-EDEB-45B8-98C1-2DE513351D65}" name="Geographic Concern" dataDxfId="30"/>
    <tableColumn id="6" xr3:uid="{AFA60B9E-7125-4911-ABCB-057D9A980F18}" name="Imperial (example)" dataDxfId="29"/>
    <tableColumn id="7" xr3:uid="{7DC03A29-A9A4-433D-ACE4-CD00BAF77DD6}" name="Metric (example)" dataDxfId="28"/>
    <tableColumn id="8" xr3:uid="{F88CCEA3-79BE-4454-9599-143EE2BFA1F1}" name="Additional Comments" dataDxfId="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303ECC-64B3-473C-A686-9AE44EB8DE32}" name="Table2" displayName="Table2" ref="A1:G7" totalsRowShown="0" headerRowDxfId="24" headerRowBorderDxfId="22" tableBorderDxfId="23">
  <autoFilter ref="A1:G7" xr:uid="{33303ECC-64B3-473C-A686-9AE44EB8DE32}"/>
  <tableColumns count="7">
    <tableColumn id="1" xr3:uid="{A81FC87A-4104-4340-83B4-DAAB1727D3DE}" name="Page" dataDxfId="21"/>
    <tableColumn id="8" xr3:uid="{DA5779B8-2AEC-47B8-ADB9-9DC60458005B}" name="Dashboard"/>
    <tableColumn id="3" xr3:uid="{97E19E45-DBEA-4A05-9522-7C247F1765EA}" name="Field" dataDxfId="20"/>
    <tableColumn id="4" xr3:uid="{D1F25198-87AF-4ED5-8292-37624B2B5DE5}" name="Calculation - Product/Business " dataDxfId="19"/>
    <tableColumn id="5" xr3:uid="{C3B09DB6-20A2-49B8-8FA4-A1E130264144}" name="Calculation - Ian comment" dataDxfId="18"/>
    <tableColumn id="6" xr3:uid="{0C5BF72B-C782-4C69-B9D1-81516209A03F}" name="Column1" dataDxfId="17"/>
    <tableColumn id="7" xr3:uid="{70D92BD3-A3FB-4318-8055-1BB64961DA8E}" name="Column2" dataDxfId="1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8120EA-D972-4042-92AA-1A1CAFC5544B}" name="Table3" displayName="Table3" ref="A1:D39" totalsRowShown="0" headerRowDxfId="15" headerRowBorderDxfId="13" tableBorderDxfId="14">
  <autoFilter ref="A1:D39" xr:uid="{348120EA-D972-4042-92AA-1A1CAFC5544B}"/>
  <sortState xmlns:xlrd2="http://schemas.microsoft.com/office/spreadsheetml/2017/richdata2" ref="A2:D39">
    <sortCondition ref="A1:A39"/>
  </sortState>
  <tableColumns count="4">
    <tableColumn id="1" xr3:uid="{0233DD1C-55D0-46BE-8CEF-573C6E5BA72D}" name="Term"/>
    <tableColumn id="2" xr3:uid="{1BE04325-EBE7-4912-87FC-0C8EA4ECB6A3}" name="Category"/>
    <tableColumn id="3" xr3:uid="{A29D7E9E-3C0A-42F6-8EA1-DCE1E0B1D0B5}" name="Description" dataDxfId="12"/>
    <tableColumn id="4" xr3:uid="{C1F83E0F-D660-4212-8B7F-6E63B1D8D4E1}" name="Additional Commen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026476-FF9A-4D89-B45C-37AE964FC9E2}" name="Table5" displayName="Table5" ref="A1:E22" totalsRowShown="0" headerRowDxfId="11" headerRowBorderDxfId="9" tableBorderDxfId="10">
  <autoFilter ref="A1:E22" xr:uid="{E9026476-FF9A-4D89-B45C-37AE964FC9E2}"/>
  <tableColumns count="5">
    <tableColumn id="1" xr3:uid="{7300940E-6F8B-4E2A-9BD3-CB89E3FB3E26}" name="Dashboard"/>
    <tableColumn id="2" xr3:uid="{C8A97704-34BE-4C77-9EA3-9C5B94C3AE32}" name="Widget"/>
    <tableColumn id="3" xr3:uid="{E57A915A-577E-403E-A7B2-1FD651E6A8F0}" name="Field"/>
    <tableColumn id="4" xr3:uid="{876CB406-DAA3-4C53-9F6C-796F265CFC4A}" name="Calculation - Product/Business "/>
    <tableColumn id="5" xr3:uid="{B86B1E33-3555-4729-A0C5-413D857B9A5C}" name="Comm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DC5F54-BCB6-4581-B1F0-FE32077E6E30}" name="Table6" displayName="Table6" ref="A1:H21" totalsRowShown="0" headerRowDxfId="8" dataDxfId="7">
  <autoFilter ref="A1:H21" xr:uid="{48DC5F54-BCB6-4581-B1F0-FE32077E6E30}"/>
  <sortState xmlns:xlrd2="http://schemas.microsoft.com/office/spreadsheetml/2017/richdata2" ref="A2:H21">
    <sortCondition ref="E1:E21"/>
  </sortState>
  <tableColumns count="8">
    <tableColumn id="1" xr3:uid="{52A3993A-44AE-40C0-BB0E-13E7A8381BC2}" name="KPI" dataDxfId="6"/>
    <tableColumn id="2" xr3:uid="{5A992C95-7C52-42AD-AEDC-4790AAFFC382}" name="Unit" dataDxfId="5"/>
    <tableColumn id="8" xr3:uid="{CBD69381-10C4-420C-9513-2F6FB5AF2272}" name="Decimals" dataDxfId="4"/>
    <tableColumn id="9" xr3:uid="{E5087D3A-0C63-4BB0-B6A2-12D12E297949}" name="Good" dataDxfId="3"/>
    <tableColumn id="3" xr3:uid="{69B75E6B-4331-4BEB-8722-7E3BEC221A66}" name="Priority" dataDxfId="2"/>
    <tableColumn id="4" xr3:uid="{1F97DAC6-2F85-4AE9-9582-AF4689960714}" name="Category" dataDxfId="1"/>
    <tableColumn id="5" xr3:uid="{DB842191-860D-4097-9216-D3AB67290D35}" name="Dimensions" dataDxfId="0"/>
    <tableColumn id="6" xr3:uid="{E4823FB3-9EFE-4809-8032-488411C29C88}" name="Related Dashboard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1" dT="2022-08-18T20:31:35.02" personId="{07769CC5-7112-4045-A9FE-82CD5FFCC9D2}" id="{BD0F4E45-7E09-49A3-84CE-903ABB4AAD92}">
    <text>The numbers listed are not hard codded but variables - assume other can change</text>
  </threadedComment>
  <threadedComment ref="E32" dT="2022-08-18T20:31:35.02" personId="{07769CC5-7112-4045-A9FE-82CD5FFCC9D2}" id="{EEA54037-A374-4C1A-9FBB-6B68D9490626}">
    <text>The numbers listed are not hard codded but variables - assume other can change</text>
  </threadedComment>
  <threadedComment ref="E35" dT="2022-08-18T19:27:32.92" personId="{07769CC5-7112-4045-A9FE-82CD5FFCC9D2}" id="{04876955-C8C7-4D40-A6E9-B9A2B08BF656}">
    <text>The Cost is in USD per US Ton and the weights are in LBS - these must be equalized - by dividing by 2000 LBS per US Tons</text>
  </threadedComment>
  <threadedComment ref="E52" dT="2022-08-18T19:27:32.92" personId="{07769CC5-7112-4045-A9FE-82CD5FFCC9D2}" id="{DB932291-39F5-4368-AEE3-89E4DCC4A19F}">
    <text>The Cost is in USD per US Ton and the weights are in LBS - these must be equalized - by dividing by 2000 LBS per US Tons</text>
  </threadedComment>
  <threadedComment ref="E53" dT="2022-08-18T19:27:32.92" personId="{07769CC5-7112-4045-A9FE-82CD5FFCC9D2}" id="{0B42FF12-B6CB-40E1-983F-944F81161433}">
    <text>The Cost is in USD per US Ton and the weights are in LBS - these must be equalized - by dividing by 2000 LBS per US Tons</text>
  </threadedComment>
  <threadedComment ref="E54" dT="2022-08-18T19:27:32.92" personId="{07769CC5-7112-4045-A9FE-82CD5FFCC9D2}" id="{9702D9A2-5B51-42BE-AA5D-56C2B5767B87}">
    <text>The Cost is in USD per US Ton and the weights are in LBS - these must be equalized - by dividing by 2000 LBS per US Tons</text>
  </threadedComment>
  <threadedComment ref="E55" dT="2022-08-18T19:27:32.92" personId="{07769CC5-7112-4045-A9FE-82CD5FFCC9D2}" id="{2955060C-DEC0-45E0-904B-E83513260C9E}">
    <text>The Cost is in USD per US Ton and the weights are in LBS - these must be equalized - by dividing by 2000 LBS per US Tons</text>
  </threadedComment>
  <threadedComment ref="E56" dT="2022-08-18T19:27:32.92" personId="{07769CC5-7112-4045-A9FE-82CD5FFCC9D2}" id="{DFFCAAF9-CE73-4353-9BC1-71BF1BC4C7C7}">
    <text>The Cost is in USD per US Ton and the weights are in LBS - these must be equalized - by dividing by 2000 LBS per US Tons</text>
  </threadedComment>
  <threadedComment ref="E64" dT="2022-08-18T19:41:17.07" personId="{07769CC5-7112-4045-A9FE-82CD5FFCC9D2}" id="{5004B159-267E-4D5A-85A4-8F9843D45FA9}">
    <text>We have a pending change to make it at a delivery level not Batch level BUT ALSO I assume that if the variation between actual and target is below the tolerance then you must be setting it to 0 to make this formula work otherwise the formula is wrong</text>
  </threadedComment>
  <threadedComment ref="E65" dT="2022-08-18T19:41:17.07" personId="{07769CC5-7112-4045-A9FE-82CD5FFCC9D2}" id="{C3B628F6-2088-4A6F-921F-906809D815CB}">
    <text>We have a pending change to make it at a delivery level not Batch level BUT ALSO I assume that if the variation between actual and target is below the tolerance then you must be setting it to 0 to make this formula work otherwise the formula is wrong</text>
  </threadedComment>
  <threadedComment ref="E66" dT="2022-08-18T19:41:17.07" personId="{07769CC5-7112-4045-A9FE-82CD5FFCC9D2}" id="{8893C320-E72D-4860-BEC0-92AFC69D5BB8}">
    <text>We have a pending change to make it at a delivery level not Batch level BUT ALSO I assume that if the variation between actual and target is below the tolerance then you must be setting it to 0 to make this formula work otherwise the formula is wrong</text>
  </threadedComment>
  <threadedComment ref="E67" dT="2022-08-18T19:41:17.07" personId="{07769CC5-7112-4045-A9FE-82CD5FFCC9D2}" id="{2E884AD2-CBEB-4598-9017-2D4B197ADB69}">
    <text>We have a pending change to make it at a delivery level not Batch level BUT ALSO I assume that if the variation between actual and target is below the tolerance then you must be setting it to 0 to make this formula work otherwise the formula is wrong</text>
  </threadedComment>
  <threadedComment ref="E68" dT="2022-08-18T19:41:17.07" personId="{07769CC5-7112-4045-A9FE-82CD5FFCC9D2}" id="{64561E26-D364-46DC-8B87-ACE6CC5C79B4}">
    <text>We have a pending change to make it at a delivery level not Batch level BUT ALSO I assume that if the variation between actual and target is below the tolerance then you must be setting it to 0 to make this formula work otherwise the formula is wrong</text>
  </threadedComment>
  <threadedComment ref="E102" dT="2022-08-18T02:36:58.85" personId="{07769CC5-7112-4045-A9FE-82CD5FFCC9D2}" id="{E1AB5C8E-226D-4A79-9CC2-40AFDD3E4D4E}">
    <text>The "20" is the planned loading time.  One parameter that is associated with the  Plant is the planned loading time  This should be collected as part of our on boarding.  If that is collected then the 20 value should replace that. if blank then 20.</text>
  </threadedComment>
  <threadedComment ref="E111" dT="2022-08-18T02:15:20.77" personId="{07769CC5-7112-4045-A9FE-82CD5FFCC9D2}" id="{D8F1C820-AF54-4DE4-ACFE-28D78A01CE6F}">
    <text>The Truck Cost parameter is entered at an hourly rate therefore this calculation should be divided by 60</text>
  </threadedComment>
  <threadedComment ref="E112" dT="2022-08-18T02:15:20.77" personId="{07769CC5-7112-4045-A9FE-82CD5FFCC9D2}" id="{51989F56-1DF6-4397-B421-7E755F954502}">
    <text>The Truck Cost parameter is entered at an hourly rate therefore this calculation should be divided by 60</text>
  </threadedComment>
  <threadedComment ref="E113" dT="2022-08-18T02:15:20.77" personId="{07769CC5-7112-4045-A9FE-82CD5FFCC9D2}" id="{93311D8C-E872-4A28-97FC-5C26378F5B24}">
    <text>The Truck Cost parameter is entered at an hourly rate therefore this calculation should be divided by 60</text>
  </threadedComment>
  <threadedComment ref="E114" dT="2022-08-18T02:15:20.77" personId="{07769CC5-7112-4045-A9FE-82CD5FFCC9D2}" id="{617AD621-9058-4927-8B87-5C7195E6F9CB}">
    <text>The Truck Cost parameter is entered at an hourly rate therefore this calculation should be divided by 60</text>
  </threadedComment>
  <threadedComment ref="D192" dT="2022-12-01T14:22:40.48" personId="{069910AD-72FC-45C2-B867-45148C64A7F8}" id="{96A41047-D783-447C-8F4B-498410FED4E8}">
    <text xml:space="preserve">Was AVERAGE(Rankings of Volume Delivered, Truck Usage, Busy Hours, Cycle Time, Capacity Utilization, Loading Time, Status Accuracy, Avg. Load Size / Truck Capacity) / MAX(Average of Rankings)  previously but it should be the same as the overall ranking
</text>
  </threadedComment>
</ThreadedComments>
</file>

<file path=xl/threadedComments/threadedComment2.xml><?xml version="1.0" encoding="utf-8"?>
<ThreadedComments xmlns="http://schemas.microsoft.com/office/spreadsheetml/2018/threadedcomments" xmlns:x="http://schemas.openxmlformats.org/spreadsheetml/2006/main">
  <threadedComment ref="H11" dT="2022-11-23T18:24:44.42" personId="{069910AD-72FC-45C2-B867-45148C64A7F8}" id="{5227F400-0CB2-40E5-B45B-25A0126EDAA5}">
    <text>From Trevor: SG should be unitless</text>
  </threadedComment>
  <threadedComment ref="E60" dT="2022-11-23T18:18:37.79" personId="{069910AD-72FC-45C2-B867-45148C64A7F8}" id="{07A8C846-2308-4293-B4D8-B419E1F4DFED}">
    <text>the math of calculating the K factor should not change based on countries, only the targets</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4-10-16T23:55:27.14" personId="{069910AD-72FC-45C2-B867-45148C64A7F8}" id="{1638023C-07FD-409B-8841-B86EB88898A3}">
    <text>@Trevor Panas you mentionned wanting to review the summary screen on a previous call this week, what fields would you expect to see here?</text>
    <mentions>
      <mention mentionpersonId="{44B693D9-8490-43D9-8FAB-60EFEDAA2A49}" mentionId="{E4D02C13-A84F-41E2-8FC3-1F73ABD8C161}" startIndex="0" length="13"/>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E6" dT="2024-08-29T18:13:32.92" personId="{069910AD-72FC-45C2-B867-45148C64A7F8}" id="{A1DCF39C-7D06-4E52-BC74-85D93A3E52B4}">
    <text>consider fixed costs in calculation</text>
  </threadedComment>
  <threadedComment ref="B21" dT="2024-08-29T18:11:06.48" personId="{069910AD-72FC-45C2-B867-45148C64A7F8}" id="{3EEA8CE6-0628-42B6-B034-3A9C6F23473E}" done="1">
    <text>tweak to match Daniel's DSI sheet</text>
  </threadedComment>
  <threadedComment ref="B22" dT="2024-09-13T18:01:36.39" personId="{069910AD-72FC-45C2-B867-45148C64A7F8}" id="{C1AD6F90-8C9B-443A-AD5C-39E2562D9E31}">
    <text xml:space="preserve">@Trevor Panas @Nathan Eckel if we get this fixed cost right, then the curve should look ok. </text>
    <mentions>
      <mention mentionpersonId="{44B693D9-8490-43D9-8FAB-60EFEDAA2A49}" mentionId="{AC83C865-BF3D-4D8F-8721-60C4143E6B85}" startIndex="0" length="13"/>
      <mention mentionpersonId="{9B9ED1EC-4C6D-4C5A-9C87-A5555ECC91DC}" mentionId="{8BBF5441-DB4C-4B73-A3B5-8E4EEB4D6E13}" startIndex="14" length="13"/>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E6" dT="2024-08-29T18:13:32.92" personId="{069910AD-72FC-45C2-B867-45148C64A7F8}" id="{94CC5AC3-20CA-4968-B612-3E7C75BCEEAB}">
    <text>consider fixed costs in calculation</text>
  </threadedComment>
  <threadedComment ref="B21" dT="2024-08-29T18:11:06.48" personId="{069910AD-72FC-45C2-B867-45148C64A7F8}" id="{0BC864DD-0D33-4038-A2D1-E1021BC68CCE}" done="1">
    <text>tweak to match Daniel's DSI sheet</text>
  </threadedComment>
  <threadedComment ref="B22" dT="2024-09-13T18:01:36.39" personId="{069910AD-72FC-45C2-B867-45148C64A7F8}" id="{FA77CE6A-6E29-4659-8346-8748B1B5FAA1}">
    <text xml:space="preserve">@Trevor Panas @Nathan Eckel if we get this fixed cost right, then the curve should look ok. </text>
    <mentions>
      <mention mentionpersonId="{44B693D9-8490-43D9-8FAB-60EFEDAA2A49}" mentionId="{D73B8663-4C2C-4E89-89A2-79C9CF73849B}" startIndex="0" length="13"/>
      <mention mentionpersonId="{9B9ED1EC-4C6D-4C5A-9C87-A5555ECC91DC}" mentionId="{5CC9A5F9-C98C-43A1-AF6B-73ACBE6503E8}" startIndex="14" length="13"/>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 Id="rId4" Type="http://schemas.microsoft.com/office/2017/10/relationships/threadedComment" Target="../threadedComments/threadedComment4.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 Id="rId4" Type="http://schemas.microsoft.com/office/2017/10/relationships/threadedComment" Target="../threadedComments/threadedComment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CCAC-3045-41EB-9932-AEC7826CBCEA}">
  <sheetPr>
    <tabColor rgb="FFA9D08E"/>
  </sheetPr>
  <dimension ref="A1:P164"/>
  <sheetViews>
    <sheetView workbookViewId="0">
      <pane ySplit="3" topLeftCell="A48" activePane="bottomLeft" state="frozen"/>
      <selection pane="bottomLeft" activeCell="A48" sqref="A48"/>
    </sheetView>
  </sheetViews>
  <sheetFormatPr defaultColWidth="8.85546875" defaultRowHeight="15"/>
  <cols>
    <col min="1" max="3" width="22.85546875" style="2" customWidth="1"/>
    <col min="4" max="4" width="22.140625" style="2" customWidth="1"/>
    <col min="5" max="5" width="18.42578125" style="2" customWidth="1"/>
    <col min="6" max="6" width="56.85546875" style="2" customWidth="1"/>
    <col min="7" max="7" width="22.85546875" style="2" customWidth="1"/>
    <col min="8" max="8" width="14.7109375" style="4" customWidth="1"/>
    <col min="9" max="9" width="11" style="4" customWidth="1"/>
    <col min="10" max="10" width="11.42578125" style="4" customWidth="1"/>
    <col min="11" max="11" width="24.140625" style="2" customWidth="1"/>
    <col min="12" max="12" width="16.85546875" style="2" customWidth="1"/>
    <col min="13" max="13" width="12.42578125" style="2" customWidth="1"/>
    <col min="14" max="15" width="12.28515625" style="2" customWidth="1"/>
    <col min="16" max="16" width="24" style="2" customWidth="1"/>
  </cols>
  <sheetData>
    <row r="1" spans="1:16" ht="17.100000000000001">
      <c r="A1" s="1" t="s">
        <v>0</v>
      </c>
      <c r="B1" s="1" t="s">
        <v>1</v>
      </c>
    </row>
    <row r="2" spans="1:16">
      <c r="A2" s="3">
        <f ca="1">NOW()</f>
        <v>45587.044789004627</v>
      </c>
    </row>
    <row r="3" spans="1:16" ht="51.95">
      <c r="A3" s="6" t="s">
        <v>2</v>
      </c>
      <c r="B3" s="6" t="s">
        <v>3</v>
      </c>
      <c r="C3" s="6" t="s">
        <v>4</v>
      </c>
      <c r="D3" s="6" t="s">
        <v>5</v>
      </c>
      <c r="E3" s="6" t="s">
        <v>6</v>
      </c>
      <c r="F3" s="6" t="s">
        <v>7</v>
      </c>
      <c r="G3" s="6" t="s">
        <v>8</v>
      </c>
      <c r="H3" s="6" t="s">
        <v>9</v>
      </c>
      <c r="I3" s="6" t="s">
        <v>10</v>
      </c>
      <c r="J3" s="6" t="s">
        <v>11</v>
      </c>
      <c r="K3" s="6" t="s">
        <v>12</v>
      </c>
      <c r="L3" s="6" t="s">
        <v>13</v>
      </c>
      <c r="M3" s="6" t="s">
        <v>14</v>
      </c>
      <c r="N3" s="6" t="s">
        <v>15</v>
      </c>
      <c r="O3" s="5" t="s">
        <v>16</v>
      </c>
      <c r="P3" s="6" t="s">
        <v>17</v>
      </c>
    </row>
    <row r="4" spans="1:16" ht="30.95">
      <c r="A4" s="2" t="s">
        <v>18</v>
      </c>
      <c r="B4" s="2" t="s">
        <v>19</v>
      </c>
      <c r="C4" s="2" t="s">
        <v>20</v>
      </c>
      <c r="D4" s="2" t="s">
        <v>21</v>
      </c>
      <c r="E4" s="2" t="s">
        <v>22</v>
      </c>
      <c r="F4" s="2" t="s">
        <v>23</v>
      </c>
      <c r="G4" s="2" t="s">
        <v>24</v>
      </c>
      <c r="H4" s="4" t="s">
        <v>25</v>
      </c>
      <c r="L4" s="2" t="s">
        <v>26</v>
      </c>
      <c r="M4" s="2" t="s">
        <v>27</v>
      </c>
      <c r="N4" s="2" t="s">
        <v>28</v>
      </c>
      <c r="O4" s="2" t="s">
        <v>29</v>
      </c>
    </row>
    <row r="5" spans="1:16" ht="30.95">
      <c r="A5" s="2" t="s">
        <v>18</v>
      </c>
      <c r="B5" s="2" t="s">
        <v>19</v>
      </c>
      <c r="C5" s="2" t="s">
        <v>20</v>
      </c>
      <c r="D5" s="2" t="s">
        <v>21</v>
      </c>
      <c r="E5" s="2" t="s">
        <v>30</v>
      </c>
      <c r="G5" s="2" t="s">
        <v>31</v>
      </c>
      <c r="H5" s="4" t="s">
        <v>25</v>
      </c>
      <c r="L5" s="2" t="s">
        <v>26</v>
      </c>
      <c r="M5" s="2" t="s">
        <v>27</v>
      </c>
      <c r="N5" s="2" t="s">
        <v>32</v>
      </c>
      <c r="O5" s="2" t="s">
        <v>29</v>
      </c>
    </row>
    <row r="6" spans="1:16" ht="15.95">
      <c r="A6" s="2" t="s">
        <v>18</v>
      </c>
      <c r="B6" s="2" t="s">
        <v>19</v>
      </c>
      <c r="C6" s="2" t="s">
        <v>20</v>
      </c>
      <c r="D6" s="2" t="s">
        <v>21</v>
      </c>
      <c r="E6" s="2" t="s">
        <v>33</v>
      </c>
      <c r="G6" s="2" t="s">
        <v>34</v>
      </c>
      <c r="H6" s="4" t="s">
        <v>35</v>
      </c>
      <c r="I6" s="4">
        <v>10</v>
      </c>
      <c r="J6" s="4">
        <v>4</v>
      </c>
      <c r="L6" s="2" t="s">
        <v>26</v>
      </c>
      <c r="M6" s="2" t="s">
        <v>27</v>
      </c>
      <c r="O6" s="2" t="s">
        <v>29</v>
      </c>
    </row>
    <row r="7" spans="1:16" ht="15.95">
      <c r="A7" s="2" t="s">
        <v>18</v>
      </c>
      <c r="B7" s="2" t="s">
        <v>19</v>
      </c>
      <c r="C7" s="2" t="s">
        <v>20</v>
      </c>
      <c r="D7" s="2" t="s">
        <v>21</v>
      </c>
      <c r="E7" s="2" t="s">
        <v>36</v>
      </c>
      <c r="G7" s="2" t="s">
        <v>37</v>
      </c>
      <c r="H7" s="4" t="s">
        <v>35</v>
      </c>
      <c r="I7" s="4">
        <v>10</v>
      </c>
      <c r="J7" s="4">
        <v>4</v>
      </c>
      <c r="L7" s="2" t="s">
        <v>26</v>
      </c>
      <c r="M7" s="2" t="s">
        <v>27</v>
      </c>
      <c r="O7" s="2" t="s">
        <v>29</v>
      </c>
    </row>
    <row r="8" spans="1:16" ht="15.95">
      <c r="A8" s="2" t="s">
        <v>18</v>
      </c>
      <c r="B8" s="2" t="s">
        <v>19</v>
      </c>
      <c r="C8" s="2" t="s">
        <v>20</v>
      </c>
      <c r="D8" s="2" t="s">
        <v>21</v>
      </c>
      <c r="E8" s="2" t="s">
        <v>38</v>
      </c>
      <c r="G8" s="2" t="s">
        <v>39</v>
      </c>
      <c r="H8" s="4" t="s">
        <v>25</v>
      </c>
      <c r="L8" s="2" t="s">
        <v>26</v>
      </c>
      <c r="M8" s="2" t="s">
        <v>27</v>
      </c>
      <c r="N8" s="2" t="s">
        <v>32</v>
      </c>
      <c r="O8" s="2" t="s">
        <v>29</v>
      </c>
    </row>
    <row r="9" spans="1:16" ht="15.95">
      <c r="A9" s="2" t="s">
        <v>18</v>
      </c>
      <c r="B9" s="2" t="s">
        <v>19</v>
      </c>
      <c r="C9" s="2" t="s">
        <v>20</v>
      </c>
      <c r="D9" s="2" t="s">
        <v>21</v>
      </c>
      <c r="E9" s="2" t="s">
        <v>40</v>
      </c>
      <c r="G9" s="2" t="s">
        <v>41</v>
      </c>
      <c r="H9" s="4" t="s">
        <v>42</v>
      </c>
      <c r="L9" s="2" t="s">
        <v>26</v>
      </c>
      <c r="M9" s="2" t="s">
        <v>27</v>
      </c>
      <c r="O9" s="2" t="s">
        <v>29</v>
      </c>
    </row>
    <row r="10" spans="1:16" ht="15.95">
      <c r="A10" s="2" t="s">
        <v>18</v>
      </c>
      <c r="B10" s="2" t="s">
        <v>19</v>
      </c>
      <c r="C10" s="2" t="s">
        <v>20</v>
      </c>
      <c r="D10" s="2" t="s">
        <v>21</v>
      </c>
      <c r="E10" s="2" t="s">
        <v>43</v>
      </c>
      <c r="G10" s="2" t="s">
        <v>44</v>
      </c>
      <c r="H10" s="4" t="s">
        <v>42</v>
      </c>
      <c r="L10" s="2" t="s">
        <v>45</v>
      </c>
      <c r="M10" s="2" t="s">
        <v>46</v>
      </c>
      <c r="O10" s="2" t="s">
        <v>29</v>
      </c>
    </row>
    <row r="11" spans="1:16" ht="30.95">
      <c r="A11" s="2" t="s">
        <v>18</v>
      </c>
      <c r="B11" s="2" t="s">
        <v>19</v>
      </c>
      <c r="C11" s="2" t="s">
        <v>20</v>
      </c>
      <c r="D11" s="2" t="s">
        <v>21</v>
      </c>
      <c r="E11" s="2" t="s">
        <v>47</v>
      </c>
      <c r="G11" s="2" t="s">
        <v>48</v>
      </c>
      <c r="H11" s="4" t="s">
        <v>35</v>
      </c>
      <c r="I11" s="4">
        <v>10</v>
      </c>
      <c r="J11" s="4">
        <v>4</v>
      </c>
      <c r="L11" s="2" t="s">
        <v>26</v>
      </c>
      <c r="M11" s="2" t="s">
        <v>27</v>
      </c>
      <c r="O11" s="2" t="s">
        <v>29</v>
      </c>
    </row>
    <row r="12" spans="1:16" ht="15.95">
      <c r="A12" s="2" t="s">
        <v>18</v>
      </c>
      <c r="B12" s="2" t="s">
        <v>19</v>
      </c>
      <c r="C12" s="2" t="s">
        <v>20</v>
      </c>
      <c r="D12" s="2" t="s">
        <v>21</v>
      </c>
      <c r="E12" s="2" t="s">
        <v>49</v>
      </c>
      <c r="F12" s="2" t="s">
        <v>50</v>
      </c>
      <c r="G12" s="2" t="s">
        <v>51</v>
      </c>
      <c r="H12" s="4" t="s">
        <v>35</v>
      </c>
      <c r="I12" s="4">
        <v>10</v>
      </c>
      <c r="J12" s="4">
        <v>4</v>
      </c>
      <c r="L12" s="2" t="s">
        <v>26</v>
      </c>
      <c r="M12" s="2" t="s">
        <v>27</v>
      </c>
      <c r="O12" s="2" t="s">
        <v>29</v>
      </c>
    </row>
    <row r="13" spans="1:16" ht="30.95">
      <c r="A13" s="2" t="s">
        <v>18</v>
      </c>
      <c r="B13" s="2" t="s">
        <v>19</v>
      </c>
      <c r="C13" s="2" t="s">
        <v>20</v>
      </c>
      <c r="D13" s="2" t="s">
        <v>21</v>
      </c>
      <c r="E13" s="2" t="s">
        <v>52</v>
      </c>
      <c r="G13" s="2" t="s">
        <v>53</v>
      </c>
      <c r="H13" s="4" t="s">
        <v>35</v>
      </c>
      <c r="I13" s="4">
        <v>10</v>
      </c>
      <c r="J13" s="4">
        <v>4</v>
      </c>
      <c r="L13" s="2" t="s">
        <v>26</v>
      </c>
      <c r="M13" s="2" t="s">
        <v>27</v>
      </c>
      <c r="O13" s="2" t="s">
        <v>29</v>
      </c>
    </row>
    <row r="14" spans="1:16" ht="30.95">
      <c r="A14" s="2" t="s">
        <v>18</v>
      </c>
      <c r="B14" s="2" t="s">
        <v>19</v>
      </c>
      <c r="C14" s="2" t="s">
        <v>20</v>
      </c>
      <c r="D14" s="2" t="s">
        <v>21</v>
      </c>
      <c r="E14" s="2" t="s">
        <v>54</v>
      </c>
      <c r="G14" s="2" t="s">
        <v>55</v>
      </c>
      <c r="H14" s="4" t="s">
        <v>35</v>
      </c>
      <c r="I14" s="4">
        <v>10</v>
      </c>
      <c r="J14" s="4">
        <v>4</v>
      </c>
      <c r="L14" s="2" t="s">
        <v>26</v>
      </c>
      <c r="M14" s="2" t="s">
        <v>27</v>
      </c>
      <c r="O14" s="2" t="s">
        <v>29</v>
      </c>
    </row>
    <row r="15" spans="1:16" ht="30.95">
      <c r="A15" s="2" t="s">
        <v>18</v>
      </c>
      <c r="B15" s="2" t="s">
        <v>19</v>
      </c>
      <c r="C15" s="2" t="s">
        <v>56</v>
      </c>
      <c r="D15" s="2" t="s">
        <v>57</v>
      </c>
      <c r="E15" s="2" t="s">
        <v>58</v>
      </c>
      <c r="F15" s="2" t="s">
        <v>59</v>
      </c>
      <c r="G15" s="2" t="s">
        <v>60</v>
      </c>
      <c r="H15" s="4" t="s">
        <v>25</v>
      </c>
      <c r="L15" s="2" t="s">
        <v>26</v>
      </c>
      <c r="M15" s="2" t="s">
        <v>27</v>
      </c>
      <c r="N15" s="2" t="s">
        <v>28</v>
      </c>
      <c r="O15" s="2" t="s">
        <v>29</v>
      </c>
    </row>
    <row r="16" spans="1:16" ht="60.95">
      <c r="A16" s="2" t="s">
        <v>18</v>
      </c>
      <c r="B16" s="2" t="s">
        <v>19</v>
      </c>
      <c r="C16" s="2" t="s">
        <v>56</v>
      </c>
      <c r="D16" s="2" t="s">
        <v>57</v>
      </c>
      <c r="E16" s="2" t="s">
        <v>61</v>
      </c>
      <c r="F16" s="2" t="s">
        <v>62</v>
      </c>
      <c r="G16" s="2" t="s">
        <v>63</v>
      </c>
      <c r="H16" s="4" t="s">
        <v>25</v>
      </c>
      <c r="L16" s="2" t="s">
        <v>26</v>
      </c>
      <c r="M16" s="2" t="s">
        <v>27</v>
      </c>
      <c r="N16" s="2" t="s">
        <v>28</v>
      </c>
      <c r="O16" s="2" t="s">
        <v>29</v>
      </c>
    </row>
    <row r="17" spans="1:15" ht="30.95">
      <c r="A17" s="2" t="s">
        <v>18</v>
      </c>
      <c r="B17" s="2" t="s">
        <v>19</v>
      </c>
      <c r="C17" s="2" t="s">
        <v>56</v>
      </c>
      <c r="D17" s="2" t="s">
        <v>57</v>
      </c>
      <c r="E17" s="2" t="s">
        <v>22</v>
      </c>
      <c r="F17" s="2" t="s">
        <v>23</v>
      </c>
      <c r="G17" s="2" t="s">
        <v>24</v>
      </c>
      <c r="H17" s="4" t="s">
        <v>25</v>
      </c>
      <c r="L17" s="2" t="s">
        <v>26</v>
      </c>
      <c r="M17" s="2" t="s">
        <v>27</v>
      </c>
      <c r="N17" s="2" t="s">
        <v>28</v>
      </c>
      <c r="O17" s="2" t="s">
        <v>29</v>
      </c>
    </row>
    <row r="18" spans="1:15" ht="15.95">
      <c r="A18" s="2" t="s">
        <v>18</v>
      </c>
      <c r="B18" s="2" t="s">
        <v>19</v>
      </c>
      <c r="C18" s="2" t="s">
        <v>56</v>
      </c>
      <c r="D18" s="2" t="s">
        <v>57</v>
      </c>
      <c r="E18" s="2" t="s">
        <v>64</v>
      </c>
      <c r="G18" s="2" t="s">
        <v>65</v>
      </c>
      <c r="H18" s="4" t="s">
        <v>25</v>
      </c>
      <c r="L18" s="2" t="s">
        <v>26</v>
      </c>
      <c r="M18" s="2" t="s">
        <v>27</v>
      </c>
      <c r="N18" s="2" t="s">
        <v>28</v>
      </c>
      <c r="O18" s="2" t="s">
        <v>29</v>
      </c>
    </row>
    <row r="19" spans="1:15" ht="15.95">
      <c r="A19" s="2" t="s">
        <v>18</v>
      </c>
      <c r="B19" s="2" t="s">
        <v>19</v>
      </c>
      <c r="C19" s="2" t="s">
        <v>56</v>
      </c>
      <c r="D19" s="2" t="s">
        <v>57</v>
      </c>
      <c r="E19" s="2" t="s">
        <v>38</v>
      </c>
      <c r="G19" s="2" t="s">
        <v>39</v>
      </c>
      <c r="H19" s="4" t="s">
        <v>25</v>
      </c>
      <c r="L19" s="2" t="s">
        <v>26</v>
      </c>
      <c r="M19" s="2" t="s">
        <v>27</v>
      </c>
      <c r="N19" s="2" t="s">
        <v>66</v>
      </c>
      <c r="O19" s="2" t="s">
        <v>29</v>
      </c>
    </row>
    <row r="20" spans="1:15" ht="15.95">
      <c r="A20" s="2" t="s">
        <v>18</v>
      </c>
      <c r="B20" s="2" t="s">
        <v>19</v>
      </c>
      <c r="C20" s="2" t="s">
        <v>56</v>
      </c>
      <c r="D20" s="2" t="s">
        <v>57</v>
      </c>
      <c r="E20" s="2" t="s">
        <v>67</v>
      </c>
      <c r="G20" s="2" t="s">
        <v>68</v>
      </c>
      <c r="H20" s="4" t="s">
        <v>69</v>
      </c>
      <c r="L20" s="2" t="s">
        <v>45</v>
      </c>
      <c r="M20" s="2" t="s">
        <v>46</v>
      </c>
      <c r="O20" s="2" t="s">
        <v>29</v>
      </c>
    </row>
    <row r="21" spans="1:15" ht="15.95">
      <c r="A21" s="2" t="s">
        <v>18</v>
      </c>
      <c r="B21" s="2" t="s">
        <v>19</v>
      </c>
      <c r="C21" s="2" t="s">
        <v>56</v>
      </c>
      <c r="D21" s="2" t="s">
        <v>57</v>
      </c>
      <c r="E21" s="2" t="s">
        <v>70</v>
      </c>
      <c r="G21" s="2" t="s">
        <v>71</v>
      </c>
      <c r="H21" s="4" t="s">
        <v>69</v>
      </c>
      <c r="L21" s="2" t="s">
        <v>45</v>
      </c>
      <c r="M21" s="2" t="s">
        <v>46</v>
      </c>
      <c r="O21" s="2" t="s">
        <v>29</v>
      </c>
    </row>
    <row r="22" spans="1:15" ht="15.95">
      <c r="A22" s="2" t="s">
        <v>18</v>
      </c>
      <c r="B22" s="2" t="s">
        <v>19</v>
      </c>
      <c r="C22" s="2" t="s">
        <v>56</v>
      </c>
      <c r="D22" s="2" t="s">
        <v>57</v>
      </c>
      <c r="E22" s="2" t="s">
        <v>72</v>
      </c>
      <c r="G22" s="2" t="s">
        <v>73</v>
      </c>
      <c r="H22" s="4" t="s">
        <v>74</v>
      </c>
      <c r="L22" s="2" t="s">
        <v>45</v>
      </c>
      <c r="M22" s="2" t="s">
        <v>46</v>
      </c>
      <c r="O22" s="2" t="s">
        <v>29</v>
      </c>
    </row>
    <row r="23" spans="1:15" ht="15.95">
      <c r="A23" s="2" t="s">
        <v>18</v>
      </c>
      <c r="B23" s="2" t="s">
        <v>19</v>
      </c>
      <c r="C23" s="2" t="s">
        <v>56</v>
      </c>
      <c r="D23" s="2" t="s">
        <v>57</v>
      </c>
      <c r="E23" s="2" t="s">
        <v>40</v>
      </c>
      <c r="G23" s="2" t="s">
        <v>41</v>
      </c>
      <c r="H23" s="4" t="s">
        <v>42</v>
      </c>
      <c r="L23" s="2" t="s">
        <v>26</v>
      </c>
      <c r="M23" s="2" t="s">
        <v>27</v>
      </c>
      <c r="O23" s="2" t="s">
        <v>29</v>
      </c>
    </row>
    <row r="24" spans="1:15" ht="15.95">
      <c r="A24" s="2" t="s">
        <v>18</v>
      </c>
      <c r="B24" s="2" t="s">
        <v>19</v>
      </c>
      <c r="C24" s="2" t="s">
        <v>56</v>
      </c>
      <c r="D24" s="2" t="s">
        <v>57</v>
      </c>
      <c r="E24" s="2" t="s">
        <v>43</v>
      </c>
      <c r="G24" s="2" t="s">
        <v>44</v>
      </c>
      <c r="H24" s="4" t="s">
        <v>42</v>
      </c>
      <c r="L24" s="2" t="s">
        <v>45</v>
      </c>
      <c r="M24" s="2" t="s">
        <v>46</v>
      </c>
      <c r="O24" s="2" t="s">
        <v>29</v>
      </c>
    </row>
    <row r="25" spans="1:15" ht="30.95">
      <c r="A25" s="2" t="s">
        <v>18</v>
      </c>
      <c r="B25" s="2" t="s">
        <v>19</v>
      </c>
      <c r="C25" s="2" t="s">
        <v>56</v>
      </c>
      <c r="D25" s="2" t="s">
        <v>57</v>
      </c>
      <c r="E25" s="2" t="s">
        <v>75</v>
      </c>
      <c r="F25" s="2" t="s">
        <v>76</v>
      </c>
      <c r="G25" s="2" t="s">
        <v>77</v>
      </c>
      <c r="H25" s="4" t="s">
        <v>25</v>
      </c>
      <c r="L25" s="2" t="s">
        <v>26</v>
      </c>
      <c r="M25" s="2" t="s">
        <v>27</v>
      </c>
      <c r="O25" s="2" t="s">
        <v>29</v>
      </c>
    </row>
    <row r="26" spans="1:15" ht="15.95">
      <c r="A26" s="2" t="s">
        <v>18</v>
      </c>
      <c r="B26" s="2" t="s">
        <v>19</v>
      </c>
      <c r="C26" s="2" t="s">
        <v>56</v>
      </c>
      <c r="D26" s="2" t="s">
        <v>57</v>
      </c>
      <c r="E26" s="2" t="s">
        <v>78</v>
      </c>
      <c r="G26" s="2" t="s">
        <v>79</v>
      </c>
      <c r="H26" s="4" t="s">
        <v>80</v>
      </c>
      <c r="I26" s="4">
        <v>10</v>
      </c>
      <c r="J26" s="4">
        <v>4</v>
      </c>
      <c r="L26" s="2" t="s">
        <v>45</v>
      </c>
      <c r="M26" s="2" t="s">
        <v>46</v>
      </c>
      <c r="O26" s="2" t="s">
        <v>29</v>
      </c>
    </row>
    <row r="27" spans="1:15" ht="30.95">
      <c r="A27" s="2" t="s">
        <v>18</v>
      </c>
      <c r="B27" s="2" t="s">
        <v>19</v>
      </c>
      <c r="C27" s="2" t="s">
        <v>81</v>
      </c>
      <c r="D27" s="2" t="s">
        <v>82</v>
      </c>
      <c r="E27" s="2" t="s">
        <v>22</v>
      </c>
      <c r="F27" s="2" t="s">
        <v>23</v>
      </c>
      <c r="G27" s="2" t="s">
        <v>24</v>
      </c>
      <c r="H27" s="4" t="s">
        <v>25</v>
      </c>
      <c r="L27" s="2" t="s">
        <v>26</v>
      </c>
      <c r="M27" s="2" t="s">
        <v>27</v>
      </c>
      <c r="N27" s="2" t="s">
        <v>66</v>
      </c>
      <c r="O27" s="2" t="s">
        <v>29</v>
      </c>
    </row>
    <row r="28" spans="1:15" ht="15.95">
      <c r="A28" s="2" t="s">
        <v>18</v>
      </c>
      <c r="B28" s="2" t="s">
        <v>19</v>
      </c>
      <c r="C28" s="2" t="s">
        <v>81</v>
      </c>
      <c r="D28" s="2" t="s">
        <v>82</v>
      </c>
      <c r="E28" s="2" t="s">
        <v>83</v>
      </c>
      <c r="G28" s="2" t="s">
        <v>84</v>
      </c>
      <c r="H28" s="4" t="s">
        <v>85</v>
      </c>
      <c r="I28" s="4">
        <v>50</v>
      </c>
      <c r="L28" s="2" t="s">
        <v>26</v>
      </c>
      <c r="M28" s="2" t="s">
        <v>27</v>
      </c>
      <c r="O28" s="2" t="s">
        <v>29</v>
      </c>
    </row>
    <row r="29" spans="1:15" ht="15.95">
      <c r="A29" s="2" t="s">
        <v>18</v>
      </c>
      <c r="B29" s="2" t="s">
        <v>19</v>
      </c>
      <c r="C29" s="2" t="s">
        <v>81</v>
      </c>
      <c r="D29" s="2" t="s">
        <v>82</v>
      </c>
      <c r="E29" s="2" t="s">
        <v>40</v>
      </c>
      <c r="G29" s="2" t="s">
        <v>41</v>
      </c>
      <c r="H29" s="4" t="s">
        <v>42</v>
      </c>
      <c r="L29" s="2" t="s">
        <v>26</v>
      </c>
      <c r="M29" s="2" t="s">
        <v>27</v>
      </c>
      <c r="O29" s="2" t="s">
        <v>29</v>
      </c>
    </row>
    <row r="30" spans="1:15" ht="15.95">
      <c r="A30" s="2" t="s">
        <v>18</v>
      </c>
      <c r="B30" s="2" t="s">
        <v>19</v>
      </c>
      <c r="C30" s="2" t="s">
        <v>81</v>
      </c>
      <c r="D30" s="2" t="s">
        <v>82</v>
      </c>
      <c r="E30" s="2" t="s">
        <v>43</v>
      </c>
      <c r="G30" s="2" t="s">
        <v>44</v>
      </c>
      <c r="H30" s="4" t="s">
        <v>42</v>
      </c>
      <c r="L30" s="2" t="s">
        <v>45</v>
      </c>
      <c r="M30" s="2" t="s">
        <v>46</v>
      </c>
      <c r="O30" s="2" t="s">
        <v>29</v>
      </c>
    </row>
    <row r="31" spans="1:15" ht="15.95">
      <c r="A31" s="2" t="s">
        <v>18</v>
      </c>
      <c r="B31" s="2" t="s">
        <v>19</v>
      </c>
      <c r="C31" s="2" t="s">
        <v>86</v>
      </c>
      <c r="D31" s="2" t="s">
        <v>87</v>
      </c>
      <c r="E31" s="2" t="s">
        <v>88</v>
      </c>
      <c r="G31" s="2" t="s">
        <v>89</v>
      </c>
      <c r="H31" s="4" t="s">
        <v>25</v>
      </c>
      <c r="L31" s="2" t="s">
        <v>26</v>
      </c>
      <c r="M31" s="2" t="s">
        <v>27</v>
      </c>
      <c r="N31" s="2" t="s">
        <v>66</v>
      </c>
      <c r="O31" s="2" t="s">
        <v>29</v>
      </c>
    </row>
    <row r="32" spans="1:15" ht="30.95">
      <c r="A32" s="2" t="s">
        <v>18</v>
      </c>
      <c r="B32" s="2" t="s">
        <v>19</v>
      </c>
      <c r="C32" s="2" t="s">
        <v>86</v>
      </c>
      <c r="D32" s="2" t="s">
        <v>87</v>
      </c>
      <c r="E32" s="2" t="s">
        <v>22</v>
      </c>
      <c r="F32" s="2" t="s">
        <v>23</v>
      </c>
      <c r="G32" s="2" t="s">
        <v>24</v>
      </c>
      <c r="H32" s="4" t="s">
        <v>25</v>
      </c>
      <c r="L32" s="2" t="s">
        <v>26</v>
      </c>
      <c r="M32" s="2" t="s">
        <v>27</v>
      </c>
      <c r="N32" s="2" t="s">
        <v>28</v>
      </c>
      <c r="O32" s="2" t="s">
        <v>29</v>
      </c>
    </row>
    <row r="33" spans="1:15" ht="15.95">
      <c r="A33" s="2" t="s">
        <v>18</v>
      </c>
      <c r="B33" s="2" t="s">
        <v>19</v>
      </c>
      <c r="C33" s="2" t="s">
        <v>86</v>
      </c>
      <c r="D33" s="2" t="s">
        <v>87</v>
      </c>
      <c r="E33" s="2" t="s">
        <v>90</v>
      </c>
      <c r="G33" s="2" t="s">
        <v>91</v>
      </c>
      <c r="H33" s="4" t="s">
        <v>85</v>
      </c>
      <c r="I33" s="4">
        <v>100</v>
      </c>
      <c r="L33" s="2" t="s">
        <v>26</v>
      </c>
      <c r="M33" s="2" t="s">
        <v>27</v>
      </c>
      <c r="O33" s="2" t="s">
        <v>29</v>
      </c>
    </row>
    <row r="34" spans="1:15" ht="15.95">
      <c r="A34" s="2" t="s">
        <v>18</v>
      </c>
      <c r="B34" s="2" t="s">
        <v>19</v>
      </c>
      <c r="C34" s="2" t="s">
        <v>86</v>
      </c>
      <c r="D34" s="2" t="s">
        <v>87</v>
      </c>
      <c r="E34" s="2" t="s">
        <v>92</v>
      </c>
      <c r="G34" s="2" t="s">
        <v>93</v>
      </c>
      <c r="H34" s="4" t="s">
        <v>80</v>
      </c>
      <c r="I34" s="4">
        <v>11</v>
      </c>
      <c r="J34" s="4">
        <v>8</v>
      </c>
      <c r="L34" s="2" t="s">
        <v>45</v>
      </c>
      <c r="M34" s="2" t="s">
        <v>46</v>
      </c>
      <c r="O34" s="2" t="s">
        <v>29</v>
      </c>
    </row>
    <row r="35" spans="1:15" ht="15.95">
      <c r="A35" s="2" t="s">
        <v>18</v>
      </c>
      <c r="B35" s="2" t="s">
        <v>19</v>
      </c>
      <c r="C35" s="2" t="s">
        <v>86</v>
      </c>
      <c r="D35" s="2" t="s">
        <v>87</v>
      </c>
      <c r="E35" s="2" t="s">
        <v>94</v>
      </c>
      <c r="G35" s="2" t="s">
        <v>95</v>
      </c>
      <c r="H35" s="4" t="s">
        <v>80</v>
      </c>
      <c r="I35" s="4">
        <v>11</v>
      </c>
      <c r="J35" s="4">
        <v>8</v>
      </c>
      <c r="L35" s="2" t="s">
        <v>45</v>
      </c>
      <c r="M35" s="2" t="s">
        <v>46</v>
      </c>
      <c r="O35" s="2" t="s">
        <v>29</v>
      </c>
    </row>
    <row r="36" spans="1:15" ht="15.95">
      <c r="A36" s="2" t="s">
        <v>18</v>
      </c>
      <c r="B36" s="2" t="s">
        <v>19</v>
      </c>
      <c r="C36" s="2" t="s">
        <v>86</v>
      </c>
      <c r="D36" s="2" t="s">
        <v>87</v>
      </c>
      <c r="E36" s="2" t="s">
        <v>40</v>
      </c>
      <c r="G36" s="2" t="s">
        <v>41</v>
      </c>
      <c r="H36" s="4" t="s">
        <v>42</v>
      </c>
      <c r="L36" s="2" t="s">
        <v>26</v>
      </c>
      <c r="M36" s="2" t="s">
        <v>27</v>
      </c>
      <c r="O36" s="2" t="s">
        <v>29</v>
      </c>
    </row>
    <row r="37" spans="1:15" ht="15.95">
      <c r="A37" s="2" t="s">
        <v>18</v>
      </c>
      <c r="B37" s="2" t="s">
        <v>19</v>
      </c>
      <c r="C37" s="2" t="s">
        <v>86</v>
      </c>
      <c r="D37" s="2" t="s">
        <v>87</v>
      </c>
      <c r="E37" s="2" t="s">
        <v>43</v>
      </c>
      <c r="G37" s="2" t="s">
        <v>44</v>
      </c>
      <c r="H37" s="4" t="s">
        <v>42</v>
      </c>
      <c r="L37" s="2" t="s">
        <v>45</v>
      </c>
      <c r="M37" s="2" t="s">
        <v>46</v>
      </c>
      <c r="O37" s="2" t="s">
        <v>29</v>
      </c>
    </row>
    <row r="38" spans="1:15" ht="15.95">
      <c r="A38" s="2" t="s">
        <v>18</v>
      </c>
      <c r="B38" s="2" t="s">
        <v>19</v>
      </c>
      <c r="C38" s="2" t="s">
        <v>96</v>
      </c>
      <c r="D38" s="2" t="s">
        <v>97</v>
      </c>
      <c r="E38" s="2" t="s">
        <v>88</v>
      </c>
      <c r="G38" s="2" t="s">
        <v>89</v>
      </c>
      <c r="H38" s="4" t="s">
        <v>25</v>
      </c>
      <c r="L38" s="2" t="s">
        <v>26</v>
      </c>
      <c r="M38" s="2" t="s">
        <v>27</v>
      </c>
      <c r="N38" s="2" t="s">
        <v>28</v>
      </c>
      <c r="O38" s="2" t="s">
        <v>29</v>
      </c>
    </row>
    <row r="39" spans="1:15" ht="30.95">
      <c r="A39" s="2" t="s">
        <v>18</v>
      </c>
      <c r="B39" s="2" t="s">
        <v>19</v>
      </c>
      <c r="C39" s="2" t="s">
        <v>96</v>
      </c>
      <c r="D39" s="2" t="s">
        <v>97</v>
      </c>
      <c r="E39" s="2" t="s">
        <v>58</v>
      </c>
      <c r="F39" s="2" t="s">
        <v>59</v>
      </c>
      <c r="G39" s="2" t="s">
        <v>60</v>
      </c>
      <c r="H39" s="4" t="s">
        <v>25</v>
      </c>
      <c r="L39" s="2" t="s">
        <v>45</v>
      </c>
      <c r="M39" s="2" t="s">
        <v>46</v>
      </c>
      <c r="N39" s="2" t="s">
        <v>28</v>
      </c>
      <c r="O39" s="2" t="s">
        <v>29</v>
      </c>
    </row>
    <row r="40" spans="1:15" ht="60.95">
      <c r="A40" s="2" t="s">
        <v>18</v>
      </c>
      <c r="B40" s="2" t="s">
        <v>19</v>
      </c>
      <c r="C40" s="2" t="s">
        <v>96</v>
      </c>
      <c r="D40" s="2" t="s">
        <v>97</v>
      </c>
      <c r="E40" s="2" t="s">
        <v>61</v>
      </c>
      <c r="F40" s="2" t="s">
        <v>62</v>
      </c>
      <c r="G40" s="2" t="s">
        <v>63</v>
      </c>
      <c r="H40" s="4" t="s">
        <v>25</v>
      </c>
      <c r="L40" s="2" t="s">
        <v>26</v>
      </c>
      <c r="M40" s="2" t="s">
        <v>27</v>
      </c>
      <c r="N40" s="2" t="s">
        <v>66</v>
      </c>
      <c r="O40" s="2" t="s">
        <v>29</v>
      </c>
    </row>
    <row r="41" spans="1:15" ht="30.95">
      <c r="A41" s="2" t="s">
        <v>18</v>
      </c>
      <c r="B41" s="2" t="s">
        <v>19</v>
      </c>
      <c r="C41" s="2" t="s">
        <v>96</v>
      </c>
      <c r="D41" s="2" t="s">
        <v>97</v>
      </c>
      <c r="E41" s="2" t="s">
        <v>98</v>
      </c>
      <c r="F41" s="2" t="s">
        <v>99</v>
      </c>
      <c r="G41" s="2" t="s">
        <v>100</v>
      </c>
      <c r="H41" s="4" t="s">
        <v>25</v>
      </c>
      <c r="L41" s="2" t="s">
        <v>45</v>
      </c>
      <c r="M41" s="2" t="s">
        <v>46</v>
      </c>
      <c r="N41" s="2" t="s">
        <v>28</v>
      </c>
      <c r="O41" s="2" t="s">
        <v>29</v>
      </c>
    </row>
    <row r="42" spans="1:15" ht="30.95">
      <c r="A42" s="2" t="s">
        <v>18</v>
      </c>
      <c r="B42" s="2" t="s">
        <v>19</v>
      </c>
      <c r="C42" s="2" t="s">
        <v>96</v>
      </c>
      <c r="D42" s="2" t="s">
        <v>97</v>
      </c>
      <c r="E42" s="2" t="s">
        <v>22</v>
      </c>
      <c r="F42" s="2" t="s">
        <v>23</v>
      </c>
      <c r="G42" s="2" t="s">
        <v>24</v>
      </c>
      <c r="H42" s="4" t="s">
        <v>25</v>
      </c>
      <c r="L42" s="2" t="s">
        <v>26</v>
      </c>
      <c r="M42" s="2" t="s">
        <v>27</v>
      </c>
      <c r="N42" s="2" t="s">
        <v>28</v>
      </c>
      <c r="O42" s="2" t="s">
        <v>29</v>
      </c>
    </row>
    <row r="43" spans="1:15" ht="15.95">
      <c r="A43" s="2" t="s">
        <v>18</v>
      </c>
      <c r="B43" s="2" t="s">
        <v>19</v>
      </c>
      <c r="C43" s="2" t="s">
        <v>96</v>
      </c>
      <c r="D43" s="2" t="s">
        <v>97</v>
      </c>
      <c r="E43" s="2" t="s">
        <v>101</v>
      </c>
      <c r="G43" s="2" t="s">
        <v>102</v>
      </c>
      <c r="H43" s="4" t="s">
        <v>85</v>
      </c>
      <c r="I43" s="4">
        <v>50</v>
      </c>
      <c r="L43" s="2" t="s">
        <v>45</v>
      </c>
      <c r="M43" s="2" t="s">
        <v>46</v>
      </c>
      <c r="O43" s="2" t="s">
        <v>29</v>
      </c>
    </row>
    <row r="44" spans="1:15" ht="45.95">
      <c r="A44" s="2" t="s">
        <v>18</v>
      </c>
      <c r="B44" s="2" t="s">
        <v>19</v>
      </c>
      <c r="C44" s="2" t="s">
        <v>96</v>
      </c>
      <c r="D44" s="2" t="s">
        <v>97</v>
      </c>
      <c r="E44" s="2" t="s">
        <v>103</v>
      </c>
      <c r="F44" s="2" t="s">
        <v>104</v>
      </c>
      <c r="G44" s="2" t="s">
        <v>105</v>
      </c>
      <c r="H44" s="4" t="s">
        <v>85</v>
      </c>
      <c r="I44" s="4">
        <v>100</v>
      </c>
      <c r="L44" s="2" t="s">
        <v>45</v>
      </c>
      <c r="M44" s="2" t="s">
        <v>46</v>
      </c>
      <c r="O44" s="2" t="s">
        <v>29</v>
      </c>
    </row>
    <row r="45" spans="1:15" ht="30.95">
      <c r="A45" s="2" t="s">
        <v>18</v>
      </c>
      <c r="B45" s="2" t="s">
        <v>19</v>
      </c>
      <c r="C45" s="2" t="s">
        <v>96</v>
      </c>
      <c r="D45" s="2" t="s">
        <v>97</v>
      </c>
      <c r="E45" s="2" t="s">
        <v>106</v>
      </c>
      <c r="G45" s="2" t="s">
        <v>107</v>
      </c>
      <c r="H45" s="4" t="s">
        <v>85</v>
      </c>
      <c r="I45" s="4">
        <v>10</v>
      </c>
      <c r="L45" s="2" t="s">
        <v>45</v>
      </c>
      <c r="M45" s="2" t="s">
        <v>46</v>
      </c>
      <c r="O45" s="2" t="s">
        <v>29</v>
      </c>
    </row>
    <row r="46" spans="1:15" ht="30.95">
      <c r="A46" s="2" t="s">
        <v>18</v>
      </c>
      <c r="B46" s="2" t="s">
        <v>19</v>
      </c>
      <c r="C46" s="2" t="s">
        <v>96</v>
      </c>
      <c r="D46" s="2" t="s">
        <v>97</v>
      </c>
      <c r="E46" s="2" t="s">
        <v>108</v>
      </c>
      <c r="G46" s="2" t="s">
        <v>109</v>
      </c>
      <c r="H46" s="4" t="s">
        <v>85</v>
      </c>
      <c r="I46" s="4">
        <v>50</v>
      </c>
      <c r="L46" s="2" t="s">
        <v>45</v>
      </c>
      <c r="M46" s="2" t="s">
        <v>46</v>
      </c>
      <c r="O46" s="2" t="s">
        <v>29</v>
      </c>
    </row>
    <row r="47" spans="1:15" ht="30.95">
      <c r="A47" s="2" t="s">
        <v>18</v>
      </c>
      <c r="B47" s="2" t="s">
        <v>19</v>
      </c>
      <c r="C47" s="2" t="s">
        <v>96</v>
      </c>
      <c r="D47" s="2" t="s">
        <v>97</v>
      </c>
      <c r="E47" s="2" t="s">
        <v>110</v>
      </c>
      <c r="F47" s="2" t="s">
        <v>111</v>
      </c>
      <c r="G47" s="2" t="s">
        <v>112</v>
      </c>
      <c r="H47" s="4" t="s">
        <v>80</v>
      </c>
      <c r="I47" s="4">
        <v>12</v>
      </c>
      <c r="J47" s="4">
        <v>4</v>
      </c>
      <c r="L47" s="2" t="s">
        <v>45</v>
      </c>
      <c r="M47" s="2" t="s">
        <v>46</v>
      </c>
      <c r="O47" s="2" t="s">
        <v>29</v>
      </c>
    </row>
    <row r="48" spans="1:15" ht="30.95">
      <c r="A48" s="2" t="s">
        <v>18</v>
      </c>
      <c r="B48" s="2" t="s">
        <v>19</v>
      </c>
      <c r="C48" s="2" t="s">
        <v>96</v>
      </c>
      <c r="D48" s="2" t="s">
        <v>97</v>
      </c>
      <c r="E48" s="2" t="s">
        <v>113</v>
      </c>
      <c r="F48" s="2" t="s">
        <v>114</v>
      </c>
      <c r="G48" s="2" t="s">
        <v>115</v>
      </c>
      <c r="H48" s="4" t="s">
        <v>80</v>
      </c>
      <c r="I48" s="4">
        <v>12</v>
      </c>
      <c r="J48" s="4">
        <v>4</v>
      </c>
      <c r="L48" s="2" t="s">
        <v>45</v>
      </c>
      <c r="M48" s="2" t="s">
        <v>46</v>
      </c>
      <c r="O48" s="2" t="s">
        <v>29</v>
      </c>
    </row>
    <row r="49" spans="1:15" ht="30.95">
      <c r="A49" s="2" t="s">
        <v>18</v>
      </c>
      <c r="B49" s="2" t="s">
        <v>19</v>
      </c>
      <c r="C49" s="2" t="s">
        <v>96</v>
      </c>
      <c r="D49" s="2" t="s">
        <v>97</v>
      </c>
      <c r="E49" s="2" t="s">
        <v>116</v>
      </c>
      <c r="F49" s="2" t="s">
        <v>117</v>
      </c>
      <c r="G49" s="2" t="s">
        <v>118</v>
      </c>
      <c r="H49" s="4" t="s">
        <v>80</v>
      </c>
      <c r="I49" s="4">
        <v>12</v>
      </c>
      <c r="J49" s="4">
        <v>4</v>
      </c>
      <c r="L49" s="2" t="s">
        <v>45</v>
      </c>
      <c r="M49" s="2" t="s">
        <v>46</v>
      </c>
      <c r="O49" s="2" t="s">
        <v>29</v>
      </c>
    </row>
    <row r="50" spans="1:15" ht="30.95">
      <c r="A50" s="2" t="s">
        <v>18</v>
      </c>
      <c r="B50" s="2" t="s">
        <v>19</v>
      </c>
      <c r="C50" s="2" t="s">
        <v>96</v>
      </c>
      <c r="D50" s="2" t="s">
        <v>97</v>
      </c>
      <c r="E50" s="2" t="s">
        <v>119</v>
      </c>
      <c r="G50" s="2" t="s">
        <v>120</v>
      </c>
      <c r="H50" s="4" t="s">
        <v>80</v>
      </c>
      <c r="I50" s="4">
        <v>12</v>
      </c>
      <c r="J50" s="4">
        <v>4</v>
      </c>
      <c r="L50" s="2" t="s">
        <v>45</v>
      </c>
      <c r="M50" s="2" t="s">
        <v>46</v>
      </c>
      <c r="O50" s="2" t="s">
        <v>29</v>
      </c>
    </row>
    <row r="51" spans="1:15" ht="30.95">
      <c r="A51" s="2" t="s">
        <v>18</v>
      </c>
      <c r="B51" s="2" t="s">
        <v>19</v>
      </c>
      <c r="C51" s="2" t="s">
        <v>96</v>
      </c>
      <c r="D51" s="2" t="s">
        <v>97</v>
      </c>
      <c r="E51" s="2" t="s">
        <v>121</v>
      </c>
      <c r="F51" s="2" t="s">
        <v>122</v>
      </c>
      <c r="G51" s="2" t="s">
        <v>123</v>
      </c>
      <c r="H51" s="4" t="s">
        <v>80</v>
      </c>
      <c r="I51" s="4">
        <v>12</v>
      </c>
      <c r="J51" s="4">
        <v>4</v>
      </c>
      <c r="L51" s="2" t="s">
        <v>45</v>
      </c>
      <c r="M51" s="2" t="s">
        <v>46</v>
      </c>
      <c r="O51" s="2" t="s">
        <v>29</v>
      </c>
    </row>
    <row r="52" spans="1:15" ht="30.95">
      <c r="A52" s="2" t="s">
        <v>18</v>
      </c>
      <c r="B52" s="2" t="s">
        <v>19</v>
      </c>
      <c r="C52" s="2" t="s">
        <v>96</v>
      </c>
      <c r="D52" s="2" t="s">
        <v>97</v>
      </c>
      <c r="E52" s="2" t="s">
        <v>124</v>
      </c>
      <c r="G52" s="2" t="s">
        <v>125</v>
      </c>
      <c r="H52" s="4" t="s">
        <v>80</v>
      </c>
      <c r="I52" s="4">
        <v>12</v>
      </c>
      <c r="J52" s="4">
        <v>4</v>
      </c>
      <c r="L52" s="2" t="s">
        <v>45</v>
      </c>
      <c r="M52" s="2" t="s">
        <v>46</v>
      </c>
      <c r="O52" s="2" t="s">
        <v>29</v>
      </c>
    </row>
    <row r="53" spans="1:15" ht="30.95">
      <c r="A53" s="2" t="s">
        <v>18</v>
      </c>
      <c r="B53" s="2" t="s">
        <v>19</v>
      </c>
      <c r="C53" s="2" t="s">
        <v>96</v>
      </c>
      <c r="D53" s="2" t="s">
        <v>97</v>
      </c>
      <c r="E53" s="2" t="s">
        <v>126</v>
      </c>
      <c r="G53" s="2" t="s">
        <v>127</v>
      </c>
      <c r="H53" s="4" t="s">
        <v>80</v>
      </c>
      <c r="I53" s="4">
        <v>12</v>
      </c>
      <c r="J53" s="4">
        <v>4</v>
      </c>
      <c r="L53" s="2" t="s">
        <v>26</v>
      </c>
      <c r="M53" s="2" t="s">
        <v>27</v>
      </c>
      <c r="O53" s="2" t="s">
        <v>29</v>
      </c>
    </row>
    <row r="54" spans="1:15" ht="15.95">
      <c r="A54" s="2" t="s">
        <v>18</v>
      </c>
      <c r="B54" s="2" t="s">
        <v>19</v>
      </c>
      <c r="C54" s="2" t="s">
        <v>96</v>
      </c>
      <c r="D54" s="2" t="s">
        <v>97</v>
      </c>
      <c r="E54" s="2" t="s">
        <v>128</v>
      </c>
      <c r="G54" s="2" t="s">
        <v>129</v>
      </c>
      <c r="H54" s="4" t="s">
        <v>130</v>
      </c>
      <c r="L54" s="2" t="s">
        <v>45</v>
      </c>
      <c r="M54" s="2" t="s">
        <v>46</v>
      </c>
      <c r="O54" s="2" t="s">
        <v>29</v>
      </c>
    </row>
    <row r="55" spans="1:15" ht="15.95">
      <c r="A55" s="2" t="s">
        <v>18</v>
      </c>
      <c r="B55" s="2" t="s">
        <v>19</v>
      </c>
      <c r="C55" s="2" t="s">
        <v>96</v>
      </c>
      <c r="D55" s="2" t="s">
        <v>97</v>
      </c>
      <c r="E55" s="2" t="s">
        <v>131</v>
      </c>
      <c r="G55" s="2" t="s">
        <v>132</v>
      </c>
      <c r="H55" s="4" t="s">
        <v>130</v>
      </c>
      <c r="L55" s="2" t="s">
        <v>45</v>
      </c>
      <c r="M55" s="2" t="s">
        <v>46</v>
      </c>
      <c r="O55" s="2" t="s">
        <v>29</v>
      </c>
    </row>
    <row r="56" spans="1:15" ht="30.95">
      <c r="A56" s="2" t="s">
        <v>18</v>
      </c>
      <c r="B56" s="2" t="s">
        <v>19</v>
      </c>
      <c r="C56" s="2" t="s">
        <v>96</v>
      </c>
      <c r="D56" s="2" t="s">
        <v>97</v>
      </c>
      <c r="E56" s="2" t="s">
        <v>133</v>
      </c>
      <c r="G56" s="2" t="s">
        <v>134</v>
      </c>
      <c r="H56" s="4" t="s">
        <v>80</v>
      </c>
      <c r="I56" s="4">
        <v>12</v>
      </c>
      <c r="J56" s="4">
        <v>4</v>
      </c>
      <c r="L56" s="2" t="s">
        <v>45</v>
      </c>
      <c r="M56" s="2" t="s">
        <v>46</v>
      </c>
      <c r="O56" s="2" t="s">
        <v>29</v>
      </c>
    </row>
    <row r="57" spans="1:15" ht="15.95">
      <c r="A57" s="2" t="s">
        <v>18</v>
      </c>
      <c r="B57" s="2" t="s">
        <v>19</v>
      </c>
      <c r="C57" s="2" t="s">
        <v>96</v>
      </c>
      <c r="D57" s="2" t="s">
        <v>97</v>
      </c>
      <c r="E57" s="2" t="s">
        <v>135</v>
      </c>
      <c r="G57" s="2" t="s">
        <v>136</v>
      </c>
      <c r="H57" s="4" t="s">
        <v>80</v>
      </c>
      <c r="I57" s="4">
        <v>18</v>
      </c>
      <c r="J57" s="4">
        <v>4</v>
      </c>
      <c r="L57" s="2" t="s">
        <v>45</v>
      </c>
      <c r="M57" s="2" t="s">
        <v>46</v>
      </c>
      <c r="O57" s="2" t="s">
        <v>29</v>
      </c>
    </row>
    <row r="58" spans="1:15" ht="90.95">
      <c r="A58" s="2" t="s">
        <v>18</v>
      </c>
      <c r="B58" s="2" t="s">
        <v>19</v>
      </c>
      <c r="C58" s="2" t="s">
        <v>96</v>
      </c>
      <c r="D58" s="2" t="s">
        <v>97</v>
      </c>
      <c r="E58" s="2" t="s">
        <v>137</v>
      </c>
      <c r="F58" s="2" t="s">
        <v>138</v>
      </c>
      <c r="G58" s="2" t="s">
        <v>139</v>
      </c>
      <c r="H58" s="4" t="s">
        <v>69</v>
      </c>
      <c r="L58" s="2" t="s">
        <v>45</v>
      </c>
      <c r="M58" s="2" t="s">
        <v>46</v>
      </c>
      <c r="O58" s="2" t="s">
        <v>29</v>
      </c>
    </row>
    <row r="59" spans="1:15" ht="165.95">
      <c r="A59" s="2" t="s">
        <v>18</v>
      </c>
      <c r="B59" s="2" t="s">
        <v>19</v>
      </c>
      <c r="C59" s="2" t="s">
        <v>96</v>
      </c>
      <c r="D59" s="2" t="s">
        <v>97</v>
      </c>
      <c r="E59" s="2" t="s">
        <v>140</v>
      </c>
      <c r="F59" s="2" t="s">
        <v>141</v>
      </c>
      <c r="G59" s="2" t="s">
        <v>142</v>
      </c>
      <c r="H59" s="4" t="s">
        <v>69</v>
      </c>
      <c r="L59" s="2" t="s">
        <v>45</v>
      </c>
      <c r="M59" s="2" t="s">
        <v>46</v>
      </c>
      <c r="O59" s="2" t="s">
        <v>29</v>
      </c>
    </row>
    <row r="60" spans="1:15" ht="90.95">
      <c r="A60" s="2" t="s">
        <v>18</v>
      </c>
      <c r="B60" s="2" t="s">
        <v>19</v>
      </c>
      <c r="C60" s="2" t="s">
        <v>96</v>
      </c>
      <c r="D60" s="2" t="s">
        <v>97</v>
      </c>
      <c r="E60" s="2" t="s">
        <v>143</v>
      </c>
      <c r="F60" s="2" t="s">
        <v>144</v>
      </c>
      <c r="G60" s="2" t="s">
        <v>145</v>
      </c>
      <c r="H60" s="4" t="s">
        <v>69</v>
      </c>
      <c r="L60" s="2" t="s">
        <v>45</v>
      </c>
      <c r="M60" s="2" t="s">
        <v>46</v>
      </c>
      <c r="O60" s="2" t="s">
        <v>29</v>
      </c>
    </row>
    <row r="61" spans="1:15" ht="90.95">
      <c r="A61" s="2" t="s">
        <v>18</v>
      </c>
      <c r="B61" s="2" t="s">
        <v>19</v>
      </c>
      <c r="C61" s="2" t="s">
        <v>96</v>
      </c>
      <c r="D61" s="2" t="s">
        <v>97</v>
      </c>
      <c r="E61" s="2" t="s">
        <v>146</v>
      </c>
      <c r="F61" s="2" t="s">
        <v>147</v>
      </c>
      <c r="G61" s="2" t="s">
        <v>148</v>
      </c>
      <c r="H61" s="4" t="s">
        <v>69</v>
      </c>
      <c r="L61" s="2" t="s">
        <v>45</v>
      </c>
      <c r="M61" s="2" t="s">
        <v>46</v>
      </c>
      <c r="O61" s="2" t="s">
        <v>29</v>
      </c>
    </row>
    <row r="62" spans="1:15" ht="90.95">
      <c r="A62" s="2" t="s">
        <v>18</v>
      </c>
      <c r="B62" s="2" t="s">
        <v>19</v>
      </c>
      <c r="C62" s="2" t="s">
        <v>96</v>
      </c>
      <c r="D62" s="2" t="s">
        <v>97</v>
      </c>
      <c r="E62" s="2" t="s">
        <v>149</v>
      </c>
      <c r="F62" s="2" t="s">
        <v>150</v>
      </c>
      <c r="G62" s="2" t="s">
        <v>151</v>
      </c>
      <c r="H62" s="4" t="s">
        <v>69</v>
      </c>
      <c r="L62" s="2" t="s">
        <v>45</v>
      </c>
      <c r="M62" s="2" t="s">
        <v>46</v>
      </c>
      <c r="O62" s="2" t="s">
        <v>29</v>
      </c>
    </row>
    <row r="63" spans="1:15" ht="30.95">
      <c r="A63" s="2" t="s">
        <v>18</v>
      </c>
      <c r="B63" s="2" t="s">
        <v>19</v>
      </c>
      <c r="C63" s="2" t="s">
        <v>96</v>
      </c>
      <c r="D63" s="2" t="s">
        <v>97</v>
      </c>
      <c r="E63" s="2" t="s">
        <v>152</v>
      </c>
      <c r="G63" s="2" t="s">
        <v>153</v>
      </c>
      <c r="H63" s="4" t="s">
        <v>69</v>
      </c>
      <c r="L63" s="2" t="s">
        <v>45</v>
      </c>
      <c r="M63" s="2" t="s">
        <v>46</v>
      </c>
      <c r="O63" s="2" t="s">
        <v>29</v>
      </c>
    </row>
    <row r="64" spans="1:15" ht="30.95">
      <c r="A64" s="2" t="s">
        <v>18</v>
      </c>
      <c r="B64" s="2" t="s">
        <v>19</v>
      </c>
      <c r="C64" s="2" t="s">
        <v>96</v>
      </c>
      <c r="D64" s="2" t="s">
        <v>97</v>
      </c>
      <c r="E64" s="2" t="s">
        <v>154</v>
      </c>
      <c r="G64" s="2" t="s">
        <v>155</v>
      </c>
      <c r="H64" s="4" t="s">
        <v>69</v>
      </c>
      <c r="L64" s="2" t="s">
        <v>45</v>
      </c>
      <c r="M64" s="2" t="s">
        <v>46</v>
      </c>
      <c r="O64" s="2" t="s">
        <v>29</v>
      </c>
    </row>
    <row r="65" spans="1:15" ht="30.95">
      <c r="A65" s="2" t="s">
        <v>18</v>
      </c>
      <c r="B65" s="2" t="s">
        <v>19</v>
      </c>
      <c r="C65" s="2" t="s">
        <v>96</v>
      </c>
      <c r="D65" s="2" t="s">
        <v>97</v>
      </c>
      <c r="E65" s="2" t="s">
        <v>156</v>
      </c>
      <c r="G65" s="2" t="s">
        <v>157</v>
      </c>
      <c r="H65" s="4" t="s">
        <v>69</v>
      </c>
      <c r="L65" s="2" t="s">
        <v>45</v>
      </c>
      <c r="M65" s="2" t="s">
        <v>46</v>
      </c>
      <c r="O65" s="2" t="s">
        <v>29</v>
      </c>
    </row>
    <row r="66" spans="1:15" ht="30.95">
      <c r="A66" s="2" t="s">
        <v>18</v>
      </c>
      <c r="B66" s="2" t="s">
        <v>19</v>
      </c>
      <c r="C66" s="2" t="s">
        <v>96</v>
      </c>
      <c r="D66" s="2" t="s">
        <v>97</v>
      </c>
      <c r="E66" s="2" t="s">
        <v>158</v>
      </c>
      <c r="G66" s="2" t="s">
        <v>159</v>
      </c>
      <c r="H66" s="4" t="s">
        <v>69</v>
      </c>
      <c r="L66" s="2" t="s">
        <v>45</v>
      </c>
      <c r="M66" s="2" t="s">
        <v>46</v>
      </c>
      <c r="O66" s="2" t="s">
        <v>29</v>
      </c>
    </row>
    <row r="67" spans="1:15" ht="30.95">
      <c r="A67" s="2" t="s">
        <v>18</v>
      </c>
      <c r="B67" s="2" t="s">
        <v>19</v>
      </c>
      <c r="C67" s="2" t="s">
        <v>96</v>
      </c>
      <c r="D67" s="2" t="s">
        <v>97</v>
      </c>
      <c r="E67" s="2" t="s">
        <v>160</v>
      </c>
      <c r="F67" s="2" t="s">
        <v>161</v>
      </c>
      <c r="G67" s="2" t="s">
        <v>162</v>
      </c>
      <c r="H67" s="4" t="s">
        <v>80</v>
      </c>
      <c r="I67" s="4">
        <v>12</v>
      </c>
      <c r="J67" s="4">
        <v>4</v>
      </c>
      <c r="L67" s="2" t="s">
        <v>45</v>
      </c>
      <c r="M67" s="2" t="s">
        <v>46</v>
      </c>
      <c r="O67" s="2" t="s">
        <v>29</v>
      </c>
    </row>
    <row r="68" spans="1:15" ht="75.95">
      <c r="A68" s="2" t="s">
        <v>18</v>
      </c>
      <c r="B68" s="2" t="s">
        <v>19</v>
      </c>
      <c r="C68" s="2" t="s">
        <v>96</v>
      </c>
      <c r="D68" s="2" t="s">
        <v>97</v>
      </c>
      <c r="E68" s="2" t="s">
        <v>163</v>
      </c>
      <c r="F68" s="2" t="s">
        <v>164</v>
      </c>
      <c r="G68" s="2" t="s">
        <v>165</v>
      </c>
      <c r="H68" s="4" t="s">
        <v>69</v>
      </c>
      <c r="L68" s="2" t="s">
        <v>45</v>
      </c>
      <c r="M68" s="2" t="s">
        <v>46</v>
      </c>
      <c r="O68" s="2" t="s">
        <v>29</v>
      </c>
    </row>
    <row r="69" spans="1:15" ht="30.95">
      <c r="A69" s="2" t="s">
        <v>18</v>
      </c>
      <c r="B69" s="2" t="s">
        <v>19</v>
      </c>
      <c r="C69" s="2" t="s">
        <v>96</v>
      </c>
      <c r="D69" s="2" t="s">
        <v>97</v>
      </c>
      <c r="E69" s="2" t="s">
        <v>166</v>
      </c>
      <c r="F69" s="2" t="s">
        <v>167</v>
      </c>
      <c r="G69" s="2" t="s">
        <v>168</v>
      </c>
      <c r="H69" s="4" t="s">
        <v>80</v>
      </c>
      <c r="I69" s="4">
        <v>12</v>
      </c>
      <c r="J69" s="4">
        <v>4</v>
      </c>
      <c r="L69" s="2" t="s">
        <v>45</v>
      </c>
      <c r="M69" s="2" t="s">
        <v>46</v>
      </c>
      <c r="O69" s="2" t="s">
        <v>29</v>
      </c>
    </row>
    <row r="70" spans="1:15" ht="75.95">
      <c r="A70" s="2" t="s">
        <v>18</v>
      </c>
      <c r="B70" s="2" t="s">
        <v>19</v>
      </c>
      <c r="C70" s="2" t="s">
        <v>96</v>
      </c>
      <c r="D70" s="2" t="s">
        <v>97</v>
      </c>
      <c r="E70" s="2" t="s">
        <v>169</v>
      </c>
      <c r="F70" s="2" t="s">
        <v>170</v>
      </c>
      <c r="G70" s="2" t="s">
        <v>171</v>
      </c>
      <c r="H70" s="4" t="s">
        <v>80</v>
      </c>
      <c r="I70" s="4">
        <v>12</v>
      </c>
      <c r="J70" s="4">
        <v>4</v>
      </c>
      <c r="K70" s="2" t="s">
        <v>172</v>
      </c>
      <c r="L70" s="2" t="s">
        <v>45</v>
      </c>
      <c r="M70" s="2" t="s">
        <v>46</v>
      </c>
      <c r="O70" s="2" t="s">
        <v>29</v>
      </c>
    </row>
    <row r="71" spans="1:15" ht="60.95">
      <c r="A71" s="2" t="s">
        <v>18</v>
      </c>
      <c r="B71" s="2" t="s">
        <v>19</v>
      </c>
      <c r="C71" s="2" t="s">
        <v>96</v>
      </c>
      <c r="D71" s="2" t="s">
        <v>97</v>
      </c>
      <c r="E71" s="2" t="s">
        <v>173</v>
      </c>
      <c r="F71" s="2" t="s">
        <v>174</v>
      </c>
      <c r="G71" s="2" t="s">
        <v>175</v>
      </c>
      <c r="H71" s="4" t="s">
        <v>80</v>
      </c>
      <c r="I71" s="4">
        <v>12</v>
      </c>
      <c r="J71" s="4">
        <v>4</v>
      </c>
      <c r="L71" s="2" t="s">
        <v>45</v>
      </c>
      <c r="M71" s="2" t="s">
        <v>46</v>
      </c>
      <c r="O71" s="2" t="s">
        <v>29</v>
      </c>
    </row>
    <row r="72" spans="1:15" ht="30.95">
      <c r="A72" s="2" t="s">
        <v>18</v>
      </c>
      <c r="B72" s="2" t="s">
        <v>19</v>
      </c>
      <c r="C72" s="2" t="s">
        <v>96</v>
      </c>
      <c r="D72" s="2" t="s">
        <v>97</v>
      </c>
      <c r="E72" s="2" t="s">
        <v>176</v>
      </c>
      <c r="G72" s="2" t="s">
        <v>177</v>
      </c>
      <c r="H72" s="4" t="s">
        <v>85</v>
      </c>
      <c r="I72" s="4">
        <v>18</v>
      </c>
      <c r="L72" s="2" t="s">
        <v>45</v>
      </c>
      <c r="M72" s="2" t="s">
        <v>46</v>
      </c>
      <c r="O72" s="2" t="s">
        <v>29</v>
      </c>
    </row>
    <row r="73" spans="1:15" ht="15.95">
      <c r="A73" s="2" t="s">
        <v>18</v>
      </c>
      <c r="B73" s="2" t="s">
        <v>19</v>
      </c>
      <c r="C73" s="2" t="s">
        <v>96</v>
      </c>
      <c r="D73" s="2" t="s">
        <v>97</v>
      </c>
      <c r="E73" s="2" t="s">
        <v>178</v>
      </c>
      <c r="G73" s="2" t="s">
        <v>179</v>
      </c>
      <c r="H73" s="4" t="s">
        <v>80</v>
      </c>
      <c r="I73" s="4">
        <v>11</v>
      </c>
      <c r="J73" s="4">
        <v>8</v>
      </c>
      <c r="L73" s="2" t="s">
        <v>45</v>
      </c>
      <c r="M73" s="2" t="s">
        <v>46</v>
      </c>
      <c r="O73" s="2" t="s">
        <v>29</v>
      </c>
    </row>
    <row r="74" spans="1:15" ht="15.95">
      <c r="A74" s="2" t="s">
        <v>18</v>
      </c>
      <c r="B74" s="2" t="s">
        <v>19</v>
      </c>
      <c r="C74" s="2" t="s">
        <v>96</v>
      </c>
      <c r="D74" s="2" t="s">
        <v>97</v>
      </c>
      <c r="E74" s="2" t="s">
        <v>180</v>
      </c>
      <c r="G74" s="2" t="s">
        <v>181</v>
      </c>
      <c r="H74" s="4" t="s">
        <v>80</v>
      </c>
      <c r="I74" s="4">
        <v>11</v>
      </c>
      <c r="J74" s="4">
        <v>8</v>
      </c>
      <c r="L74" s="2" t="s">
        <v>45</v>
      </c>
      <c r="M74" s="2" t="s">
        <v>46</v>
      </c>
      <c r="O74" s="2" t="s">
        <v>29</v>
      </c>
    </row>
    <row r="75" spans="1:15" ht="105.95">
      <c r="A75" s="2" t="s">
        <v>18</v>
      </c>
      <c r="B75" s="2" t="s">
        <v>19</v>
      </c>
      <c r="C75" s="2" t="s">
        <v>96</v>
      </c>
      <c r="D75" s="2" t="s">
        <v>97</v>
      </c>
      <c r="E75" s="2" t="s">
        <v>182</v>
      </c>
      <c r="F75" s="2" t="s">
        <v>183</v>
      </c>
      <c r="G75" s="2" t="s">
        <v>184</v>
      </c>
      <c r="H75" s="4" t="s">
        <v>69</v>
      </c>
      <c r="L75" s="2" t="s">
        <v>45</v>
      </c>
      <c r="M75" s="2" t="s">
        <v>46</v>
      </c>
      <c r="O75" s="2" t="s">
        <v>29</v>
      </c>
    </row>
    <row r="76" spans="1:15" ht="15.95">
      <c r="A76" s="2" t="s">
        <v>18</v>
      </c>
      <c r="B76" s="2" t="s">
        <v>19</v>
      </c>
      <c r="C76" s="2" t="s">
        <v>96</v>
      </c>
      <c r="D76" s="2" t="s">
        <v>97</v>
      </c>
      <c r="E76" s="2" t="s">
        <v>185</v>
      </c>
      <c r="G76" s="2" t="s">
        <v>186</v>
      </c>
      <c r="H76" s="4" t="s">
        <v>85</v>
      </c>
      <c r="I76" s="4">
        <v>50</v>
      </c>
      <c r="L76" s="2" t="s">
        <v>45</v>
      </c>
      <c r="M76" s="2" t="s">
        <v>46</v>
      </c>
      <c r="O76" s="2" t="s">
        <v>29</v>
      </c>
    </row>
    <row r="77" spans="1:15" ht="30.95">
      <c r="A77" s="2" t="s">
        <v>18</v>
      </c>
      <c r="B77" s="2" t="s">
        <v>19</v>
      </c>
      <c r="C77" s="2" t="s">
        <v>96</v>
      </c>
      <c r="D77" s="2" t="s">
        <v>97</v>
      </c>
      <c r="E77" s="2" t="s">
        <v>187</v>
      </c>
      <c r="G77" s="2" t="s">
        <v>188</v>
      </c>
      <c r="H77" s="4" t="s">
        <v>85</v>
      </c>
      <c r="I77" s="4">
        <v>50</v>
      </c>
      <c r="L77" s="2" t="s">
        <v>45</v>
      </c>
      <c r="M77" s="2" t="s">
        <v>46</v>
      </c>
      <c r="O77" s="2" t="s">
        <v>29</v>
      </c>
    </row>
    <row r="78" spans="1:15" ht="15.95">
      <c r="A78" s="2" t="s">
        <v>18</v>
      </c>
      <c r="B78" s="2" t="s">
        <v>19</v>
      </c>
      <c r="C78" s="2" t="s">
        <v>96</v>
      </c>
      <c r="D78" s="2" t="s">
        <v>97</v>
      </c>
      <c r="E78" s="2" t="s">
        <v>64</v>
      </c>
      <c r="G78" s="2" t="s">
        <v>65</v>
      </c>
      <c r="H78" s="4" t="s">
        <v>25</v>
      </c>
      <c r="L78" s="2" t="s">
        <v>26</v>
      </c>
      <c r="M78" s="2" t="s">
        <v>27</v>
      </c>
      <c r="N78" s="2" t="s">
        <v>28</v>
      </c>
      <c r="O78" s="2" t="s">
        <v>29</v>
      </c>
    </row>
    <row r="79" spans="1:15" ht="120.95">
      <c r="A79" s="2" t="s">
        <v>18</v>
      </c>
      <c r="B79" s="2" t="s">
        <v>19</v>
      </c>
      <c r="C79" s="2" t="s">
        <v>96</v>
      </c>
      <c r="D79" s="2" t="s">
        <v>97</v>
      </c>
      <c r="E79" s="2" t="s">
        <v>189</v>
      </c>
      <c r="F79" s="2" t="s">
        <v>190</v>
      </c>
      <c r="G79" s="2" t="s">
        <v>191</v>
      </c>
      <c r="H79" s="4" t="s">
        <v>80</v>
      </c>
      <c r="I79" s="4">
        <v>12</v>
      </c>
      <c r="J79" s="4">
        <v>4</v>
      </c>
      <c r="L79" s="2" t="s">
        <v>45</v>
      </c>
      <c r="M79" s="2" t="s">
        <v>46</v>
      </c>
      <c r="O79" s="2" t="s">
        <v>29</v>
      </c>
    </row>
    <row r="80" spans="1:15" ht="30.95">
      <c r="A80" s="2" t="s">
        <v>18</v>
      </c>
      <c r="B80" s="2" t="s">
        <v>19</v>
      </c>
      <c r="C80" s="2" t="s">
        <v>96</v>
      </c>
      <c r="D80" s="2" t="s">
        <v>97</v>
      </c>
      <c r="E80" s="2" t="s">
        <v>192</v>
      </c>
      <c r="F80" s="2" t="s">
        <v>193</v>
      </c>
      <c r="G80" s="2" t="s">
        <v>194</v>
      </c>
      <c r="H80" s="4" t="s">
        <v>80</v>
      </c>
      <c r="I80" s="4">
        <v>12</v>
      </c>
      <c r="J80" s="4">
        <v>4</v>
      </c>
      <c r="L80" s="2" t="s">
        <v>45</v>
      </c>
      <c r="M80" s="2" t="s">
        <v>46</v>
      </c>
      <c r="O80" s="2" t="s">
        <v>29</v>
      </c>
    </row>
    <row r="81" spans="1:15" ht="30.95">
      <c r="A81" s="2" t="s">
        <v>18</v>
      </c>
      <c r="B81" s="2" t="s">
        <v>19</v>
      </c>
      <c r="C81" s="2" t="s">
        <v>96</v>
      </c>
      <c r="D81" s="2" t="s">
        <v>97</v>
      </c>
      <c r="E81" s="2" t="s">
        <v>195</v>
      </c>
      <c r="F81" s="2" t="s">
        <v>196</v>
      </c>
      <c r="G81" s="2" t="s">
        <v>197</v>
      </c>
      <c r="H81" s="4" t="s">
        <v>80</v>
      </c>
      <c r="I81" s="4">
        <v>12</v>
      </c>
      <c r="J81" s="4">
        <v>4</v>
      </c>
      <c r="L81" s="2" t="s">
        <v>45</v>
      </c>
      <c r="M81" s="2" t="s">
        <v>46</v>
      </c>
      <c r="O81" s="2" t="s">
        <v>29</v>
      </c>
    </row>
    <row r="82" spans="1:15" ht="15.95">
      <c r="A82" s="2" t="s">
        <v>18</v>
      </c>
      <c r="B82" s="2" t="s">
        <v>19</v>
      </c>
      <c r="C82" s="2" t="s">
        <v>96</v>
      </c>
      <c r="D82" s="2" t="s">
        <v>97</v>
      </c>
      <c r="E82" s="2" t="s">
        <v>198</v>
      </c>
      <c r="F82" s="2" t="s">
        <v>199</v>
      </c>
      <c r="G82" s="2" t="s">
        <v>200</v>
      </c>
      <c r="H82" s="4" t="s">
        <v>69</v>
      </c>
      <c r="L82" s="2" t="s">
        <v>45</v>
      </c>
      <c r="M82" s="2" t="s">
        <v>46</v>
      </c>
      <c r="O82" s="2" t="s">
        <v>29</v>
      </c>
    </row>
    <row r="83" spans="1:15" ht="90.95">
      <c r="A83" s="2" t="s">
        <v>18</v>
      </c>
      <c r="B83" s="2" t="s">
        <v>19</v>
      </c>
      <c r="C83" s="2" t="s">
        <v>96</v>
      </c>
      <c r="D83" s="2" t="s">
        <v>97</v>
      </c>
      <c r="E83" s="2" t="s">
        <v>201</v>
      </c>
      <c r="F83" s="2" t="s">
        <v>202</v>
      </c>
      <c r="G83" s="2" t="s">
        <v>203</v>
      </c>
      <c r="H83" s="4" t="s">
        <v>85</v>
      </c>
      <c r="I83" s="4">
        <v>20</v>
      </c>
      <c r="L83" s="2" t="s">
        <v>45</v>
      </c>
      <c r="M83" s="2" t="s">
        <v>46</v>
      </c>
      <c r="O83" s="2" t="s">
        <v>29</v>
      </c>
    </row>
    <row r="84" spans="1:15" ht="60.95">
      <c r="A84" s="2" t="s">
        <v>18</v>
      </c>
      <c r="B84" s="2" t="s">
        <v>19</v>
      </c>
      <c r="C84" s="2" t="s">
        <v>96</v>
      </c>
      <c r="D84" s="2" t="s">
        <v>97</v>
      </c>
      <c r="E84" s="2" t="s">
        <v>204</v>
      </c>
      <c r="F84" s="2" t="s">
        <v>205</v>
      </c>
      <c r="G84" s="2" t="s">
        <v>206</v>
      </c>
      <c r="H84" s="4" t="s">
        <v>207</v>
      </c>
      <c r="L84" s="2" t="s">
        <v>26</v>
      </c>
      <c r="M84" s="2" t="s">
        <v>27</v>
      </c>
      <c r="O84" s="2" t="s">
        <v>29</v>
      </c>
    </row>
    <row r="85" spans="1:15" ht="60.95">
      <c r="A85" s="2" t="s">
        <v>18</v>
      </c>
      <c r="B85" s="2" t="s">
        <v>19</v>
      </c>
      <c r="C85" s="2" t="s">
        <v>96</v>
      </c>
      <c r="D85" s="2" t="s">
        <v>97</v>
      </c>
      <c r="E85" s="2" t="s">
        <v>208</v>
      </c>
      <c r="F85" s="2" t="s">
        <v>209</v>
      </c>
      <c r="G85" s="2" t="s">
        <v>210</v>
      </c>
      <c r="H85" s="4" t="s">
        <v>211</v>
      </c>
      <c r="I85" s="4">
        <v>6</v>
      </c>
      <c r="L85" s="2" t="s">
        <v>45</v>
      </c>
      <c r="M85" s="2" t="s">
        <v>46</v>
      </c>
      <c r="O85" s="2" t="s">
        <v>29</v>
      </c>
    </row>
    <row r="86" spans="1:15" ht="45.95">
      <c r="A86" s="2" t="s">
        <v>18</v>
      </c>
      <c r="B86" s="2" t="s">
        <v>19</v>
      </c>
      <c r="C86" s="2" t="s">
        <v>96</v>
      </c>
      <c r="D86" s="2" t="s">
        <v>97</v>
      </c>
      <c r="E86" s="2" t="s">
        <v>212</v>
      </c>
      <c r="F86" s="2" t="s">
        <v>213</v>
      </c>
      <c r="G86" s="2" t="s">
        <v>214</v>
      </c>
      <c r="H86" s="4" t="s">
        <v>130</v>
      </c>
      <c r="L86" s="2" t="s">
        <v>45</v>
      </c>
      <c r="M86" s="2" t="s">
        <v>46</v>
      </c>
      <c r="O86" s="2" t="s">
        <v>29</v>
      </c>
    </row>
    <row r="87" spans="1:15" ht="15.95">
      <c r="A87" s="2" t="s">
        <v>18</v>
      </c>
      <c r="B87" s="2" t="s">
        <v>19</v>
      </c>
      <c r="C87" s="2" t="s">
        <v>96</v>
      </c>
      <c r="D87" s="2" t="s">
        <v>97</v>
      </c>
      <c r="E87" s="2" t="s">
        <v>40</v>
      </c>
      <c r="G87" s="2" t="s">
        <v>41</v>
      </c>
      <c r="H87" s="4" t="s">
        <v>42</v>
      </c>
      <c r="L87" s="2" t="s">
        <v>26</v>
      </c>
      <c r="M87" s="2" t="s">
        <v>27</v>
      </c>
      <c r="O87" s="2" t="s">
        <v>29</v>
      </c>
    </row>
    <row r="88" spans="1:15" ht="15.95">
      <c r="A88" s="2" t="s">
        <v>18</v>
      </c>
      <c r="B88" s="2" t="s">
        <v>19</v>
      </c>
      <c r="C88" s="2" t="s">
        <v>96</v>
      </c>
      <c r="D88" s="2" t="s">
        <v>97</v>
      </c>
      <c r="E88" s="2" t="s">
        <v>43</v>
      </c>
      <c r="G88" s="2" t="s">
        <v>44</v>
      </c>
      <c r="H88" s="4" t="s">
        <v>42</v>
      </c>
      <c r="L88" s="2" t="s">
        <v>45</v>
      </c>
      <c r="M88" s="2" t="s">
        <v>46</v>
      </c>
      <c r="O88" s="2" t="s">
        <v>29</v>
      </c>
    </row>
    <row r="89" spans="1:15" ht="30.95">
      <c r="A89" s="2" t="s">
        <v>18</v>
      </c>
      <c r="B89" s="2" t="s">
        <v>19</v>
      </c>
      <c r="C89" s="2" t="s">
        <v>96</v>
      </c>
      <c r="D89" s="2" t="s">
        <v>97</v>
      </c>
      <c r="E89" s="2" t="s">
        <v>215</v>
      </c>
      <c r="F89" s="2" t="s">
        <v>216</v>
      </c>
      <c r="G89" s="2" t="s">
        <v>217</v>
      </c>
      <c r="H89" s="4" t="s">
        <v>80</v>
      </c>
      <c r="I89" s="4">
        <v>12</v>
      </c>
      <c r="J89" s="4">
        <v>4</v>
      </c>
      <c r="L89" s="2" t="s">
        <v>45</v>
      </c>
      <c r="M89" s="2" t="s">
        <v>46</v>
      </c>
      <c r="O89" s="2" t="s">
        <v>29</v>
      </c>
    </row>
    <row r="90" spans="1:15" ht="15.95">
      <c r="A90" s="2" t="s">
        <v>18</v>
      </c>
      <c r="B90" s="2" t="s">
        <v>19</v>
      </c>
      <c r="C90" s="2" t="s">
        <v>96</v>
      </c>
      <c r="D90" s="2" t="s">
        <v>97</v>
      </c>
      <c r="E90" s="2" t="s">
        <v>218</v>
      </c>
      <c r="G90" s="2" t="s">
        <v>219</v>
      </c>
      <c r="H90" s="4" t="s">
        <v>80</v>
      </c>
      <c r="I90" s="4">
        <v>10</v>
      </c>
      <c r="J90" s="4">
        <v>4</v>
      </c>
      <c r="L90" s="2" t="s">
        <v>26</v>
      </c>
      <c r="M90" s="2" t="s">
        <v>27</v>
      </c>
      <c r="O90" s="2" t="s">
        <v>29</v>
      </c>
    </row>
    <row r="91" spans="1:15" ht="105.95">
      <c r="A91" s="2" t="s">
        <v>18</v>
      </c>
      <c r="B91" s="2" t="s">
        <v>19</v>
      </c>
      <c r="C91" s="2" t="s">
        <v>96</v>
      </c>
      <c r="D91" s="2" t="s">
        <v>97</v>
      </c>
      <c r="E91" s="2" t="s">
        <v>220</v>
      </c>
      <c r="F91" s="23" t="s">
        <v>221</v>
      </c>
      <c r="G91" s="2" t="s">
        <v>222</v>
      </c>
      <c r="H91" s="4" t="s">
        <v>130</v>
      </c>
      <c r="L91" s="2" t="s">
        <v>26</v>
      </c>
      <c r="M91" s="2" t="s">
        <v>27</v>
      </c>
      <c r="O91" s="2" t="s">
        <v>29</v>
      </c>
    </row>
    <row r="92" spans="1:15" ht="105.95">
      <c r="A92" s="2" t="s">
        <v>18</v>
      </c>
      <c r="B92" s="2" t="s">
        <v>19</v>
      </c>
      <c r="C92" s="2" t="s">
        <v>96</v>
      </c>
      <c r="D92" s="2" t="s">
        <v>97</v>
      </c>
      <c r="E92" s="2" t="s">
        <v>223</v>
      </c>
      <c r="F92" s="24" t="s">
        <v>224</v>
      </c>
      <c r="G92" s="2" t="s">
        <v>225</v>
      </c>
      <c r="H92" s="4" t="s">
        <v>130</v>
      </c>
      <c r="L92" s="2" t="s">
        <v>26</v>
      </c>
      <c r="M92" s="2" t="s">
        <v>27</v>
      </c>
      <c r="O92" s="2" t="s">
        <v>29</v>
      </c>
    </row>
    <row r="93" spans="1:15" ht="105.95">
      <c r="A93" s="2" t="s">
        <v>18</v>
      </c>
      <c r="B93" s="2" t="s">
        <v>19</v>
      </c>
      <c r="C93" s="2" t="s">
        <v>96</v>
      </c>
      <c r="D93" s="2" t="s">
        <v>97</v>
      </c>
      <c r="E93" s="2" t="s">
        <v>226</v>
      </c>
      <c r="F93" s="24" t="s">
        <v>227</v>
      </c>
      <c r="G93" s="2" t="s">
        <v>228</v>
      </c>
      <c r="H93" s="4" t="s">
        <v>130</v>
      </c>
      <c r="L93" s="2" t="s">
        <v>26</v>
      </c>
      <c r="M93" s="2" t="s">
        <v>27</v>
      </c>
      <c r="O93" s="2" t="s">
        <v>29</v>
      </c>
    </row>
    <row r="94" spans="1:15" ht="105.95">
      <c r="A94" s="2" t="s">
        <v>18</v>
      </c>
      <c r="B94" s="2" t="s">
        <v>19</v>
      </c>
      <c r="C94" s="2" t="s">
        <v>96</v>
      </c>
      <c r="D94" s="2" t="s">
        <v>97</v>
      </c>
      <c r="E94" s="2" t="s">
        <v>229</v>
      </c>
      <c r="F94" s="24" t="s">
        <v>230</v>
      </c>
      <c r="G94" s="2" t="s">
        <v>231</v>
      </c>
      <c r="H94" s="4" t="s">
        <v>130</v>
      </c>
      <c r="L94" s="2" t="s">
        <v>26</v>
      </c>
      <c r="M94" s="2" t="s">
        <v>27</v>
      </c>
      <c r="O94" s="2" t="s">
        <v>29</v>
      </c>
    </row>
    <row r="95" spans="1:15" ht="105.95">
      <c r="A95" s="2" t="s">
        <v>18</v>
      </c>
      <c r="B95" s="2" t="s">
        <v>19</v>
      </c>
      <c r="C95" s="2" t="s">
        <v>96</v>
      </c>
      <c r="D95" s="2" t="s">
        <v>97</v>
      </c>
      <c r="E95" s="2" t="s">
        <v>232</v>
      </c>
      <c r="F95" s="24" t="s">
        <v>233</v>
      </c>
      <c r="G95" s="2" t="s">
        <v>234</v>
      </c>
      <c r="H95" s="4" t="s">
        <v>130</v>
      </c>
      <c r="L95" s="2" t="s">
        <v>26</v>
      </c>
      <c r="M95" s="2" t="s">
        <v>27</v>
      </c>
      <c r="O95" s="2" t="s">
        <v>29</v>
      </c>
    </row>
    <row r="96" spans="1:15" ht="30.95">
      <c r="A96" s="2" t="s">
        <v>18</v>
      </c>
      <c r="B96" s="2" t="s">
        <v>19</v>
      </c>
      <c r="C96" s="2" t="s">
        <v>235</v>
      </c>
      <c r="D96" s="2" t="s">
        <v>236</v>
      </c>
      <c r="E96" s="2" t="s">
        <v>237</v>
      </c>
      <c r="G96" s="2" t="s">
        <v>238</v>
      </c>
      <c r="H96" s="4" t="s">
        <v>25</v>
      </c>
      <c r="L96" s="2" t="s">
        <v>26</v>
      </c>
      <c r="M96" s="2" t="s">
        <v>27</v>
      </c>
      <c r="N96" s="2" t="s">
        <v>66</v>
      </c>
      <c r="O96" s="2" t="s">
        <v>29</v>
      </c>
    </row>
    <row r="97" spans="1:15" ht="15.95">
      <c r="A97" s="2" t="s">
        <v>18</v>
      </c>
      <c r="B97" s="2" t="s">
        <v>19</v>
      </c>
      <c r="C97" s="2" t="s">
        <v>235</v>
      </c>
      <c r="D97" s="2" t="s">
        <v>236</v>
      </c>
      <c r="E97" s="2" t="s">
        <v>239</v>
      </c>
      <c r="G97" s="2" t="s">
        <v>240</v>
      </c>
      <c r="H97" s="4" t="s">
        <v>85</v>
      </c>
      <c r="I97" s="4">
        <v>50</v>
      </c>
      <c r="L97" s="2" t="s">
        <v>26</v>
      </c>
      <c r="M97" s="2" t="s">
        <v>27</v>
      </c>
      <c r="O97" s="2" t="s">
        <v>29</v>
      </c>
    </row>
    <row r="98" spans="1:15" ht="15.95">
      <c r="A98" s="2" t="s">
        <v>18</v>
      </c>
      <c r="B98" s="2" t="s">
        <v>19</v>
      </c>
      <c r="C98" s="2" t="s">
        <v>235</v>
      </c>
      <c r="D98" s="2" t="s">
        <v>236</v>
      </c>
      <c r="E98" s="2" t="s">
        <v>40</v>
      </c>
      <c r="G98" s="2" t="s">
        <v>41</v>
      </c>
      <c r="H98" s="4" t="s">
        <v>42</v>
      </c>
      <c r="L98" s="2" t="s">
        <v>26</v>
      </c>
      <c r="M98" s="2" t="s">
        <v>27</v>
      </c>
      <c r="O98" s="2" t="s">
        <v>29</v>
      </c>
    </row>
    <row r="99" spans="1:15" ht="15.95">
      <c r="A99" s="2" t="s">
        <v>18</v>
      </c>
      <c r="B99" s="2" t="s">
        <v>19</v>
      </c>
      <c r="C99" s="2" t="s">
        <v>235</v>
      </c>
      <c r="D99" s="2" t="s">
        <v>236</v>
      </c>
      <c r="E99" s="2" t="s">
        <v>43</v>
      </c>
      <c r="G99" s="2" t="s">
        <v>44</v>
      </c>
      <c r="H99" s="4" t="s">
        <v>42</v>
      </c>
      <c r="L99" s="2" t="s">
        <v>45</v>
      </c>
      <c r="M99" s="2" t="s">
        <v>46</v>
      </c>
      <c r="O99" s="2" t="s">
        <v>29</v>
      </c>
    </row>
    <row r="100" spans="1:15" ht="30.95">
      <c r="A100" s="2" t="s">
        <v>18</v>
      </c>
      <c r="B100" s="2" t="s">
        <v>19</v>
      </c>
      <c r="C100" s="2" t="s">
        <v>235</v>
      </c>
      <c r="D100" s="2" t="s">
        <v>236</v>
      </c>
      <c r="E100" s="2" t="s">
        <v>22</v>
      </c>
      <c r="F100" s="2" t="s">
        <v>23</v>
      </c>
      <c r="G100" s="2" t="s">
        <v>24</v>
      </c>
      <c r="H100" s="4" t="s">
        <v>25</v>
      </c>
      <c r="L100" s="2" t="s">
        <v>26</v>
      </c>
      <c r="M100" s="2" t="s">
        <v>27</v>
      </c>
      <c r="N100" s="2" t="s">
        <v>28</v>
      </c>
      <c r="O100" s="2" t="s">
        <v>29</v>
      </c>
    </row>
    <row r="101" spans="1:15" ht="30.95">
      <c r="A101" s="2" t="s">
        <v>18</v>
      </c>
      <c r="B101" s="2" t="s">
        <v>19</v>
      </c>
      <c r="C101" s="2" t="s">
        <v>241</v>
      </c>
      <c r="D101" s="2" t="s">
        <v>242</v>
      </c>
      <c r="E101" s="2" t="s">
        <v>58</v>
      </c>
      <c r="F101" s="2" t="s">
        <v>59</v>
      </c>
      <c r="G101" s="2" t="s">
        <v>60</v>
      </c>
      <c r="H101" s="4" t="s">
        <v>25</v>
      </c>
      <c r="L101" s="2" t="s">
        <v>26</v>
      </c>
      <c r="M101" s="2" t="s">
        <v>27</v>
      </c>
      <c r="N101" s="2" t="s">
        <v>66</v>
      </c>
      <c r="O101" s="2" t="s">
        <v>29</v>
      </c>
    </row>
    <row r="102" spans="1:15" ht="30.95">
      <c r="A102" s="2" t="s">
        <v>18</v>
      </c>
      <c r="B102" s="2" t="s">
        <v>19</v>
      </c>
      <c r="C102" s="2" t="s">
        <v>241</v>
      </c>
      <c r="D102" s="2" t="s">
        <v>242</v>
      </c>
      <c r="E102" s="2" t="s">
        <v>237</v>
      </c>
      <c r="G102" s="2" t="s">
        <v>238</v>
      </c>
      <c r="H102" s="4" t="s">
        <v>25</v>
      </c>
      <c r="L102" s="2" t="s">
        <v>26</v>
      </c>
      <c r="M102" s="2" t="s">
        <v>27</v>
      </c>
      <c r="N102" s="2" t="s">
        <v>28</v>
      </c>
      <c r="O102" s="2" t="s">
        <v>29</v>
      </c>
    </row>
    <row r="103" spans="1:15" ht="30.95">
      <c r="A103" s="2" t="s">
        <v>18</v>
      </c>
      <c r="B103" s="2" t="s">
        <v>19</v>
      </c>
      <c r="C103" s="2" t="s">
        <v>241</v>
      </c>
      <c r="D103" s="2" t="s">
        <v>242</v>
      </c>
      <c r="E103" s="2" t="s">
        <v>22</v>
      </c>
      <c r="F103" s="2" t="s">
        <v>23</v>
      </c>
      <c r="G103" s="2" t="s">
        <v>24</v>
      </c>
      <c r="H103" s="4" t="s">
        <v>25</v>
      </c>
      <c r="L103" s="2" t="s">
        <v>26</v>
      </c>
      <c r="M103" s="2" t="s">
        <v>27</v>
      </c>
      <c r="N103" s="2" t="s">
        <v>28</v>
      </c>
      <c r="O103" s="2" t="s">
        <v>29</v>
      </c>
    </row>
    <row r="104" spans="1:15" ht="15.95">
      <c r="A104" s="2" t="s">
        <v>18</v>
      </c>
      <c r="B104" s="2" t="s">
        <v>19</v>
      </c>
      <c r="C104" s="2" t="s">
        <v>241</v>
      </c>
      <c r="D104" s="2" t="s">
        <v>242</v>
      </c>
      <c r="E104" s="2" t="s">
        <v>243</v>
      </c>
      <c r="G104" s="2" t="s">
        <v>244</v>
      </c>
      <c r="H104" s="4" t="s">
        <v>85</v>
      </c>
      <c r="I104" s="4">
        <v>50</v>
      </c>
      <c r="L104" s="2" t="s">
        <v>26</v>
      </c>
      <c r="M104" s="2" t="s">
        <v>27</v>
      </c>
      <c r="O104" s="2" t="s">
        <v>29</v>
      </c>
    </row>
    <row r="105" spans="1:15" ht="15.95">
      <c r="A105" s="2" t="s">
        <v>18</v>
      </c>
      <c r="B105" s="2" t="s">
        <v>19</v>
      </c>
      <c r="C105" s="2" t="s">
        <v>241</v>
      </c>
      <c r="D105" s="2" t="s">
        <v>242</v>
      </c>
      <c r="E105" s="2" t="s">
        <v>245</v>
      </c>
      <c r="G105" s="2" t="s">
        <v>246</v>
      </c>
      <c r="H105" s="4" t="s">
        <v>85</v>
      </c>
      <c r="I105" s="4">
        <v>20</v>
      </c>
      <c r="L105" s="2" t="s">
        <v>26</v>
      </c>
      <c r="M105" s="2" t="s">
        <v>27</v>
      </c>
      <c r="O105" s="2" t="s">
        <v>29</v>
      </c>
    </row>
    <row r="106" spans="1:15" ht="15.95">
      <c r="A106" s="2" t="s">
        <v>18</v>
      </c>
      <c r="B106" s="2" t="s">
        <v>19</v>
      </c>
      <c r="C106" s="2" t="s">
        <v>241</v>
      </c>
      <c r="D106" s="2" t="s">
        <v>242</v>
      </c>
      <c r="E106" s="2" t="s">
        <v>247</v>
      </c>
      <c r="G106" s="2" t="s">
        <v>248</v>
      </c>
      <c r="H106" s="4" t="s">
        <v>80</v>
      </c>
      <c r="I106" s="4">
        <v>11</v>
      </c>
      <c r="J106" s="4">
        <v>8</v>
      </c>
      <c r="L106" s="2" t="s">
        <v>45</v>
      </c>
      <c r="M106" s="2" t="s">
        <v>46</v>
      </c>
      <c r="O106" s="2" t="s">
        <v>29</v>
      </c>
    </row>
    <row r="107" spans="1:15" ht="15.95">
      <c r="A107" s="2" t="s">
        <v>18</v>
      </c>
      <c r="B107" s="2" t="s">
        <v>19</v>
      </c>
      <c r="C107" s="2" t="s">
        <v>241</v>
      </c>
      <c r="D107" s="2" t="s">
        <v>242</v>
      </c>
      <c r="E107" s="2" t="s">
        <v>249</v>
      </c>
      <c r="G107" s="2" t="s">
        <v>250</v>
      </c>
      <c r="H107" s="4" t="s">
        <v>80</v>
      </c>
      <c r="I107" s="4">
        <v>11</v>
      </c>
      <c r="J107" s="4">
        <v>8</v>
      </c>
      <c r="L107" s="2" t="s">
        <v>45</v>
      </c>
      <c r="M107" s="2" t="s">
        <v>46</v>
      </c>
      <c r="O107" s="2" t="s">
        <v>29</v>
      </c>
    </row>
    <row r="108" spans="1:15" ht="15.95">
      <c r="A108" s="2" t="s">
        <v>18</v>
      </c>
      <c r="B108" s="2" t="s">
        <v>19</v>
      </c>
      <c r="C108" s="2" t="s">
        <v>241</v>
      </c>
      <c r="D108" s="2" t="s">
        <v>242</v>
      </c>
      <c r="E108" s="2" t="s">
        <v>251</v>
      </c>
      <c r="G108" s="2" t="s">
        <v>252</v>
      </c>
      <c r="H108" s="4" t="s">
        <v>85</v>
      </c>
      <c r="I108" s="4">
        <v>4000</v>
      </c>
      <c r="L108" s="2" t="s">
        <v>45</v>
      </c>
      <c r="M108" s="2" t="s">
        <v>46</v>
      </c>
      <c r="O108" s="2" t="s">
        <v>29</v>
      </c>
    </row>
    <row r="109" spans="1:15" ht="15.95">
      <c r="A109" s="2" t="s">
        <v>18</v>
      </c>
      <c r="B109" s="2" t="s">
        <v>19</v>
      </c>
      <c r="C109" s="2" t="s">
        <v>241</v>
      </c>
      <c r="D109" s="2" t="s">
        <v>242</v>
      </c>
      <c r="E109" s="2" t="s">
        <v>253</v>
      </c>
      <c r="G109" s="2" t="s">
        <v>254</v>
      </c>
      <c r="H109" s="4" t="s">
        <v>85</v>
      </c>
      <c r="I109" s="4">
        <v>36</v>
      </c>
      <c r="L109" s="2" t="s">
        <v>45</v>
      </c>
      <c r="M109" s="2" t="s">
        <v>46</v>
      </c>
      <c r="O109" s="2" t="s">
        <v>29</v>
      </c>
    </row>
    <row r="110" spans="1:15" ht="60.95">
      <c r="A110" s="2" t="s">
        <v>18</v>
      </c>
      <c r="B110" s="2" t="s">
        <v>19</v>
      </c>
      <c r="C110" s="2" t="s">
        <v>241</v>
      </c>
      <c r="D110" s="2" t="s">
        <v>242</v>
      </c>
      <c r="E110" s="2" t="s">
        <v>255</v>
      </c>
      <c r="F110" s="2" t="s">
        <v>256</v>
      </c>
      <c r="G110" s="2" t="s">
        <v>257</v>
      </c>
      <c r="H110" s="4" t="s">
        <v>211</v>
      </c>
      <c r="I110" s="4">
        <v>6</v>
      </c>
      <c r="L110" s="2" t="s">
        <v>45</v>
      </c>
      <c r="M110" s="2" t="s">
        <v>46</v>
      </c>
      <c r="O110" s="2" t="s">
        <v>29</v>
      </c>
    </row>
    <row r="111" spans="1:15" ht="45.95">
      <c r="A111" s="2" t="s">
        <v>18</v>
      </c>
      <c r="B111" s="2" t="s">
        <v>19</v>
      </c>
      <c r="C111" s="2" t="s">
        <v>241</v>
      </c>
      <c r="D111" s="2" t="s">
        <v>242</v>
      </c>
      <c r="E111" s="2" t="s">
        <v>258</v>
      </c>
      <c r="F111" s="2" t="s">
        <v>213</v>
      </c>
      <c r="G111" s="2" t="s">
        <v>259</v>
      </c>
      <c r="H111" s="4" t="s">
        <v>130</v>
      </c>
      <c r="L111" s="2" t="s">
        <v>45</v>
      </c>
      <c r="M111" s="2" t="s">
        <v>46</v>
      </c>
      <c r="O111" s="2" t="s">
        <v>29</v>
      </c>
    </row>
    <row r="112" spans="1:15" ht="15.95">
      <c r="A112" s="2" t="s">
        <v>18</v>
      </c>
      <c r="B112" s="2" t="s">
        <v>19</v>
      </c>
      <c r="C112" s="2" t="s">
        <v>241</v>
      </c>
      <c r="D112" s="2" t="s">
        <v>242</v>
      </c>
      <c r="E112" s="2" t="s">
        <v>260</v>
      </c>
      <c r="G112" s="2" t="s">
        <v>261</v>
      </c>
      <c r="H112" s="4" t="s">
        <v>85</v>
      </c>
      <c r="I112" s="4">
        <v>20</v>
      </c>
      <c r="L112" s="2" t="s">
        <v>45</v>
      </c>
      <c r="M112" s="2" t="s">
        <v>46</v>
      </c>
      <c r="O112" s="2" t="s">
        <v>29</v>
      </c>
    </row>
    <row r="113" spans="1:15" ht="15.95">
      <c r="A113" s="2" t="s">
        <v>18</v>
      </c>
      <c r="B113" s="2" t="s">
        <v>19</v>
      </c>
      <c r="C113" s="2" t="s">
        <v>241</v>
      </c>
      <c r="D113" s="2" t="s">
        <v>242</v>
      </c>
      <c r="E113" s="2" t="s">
        <v>262</v>
      </c>
      <c r="G113" s="2" t="s">
        <v>263</v>
      </c>
      <c r="H113" s="4" t="s">
        <v>85</v>
      </c>
      <c r="I113" s="4">
        <v>20</v>
      </c>
      <c r="L113" s="2" t="s">
        <v>45</v>
      </c>
      <c r="M113" s="2" t="s">
        <v>46</v>
      </c>
      <c r="O113" s="2" t="s">
        <v>29</v>
      </c>
    </row>
    <row r="114" spans="1:15" ht="30.95">
      <c r="A114" s="2" t="s">
        <v>18</v>
      </c>
      <c r="B114" s="2" t="s">
        <v>19</v>
      </c>
      <c r="C114" s="2" t="s">
        <v>241</v>
      </c>
      <c r="D114" s="2" t="s">
        <v>242</v>
      </c>
      <c r="E114" s="2" t="s">
        <v>264</v>
      </c>
      <c r="G114" s="2" t="s">
        <v>265</v>
      </c>
      <c r="H114" s="4" t="s">
        <v>74</v>
      </c>
      <c r="L114" s="2" t="s">
        <v>45</v>
      </c>
      <c r="M114" s="2" t="s">
        <v>46</v>
      </c>
      <c r="O114" s="2" t="s">
        <v>29</v>
      </c>
    </row>
    <row r="115" spans="1:15" ht="30.95">
      <c r="A115" s="2" t="s">
        <v>18</v>
      </c>
      <c r="B115" s="2" t="s">
        <v>19</v>
      </c>
      <c r="C115" s="2" t="s">
        <v>241</v>
      </c>
      <c r="D115" s="2" t="s">
        <v>242</v>
      </c>
      <c r="E115" s="2" t="s">
        <v>266</v>
      </c>
      <c r="G115" s="2" t="s">
        <v>267</v>
      </c>
      <c r="H115" s="4" t="s">
        <v>74</v>
      </c>
      <c r="L115" s="2" t="s">
        <v>45</v>
      </c>
      <c r="M115" s="2" t="s">
        <v>46</v>
      </c>
      <c r="O115" s="2" t="s">
        <v>29</v>
      </c>
    </row>
    <row r="116" spans="1:15" ht="15.95">
      <c r="A116" s="2" t="s">
        <v>18</v>
      </c>
      <c r="B116" s="2" t="s">
        <v>19</v>
      </c>
      <c r="C116" s="2" t="s">
        <v>241</v>
      </c>
      <c r="D116" s="2" t="s">
        <v>242</v>
      </c>
      <c r="E116" s="2" t="s">
        <v>40</v>
      </c>
      <c r="G116" s="2" t="s">
        <v>41</v>
      </c>
      <c r="H116" s="4" t="s">
        <v>42</v>
      </c>
      <c r="L116" s="2" t="s">
        <v>26</v>
      </c>
      <c r="M116" s="2" t="s">
        <v>27</v>
      </c>
      <c r="O116" s="2" t="s">
        <v>29</v>
      </c>
    </row>
    <row r="117" spans="1:15" ht="15.95">
      <c r="A117" s="2" t="s">
        <v>18</v>
      </c>
      <c r="B117" s="2" t="s">
        <v>19</v>
      </c>
      <c r="C117" s="2" t="s">
        <v>241</v>
      </c>
      <c r="D117" s="2" t="s">
        <v>242</v>
      </c>
      <c r="E117" s="2" t="s">
        <v>43</v>
      </c>
      <c r="G117" s="2" t="s">
        <v>44</v>
      </c>
      <c r="H117" s="4" t="s">
        <v>42</v>
      </c>
      <c r="L117" s="2" t="s">
        <v>45</v>
      </c>
      <c r="M117" s="2" t="s">
        <v>46</v>
      </c>
      <c r="O117" s="2" t="s">
        <v>29</v>
      </c>
    </row>
    <row r="118" spans="1:15" ht="15.95">
      <c r="A118" s="2" t="s">
        <v>18</v>
      </c>
      <c r="B118" s="2" t="s">
        <v>19</v>
      </c>
      <c r="C118" s="2" t="s">
        <v>241</v>
      </c>
      <c r="D118" s="2" t="s">
        <v>242</v>
      </c>
      <c r="E118" s="2" t="s">
        <v>268</v>
      </c>
      <c r="G118" s="2" t="s">
        <v>269</v>
      </c>
      <c r="H118" s="4" t="s">
        <v>85</v>
      </c>
      <c r="I118" s="4">
        <v>30</v>
      </c>
      <c r="L118" s="2" t="s">
        <v>45</v>
      </c>
      <c r="M118" s="2" t="s">
        <v>46</v>
      </c>
      <c r="O118" s="2" t="s">
        <v>29</v>
      </c>
    </row>
    <row r="119" spans="1:15" ht="15.95">
      <c r="A119" s="2" t="s">
        <v>18</v>
      </c>
      <c r="B119" s="2" t="s">
        <v>19</v>
      </c>
      <c r="C119" s="2" t="s">
        <v>270</v>
      </c>
      <c r="D119" s="2" t="s">
        <v>271</v>
      </c>
      <c r="E119" s="2" t="s">
        <v>64</v>
      </c>
      <c r="G119" s="2" t="s">
        <v>65</v>
      </c>
      <c r="H119" s="4" t="s">
        <v>25</v>
      </c>
      <c r="L119" s="2" t="s">
        <v>26</v>
      </c>
      <c r="M119" s="2" t="s">
        <v>27</v>
      </c>
      <c r="N119" s="2" t="s">
        <v>66</v>
      </c>
      <c r="O119" s="2" t="s">
        <v>29</v>
      </c>
    </row>
    <row r="120" spans="1:15" ht="30.95">
      <c r="A120" s="2" t="s">
        <v>18</v>
      </c>
      <c r="B120" s="2" t="s">
        <v>19</v>
      </c>
      <c r="C120" s="2" t="s">
        <v>270</v>
      </c>
      <c r="D120" s="2" t="s">
        <v>271</v>
      </c>
      <c r="E120" s="2" t="s">
        <v>22</v>
      </c>
      <c r="F120" s="2" t="s">
        <v>23</v>
      </c>
      <c r="G120" s="2" t="s">
        <v>24</v>
      </c>
      <c r="H120" s="4" t="s">
        <v>25</v>
      </c>
      <c r="L120" s="2" t="s">
        <v>26</v>
      </c>
      <c r="M120" s="2" t="s">
        <v>27</v>
      </c>
      <c r="N120" s="2" t="s">
        <v>28</v>
      </c>
      <c r="O120" s="2" t="s">
        <v>29</v>
      </c>
    </row>
    <row r="121" spans="1:15" ht="15.95">
      <c r="A121" s="2" t="s">
        <v>18</v>
      </c>
      <c r="B121" s="2" t="s">
        <v>19</v>
      </c>
      <c r="C121" s="2" t="s">
        <v>270</v>
      </c>
      <c r="D121" s="2" t="s">
        <v>271</v>
      </c>
      <c r="E121" s="2" t="s">
        <v>272</v>
      </c>
      <c r="G121" s="2" t="s">
        <v>273</v>
      </c>
      <c r="H121" s="4" t="s">
        <v>85</v>
      </c>
      <c r="I121" s="4">
        <v>50</v>
      </c>
      <c r="L121" s="2" t="s">
        <v>26</v>
      </c>
      <c r="M121" s="2" t="s">
        <v>27</v>
      </c>
      <c r="O121" s="2" t="s">
        <v>29</v>
      </c>
    </row>
    <row r="122" spans="1:15" ht="15.95">
      <c r="A122" s="2" t="s">
        <v>18</v>
      </c>
      <c r="B122" s="2" t="s">
        <v>19</v>
      </c>
      <c r="C122" s="2" t="s">
        <v>270</v>
      </c>
      <c r="D122" s="2" t="s">
        <v>271</v>
      </c>
      <c r="E122" s="2" t="s">
        <v>274</v>
      </c>
      <c r="G122" s="2" t="s">
        <v>275</v>
      </c>
      <c r="H122" s="4" t="s">
        <v>85</v>
      </c>
      <c r="I122" s="4">
        <v>50</v>
      </c>
      <c r="L122" s="2" t="s">
        <v>26</v>
      </c>
      <c r="M122" s="2" t="s">
        <v>27</v>
      </c>
      <c r="O122" s="2" t="s">
        <v>29</v>
      </c>
    </row>
    <row r="123" spans="1:15" ht="15.95">
      <c r="A123" s="2" t="s">
        <v>18</v>
      </c>
      <c r="B123" s="2" t="s">
        <v>19</v>
      </c>
      <c r="C123" s="2" t="s">
        <v>270</v>
      </c>
      <c r="D123" s="2" t="s">
        <v>271</v>
      </c>
      <c r="E123" s="2" t="s">
        <v>40</v>
      </c>
      <c r="G123" s="2" t="s">
        <v>41</v>
      </c>
      <c r="H123" s="4" t="s">
        <v>42</v>
      </c>
      <c r="L123" s="2" t="s">
        <v>26</v>
      </c>
      <c r="M123" s="2" t="s">
        <v>27</v>
      </c>
      <c r="O123" s="2" t="s">
        <v>29</v>
      </c>
    </row>
    <row r="124" spans="1:15" ht="15.95">
      <c r="A124" s="2" t="s">
        <v>18</v>
      </c>
      <c r="B124" s="2" t="s">
        <v>19</v>
      </c>
      <c r="C124" s="2" t="s">
        <v>270</v>
      </c>
      <c r="D124" s="2" t="s">
        <v>271</v>
      </c>
      <c r="E124" s="2" t="s">
        <v>43</v>
      </c>
      <c r="G124" s="2" t="s">
        <v>44</v>
      </c>
      <c r="H124" s="4" t="s">
        <v>42</v>
      </c>
      <c r="L124" s="2" t="s">
        <v>45</v>
      </c>
      <c r="M124" s="2" t="s">
        <v>46</v>
      </c>
      <c r="O124" s="2" t="s">
        <v>29</v>
      </c>
    </row>
    <row r="125" spans="1:15" ht="15.95">
      <c r="A125" s="2" t="s">
        <v>18</v>
      </c>
      <c r="B125" s="2" t="s">
        <v>19</v>
      </c>
      <c r="C125" s="2" t="s">
        <v>276</v>
      </c>
      <c r="D125" s="2" t="s">
        <v>277</v>
      </c>
      <c r="E125" s="2" t="s">
        <v>64</v>
      </c>
      <c r="G125" s="2" t="s">
        <v>65</v>
      </c>
      <c r="H125" s="4" t="s">
        <v>25</v>
      </c>
      <c r="L125" s="2" t="s">
        <v>26</v>
      </c>
      <c r="M125" s="2" t="s">
        <v>27</v>
      </c>
      <c r="N125" s="2" t="s">
        <v>32</v>
      </c>
      <c r="O125" s="2" t="s">
        <v>29</v>
      </c>
    </row>
    <row r="126" spans="1:15" ht="30.95">
      <c r="A126" s="2" t="s">
        <v>18</v>
      </c>
      <c r="B126" s="2" t="s">
        <v>19</v>
      </c>
      <c r="C126" s="2" t="s">
        <v>276</v>
      </c>
      <c r="D126" s="2" t="s">
        <v>277</v>
      </c>
      <c r="E126" s="2" t="s">
        <v>58</v>
      </c>
      <c r="F126" s="2" t="s">
        <v>59</v>
      </c>
      <c r="G126" s="2" t="s">
        <v>60</v>
      </c>
      <c r="H126" s="4" t="s">
        <v>25</v>
      </c>
      <c r="L126" s="2" t="s">
        <v>26</v>
      </c>
      <c r="M126" s="2" t="s">
        <v>27</v>
      </c>
      <c r="N126" s="2" t="s">
        <v>32</v>
      </c>
      <c r="O126" s="2" t="s">
        <v>29</v>
      </c>
    </row>
    <row r="127" spans="1:15" ht="30.95">
      <c r="A127" s="2" t="s">
        <v>18</v>
      </c>
      <c r="B127" s="2" t="s">
        <v>19</v>
      </c>
      <c r="C127" s="2" t="s">
        <v>276</v>
      </c>
      <c r="D127" s="2" t="s">
        <v>277</v>
      </c>
      <c r="E127" s="2" t="s">
        <v>22</v>
      </c>
      <c r="F127" s="2" t="s">
        <v>23</v>
      </c>
      <c r="G127" s="2" t="s">
        <v>24</v>
      </c>
      <c r="H127" s="4" t="s">
        <v>25</v>
      </c>
      <c r="L127" s="2" t="s">
        <v>26</v>
      </c>
      <c r="M127" s="2" t="s">
        <v>27</v>
      </c>
      <c r="N127" s="2" t="s">
        <v>28</v>
      </c>
      <c r="O127" s="2" t="s">
        <v>29</v>
      </c>
    </row>
    <row r="128" spans="1:15" ht="15.95">
      <c r="A128" s="2" t="s">
        <v>18</v>
      </c>
      <c r="B128" s="2" t="s">
        <v>19</v>
      </c>
      <c r="C128" s="2" t="s">
        <v>276</v>
      </c>
      <c r="D128" s="2" t="s">
        <v>277</v>
      </c>
      <c r="E128" s="2" t="s">
        <v>278</v>
      </c>
      <c r="G128" s="2" t="s">
        <v>279</v>
      </c>
      <c r="H128" s="4" t="s">
        <v>80</v>
      </c>
      <c r="I128" s="4">
        <v>10</v>
      </c>
      <c r="J128" s="4">
        <v>4</v>
      </c>
      <c r="L128" s="2" t="s">
        <v>26</v>
      </c>
      <c r="M128" s="2" t="s">
        <v>27</v>
      </c>
      <c r="O128" s="2" t="s">
        <v>29</v>
      </c>
    </row>
    <row r="129" spans="1:15" ht="15.95">
      <c r="A129" s="2" t="s">
        <v>18</v>
      </c>
      <c r="B129" s="2" t="s">
        <v>19</v>
      </c>
      <c r="C129" s="2" t="s">
        <v>276</v>
      </c>
      <c r="D129" s="2" t="s">
        <v>277</v>
      </c>
      <c r="E129" s="2" t="s">
        <v>280</v>
      </c>
      <c r="G129" s="2" t="s">
        <v>281</v>
      </c>
      <c r="H129" s="4" t="s">
        <v>80</v>
      </c>
      <c r="I129" s="4">
        <v>10</v>
      </c>
      <c r="J129" s="4">
        <v>4</v>
      </c>
      <c r="L129" s="2" t="s">
        <v>26</v>
      </c>
      <c r="M129" s="2" t="s">
        <v>27</v>
      </c>
      <c r="O129" s="2" t="s">
        <v>29</v>
      </c>
    </row>
    <row r="130" spans="1:15" ht="30.95">
      <c r="A130" s="2" t="s">
        <v>18</v>
      </c>
      <c r="B130" s="2" t="s">
        <v>19</v>
      </c>
      <c r="C130" s="2" t="s">
        <v>276</v>
      </c>
      <c r="D130" s="2" t="s">
        <v>277</v>
      </c>
      <c r="E130" s="2" t="s">
        <v>282</v>
      </c>
      <c r="G130" s="2" t="s">
        <v>283</v>
      </c>
      <c r="H130" s="4" t="s">
        <v>80</v>
      </c>
      <c r="I130" s="4">
        <v>10</v>
      </c>
      <c r="J130" s="4">
        <v>4</v>
      </c>
      <c r="L130" s="2" t="s">
        <v>26</v>
      </c>
      <c r="M130" s="2" t="s">
        <v>27</v>
      </c>
      <c r="O130" s="2" t="s">
        <v>29</v>
      </c>
    </row>
    <row r="131" spans="1:15" ht="15.95">
      <c r="A131" s="2" t="s">
        <v>18</v>
      </c>
      <c r="B131" s="2" t="s">
        <v>19</v>
      </c>
      <c r="C131" s="2" t="s">
        <v>276</v>
      </c>
      <c r="D131" s="2" t="s">
        <v>277</v>
      </c>
      <c r="E131" s="2" t="s">
        <v>284</v>
      </c>
      <c r="G131" s="2" t="s">
        <v>285</v>
      </c>
      <c r="H131" s="4" t="s">
        <v>80</v>
      </c>
      <c r="I131" s="4">
        <v>10</v>
      </c>
      <c r="J131" s="4">
        <v>4</v>
      </c>
      <c r="L131" s="2" t="s">
        <v>26</v>
      </c>
      <c r="M131" s="2" t="s">
        <v>27</v>
      </c>
      <c r="O131" s="2" t="s">
        <v>29</v>
      </c>
    </row>
    <row r="132" spans="1:15" ht="15.95">
      <c r="A132" s="2" t="s">
        <v>18</v>
      </c>
      <c r="B132" s="2" t="s">
        <v>19</v>
      </c>
      <c r="C132" s="2" t="s">
        <v>276</v>
      </c>
      <c r="D132" s="2" t="s">
        <v>277</v>
      </c>
      <c r="E132" s="2" t="s">
        <v>40</v>
      </c>
      <c r="G132" s="2" t="s">
        <v>41</v>
      </c>
      <c r="H132" s="4" t="s">
        <v>42</v>
      </c>
      <c r="L132" s="2" t="s">
        <v>26</v>
      </c>
      <c r="M132" s="2" t="s">
        <v>27</v>
      </c>
      <c r="O132" s="2" t="s">
        <v>29</v>
      </c>
    </row>
    <row r="133" spans="1:15" ht="15.95">
      <c r="A133" s="2" t="s">
        <v>18</v>
      </c>
      <c r="B133" s="2" t="s">
        <v>19</v>
      </c>
      <c r="C133" s="2" t="s">
        <v>276</v>
      </c>
      <c r="D133" s="2" t="s">
        <v>277</v>
      </c>
      <c r="E133" s="2" t="s">
        <v>43</v>
      </c>
      <c r="G133" s="2" t="s">
        <v>44</v>
      </c>
      <c r="H133" s="4" t="s">
        <v>42</v>
      </c>
      <c r="L133" s="2" t="s">
        <v>45</v>
      </c>
      <c r="M133" s="2" t="s">
        <v>46</v>
      </c>
      <c r="O133" s="2" t="s">
        <v>29</v>
      </c>
    </row>
    <row r="134" spans="1:15" ht="30.95">
      <c r="A134" s="2" t="s">
        <v>18</v>
      </c>
      <c r="B134" s="2" t="s">
        <v>19</v>
      </c>
      <c r="C134" s="2" t="s">
        <v>276</v>
      </c>
      <c r="D134" s="2" t="s">
        <v>277</v>
      </c>
      <c r="E134" s="2" t="s">
        <v>286</v>
      </c>
      <c r="F134" s="2" t="s">
        <v>287</v>
      </c>
      <c r="G134" s="2" t="s">
        <v>288</v>
      </c>
      <c r="H134" s="4" t="s">
        <v>80</v>
      </c>
      <c r="I134" s="4">
        <v>10</v>
      </c>
      <c r="J134" s="4">
        <v>4</v>
      </c>
      <c r="L134" s="2" t="s">
        <v>26</v>
      </c>
      <c r="M134" s="2" t="s">
        <v>27</v>
      </c>
      <c r="O134" s="2" t="s">
        <v>29</v>
      </c>
    </row>
    <row r="135" spans="1:15" ht="30.95">
      <c r="A135" s="2" t="s">
        <v>18</v>
      </c>
      <c r="B135" s="2" t="s">
        <v>19</v>
      </c>
      <c r="C135" s="2" t="s">
        <v>289</v>
      </c>
      <c r="D135" s="2" t="s">
        <v>290</v>
      </c>
      <c r="E135" s="2" t="s">
        <v>30</v>
      </c>
      <c r="G135" s="2" t="s">
        <v>31</v>
      </c>
      <c r="H135" s="4" t="s">
        <v>25</v>
      </c>
      <c r="L135" s="2" t="s">
        <v>26</v>
      </c>
      <c r="M135" s="2" t="s">
        <v>27</v>
      </c>
      <c r="N135" s="2" t="s">
        <v>66</v>
      </c>
      <c r="O135" s="2" t="s">
        <v>29</v>
      </c>
    </row>
    <row r="136" spans="1:15" ht="30.95">
      <c r="A136" s="2" t="s">
        <v>18</v>
      </c>
      <c r="B136" s="2" t="s">
        <v>19</v>
      </c>
      <c r="C136" s="2" t="s">
        <v>289</v>
      </c>
      <c r="D136" s="2" t="s">
        <v>290</v>
      </c>
      <c r="E136" s="2" t="s">
        <v>22</v>
      </c>
      <c r="F136" s="2" t="s">
        <v>23</v>
      </c>
      <c r="G136" s="2" t="s">
        <v>24</v>
      </c>
      <c r="H136" s="4" t="s">
        <v>25</v>
      </c>
      <c r="L136" s="2" t="s">
        <v>26</v>
      </c>
      <c r="M136" s="2" t="s">
        <v>27</v>
      </c>
      <c r="N136" s="2" t="s">
        <v>28</v>
      </c>
      <c r="O136" s="2" t="s">
        <v>29</v>
      </c>
    </row>
    <row r="137" spans="1:15" ht="15.95">
      <c r="A137" s="2" t="s">
        <v>18</v>
      </c>
      <c r="B137" s="2" t="s">
        <v>19</v>
      </c>
      <c r="C137" s="2" t="s">
        <v>289</v>
      </c>
      <c r="D137" s="2" t="s">
        <v>290</v>
      </c>
      <c r="E137" s="2" t="s">
        <v>291</v>
      </c>
      <c r="G137" s="2" t="s">
        <v>292</v>
      </c>
      <c r="H137" s="4" t="s">
        <v>85</v>
      </c>
      <c r="I137" s="4">
        <v>50</v>
      </c>
      <c r="L137" s="2" t="s">
        <v>26</v>
      </c>
      <c r="M137" s="2" t="s">
        <v>27</v>
      </c>
      <c r="O137" s="2" t="s">
        <v>29</v>
      </c>
    </row>
    <row r="138" spans="1:15" ht="15.95">
      <c r="A138" s="2" t="s">
        <v>18</v>
      </c>
      <c r="B138" s="2" t="s">
        <v>19</v>
      </c>
      <c r="C138" s="2" t="s">
        <v>289</v>
      </c>
      <c r="D138" s="2" t="s">
        <v>290</v>
      </c>
      <c r="E138" s="2" t="s">
        <v>293</v>
      </c>
      <c r="G138" s="2" t="s">
        <v>294</v>
      </c>
      <c r="H138" s="4" t="s">
        <v>85</v>
      </c>
      <c r="I138" s="4">
        <v>50</v>
      </c>
      <c r="L138" s="2" t="s">
        <v>26</v>
      </c>
      <c r="M138" s="2" t="s">
        <v>27</v>
      </c>
      <c r="O138" s="2" t="s">
        <v>29</v>
      </c>
    </row>
    <row r="139" spans="1:15" ht="15.95">
      <c r="A139" s="2" t="s">
        <v>18</v>
      </c>
      <c r="B139" s="2" t="s">
        <v>19</v>
      </c>
      <c r="C139" s="2" t="s">
        <v>289</v>
      </c>
      <c r="D139" s="2" t="s">
        <v>290</v>
      </c>
      <c r="E139" s="2" t="s">
        <v>295</v>
      </c>
      <c r="G139" s="2" t="s">
        <v>296</v>
      </c>
      <c r="H139" s="4" t="s">
        <v>85</v>
      </c>
      <c r="I139" s="4">
        <v>50</v>
      </c>
      <c r="L139" s="2" t="s">
        <v>45</v>
      </c>
      <c r="M139" s="2" t="s">
        <v>46</v>
      </c>
      <c r="O139" s="2" t="s">
        <v>29</v>
      </c>
    </row>
    <row r="140" spans="1:15" ht="15.95">
      <c r="A140" s="2" t="s">
        <v>18</v>
      </c>
      <c r="B140" s="2" t="s">
        <v>19</v>
      </c>
      <c r="C140" s="2" t="s">
        <v>289</v>
      </c>
      <c r="D140" s="2" t="s">
        <v>290</v>
      </c>
      <c r="E140" s="2" t="s">
        <v>297</v>
      </c>
      <c r="G140" s="2" t="s">
        <v>298</v>
      </c>
      <c r="H140" s="4" t="s">
        <v>85</v>
      </c>
      <c r="I140" s="4">
        <v>50</v>
      </c>
      <c r="L140" s="2" t="s">
        <v>45</v>
      </c>
      <c r="M140" s="2" t="s">
        <v>46</v>
      </c>
      <c r="O140" s="2" t="s">
        <v>29</v>
      </c>
    </row>
    <row r="141" spans="1:15" ht="15.95">
      <c r="A141" s="2" t="s">
        <v>18</v>
      </c>
      <c r="B141" s="2" t="s">
        <v>19</v>
      </c>
      <c r="C141" s="2" t="s">
        <v>289</v>
      </c>
      <c r="D141" s="2" t="s">
        <v>290</v>
      </c>
      <c r="E141" s="2" t="s">
        <v>40</v>
      </c>
      <c r="G141" s="2" t="s">
        <v>41</v>
      </c>
      <c r="H141" s="4" t="s">
        <v>42</v>
      </c>
      <c r="L141" s="2" t="s">
        <v>26</v>
      </c>
      <c r="M141" s="2" t="s">
        <v>27</v>
      </c>
      <c r="O141" s="2" t="s">
        <v>29</v>
      </c>
    </row>
    <row r="142" spans="1:15" ht="15.95">
      <c r="A142" s="2" t="s">
        <v>18</v>
      </c>
      <c r="B142" s="2" t="s">
        <v>19</v>
      </c>
      <c r="C142" s="2" t="s">
        <v>289</v>
      </c>
      <c r="D142" s="2" t="s">
        <v>290</v>
      </c>
      <c r="E142" s="2" t="s">
        <v>43</v>
      </c>
      <c r="G142" s="2" t="s">
        <v>44</v>
      </c>
      <c r="H142" s="4" t="s">
        <v>42</v>
      </c>
      <c r="L142" s="2" t="s">
        <v>45</v>
      </c>
      <c r="M142" s="2" t="s">
        <v>46</v>
      </c>
      <c r="O142" s="2" t="s">
        <v>29</v>
      </c>
    </row>
    <row r="143" spans="1:15" ht="15.95">
      <c r="A143" s="2" t="s">
        <v>18</v>
      </c>
      <c r="B143" s="2" t="s">
        <v>19</v>
      </c>
      <c r="C143" s="2" t="s">
        <v>299</v>
      </c>
      <c r="D143" s="2" t="s">
        <v>300</v>
      </c>
      <c r="E143" s="2" t="s">
        <v>64</v>
      </c>
      <c r="G143" s="2" t="s">
        <v>65</v>
      </c>
      <c r="H143" s="4" t="s">
        <v>25</v>
      </c>
      <c r="L143" s="2" t="s">
        <v>26</v>
      </c>
      <c r="M143" s="2" t="s">
        <v>27</v>
      </c>
      <c r="N143" s="2" t="s">
        <v>32</v>
      </c>
      <c r="O143" s="2" t="s">
        <v>29</v>
      </c>
    </row>
    <row r="144" spans="1:15" ht="30.95">
      <c r="A144" s="2" t="s">
        <v>18</v>
      </c>
      <c r="B144" s="2" t="s">
        <v>19</v>
      </c>
      <c r="C144" s="2" t="s">
        <v>299</v>
      </c>
      <c r="D144" s="2" t="s">
        <v>300</v>
      </c>
      <c r="E144" s="2" t="s">
        <v>30</v>
      </c>
      <c r="G144" s="2" t="s">
        <v>31</v>
      </c>
      <c r="H144" s="4" t="s">
        <v>25</v>
      </c>
      <c r="L144" s="2" t="s">
        <v>26</v>
      </c>
      <c r="M144" s="2" t="s">
        <v>27</v>
      </c>
      <c r="N144" s="2" t="s">
        <v>32</v>
      </c>
      <c r="O144" s="2" t="s">
        <v>29</v>
      </c>
    </row>
    <row r="145" spans="1:15" ht="30.95">
      <c r="A145" s="2" t="s">
        <v>18</v>
      </c>
      <c r="B145" s="2" t="s">
        <v>19</v>
      </c>
      <c r="C145" s="2" t="s">
        <v>299</v>
      </c>
      <c r="D145" s="2" t="s">
        <v>300</v>
      </c>
      <c r="E145" s="2" t="s">
        <v>58</v>
      </c>
      <c r="F145" s="2" t="s">
        <v>59</v>
      </c>
      <c r="G145" s="2" t="s">
        <v>60</v>
      </c>
      <c r="H145" s="4" t="s">
        <v>25</v>
      </c>
      <c r="L145" s="2" t="s">
        <v>26</v>
      </c>
      <c r="M145" s="2" t="s">
        <v>27</v>
      </c>
      <c r="N145" s="2" t="s">
        <v>32</v>
      </c>
      <c r="O145" s="2" t="s">
        <v>29</v>
      </c>
    </row>
    <row r="146" spans="1:15" ht="30.95">
      <c r="A146" s="2" t="s">
        <v>18</v>
      </c>
      <c r="B146" s="2" t="s">
        <v>19</v>
      </c>
      <c r="C146" s="2" t="s">
        <v>299</v>
      </c>
      <c r="D146" s="2" t="s">
        <v>300</v>
      </c>
      <c r="E146" s="2" t="s">
        <v>22</v>
      </c>
      <c r="F146" s="2" t="s">
        <v>23</v>
      </c>
      <c r="G146" s="2" t="s">
        <v>24</v>
      </c>
      <c r="H146" s="4" t="s">
        <v>25</v>
      </c>
      <c r="L146" s="2" t="s">
        <v>26</v>
      </c>
      <c r="M146" s="2" t="s">
        <v>27</v>
      </c>
      <c r="N146" s="2" t="s">
        <v>28</v>
      </c>
      <c r="O146" s="2" t="s">
        <v>29</v>
      </c>
    </row>
    <row r="147" spans="1:15" ht="15.95">
      <c r="A147" s="2" t="s">
        <v>18</v>
      </c>
      <c r="B147" s="2" t="s">
        <v>19</v>
      </c>
      <c r="C147" s="2" t="s">
        <v>299</v>
      </c>
      <c r="D147" s="2" t="s">
        <v>300</v>
      </c>
      <c r="E147" s="2" t="s">
        <v>301</v>
      </c>
      <c r="G147" s="2" t="s">
        <v>302</v>
      </c>
      <c r="H147" s="4" t="s">
        <v>35</v>
      </c>
      <c r="I147" s="4">
        <v>10</v>
      </c>
      <c r="J147" s="4">
        <v>4</v>
      </c>
      <c r="L147" s="2" t="s">
        <v>45</v>
      </c>
      <c r="M147" s="2" t="s">
        <v>46</v>
      </c>
      <c r="O147" s="2" t="s">
        <v>29</v>
      </c>
    </row>
    <row r="148" spans="1:15" ht="30.95">
      <c r="A148" s="2" t="s">
        <v>18</v>
      </c>
      <c r="B148" s="2" t="s">
        <v>19</v>
      </c>
      <c r="C148" s="2" t="s">
        <v>299</v>
      </c>
      <c r="D148" s="2" t="s">
        <v>300</v>
      </c>
      <c r="E148" s="2" t="s">
        <v>303</v>
      </c>
      <c r="G148" s="2" t="s">
        <v>304</v>
      </c>
      <c r="H148" s="4" t="s">
        <v>85</v>
      </c>
      <c r="I148" s="4">
        <v>20</v>
      </c>
      <c r="L148" s="2" t="s">
        <v>45</v>
      </c>
      <c r="M148" s="2" t="s">
        <v>46</v>
      </c>
      <c r="O148" s="2" t="s">
        <v>29</v>
      </c>
    </row>
    <row r="149" spans="1:15" ht="15.95">
      <c r="A149" s="2" t="s">
        <v>18</v>
      </c>
      <c r="B149" s="2" t="s">
        <v>19</v>
      </c>
      <c r="C149" s="2" t="s">
        <v>299</v>
      </c>
      <c r="D149" s="2" t="s">
        <v>300</v>
      </c>
      <c r="E149" s="2" t="s">
        <v>305</v>
      </c>
      <c r="G149" s="2" t="s">
        <v>306</v>
      </c>
      <c r="H149" s="4" t="s">
        <v>35</v>
      </c>
      <c r="I149" s="4">
        <v>10</v>
      </c>
      <c r="J149" s="4">
        <v>4</v>
      </c>
      <c r="L149" s="2" t="s">
        <v>45</v>
      </c>
      <c r="M149" s="2" t="s">
        <v>46</v>
      </c>
      <c r="O149" s="2" t="s">
        <v>29</v>
      </c>
    </row>
    <row r="150" spans="1:15" ht="15.95">
      <c r="A150" s="2" t="s">
        <v>18</v>
      </c>
      <c r="B150" s="2" t="s">
        <v>19</v>
      </c>
      <c r="C150" s="2" t="s">
        <v>299</v>
      </c>
      <c r="D150" s="2" t="s">
        <v>300</v>
      </c>
      <c r="E150" s="2" t="s">
        <v>307</v>
      </c>
      <c r="G150" s="2" t="s">
        <v>308</v>
      </c>
      <c r="H150" s="4" t="s">
        <v>35</v>
      </c>
      <c r="I150" s="4">
        <v>10</v>
      </c>
      <c r="J150" s="4">
        <v>4</v>
      </c>
      <c r="L150" s="2" t="s">
        <v>45</v>
      </c>
      <c r="M150" s="2" t="s">
        <v>46</v>
      </c>
      <c r="O150" s="2" t="s">
        <v>29</v>
      </c>
    </row>
    <row r="151" spans="1:15" ht="15.95">
      <c r="A151" s="2" t="s">
        <v>18</v>
      </c>
      <c r="B151" s="2" t="s">
        <v>19</v>
      </c>
      <c r="C151" s="2" t="s">
        <v>299</v>
      </c>
      <c r="D151" s="2" t="s">
        <v>300</v>
      </c>
      <c r="E151" s="2" t="s">
        <v>40</v>
      </c>
      <c r="G151" s="2" t="s">
        <v>41</v>
      </c>
      <c r="H151" s="4" t="s">
        <v>42</v>
      </c>
      <c r="L151" s="2" t="s">
        <v>26</v>
      </c>
      <c r="M151" s="2" t="s">
        <v>27</v>
      </c>
      <c r="O151" s="2" t="s">
        <v>29</v>
      </c>
    </row>
    <row r="152" spans="1:15" ht="15.95">
      <c r="A152" s="2" t="s">
        <v>18</v>
      </c>
      <c r="B152" s="2" t="s">
        <v>19</v>
      </c>
      <c r="C152" s="2" t="s">
        <v>299</v>
      </c>
      <c r="D152" s="2" t="s">
        <v>300</v>
      </c>
      <c r="E152" s="2" t="s">
        <v>43</v>
      </c>
      <c r="G152" s="2" t="s">
        <v>44</v>
      </c>
      <c r="H152" s="4" t="s">
        <v>42</v>
      </c>
      <c r="L152" s="2" t="s">
        <v>45</v>
      </c>
      <c r="M152" s="2" t="s">
        <v>46</v>
      </c>
      <c r="O152" s="2" t="s">
        <v>29</v>
      </c>
    </row>
    <row r="153" spans="1:15" ht="30.95">
      <c r="A153" s="2" t="s">
        <v>18</v>
      </c>
      <c r="B153" s="2" t="s">
        <v>19</v>
      </c>
      <c r="C153" s="2" t="s">
        <v>309</v>
      </c>
      <c r="D153" s="2" t="s">
        <v>310</v>
      </c>
      <c r="E153" s="2" t="s">
        <v>98</v>
      </c>
      <c r="F153" s="2" t="s">
        <v>99</v>
      </c>
      <c r="G153" s="2" t="s">
        <v>100</v>
      </c>
      <c r="H153" s="4" t="s">
        <v>25</v>
      </c>
      <c r="L153" s="2" t="s">
        <v>26</v>
      </c>
      <c r="M153" s="2" t="s">
        <v>27</v>
      </c>
      <c r="N153" s="2" t="s">
        <v>66</v>
      </c>
      <c r="O153" s="2" t="s">
        <v>29</v>
      </c>
    </row>
    <row r="154" spans="1:15" ht="15.95">
      <c r="A154" s="2" t="s">
        <v>18</v>
      </c>
      <c r="B154" s="2" t="s">
        <v>19</v>
      </c>
      <c r="C154" s="2" t="s">
        <v>309</v>
      </c>
      <c r="D154" s="2" t="s">
        <v>310</v>
      </c>
      <c r="E154" s="2" t="s">
        <v>311</v>
      </c>
      <c r="G154" s="2" t="s">
        <v>312</v>
      </c>
      <c r="H154" s="4" t="s">
        <v>85</v>
      </c>
      <c r="I154" s="4">
        <v>50</v>
      </c>
      <c r="L154" s="2" t="s">
        <v>26</v>
      </c>
      <c r="M154" s="2" t="s">
        <v>27</v>
      </c>
      <c r="O154" s="2" t="s">
        <v>29</v>
      </c>
    </row>
    <row r="155" spans="1:15" ht="15.95">
      <c r="A155" s="2" t="s">
        <v>18</v>
      </c>
      <c r="B155" s="2" t="s">
        <v>19</v>
      </c>
      <c r="C155" s="2" t="s">
        <v>309</v>
      </c>
      <c r="D155" s="2" t="s">
        <v>310</v>
      </c>
      <c r="E155" s="2" t="s">
        <v>313</v>
      </c>
      <c r="G155" s="2" t="s">
        <v>314</v>
      </c>
      <c r="H155" s="4" t="s">
        <v>85</v>
      </c>
      <c r="I155" s="4">
        <v>20</v>
      </c>
      <c r="L155" s="2" t="s">
        <v>45</v>
      </c>
      <c r="M155" s="2" t="s">
        <v>46</v>
      </c>
      <c r="O155" s="2" t="s">
        <v>29</v>
      </c>
    </row>
    <row r="156" spans="1:15" ht="30.95">
      <c r="A156" s="2" t="s">
        <v>18</v>
      </c>
      <c r="B156" s="2" t="s">
        <v>19</v>
      </c>
      <c r="C156" s="2" t="s">
        <v>309</v>
      </c>
      <c r="D156" s="2" t="s">
        <v>310</v>
      </c>
      <c r="E156" s="2" t="s">
        <v>315</v>
      </c>
      <c r="F156" s="2" t="s">
        <v>316</v>
      </c>
      <c r="G156" s="2" t="s">
        <v>317</v>
      </c>
      <c r="H156" s="4" t="s">
        <v>85</v>
      </c>
      <c r="I156" s="4">
        <v>50</v>
      </c>
      <c r="L156" s="2" t="s">
        <v>45</v>
      </c>
      <c r="M156" s="2" t="s">
        <v>46</v>
      </c>
      <c r="O156" s="2" t="s">
        <v>29</v>
      </c>
    </row>
    <row r="157" spans="1:15" ht="15.95">
      <c r="A157" s="2" t="s">
        <v>18</v>
      </c>
      <c r="B157" s="2" t="s">
        <v>19</v>
      </c>
      <c r="C157" s="2" t="s">
        <v>309</v>
      </c>
      <c r="D157" s="2" t="s">
        <v>310</v>
      </c>
      <c r="E157" s="2" t="s">
        <v>318</v>
      </c>
      <c r="G157" s="2" t="s">
        <v>319</v>
      </c>
      <c r="H157" s="4" t="s">
        <v>85</v>
      </c>
      <c r="I157" s="4">
        <v>50</v>
      </c>
      <c r="L157" s="2" t="s">
        <v>45</v>
      </c>
      <c r="M157" s="2" t="s">
        <v>46</v>
      </c>
      <c r="O157" s="2" t="s">
        <v>29</v>
      </c>
    </row>
    <row r="158" spans="1:15" ht="30.95">
      <c r="A158" s="2" t="s">
        <v>18</v>
      </c>
      <c r="B158" s="2" t="s">
        <v>19</v>
      </c>
      <c r="C158" s="2" t="s">
        <v>309</v>
      </c>
      <c r="D158" s="2" t="s">
        <v>310</v>
      </c>
      <c r="E158" s="2" t="s">
        <v>320</v>
      </c>
      <c r="G158" s="2" t="s">
        <v>321</v>
      </c>
      <c r="H158" s="4" t="s">
        <v>35</v>
      </c>
      <c r="I158" s="4">
        <v>10</v>
      </c>
      <c r="J158" s="4">
        <v>2</v>
      </c>
      <c r="L158" s="2" t="s">
        <v>45</v>
      </c>
      <c r="M158" s="2" t="s">
        <v>46</v>
      </c>
      <c r="O158" s="2" t="s">
        <v>29</v>
      </c>
    </row>
    <row r="159" spans="1:15" ht="30.95">
      <c r="A159" s="2" t="s">
        <v>18</v>
      </c>
      <c r="B159" s="2" t="s">
        <v>19</v>
      </c>
      <c r="C159" s="2" t="s">
        <v>309</v>
      </c>
      <c r="D159" s="2" t="s">
        <v>310</v>
      </c>
      <c r="E159" s="2" t="s">
        <v>322</v>
      </c>
      <c r="G159" s="2" t="s">
        <v>323</v>
      </c>
      <c r="H159" s="4" t="s">
        <v>85</v>
      </c>
      <c r="I159" s="4">
        <v>50</v>
      </c>
      <c r="L159" s="2" t="s">
        <v>45</v>
      </c>
      <c r="M159" s="2" t="s">
        <v>46</v>
      </c>
      <c r="O159" s="2" t="s">
        <v>29</v>
      </c>
    </row>
    <row r="160" spans="1:15" ht="30.95">
      <c r="A160" s="2" t="s">
        <v>18</v>
      </c>
      <c r="B160" s="2" t="s">
        <v>19</v>
      </c>
      <c r="C160" s="2" t="s">
        <v>309</v>
      </c>
      <c r="D160" s="2" t="s">
        <v>310</v>
      </c>
      <c r="E160" s="2" t="s">
        <v>324</v>
      </c>
      <c r="F160" s="2" t="s">
        <v>59</v>
      </c>
      <c r="G160" s="2" t="s">
        <v>325</v>
      </c>
      <c r="H160" s="4" t="s">
        <v>25</v>
      </c>
      <c r="L160" s="2" t="s">
        <v>45</v>
      </c>
      <c r="M160" s="2" t="s">
        <v>46</v>
      </c>
      <c r="N160" s="2" t="s">
        <v>28</v>
      </c>
      <c r="O160" s="2" t="s">
        <v>29</v>
      </c>
    </row>
    <row r="161" spans="1:15" ht="15.95">
      <c r="A161" s="2" t="s">
        <v>18</v>
      </c>
      <c r="B161" s="2" t="s">
        <v>19</v>
      </c>
      <c r="C161" s="2" t="s">
        <v>309</v>
      </c>
      <c r="D161" s="2" t="s">
        <v>310</v>
      </c>
      <c r="E161" s="2" t="s">
        <v>326</v>
      </c>
      <c r="G161" s="2" t="s">
        <v>327</v>
      </c>
      <c r="H161" s="4" t="s">
        <v>74</v>
      </c>
      <c r="L161" s="2" t="s">
        <v>45</v>
      </c>
      <c r="M161" s="2" t="s">
        <v>46</v>
      </c>
      <c r="O161" s="2" t="s">
        <v>29</v>
      </c>
    </row>
    <row r="162" spans="1:15" ht="15.95">
      <c r="A162" s="2" t="s">
        <v>18</v>
      </c>
      <c r="B162" s="2" t="s">
        <v>19</v>
      </c>
      <c r="C162" s="2" t="s">
        <v>309</v>
      </c>
      <c r="D162" s="2" t="s">
        <v>310</v>
      </c>
      <c r="E162" s="2" t="s">
        <v>40</v>
      </c>
      <c r="G162" s="2" t="s">
        <v>328</v>
      </c>
      <c r="H162" s="4" t="s">
        <v>42</v>
      </c>
      <c r="L162" s="2" t="s">
        <v>26</v>
      </c>
      <c r="M162" s="2" t="s">
        <v>27</v>
      </c>
      <c r="O162" s="2" t="s">
        <v>29</v>
      </c>
    </row>
    <row r="163" spans="1:15" ht="15.95">
      <c r="A163" s="2" t="s">
        <v>18</v>
      </c>
      <c r="B163" s="2" t="s">
        <v>19</v>
      </c>
      <c r="C163" s="2" t="s">
        <v>309</v>
      </c>
      <c r="D163" s="2" t="s">
        <v>310</v>
      </c>
      <c r="E163" s="2" t="s">
        <v>43</v>
      </c>
      <c r="G163" s="2" t="s">
        <v>44</v>
      </c>
      <c r="H163" s="4" t="s">
        <v>42</v>
      </c>
      <c r="L163" s="2" t="s">
        <v>45</v>
      </c>
      <c r="M163" s="2" t="s">
        <v>46</v>
      </c>
      <c r="O163" s="2" t="s">
        <v>29</v>
      </c>
    </row>
    <row r="164" spans="1:15" ht="30.95">
      <c r="A164" s="2" t="s">
        <v>18</v>
      </c>
      <c r="B164" s="2" t="s">
        <v>19</v>
      </c>
      <c r="C164" s="2" t="s">
        <v>309</v>
      </c>
      <c r="D164" s="2" t="s">
        <v>310</v>
      </c>
      <c r="E164" s="2" t="s">
        <v>22</v>
      </c>
      <c r="F164" s="2" t="s">
        <v>23</v>
      </c>
      <c r="G164" s="2" t="s">
        <v>24</v>
      </c>
      <c r="H164" s="4" t="s">
        <v>25</v>
      </c>
      <c r="L164" s="2" t="s">
        <v>26</v>
      </c>
      <c r="M164" s="2" t="s">
        <v>27</v>
      </c>
      <c r="N164" s="2" t="s">
        <v>28</v>
      </c>
      <c r="O164" s="2" t="s">
        <v>29</v>
      </c>
    </row>
  </sheetData>
  <autoFilter ref="A3:P164" xr:uid="{8761CCAC-3045-41EB-9932-AEC7826CBCE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DB4A-4205-46B7-9DE2-4C3AB74F0EB3}">
  <sheetPr>
    <tabColor rgb="FFA9D08E"/>
  </sheetPr>
  <dimension ref="A1:G455"/>
  <sheetViews>
    <sheetView topLeftCell="C1" workbookViewId="0">
      <selection activeCell="D460" sqref="D460"/>
    </sheetView>
  </sheetViews>
  <sheetFormatPr defaultColWidth="8.85546875" defaultRowHeight="15"/>
  <cols>
    <col min="1" max="1" width="30.140625" style="11" bestFit="1" customWidth="1"/>
    <col min="2" max="2" width="44.28515625" style="11" customWidth="1"/>
    <col min="3" max="3" width="45" style="18" customWidth="1"/>
    <col min="4" max="4" width="135" style="18" bestFit="1" customWidth="1"/>
    <col min="5" max="5" width="25.140625" style="11" hidden="1" customWidth="1"/>
    <col min="6" max="6" width="89.140625" style="11" customWidth="1"/>
    <col min="7" max="7" width="45.42578125" style="11" customWidth="1"/>
    <col min="8" max="16384" width="8.85546875" style="11"/>
  </cols>
  <sheetData>
    <row r="1" spans="1:7" ht="15.95">
      <c r="A1" s="11" t="s">
        <v>329</v>
      </c>
      <c r="B1" s="11" t="s">
        <v>330</v>
      </c>
      <c r="C1" s="18" t="s">
        <v>331</v>
      </c>
      <c r="D1" s="18" t="s">
        <v>332</v>
      </c>
      <c r="E1" s="11" t="s">
        <v>333</v>
      </c>
      <c r="F1" s="11" t="s">
        <v>334</v>
      </c>
      <c r="G1" s="11" t="s">
        <v>335</v>
      </c>
    </row>
    <row r="2" spans="1:7" ht="15.95" hidden="1">
      <c r="A2" s="11" t="s">
        <v>336</v>
      </c>
      <c r="B2" s="11" t="s">
        <v>337</v>
      </c>
      <c r="C2" s="18" t="s">
        <v>338</v>
      </c>
      <c r="D2" s="94" t="s">
        <v>339</v>
      </c>
      <c r="E2" s="12" t="s">
        <v>340</v>
      </c>
      <c r="F2" s="11" t="s">
        <v>341</v>
      </c>
    </row>
    <row r="3" spans="1:7" ht="15.95" hidden="1">
      <c r="A3" s="11" t="s">
        <v>336</v>
      </c>
      <c r="B3" s="11" t="s">
        <v>337</v>
      </c>
      <c r="C3" s="18" t="s">
        <v>342</v>
      </c>
      <c r="D3" s="22" t="s">
        <v>343</v>
      </c>
      <c r="E3" s="13" t="s">
        <v>340</v>
      </c>
    </row>
    <row r="4" spans="1:7" ht="15.95" hidden="1">
      <c r="A4" s="11" t="s">
        <v>336</v>
      </c>
      <c r="B4" s="11" t="s">
        <v>337</v>
      </c>
      <c r="C4" s="18" t="s">
        <v>344</v>
      </c>
      <c r="D4" s="22" t="s">
        <v>345</v>
      </c>
      <c r="E4" s="13" t="s">
        <v>340</v>
      </c>
      <c r="F4" s="11" t="s">
        <v>346</v>
      </c>
    </row>
    <row r="5" spans="1:7" ht="15.95" hidden="1">
      <c r="A5" s="11" t="s">
        <v>336</v>
      </c>
      <c r="B5" s="11" t="s">
        <v>347</v>
      </c>
      <c r="C5" s="18" t="s">
        <v>338</v>
      </c>
      <c r="D5" s="95" t="s">
        <v>339</v>
      </c>
      <c r="E5" s="12" t="s">
        <v>340</v>
      </c>
      <c r="F5" s="11" t="s">
        <v>348</v>
      </c>
    </row>
    <row r="6" spans="1:7" ht="15.95" hidden="1">
      <c r="A6" s="11" t="s">
        <v>336</v>
      </c>
      <c r="B6" s="11" t="s">
        <v>347</v>
      </c>
      <c r="C6" s="18" t="s">
        <v>342</v>
      </c>
      <c r="D6" s="22" t="s">
        <v>349</v>
      </c>
      <c r="E6" s="13" t="s">
        <v>340</v>
      </c>
    </row>
    <row r="7" spans="1:7" ht="15.95" hidden="1">
      <c r="A7" s="11" t="s">
        <v>336</v>
      </c>
      <c r="B7" s="11" t="s">
        <v>347</v>
      </c>
      <c r="C7" s="18" t="s">
        <v>344</v>
      </c>
      <c r="D7" s="22" t="s">
        <v>345</v>
      </c>
      <c r="E7" s="13" t="s">
        <v>340</v>
      </c>
    </row>
    <row r="8" spans="1:7" ht="15.95" hidden="1">
      <c r="A8" s="11" t="s">
        <v>336</v>
      </c>
      <c r="B8" s="11" t="s">
        <v>350</v>
      </c>
      <c r="C8" s="18" t="s">
        <v>351</v>
      </c>
      <c r="D8" s="18" t="s">
        <v>352</v>
      </c>
      <c r="E8" s="13" t="s">
        <v>340</v>
      </c>
    </row>
    <row r="9" spans="1:7" ht="15.95" hidden="1">
      <c r="A9" s="11" t="s">
        <v>336</v>
      </c>
      <c r="B9" s="11" t="s">
        <v>350</v>
      </c>
      <c r="C9" s="18" t="s">
        <v>338</v>
      </c>
      <c r="D9" s="94" t="s">
        <v>339</v>
      </c>
      <c r="E9" s="12" t="s">
        <v>340</v>
      </c>
      <c r="F9" s="11" t="s">
        <v>353</v>
      </c>
    </row>
    <row r="10" spans="1:7" ht="15.95" hidden="1">
      <c r="A10" s="11" t="s">
        <v>336</v>
      </c>
      <c r="B10" s="11" t="s">
        <v>354</v>
      </c>
      <c r="C10" s="18" t="s">
        <v>355</v>
      </c>
      <c r="D10" s="18" t="s">
        <v>352</v>
      </c>
      <c r="E10" s="13" t="s">
        <v>340</v>
      </c>
    </row>
    <row r="11" spans="1:7" ht="15.95" hidden="1">
      <c r="A11" s="11" t="s">
        <v>336</v>
      </c>
      <c r="B11" s="11" t="s">
        <v>354</v>
      </c>
      <c r="C11" s="18" t="s">
        <v>241</v>
      </c>
      <c r="D11" s="18" t="s">
        <v>356</v>
      </c>
      <c r="E11" s="13" t="s">
        <v>340</v>
      </c>
    </row>
    <row r="12" spans="1:7" ht="15.95" hidden="1">
      <c r="A12" s="11" t="s">
        <v>336</v>
      </c>
      <c r="B12" s="11" t="s">
        <v>354</v>
      </c>
      <c r="C12" s="18" t="s">
        <v>338</v>
      </c>
      <c r="D12" s="94" t="s">
        <v>339</v>
      </c>
      <c r="E12" s="12" t="s">
        <v>340</v>
      </c>
      <c r="F12" s="11" t="s">
        <v>357</v>
      </c>
    </row>
    <row r="13" spans="1:7" ht="15.95" hidden="1">
      <c r="A13" s="11" t="s">
        <v>336</v>
      </c>
      <c r="B13" s="11" t="s">
        <v>358</v>
      </c>
      <c r="C13" s="18" t="s">
        <v>355</v>
      </c>
      <c r="D13" s="18" t="s">
        <v>352</v>
      </c>
      <c r="E13" s="13" t="s">
        <v>340</v>
      </c>
    </row>
    <row r="14" spans="1:7" ht="15.95" hidden="1">
      <c r="A14" s="11" t="s">
        <v>336</v>
      </c>
      <c r="B14" s="11" t="s">
        <v>358</v>
      </c>
      <c r="C14" s="18" t="s">
        <v>241</v>
      </c>
      <c r="D14" s="18" t="s">
        <v>356</v>
      </c>
      <c r="E14" s="13" t="s">
        <v>340</v>
      </c>
    </row>
    <row r="15" spans="1:7" ht="15.95" hidden="1">
      <c r="A15" s="11" t="s">
        <v>336</v>
      </c>
      <c r="B15" s="11" t="s">
        <v>358</v>
      </c>
      <c r="C15" s="18" t="s">
        <v>338</v>
      </c>
      <c r="D15" s="94" t="s">
        <v>339</v>
      </c>
      <c r="E15" s="12" t="s">
        <v>340</v>
      </c>
      <c r="F15" s="11" t="s">
        <v>359</v>
      </c>
    </row>
    <row r="16" spans="1:7" ht="15.95" hidden="1">
      <c r="A16" s="11" t="s">
        <v>336</v>
      </c>
      <c r="B16" s="11" t="s">
        <v>360</v>
      </c>
      <c r="C16" s="18" t="s">
        <v>355</v>
      </c>
      <c r="D16" s="18" t="s">
        <v>352</v>
      </c>
      <c r="E16" s="13" t="s">
        <v>340</v>
      </c>
    </row>
    <row r="17" spans="1:6" ht="15.95" hidden="1">
      <c r="A17" s="11" t="s">
        <v>336</v>
      </c>
      <c r="B17" s="11" t="s">
        <v>360</v>
      </c>
      <c r="C17" s="18" t="s">
        <v>243</v>
      </c>
      <c r="D17" s="18" t="s">
        <v>356</v>
      </c>
      <c r="E17" s="13" t="s">
        <v>340</v>
      </c>
    </row>
    <row r="18" spans="1:6" ht="15.95" hidden="1">
      <c r="A18" s="11" t="s">
        <v>336</v>
      </c>
      <c r="B18" s="11" t="s">
        <v>360</v>
      </c>
      <c r="C18" s="18" t="s">
        <v>344</v>
      </c>
      <c r="D18" s="22" t="s">
        <v>361</v>
      </c>
      <c r="E18" s="13" t="s">
        <v>340</v>
      </c>
    </row>
    <row r="19" spans="1:6" ht="15.95" hidden="1">
      <c r="A19" s="11" t="s">
        <v>336</v>
      </c>
      <c r="B19" s="11" t="s">
        <v>360</v>
      </c>
      <c r="C19" s="18" t="s">
        <v>362</v>
      </c>
      <c r="D19" s="18" t="s">
        <v>363</v>
      </c>
      <c r="E19" s="13" t="s">
        <v>340</v>
      </c>
    </row>
    <row r="20" spans="1:6" ht="15.95" hidden="1">
      <c r="A20" s="11" t="s">
        <v>336</v>
      </c>
      <c r="B20" s="11" t="s">
        <v>360</v>
      </c>
      <c r="C20" s="18" t="s">
        <v>364</v>
      </c>
      <c r="D20" s="18" t="s">
        <v>365</v>
      </c>
      <c r="E20" s="13" t="s">
        <v>340</v>
      </c>
    </row>
    <row r="21" spans="1:6" ht="32.1" hidden="1">
      <c r="A21" s="11" t="s">
        <v>336</v>
      </c>
      <c r="B21" s="11" t="s">
        <v>360</v>
      </c>
      <c r="C21" s="18" t="s">
        <v>366</v>
      </c>
      <c r="D21" s="18" t="s">
        <v>367</v>
      </c>
      <c r="E21" s="13" t="s">
        <v>340</v>
      </c>
    </row>
    <row r="22" spans="1:6" ht="15.95" hidden="1">
      <c r="A22" s="11" t="s">
        <v>336</v>
      </c>
      <c r="B22" s="11" t="s">
        <v>360</v>
      </c>
      <c r="C22" s="18" t="s">
        <v>338</v>
      </c>
      <c r="D22" s="94" t="s">
        <v>339</v>
      </c>
      <c r="E22" s="12" t="s">
        <v>340</v>
      </c>
      <c r="F22" s="11" t="s">
        <v>368</v>
      </c>
    </row>
    <row r="23" spans="1:6" ht="15.95" hidden="1">
      <c r="A23" s="11" t="s">
        <v>336</v>
      </c>
      <c r="B23" s="11" t="s">
        <v>369</v>
      </c>
      <c r="C23" s="18" t="s">
        <v>370</v>
      </c>
      <c r="D23" s="18" t="s">
        <v>371</v>
      </c>
      <c r="E23" s="13" t="s">
        <v>340</v>
      </c>
    </row>
    <row r="24" spans="1:6" ht="15.95" hidden="1">
      <c r="A24" s="11" t="s">
        <v>336</v>
      </c>
      <c r="B24" s="11" t="s">
        <v>369</v>
      </c>
      <c r="C24" s="18" t="s">
        <v>243</v>
      </c>
      <c r="D24" s="18" t="s">
        <v>356</v>
      </c>
      <c r="E24" s="13" t="s">
        <v>340</v>
      </c>
    </row>
    <row r="25" spans="1:6" ht="15.95" hidden="1">
      <c r="A25" s="11" t="s">
        <v>336</v>
      </c>
      <c r="B25" s="11" t="s">
        <v>369</v>
      </c>
      <c r="C25" s="18" t="s">
        <v>372</v>
      </c>
      <c r="D25" s="18" t="s">
        <v>373</v>
      </c>
      <c r="E25" s="13" t="s">
        <v>340</v>
      </c>
    </row>
    <row r="26" spans="1:6" ht="15.95" hidden="1">
      <c r="A26" s="11" t="s">
        <v>336</v>
      </c>
      <c r="B26" s="11" t="s">
        <v>369</v>
      </c>
      <c r="C26" s="18" t="s">
        <v>307</v>
      </c>
      <c r="D26" s="18" t="s">
        <v>374</v>
      </c>
      <c r="E26" s="13" t="s">
        <v>340</v>
      </c>
    </row>
    <row r="27" spans="1:6" ht="15.95" hidden="1">
      <c r="A27" s="11" t="s">
        <v>336</v>
      </c>
      <c r="B27" s="11" t="s">
        <v>369</v>
      </c>
      <c r="C27" s="18" t="s">
        <v>375</v>
      </c>
      <c r="D27" s="18" t="s">
        <v>376</v>
      </c>
      <c r="E27" s="13" t="s">
        <v>340</v>
      </c>
    </row>
    <row r="28" spans="1:6" ht="15.95" hidden="1">
      <c r="A28" s="11" t="s">
        <v>336</v>
      </c>
      <c r="B28" s="11" t="s">
        <v>369</v>
      </c>
      <c r="C28" s="18" t="s">
        <v>377</v>
      </c>
      <c r="D28" s="18" t="s">
        <v>378</v>
      </c>
      <c r="E28" s="13" t="s">
        <v>340</v>
      </c>
    </row>
    <row r="29" spans="1:6" ht="15.95" hidden="1">
      <c r="A29" s="11" t="s">
        <v>336</v>
      </c>
      <c r="B29" s="11" t="s">
        <v>369</v>
      </c>
      <c r="C29" s="18" t="s">
        <v>305</v>
      </c>
      <c r="D29" s="18" t="s">
        <v>379</v>
      </c>
      <c r="E29" s="13" t="s">
        <v>340</v>
      </c>
    </row>
    <row r="30" spans="1:6" ht="15.95" hidden="1">
      <c r="A30" s="11" t="s">
        <v>336</v>
      </c>
      <c r="B30" s="11" t="s">
        <v>369</v>
      </c>
      <c r="C30" s="18" t="s">
        <v>380</v>
      </c>
      <c r="D30" s="18" t="s">
        <v>381</v>
      </c>
      <c r="E30" s="13" t="s">
        <v>340</v>
      </c>
    </row>
    <row r="31" spans="1:6" ht="32.1" hidden="1">
      <c r="A31" s="11" t="s">
        <v>382</v>
      </c>
      <c r="B31" s="11" t="s">
        <v>383</v>
      </c>
      <c r="C31" s="18" t="s">
        <v>384</v>
      </c>
      <c r="D31" s="18" t="s">
        <v>385</v>
      </c>
      <c r="E31" s="14" t="s">
        <v>386</v>
      </c>
    </row>
    <row r="32" spans="1:6" ht="32.1" hidden="1">
      <c r="A32" s="11" t="s">
        <v>382</v>
      </c>
      <c r="B32" s="11" t="s">
        <v>383</v>
      </c>
      <c r="C32" s="18" t="s">
        <v>387</v>
      </c>
      <c r="D32" s="18" t="s">
        <v>388</v>
      </c>
      <c r="E32" s="14" t="s">
        <v>386</v>
      </c>
    </row>
    <row r="33" spans="1:6" ht="15.95" hidden="1">
      <c r="A33" s="11" t="s">
        <v>382</v>
      </c>
      <c r="B33" s="11" t="s">
        <v>389</v>
      </c>
      <c r="C33" s="18" t="s">
        <v>243</v>
      </c>
      <c r="D33" s="18" t="s">
        <v>356</v>
      </c>
      <c r="E33" s="13" t="s">
        <v>340</v>
      </c>
    </row>
    <row r="34" spans="1:6" ht="15.95" hidden="1">
      <c r="A34" s="11" t="s">
        <v>382</v>
      </c>
      <c r="B34" s="11" t="s">
        <v>389</v>
      </c>
      <c r="C34" s="18" t="s">
        <v>390</v>
      </c>
      <c r="D34" s="18" t="s">
        <v>391</v>
      </c>
      <c r="E34" s="13" t="s">
        <v>340</v>
      </c>
    </row>
    <row r="35" spans="1:6" ht="15.95" hidden="1">
      <c r="A35" s="11" t="s">
        <v>382</v>
      </c>
      <c r="B35" s="11" t="s">
        <v>389</v>
      </c>
      <c r="C35" s="18" t="s">
        <v>392</v>
      </c>
      <c r="D35" s="96" t="s">
        <v>393</v>
      </c>
      <c r="E35" s="15" t="s">
        <v>394</v>
      </c>
    </row>
    <row r="36" spans="1:6" ht="15.95" hidden="1">
      <c r="A36" s="11" t="s">
        <v>382</v>
      </c>
      <c r="B36" s="11" t="s">
        <v>395</v>
      </c>
      <c r="C36" s="18" t="s">
        <v>243</v>
      </c>
      <c r="D36" s="18" t="s">
        <v>356</v>
      </c>
      <c r="E36" s="13" t="s">
        <v>340</v>
      </c>
    </row>
    <row r="37" spans="1:6" ht="15.95" hidden="1">
      <c r="A37" s="11" t="s">
        <v>382</v>
      </c>
      <c r="B37" s="11" t="s">
        <v>395</v>
      </c>
      <c r="C37" s="18" t="s">
        <v>390</v>
      </c>
      <c r="D37" s="18" t="s">
        <v>391</v>
      </c>
      <c r="E37" s="13" t="s">
        <v>340</v>
      </c>
    </row>
    <row r="38" spans="1:6" ht="15.95" hidden="1">
      <c r="A38" s="11" t="s">
        <v>382</v>
      </c>
      <c r="B38" s="11" t="s">
        <v>396</v>
      </c>
      <c r="C38" s="18" t="s">
        <v>243</v>
      </c>
      <c r="D38" s="18" t="s">
        <v>356</v>
      </c>
      <c r="E38" s="13" t="s">
        <v>340</v>
      </c>
    </row>
    <row r="39" spans="1:6" ht="15.95" hidden="1">
      <c r="A39" s="11" t="s">
        <v>382</v>
      </c>
      <c r="B39" s="11" t="s">
        <v>396</v>
      </c>
      <c r="C39" s="18" t="s">
        <v>390</v>
      </c>
      <c r="D39" s="18" t="s">
        <v>391</v>
      </c>
      <c r="E39" s="13" t="s">
        <v>340</v>
      </c>
    </row>
    <row r="40" spans="1:6" ht="15.95" hidden="1">
      <c r="A40" s="11" t="s">
        <v>382</v>
      </c>
      <c r="B40" s="11" t="s">
        <v>396</v>
      </c>
      <c r="C40" s="18" t="s">
        <v>397</v>
      </c>
      <c r="D40" s="95" t="s">
        <v>398</v>
      </c>
      <c r="E40" s="15" t="s">
        <v>340</v>
      </c>
      <c r="F40" s="11" t="s">
        <v>399</v>
      </c>
    </row>
    <row r="41" spans="1:6" ht="15.95" hidden="1">
      <c r="A41" s="11" t="s">
        <v>382</v>
      </c>
      <c r="B41" s="11" t="s">
        <v>400</v>
      </c>
      <c r="C41" s="18" t="s">
        <v>243</v>
      </c>
      <c r="D41" s="18" t="s">
        <v>356</v>
      </c>
      <c r="E41" s="13" t="s">
        <v>340</v>
      </c>
    </row>
    <row r="42" spans="1:6" ht="15.95" hidden="1">
      <c r="A42" s="11" t="s">
        <v>382</v>
      </c>
      <c r="B42" s="11" t="s">
        <v>400</v>
      </c>
      <c r="C42" s="18" t="s">
        <v>401</v>
      </c>
      <c r="D42" s="97" t="s">
        <v>402</v>
      </c>
      <c r="E42" s="15" t="s">
        <v>340</v>
      </c>
    </row>
    <row r="43" spans="1:6" ht="15.95" hidden="1">
      <c r="A43" s="11" t="s">
        <v>382</v>
      </c>
      <c r="B43" s="11" t="s">
        <v>400</v>
      </c>
      <c r="C43" s="18" t="s">
        <v>403</v>
      </c>
      <c r="D43" s="95" t="s">
        <v>404</v>
      </c>
      <c r="E43" s="15" t="s">
        <v>340</v>
      </c>
    </row>
    <row r="44" spans="1:6" ht="15.95" hidden="1">
      <c r="A44" s="11" t="s">
        <v>382</v>
      </c>
      <c r="B44" s="11" t="s">
        <v>405</v>
      </c>
      <c r="C44" s="18" t="s">
        <v>390</v>
      </c>
      <c r="D44" s="18" t="s">
        <v>391</v>
      </c>
      <c r="E44" s="13" t="s">
        <v>340</v>
      </c>
    </row>
    <row r="45" spans="1:6" ht="15.95" hidden="1">
      <c r="A45" s="11" t="s">
        <v>382</v>
      </c>
      <c r="B45" s="11" t="s">
        <v>405</v>
      </c>
      <c r="C45" s="18" t="s">
        <v>243</v>
      </c>
      <c r="D45" s="18" t="s">
        <v>356</v>
      </c>
      <c r="E45" s="13" t="s">
        <v>340</v>
      </c>
    </row>
    <row r="46" spans="1:6" ht="15.95" hidden="1">
      <c r="A46" s="11" t="s">
        <v>382</v>
      </c>
      <c r="B46" s="11" t="s">
        <v>405</v>
      </c>
      <c r="C46" s="18" t="s">
        <v>406</v>
      </c>
      <c r="D46" s="18" t="s">
        <v>407</v>
      </c>
      <c r="E46" s="13" t="s">
        <v>340</v>
      </c>
    </row>
    <row r="47" spans="1:6" ht="15.95" hidden="1">
      <c r="A47" s="11" t="s">
        <v>382</v>
      </c>
      <c r="B47" s="11" t="s">
        <v>405</v>
      </c>
      <c r="C47" s="18" t="s">
        <v>103</v>
      </c>
      <c r="D47" s="18" t="s">
        <v>408</v>
      </c>
      <c r="E47" s="13" t="s">
        <v>340</v>
      </c>
    </row>
    <row r="48" spans="1:6" ht="15.95" hidden="1">
      <c r="A48" s="11" t="s">
        <v>382</v>
      </c>
      <c r="B48" s="11" t="s">
        <v>405</v>
      </c>
      <c r="C48" s="18" t="s">
        <v>409</v>
      </c>
      <c r="D48" s="18" t="s">
        <v>407</v>
      </c>
      <c r="E48" s="13" t="s">
        <v>340</v>
      </c>
    </row>
    <row r="49" spans="1:6" ht="15.95" hidden="1">
      <c r="A49" s="11" t="s">
        <v>382</v>
      </c>
      <c r="B49" s="11" t="s">
        <v>405</v>
      </c>
      <c r="C49" s="18" t="s">
        <v>410</v>
      </c>
      <c r="D49" s="18" t="s">
        <v>411</v>
      </c>
      <c r="E49" s="13" t="s">
        <v>340</v>
      </c>
    </row>
    <row r="50" spans="1:6" ht="15.95" hidden="1">
      <c r="A50" s="11" t="s">
        <v>382</v>
      </c>
      <c r="B50" s="11" t="s">
        <v>405</v>
      </c>
      <c r="C50" s="18" t="s">
        <v>412</v>
      </c>
      <c r="D50" s="18" t="s">
        <v>413</v>
      </c>
      <c r="E50" s="13" t="s">
        <v>340</v>
      </c>
    </row>
    <row r="51" spans="1:6" ht="15.95" hidden="1">
      <c r="A51" s="11" t="s">
        <v>382</v>
      </c>
      <c r="B51" s="11" t="s">
        <v>414</v>
      </c>
      <c r="C51" s="18" t="s">
        <v>243</v>
      </c>
      <c r="D51" s="18" t="s">
        <v>356</v>
      </c>
      <c r="E51" s="13" t="s">
        <v>340</v>
      </c>
    </row>
    <row r="52" spans="1:6" ht="15.95" hidden="1">
      <c r="A52" s="11" t="s">
        <v>382</v>
      </c>
      <c r="B52" s="11" t="s">
        <v>414</v>
      </c>
      <c r="C52" s="18" t="s">
        <v>415</v>
      </c>
      <c r="D52" s="95" t="s">
        <v>416</v>
      </c>
      <c r="E52" s="15" t="s">
        <v>340</v>
      </c>
      <c r="F52" s="27" t="s">
        <v>417</v>
      </c>
    </row>
    <row r="53" spans="1:6" ht="15.95" hidden="1">
      <c r="A53" s="11" t="s">
        <v>382</v>
      </c>
      <c r="B53" s="11" t="s">
        <v>414</v>
      </c>
      <c r="C53" s="18" t="s">
        <v>418</v>
      </c>
      <c r="D53" s="95" t="s">
        <v>419</v>
      </c>
      <c r="E53" s="15" t="s">
        <v>340</v>
      </c>
    </row>
    <row r="54" spans="1:6" ht="15.95" hidden="1">
      <c r="A54" s="11" t="s">
        <v>382</v>
      </c>
      <c r="B54" s="11" t="s">
        <v>414</v>
      </c>
      <c r="C54" s="18" t="s">
        <v>420</v>
      </c>
      <c r="D54" s="95" t="s">
        <v>421</v>
      </c>
      <c r="E54" s="15" t="s">
        <v>340</v>
      </c>
    </row>
    <row r="55" spans="1:6" ht="15.95" hidden="1">
      <c r="A55" s="11" t="s">
        <v>382</v>
      </c>
      <c r="B55" s="11" t="s">
        <v>414</v>
      </c>
      <c r="C55" s="18" t="s">
        <v>422</v>
      </c>
      <c r="D55" s="95" t="s">
        <v>423</v>
      </c>
      <c r="E55" s="15" t="s">
        <v>340</v>
      </c>
    </row>
    <row r="56" spans="1:6" ht="15.95" hidden="1">
      <c r="A56" s="11" t="s">
        <v>382</v>
      </c>
      <c r="B56" s="11" t="s">
        <v>414</v>
      </c>
      <c r="C56" s="18" t="s">
        <v>424</v>
      </c>
      <c r="D56" s="95" t="s">
        <v>425</v>
      </c>
      <c r="E56" s="15" t="s">
        <v>340</v>
      </c>
    </row>
    <row r="57" spans="1:6" ht="15.95" hidden="1">
      <c r="A57" s="11" t="s">
        <v>382</v>
      </c>
      <c r="B57" s="11" t="s">
        <v>426</v>
      </c>
      <c r="C57" s="18" t="s">
        <v>243</v>
      </c>
      <c r="D57" s="18" t="s">
        <v>356</v>
      </c>
      <c r="E57" s="13" t="s">
        <v>340</v>
      </c>
    </row>
    <row r="58" spans="1:6" ht="15.95" hidden="1">
      <c r="A58" s="11" t="s">
        <v>382</v>
      </c>
      <c r="B58" s="11" t="s">
        <v>426</v>
      </c>
      <c r="C58" s="18" t="s">
        <v>427</v>
      </c>
      <c r="D58" s="22" t="s">
        <v>428</v>
      </c>
      <c r="E58" s="13" t="s">
        <v>340</v>
      </c>
    </row>
    <row r="59" spans="1:6" ht="15.95" hidden="1">
      <c r="A59" s="11" t="s">
        <v>382</v>
      </c>
      <c r="B59" s="11" t="s">
        <v>426</v>
      </c>
      <c r="C59" s="18" t="s">
        <v>429</v>
      </c>
      <c r="D59" s="22" t="s">
        <v>430</v>
      </c>
      <c r="E59" s="13" t="s">
        <v>340</v>
      </c>
    </row>
    <row r="60" spans="1:6" ht="15.95" hidden="1">
      <c r="A60" s="11" t="s">
        <v>382</v>
      </c>
      <c r="B60" s="11" t="s">
        <v>426</v>
      </c>
      <c r="C60" s="18" t="s">
        <v>431</v>
      </c>
      <c r="D60" s="22" t="s">
        <v>432</v>
      </c>
      <c r="E60" s="13" t="s">
        <v>340</v>
      </c>
    </row>
    <row r="61" spans="1:6" ht="15.95" hidden="1">
      <c r="A61" s="11" t="s">
        <v>382</v>
      </c>
      <c r="B61" s="11" t="s">
        <v>426</v>
      </c>
      <c r="C61" s="18" t="s">
        <v>433</v>
      </c>
      <c r="D61" s="22" t="s">
        <v>434</v>
      </c>
      <c r="E61" s="13" t="s">
        <v>340</v>
      </c>
    </row>
    <row r="62" spans="1:6" ht="15.95" hidden="1">
      <c r="A62" s="11" t="s">
        <v>382</v>
      </c>
      <c r="B62" s="11" t="s">
        <v>426</v>
      </c>
      <c r="C62" s="18" t="s">
        <v>435</v>
      </c>
      <c r="D62" s="22" t="s">
        <v>436</v>
      </c>
      <c r="E62" s="13" t="s">
        <v>340</v>
      </c>
    </row>
    <row r="63" spans="1:6" ht="15.95" hidden="1">
      <c r="A63" s="11" t="s">
        <v>382</v>
      </c>
      <c r="B63" s="11" t="s">
        <v>437</v>
      </c>
      <c r="C63" s="18" t="s">
        <v>243</v>
      </c>
      <c r="D63" s="18" t="s">
        <v>356</v>
      </c>
      <c r="E63" s="13" t="s">
        <v>340</v>
      </c>
    </row>
    <row r="64" spans="1:6" ht="15.95" hidden="1">
      <c r="A64" s="11" t="s">
        <v>382</v>
      </c>
      <c r="B64" s="11" t="s">
        <v>437</v>
      </c>
      <c r="C64" s="18" t="s">
        <v>438</v>
      </c>
      <c r="D64" s="95" t="s">
        <v>439</v>
      </c>
      <c r="E64" s="14" t="s">
        <v>386</v>
      </c>
      <c r="F64" s="27" t="s">
        <v>440</v>
      </c>
    </row>
    <row r="65" spans="1:6" ht="15.95" hidden="1">
      <c r="A65" s="11" t="s">
        <v>382</v>
      </c>
      <c r="B65" s="11" t="s">
        <v>437</v>
      </c>
      <c r="C65" s="18" t="s">
        <v>441</v>
      </c>
      <c r="D65" s="95" t="s">
        <v>442</v>
      </c>
      <c r="E65" s="14" t="s">
        <v>386</v>
      </c>
    </row>
    <row r="66" spans="1:6" ht="15.95" hidden="1">
      <c r="A66" s="11" t="s">
        <v>382</v>
      </c>
      <c r="B66" s="11" t="s">
        <v>437</v>
      </c>
      <c r="C66" s="18" t="s">
        <v>443</v>
      </c>
      <c r="D66" s="95" t="s">
        <v>444</v>
      </c>
      <c r="E66" s="14" t="s">
        <v>386</v>
      </c>
    </row>
    <row r="67" spans="1:6" ht="15.95" hidden="1">
      <c r="A67" s="11" t="s">
        <v>382</v>
      </c>
      <c r="B67" s="11" t="s">
        <v>437</v>
      </c>
      <c r="C67" s="18" t="s">
        <v>445</v>
      </c>
      <c r="D67" s="95" t="s">
        <v>446</v>
      </c>
      <c r="E67" s="14" t="s">
        <v>386</v>
      </c>
    </row>
    <row r="68" spans="1:6" ht="15.95" hidden="1">
      <c r="A68" s="11" t="s">
        <v>382</v>
      </c>
      <c r="B68" s="11" t="s">
        <v>437</v>
      </c>
      <c r="C68" s="18" t="s">
        <v>447</v>
      </c>
      <c r="D68" s="95" t="s">
        <v>448</v>
      </c>
      <c r="E68" s="14" t="s">
        <v>386</v>
      </c>
    </row>
    <row r="69" spans="1:6" ht="15.95" hidden="1">
      <c r="A69" s="11" t="s">
        <v>382</v>
      </c>
      <c r="B69" s="11" t="s">
        <v>449</v>
      </c>
      <c r="C69" s="18" t="s">
        <v>243</v>
      </c>
      <c r="D69" s="18" t="s">
        <v>356</v>
      </c>
      <c r="E69" s="13" t="s">
        <v>340</v>
      </c>
    </row>
    <row r="70" spans="1:6" ht="15.95" hidden="1">
      <c r="A70" s="11" t="s">
        <v>382</v>
      </c>
      <c r="B70" s="11" t="s">
        <v>449</v>
      </c>
      <c r="C70" s="18" t="s">
        <v>450</v>
      </c>
      <c r="D70" s="22" t="s">
        <v>451</v>
      </c>
      <c r="E70" s="13" t="s">
        <v>340</v>
      </c>
    </row>
    <row r="71" spans="1:6" ht="15.95" hidden="1">
      <c r="A71" s="11" t="s">
        <v>382</v>
      </c>
      <c r="B71" s="11" t="s">
        <v>449</v>
      </c>
      <c r="C71" s="18" t="s">
        <v>452</v>
      </c>
      <c r="D71" s="22" t="s">
        <v>453</v>
      </c>
      <c r="E71" s="13" t="s">
        <v>340</v>
      </c>
    </row>
    <row r="72" spans="1:6" ht="15.95" hidden="1">
      <c r="A72" s="11" t="s">
        <v>382</v>
      </c>
      <c r="B72" s="11" t="s">
        <v>449</v>
      </c>
      <c r="C72" s="18" t="s">
        <v>454</v>
      </c>
      <c r="D72" s="22" t="s">
        <v>455</v>
      </c>
      <c r="E72" s="13" t="s">
        <v>340</v>
      </c>
    </row>
    <row r="73" spans="1:6" ht="15.95" hidden="1">
      <c r="A73" s="11" t="s">
        <v>382</v>
      </c>
      <c r="B73" s="11" t="s">
        <v>449</v>
      </c>
      <c r="C73" s="18" t="s">
        <v>456</v>
      </c>
      <c r="D73" s="22" t="s">
        <v>457</v>
      </c>
      <c r="E73" s="13" t="s">
        <v>340</v>
      </c>
    </row>
    <row r="74" spans="1:6" ht="15.95" hidden="1">
      <c r="A74" s="11" t="s">
        <v>382</v>
      </c>
      <c r="B74" s="11" t="s">
        <v>449</v>
      </c>
      <c r="C74" s="18" t="s">
        <v>458</v>
      </c>
      <c r="D74" s="22" t="s">
        <v>459</v>
      </c>
      <c r="E74" s="13" t="s">
        <v>340</v>
      </c>
    </row>
    <row r="75" spans="1:6" ht="15.95">
      <c r="A75" s="11" t="s">
        <v>460</v>
      </c>
      <c r="B75" s="11" t="s">
        <v>461</v>
      </c>
      <c r="C75" s="18" t="s">
        <v>462</v>
      </c>
      <c r="D75" s="99" t="s">
        <v>463</v>
      </c>
      <c r="E75" s="13" t="s">
        <v>340</v>
      </c>
      <c r="F75" s="11" t="s">
        <v>464</v>
      </c>
    </row>
    <row r="76" spans="1:6" ht="15.95">
      <c r="A76" s="11" t="s">
        <v>460</v>
      </c>
      <c r="B76" s="11" t="s">
        <v>465</v>
      </c>
      <c r="C76" s="18" t="s">
        <v>466</v>
      </c>
      <c r="D76" s="99" t="s">
        <v>467</v>
      </c>
      <c r="E76" s="13" t="s">
        <v>340</v>
      </c>
      <c r="F76" s="11" t="s">
        <v>464</v>
      </c>
    </row>
    <row r="77" spans="1:6" ht="15.95">
      <c r="A77" s="11" t="s">
        <v>460</v>
      </c>
      <c r="B77" s="11" t="s">
        <v>465</v>
      </c>
      <c r="C77" s="18" t="s">
        <v>468</v>
      </c>
      <c r="D77" s="22" t="s">
        <v>469</v>
      </c>
      <c r="E77" s="13" t="s">
        <v>340</v>
      </c>
      <c r="F77" s="11" t="s">
        <v>464</v>
      </c>
    </row>
    <row r="78" spans="1:6" ht="15.95">
      <c r="A78" s="11" t="s">
        <v>460</v>
      </c>
      <c r="B78" s="11" t="s">
        <v>465</v>
      </c>
      <c r="C78" s="18" t="s">
        <v>470</v>
      </c>
      <c r="D78" s="22" t="s">
        <v>471</v>
      </c>
      <c r="E78" s="13" t="s">
        <v>340</v>
      </c>
      <c r="F78" s="11" t="s">
        <v>464</v>
      </c>
    </row>
    <row r="79" spans="1:6" ht="15.95">
      <c r="A79" s="11" t="s">
        <v>460</v>
      </c>
      <c r="B79" s="11" t="s">
        <v>472</v>
      </c>
      <c r="C79" s="18" t="s">
        <v>473</v>
      </c>
      <c r="D79" s="22" t="s">
        <v>474</v>
      </c>
      <c r="E79" s="13" t="s">
        <v>340</v>
      </c>
      <c r="F79" s="11" t="s">
        <v>464</v>
      </c>
    </row>
    <row r="80" spans="1:6" ht="15.95">
      <c r="A80" s="11" t="s">
        <v>460</v>
      </c>
      <c r="B80" s="11" t="s">
        <v>472</v>
      </c>
      <c r="C80" s="18" t="s">
        <v>475</v>
      </c>
      <c r="D80" s="22" t="s">
        <v>476</v>
      </c>
      <c r="E80" s="13" t="s">
        <v>340</v>
      </c>
      <c r="F80" s="11" t="s">
        <v>464</v>
      </c>
    </row>
    <row r="81" spans="1:6" ht="15.95">
      <c r="A81" s="11" t="s">
        <v>460</v>
      </c>
      <c r="B81" s="11" t="s">
        <v>470</v>
      </c>
      <c r="C81" s="18" t="s">
        <v>477</v>
      </c>
      <c r="D81" s="22" t="s">
        <v>478</v>
      </c>
      <c r="E81" s="13" t="s">
        <v>340</v>
      </c>
      <c r="F81" s="11" t="s">
        <v>464</v>
      </c>
    </row>
    <row r="82" spans="1:6" ht="15.95">
      <c r="A82" s="11" t="s">
        <v>460</v>
      </c>
      <c r="B82" s="11" t="s">
        <v>470</v>
      </c>
      <c r="C82" s="18" t="s">
        <v>468</v>
      </c>
      <c r="D82" s="22" t="s">
        <v>479</v>
      </c>
      <c r="E82" s="13" t="s">
        <v>340</v>
      </c>
      <c r="F82" s="11" t="s">
        <v>464</v>
      </c>
    </row>
    <row r="83" spans="1:6" ht="15.95">
      <c r="A83" s="11" t="s">
        <v>460</v>
      </c>
      <c r="B83" s="11" t="s">
        <v>470</v>
      </c>
      <c r="C83" s="18" t="s">
        <v>470</v>
      </c>
      <c r="D83" s="22" t="s">
        <v>480</v>
      </c>
      <c r="E83" s="13" t="s">
        <v>340</v>
      </c>
      <c r="F83" s="11" t="s">
        <v>464</v>
      </c>
    </row>
    <row r="84" spans="1:6" ht="15.95">
      <c r="A84" s="11" t="s">
        <v>460</v>
      </c>
      <c r="B84" s="11" t="s">
        <v>481</v>
      </c>
      <c r="C84" s="18" t="s">
        <v>473</v>
      </c>
      <c r="D84" s="22" t="s">
        <v>474</v>
      </c>
      <c r="E84" s="13" t="s">
        <v>340</v>
      </c>
      <c r="F84" s="11" t="s">
        <v>464</v>
      </c>
    </row>
    <row r="85" spans="1:6" ht="15.95">
      <c r="A85" s="11" t="s">
        <v>460</v>
      </c>
      <c r="B85" s="11" t="s">
        <v>481</v>
      </c>
      <c r="C85" s="18" t="s">
        <v>482</v>
      </c>
      <c r="D85" s="22" t="s">
        <v>476</v>
      </c>
      <c r="E85" s="13" t="s">
        <v>340</v>
      </c>
      <c r="F85" s="11" t="s">
        <v>464</v>
      </c>
    </row>
    <row r="86" spans="1:6" ht="15.95">
      <c r="A86" s="11" t="s">
        <v>460</v>
      </c>
      <c r="B86" s="11" t="s">
        <v>481</v>
      </c>
      <c r="C86" s="18" t="s">
        <v>483</v>
      </c>
      <c r="D86" s="22" t="s">
        <v>484</v>
      </c>
      <c r="E86" s="13" t="s">
        <v>340</v>
      </c>
      <c r="F86" s="11" t="s">
        <v>464</v>
      </c>
    </row>
    <row r="87" spans="1:6" ht="15.95">
      <c r="A87" s="11" t="s">
        <v>460</v>
      </c>
      <c r="B87" s="11" t="s">
        <v>481</v>
      </c>
      <c r="C87" s="18" t="s">
        <v>485</v>
      </c>
      <c r="D87" s="22" t="s">
        <v>486</v>
      </c>
      <c r="E87" s="13" t="s">
        <v>340</v>
      </c>
      <c r="F87" s="11" t="s">
        <v>464</v>
      </c>
    </row>
    <row r="88" spans="1:6" ht="15.95">
      <c r="A88" s="11" t="s">
        <v>460</v>
      </c>
      <c r="B88" s="11" t="s">
        <v>481</v>
      </c>
      <c r="C88" s="18" t="s">
        <v>487</v>
      </c>
      <c r="D88" s="22" t="s">
        <v>488</v>
      </c>
      <c r="E88" s="13" t="s">
        <v>340</v>
      </c>
      <c r="F88" s="11" t="s">
        <v>464</v>
      </c>
    </row>
    <row r="89" spans="1:6" ht="15.95">
      <c r="A89" s="11" t="s">
        <v>460</v>
      </c>
      <c r="B89" s="11" t="s">
        <v>489</v>
      </c>
      <c r="C89" s="18" t="s">
        <v>490</v>
      </c>
      <c r="D89" s="22" t="s">
        <v>491</v>
      </c>
      <c r="E89" s="13" t="s">
        <v>340</v>
      </c>
      <c r="F89" s="11" t="s">
        <v>464</v>
      </c>
    </row>
    <row r="90" spans="1:6" ht="48">
      <c r="A90" s="11" t="s">
        <v>460</v>
      </c>
      <c r="B90" s="11" t="s">
        <v>489</v>
      </c>
      <c r="C90" s="18" t="s">
        <v>492</v>
      </c>
      <c r="D90" s="22" t="s">
        <v>493</v>
      </c>
      <c r="E90" s="13" t="s">
        <v>340</v>
      </c>
      <c r="F90" s="11" t="s">
        <v>464</v>
      </c>
    </row>
    <row r="91" spans="1:6" ht="15.95">
      <c r="A91" s="11" t="s">
        <v>460</v>
      </c>
      <c r="B91" s="11" t="s">
        <v>494</v>
      </c>
      <c r="C91" s="18" t="s">
        <v>470</v>
      </c>
      <c r="D91" s="22" t="s">
        <v>495</v>
      </c>
      <c r="E91" s="13" t="s">
        <v>340</v>
      </c>
      <c r="F91" s="11" t="s">
        <v>464</v>
      </c>
    </row>
    <row r="92" spans="1:6" ht="15.95">
      <c r="A92" s="11" t="s">
        <v>460</v>
      </c>
      <c r="B92" s="11" t="s">
        <v>494</v>
      </c>
      <c r="C92" s="18" t="s">
        <v>473</v>
      </c>
      <c r="D92" s="22" t="s">
        <v>474</v>
      </c>
      <c r="E92" s="13" t="s">
        <v>340</v>
      </c>
      <c r="F92" s="11" t="s">
        <v>464</v>
      </c>
    </row>
    <row r="93" spans="1:6" ht="15.95">
      <c r="A93" s="11" t="s">
        <v>460</v>
      </c>
      <c r="B93" s="11" t="s">
        <v>494</v>
      </c>
      <c r="C93" s="18" t="s">
        <v>482</v>
      </c>
      <c r="D93" s="22" t="s">
        <v>476</v>
      </c>
      <c r="E93" s="13" t="s">
        <v>340</v>
      </c>
      <c r="F93" s="11" t="s">
        <v>464</v>
      </c>
    </row>
    <row r="94" spans="1:6" ht="15.95">
      <c r="A94" s="11" t="s">
        <v>460</v>
      </c>
      <c r="B94" s="11" t="s">
        <v>494</v>
      </c>
      <c r="C94" s="18" t="s">
        <v>483</v>
      </c>
      <c r="D94" s="22" t="s">
        <v>484</v>
      </c>
      <c r="E94" s="13" t="s">
        <v>340</v>
      </c>
      <c r="F94" s="11" t="s">
        <v>464</v>
      </c>
    </row>
    <row r="95" spans="1:6" ht="15.95">
      <c r="A95" s="11" t="s">
        <v>460</v>
      </c>
      <c r="B95" s="11" t="s">
        <v>494</v>
      </c>
      <c r="C95" s="18" t="s">
        <v>485</v>
      </c>
      <c r="D95" s="22" t="s">
        <v>486</v>
      </c>
      <c r="E95" s="13" t="s">
        <v>340</v>
      </c>
      <c r="F95" s="11" t="s">
        <v>464</v>
      </c>
    </row>
    <row r="96" spans="1:6" ht="15.95">
      <c r="A96" s="11" t="s">
        <v>460</v>
      </c>
      <c r="B96" s="11" t="s">
        <v>494</v>
      </c>
      <c r="C96" s="18" t="s">
        <v>487</v>
      </c>
      <c r="D96" s="22" t="s">
        <v>488</v>
      </c>
      <c r="E96" s="13" t="s">
        <v>340</v>
      </c>
      <c r="F96" s="11" t="s">
        <v>464</v>
      </c>
    </row>
    <row r="97" spans="1:7" ht="15.95">
      <c r="A97" s="11" t="s">
        <v>460</v>
      </c>
      <c r="B97" s="11" t="s">
        <v>494</v>
      </c>
      <c r="C97" s="18" t="s">
        <v>490</v>
      </c>
      <c r="D97" s="22" t="s">
        <v>491</v>
      </c>
      <c r="E97" s="13" t="s">
        <v>340</v>
      </c>
      <c r="F97" s="11" t="s">
        <v>464</v>
      </c>
    </row>
    <row r="98" spans="1:7" ht="15.95">
      <c r="A98" s="11" t="s">
        <v>460</v>
      </c>
      <c r="B98" s="11" t="s">
        <v>494</v>
      </c>
      <c r="C98" s="18" t="s">
        <v>492</v>
      </c>
      <c r="D98" s="22" t="s">
        <v>496</v>
      </c>
      <c r="E98" s="13" t="s">
        <v>340</v>
      </c>
      <c r="F98" s="11" t="s">
        <v>464</v>
      </c>
    </row>
    <row r="99" spans="1:7" ht="15.95">
      <c r="A99" s="11" t="s">
        <v>460</v>
      </c>
      <c r="B99" s="11" t="s">
        <v>494</v>
      </c>
      <c r="C99" s="18" t="s">
        <v>468</v>
      </c>
      <c r="D99" s="22" t="s">
        <v>497</v>
      </c>
      <c r="E99" s="13" t="s">
        <v>340</v>
      </c>
      <c r="F99" s="11" t="s">
        <v>464</v>
      </c>
    </row>
    <row r="100" spans="1:7" ht="15.95">
      <c r="A100" s="11" t="s">
        <v>460</v>
      </c>
      <c r="B100" s="11" t="s">
        <v>498</v>
      </c>
      <c r="C100" s="18" t="s">
        <v>473</v>
      </c>
      <c r="D100" s="22" t="s">
        <v>499</v>
      </c>
      <c r="E100" s="13" t="s">
        <v>340</v>
      </c>
      <c r="F100" s="11" t="s">
        <v>464</v>
      </c>
    </row>
    <row r="101" spans="1:7" ht="15.95">
      <c r="A101" s="11" t="s">
        <v>460</v>
      </c>
      <c r="B101" s="11" t="s">
        <v>498</v>
      </c>
      <c r="C101" s="18" t="s">
        <v>475</v>
      </c>
      <c r="D101" s="22" t="s">
        <v>500</v>
      </c>
      <c r="E101" s="13" t="s">
        <v>340</v>
      </c>
      <c r="F101" s="11" t="s">
        <v>464</v>
      </c>
    </row>
    <row r="102" spans="1:7" ht="15.95">
      <c r="A102" s="11" t="s">
        <v>460</v>
      </c>
      <c r="B102" s="11" t="s">
        <v>498</v>
      </c>
      <c r="C102" s="18" t="s">
        <v>501</v>
      </c>
      <c r="D102" s="7" t="s">
        <v>502</v>
      </c>
      <c r="E102" s="20" t="s">
        <v>340</v>
      </c>
      <c r="F102" s="21" t="s">
        <v>503</v>
      </c>
      <c r="G102" s="11" t="s">
        <v>504</v>
      </c>
    </row>
    <row r="103" spans="1:7" ht="15.95">
      <c r="A103" s="11" t="s">
        <v>460</v>
      </c>
      <c r="B103" s="11" t="s">
        <v>498</v>
      </c>
      <c r="C103" s="18" t="s">
        <v>505</v>
      </c>
      <c r="D103" s="99" t="s">
        <v>506</v>
      </c>
      <c r="E103" s="13" t="s">
        <v>340</v>
      </c>
    </row>
    <row r="104" spans="1:7" ht="15.95">
      <c r="A104" s="11" t="s">
        <v>460</v>
      </c>
      <c r="B104" s="11" t="s">
        <v>498</v>
      </c>
      <c r="C104" s="18" t="s">
        <v>507</v>
      </c>
      <c r="D104" s="99" t="s">
        <v>508</v>
      </c>
      <c r="E104" s="13" t="s">
        <v>340</v>
      </c>
    </row>
    <row r="105" spans="1:7" ht="15.95">
      <c r="A105" s="11" t="s">
        <v>460</v>
      </c>
      <c r="B105" s="11" t="s">
        <v>498</v>
      </c>
      <c r="C105" s="18" t="s">
        <v>509</v>
      </c>
      <c r="D105" s="22" t="s">
        <v>510</v>
      </c>
      <c r="E105" s="13" t="s">
        <v>340</v>
      </c>
    </row>
    <row r="106" spans="1:7" ht="15.95">
      <c r="A106" s="11" t="s">
        <v>460</v>
      </c>
      <c r="B106" s="11" t="s">
        <v>498</v>
      </c>
      <c r="C106" s="18" t="s">
        <v>511</v>
      </c>
      <c r="D106" s="95" t="s">
        <v>512</v>
      </c>
      <c r="E106" s="13" t="s">
        <v>340</v>
      </c>
    </row>
    <row r="107" spans="1:7" ht="15.95">
      <c r="A107" s="11" t="s">
        <v>460</v>
      </c>
      <c r="B107" s="11" t="s">
        <v>498</v>
      </c>
      <c r="C107" s="18" t="s">
        <v>513</v>
      </c>
      <c r="D107" s="95" t="s">
        <v>514</v>
      </c>
      <c r="E107" s="13" t="s">
        <v>340</v>
      </c>
    </row>
    <row r="108" spans="1:7" ht="15.95">
      <c r="A108" s="11" t="s">
        <v>460</v>
      </c>
      <c r="B108" s="11" t="s">
        <v>498</v>
      </c>
      <c r="C108" s="18" t="s">
        <v>515</v>
      </c>
      <c r="D108" s="22" t="s">
        <v>516</v>
      </c>
      <c r="E108" s="13" t="s">
        <v>340</v>
      </c>
    </row>
    <row r="109" spans="1:7" ht="15.95">
      <c r="A109" s="11" t="s">
        <v>460</v>
      </c>
      <c r="B109" s="11" t="s">
        <v>517</v>
      </c>
      <c r="C109" s="18" t="s">
        <v>518</v>
      </c>
      <c r="D109" s="18" t="s">
        <v>519</v>
      </c>
      <c r="E109" s="13" t="s">
        <v>340</v>
      </c>
    </row>
    <row r="110" spans="1:7" ht="15.95">
      <c r="A110" s="11" t="s">
        <v>460</v>
      </c>
      <c r="B110" s="11" t="s">
        <v>517</v>
      </c>
      <c r="C110" s="18" t="s">
        <v>520</v>
      </c>
      <c r="D110" s="22" t="s">
        <v>521</v>
      </c>
      <c r="E110" s="13" t="s">
        <v>340</v>
      </c>
    </row>
    <row r="111" spans="1:7" ht="15.95">
      <c r="A111" s="11" t="s">
        <v>460</v>
      </c>
      <c r="B111" s="11" t="s">
        <v>517</v>
      </c>
      <c r="C111" s="18" t="s">
        <v>522</v>
      </c>
      <c r="D111" s="22" t="s">
        <v>523</v>
      </c>
      <c r="E111" s="13" t="s">
        <v>340</v>
      </c>
    </row>
    <row r="112" spans="1:7" ht="15.95">
      <c r="A112" s="11" t="s">
        <v>460</v>
      </c>
      <c r="B112" s="11" t="s">
        <v>517</v>
      </c>
      <c r="C112" s="18" t="s">
        <v>524</v>
      </c>
      <c r="D112" s="22" t="s">
        <v>525</v>
      </c>
      <c r="E112" s="13" t="s">
        <v>340</v>
      </c>
    </row>
    <row r="113" spans="1:6" ht="15.95">
      <c r="A113" s="11" t="s">
        <v>460</v>
      </c>
      <c r="B113" s="11" t="s">
        <v>517</v>
      </c>
      <c r="C113" s="18" t="s">
        <v>524</v>
      </c>
      <c r="D113" s="22" t="s">
        <v>526</v>
      </c>
      <c r="E113" s="13" t="s">
        <v>340</v>
      </c>
    </row>
    <row r="114" spans="1:6" ht="15.95">
      <c r="A114" s="11" t="s">
        <v>460</v>
      </c>
      <c r="B114" s="11" t="s">
        <v>517</v>
      </c>
      <c r="C114" s="18" t="s">
        <v>527</v>
      </c>
      <c r="D114" s="22" t="s">
        <v>528</v>
      </c>
      <c r="E114" s="13" t="s">
        <v>340</v>
      </c>
    </row>
    <row r="115" spans="1:6" ht="15.95" hidden="1">
      <c r="A115" s="11" t="s">
        <v>529</v>
      </c>
      <c r="B115" s="11" t="s">
        <v>530</v>
      </c>
      <c r="C115" s="26" t="s">
        <v>531</v>
      </c>
      <c r="D115" s="18" t="s">
        <v>532</v>
      </c>
      <c r="E115" s="13"/>
    </row>
    <row r="116" spans="1:6" ht="15.95" hidden="1">
      <c r="A116" s="11" t="s">
        <v>529</v>
      </c>
      <c r="B116" s="11" t="s">
        <v>530</v>
      </c>
      <c r="C116" s="26" t="s">
        <v>533</v>
      </c>
      <c r="D116" s="98" t="s">
        <v>534</v>
      </c>
      <c r="E116" s="13"/>
      <c r="F116" s="11" t="s">
        <v>535</v>
      </c>
    </row>
    <row r="117" spans="1:6" ht="15.95" hidden="1">
      <c r="A117" s="11" t="s">
        <v>529</v>
      </c>
      <c r="B117" s="11" t="s">
        <v>530</v>
      </c>
      <c r="C117" s="26" t="s">
        <v>536</v>
      </c>
      <c r="D117" s="26" t="s">
        <v>537</v>
      </c>
      <c r="E117" s="17"/>
      <c r="F117" s="11" t="s">
        <v>535</v>
      </c>
    </row>
    <row r="118" spans="1:6" ht="15.95" hidden="1">
      <c r="A118" s="11" t="s">
        <v>529</v>
      </c>
      <c r="B118" s="11" t="s">
        <v>530</v>
      </c>
      <c r="C118" s="26" t="s">
        <v>538</v>
      </c>
      <c r="D118" s="80" t="s">
        <v>539</v>
      </c>
      <c r="E118" s="17"/>
      <c r="F118" s="11" t="s">
        <v>535</v>
      </c>
    </row>
    <row r="119" spans="1:6" ht="15.95" hidden="1">
      <c r="A119" s="11" t="s">
        <v>529</v>
      </c>
      <c r="B119" s="11" t="s">
        <v>540</v>
      </c>
      <c r="C119" s="26" t="s">
        <v>533</v>
      </c>
      <c r="D119" s="98" t="s">
        <v>541</v>
      </c>
      <c r="E119" s="17"/>
      <c r="F119" s="11" t="s">
        <v>535</v>
      </c>
    </row>
    <row r="120" spans="1:6" ht="15.95" hidden="1">
      <c r="A120" s="11" t="s">
        <v>529</v>
      </c>
      <c r="B120" s="11" t="s">
        <v>540</v>
      </c>
      <c r="C120" s="26" t="s">
        <v>542</v>
      </c>
      <c r="D120" s="26" t="s">
        <v>543</v>
      </c>
      <c r="E120" s="17"/>
      <c r="F120" s="11" t="s">
        <v>535</v>
      </c>
    </row>
    <row r="121" spans="1:6" ht="15.95" hidden="1">
      <c r="A121" s="11" t="s">
        <v>529</v>
      </c>
      <c r="B121" s="11" t="s">
        <v>540</v>
      </c>
      <c r="C121" s="26" t="s">
        <v>538</v>
      </c>
      <c r="D121" s="80" t="s">
        <v>544</v>
      </c>
      <c r="E121" s="17"/>
      <c r="F121" s="11" t="s">
        <v>535</v>
      </c>
    </row>
    <row r="122" spans="1:6" ht="15.95" hidden="1">
      <c r="A122" s="11" t="s">
        <v>529</v>
      </c>
      <c r="B122" s="11" t="s">
        <v>545</v>
      </c>
      <c r="C122" s="26" t="s">
        <v>533</v>
      </c>
      <c r="D122" s="98" t="s">
        <v>534</v>
      </c>
      <c r="E122" s="17"/>
      <c r="F122" s="11" t="s">
        <v>535</v>
      </c>
    </row>
    <row r="123" spans="1:6" ht="15.95" hidden="1">
      <c r="A123" s="11" t="s">
        <v>529</v>
      </c>
      <c r="B123" s="11" t="s">
        <v>545</v>
      </c>
      <c r="C123" s="26" t="s">
        <v>542</v>
      </c>
      <c r="D123" s="26" t="s">
        <v>537</v>
      </c>
      <c r="E123" s="17"/>
      <c r="F123" s="11" t="s">
        <v>535</v>
      </c>
    </row>
    <row r="124" spans="1:6" ht="15.95" hidden="1">
      <c r="A124" s="11" t="s">
        <v>529</v>
      </c>
      <c r="B124" s="11" t="s">
        <v>545</v>
      </c>
      <c r="C124" s="26" t="s">
        <v>538</v>
      </c>
      <c r="D124" s="80" t="s">
        <v>546</v>
      </c>
      <c r="E124" s="17"/>
      <c r="F124" s="11" t="s">
        <v>535</v>
      </c>
    </row>
    <row r="125" spans="1:6" ht="15.95" hidden="1">
      <c r="A125" s="11" t="s">
        <v>529</v>
      </c>
      <c r="B125" s="11" t="s">
        <v>547</v>
      </c>
      <c r="C125" s="18" t="s">
        <v>548</v>
      </c>
      <c r="D125" s="22" t="s">
        <v>549</v>
      </c>
      <c r="E125" s="17"/>
      <c r="F125" s="16"/>
    </row>
    <row r="126" spans="1:6" ht="63.95" hidden="1">
      <c r="A126" s="11" t="s">
        <v>529</v>
      </c>
      <c r="B126" s="11" t="s">
        <v>550</v>
      </c>
      <c r="C126" s="18" t="s">
        <v>551</v>
      </c>
      <c r="D126" s="22" t="s">
        <v>552</v>
      </c>
      <c r="E126" s="17"/>
      <c r="F126" s="7" t="s">
        <v>553</v>
      </c>
    </row>
    <row r="127" spans="1:6" ht="15.95" hidden="1">
      <c r="A127" s="11" t="s">
        <v>529</v>
      </c>
      <c r="B127" s="11" t="s">
        <v>550</v>
      </c>
      <c r="C127" s="18" t="s">
        <v>554</v>
      </c>
      <c r="D127" s="22" t="s">
        <v>555</v>
      </c>
      <c r="E127" s="17"/>
      <c r="F127" s="11" t="s">
        <v>556</v>
      </c>
    </row>
    <row r="128" spans="1:6" ht="15.95" hidden="1">
      <c r="A128" s="11" t="s">
        <v>529</v>
      </c>
      <c r="B128" s="11" t="s">
        <v>550</v>
      </c>
      <c r="C128" s="18" t="s">
        <v>557</v>
      </c>
      <c r="D128" s="22" t="s">
        <v>558</v>
      </c>
      <c r="E128" s="17"/>
      <c r="F128" s="11" t="s">
        <v>556</v>
      </c>
    </row>
    <row r="129" spans="1:7" ht="15.95" hidden="1">
      <c r="A129" s="11" t="s">
        <v>529</v>
      </c>
      <c r="B129" s="11" t="s">
        <v>550</v>
      </c>
      <c r="C129" s="18" t="s">
        <v>559</v>
      </c>
      <c r="D129" s="22" t="s">
        <v>560</v>
      </c>
      <c r="E129" s="17"/>
      <c r="F129" s="11" t="s">
        <v>556</v>
      </c>
    </row>
    <row r="130" spans="1:7" ht="15.95" hidden="1">
      <c r="A130" s="11" t="s">
        <v>529</v>
      </c>
      <c r="B130" s="11" t="s">
        <v>550</v>
      </c>
      <c r="C130" s="18" t="s">
        <v>561</v>
      </c>
      <c r="D130" s="22" t="s">
        <v>562</v>
      </c>
      <c r="E130" s="17"/>
      <c r="F130" s="11" t="s">
        <v>556</v>
      </c>
    </row>
    <row r="131" spans="1:7" ht="15.95" hidden="1">
      <c r="A131" s="11" t="s">
        <v>529</v>
      </c>
      <c r="B131" s="11" t="s">
        <v>550</v>
      </c>
      <c r="C131" s="18" t="s">
        <v>563</v>
      </c>
      <c r="D131" s="22" t="s">
        <v>564</v>
      </c>
      <c r="E131" s="17"/>
      <c r="F131" s="11" t="s">
        <v>556</v>
      </c>
    </row>
    <row r="132" spans="1:7" ht="32.1" hidden="1">
      <c r="A132" s="11" t="s">
        <v>529</v>
      </c>
      <c r="B132" s="8" t="s">
        <v>565</v>
      </c>
      <c r="C132" s="18" t="s">
        <v>566</v>
      </c>
      <c r="D132" s="22" t="s">
        <v>567</v>
      </c>
      <c r="E132" s="17"/>
      <c r="F132" s="11" t="s">
        <v>556</v>
      </c>
    </row>
    <row r="133" spans="1:7" ht="15.95" hidden="1">
      <c r="A133" s="11" t="s">
        <v>529</v>
      </c>
      <c r="B133" s="8" t="s">
        <v>568</v>
      </c>
      <c r="C133" s="18" t="s">
        <v>569</v>
      </c>
      <c r="D133" s="22" t="s">
        <v>570</v>
      </c>
      <c r="E133" s="17"/>
    </row>
    <row r="134" spans="1:7" ht="15.95" hidden="1">
      <c r="A134" s="11" t="s">
        <v>529</v>
      </c>
      <c r="B134" s="8" t="s">
        <v>565</v>
      </c>
      <c r="C134" s="18" t="s">
        <v>571</v>
      </c>
      <c r="D134" s="22" t="s">
        <v>572</v>
      </c>
      <c r="E134" s="17"/>
    </row>
    <row r="135" spans="1:7" ht="15.95" hidden="1">
      <c r="A135" s="11" t="s">
        <v>529</v>
      </c>
      <c r="B135" s="8" t="s">
        <v>565</v>
      </c>
      <c r="C135" s="18" t="s">
        <v>573</v>
      </c>
      <c r="D135" s="22" t="s">
        <v>574</v>
      </c>
      <c r="E135" s="17"/>
      <c r="F135" s="11" t="s">
        <v>556</v>
      </c>
    </row>
    <row r="136" spans="1:7" ht="15.95" hidden="1">
      <c r="A136" s="11" t="s">
        <v>529</v>
      </c>
      <c r="B136" s="8" t="s">
        <v>565</v>
      </c>
      <c r="C136" s="52" t="s">
        <v>575</v>
      </c>
      <c r="D136" s="18" t="s">
        <v>576</v>
      </c>
      <c r="F136" s="11" t="s">
        <v>556</v>
      </c>
    </row>
    <row r="137" spans="1:7" ht="15.95" hidden="1">
      <c r="A137" s="11" t="s">
        <v>529</v>
      </c>
      <c r="B137" s="8" t="s">
        <v>565</v>
      </c>
      <c r="C137" s="18" t="s">
        <v>577</v>
      </c>
      <c r="D137" s="18" t="s">
        <v>578</v>
      </c>
      <c r="F137" s="79" t="s">
        <v>556</v>
      </c>
    </row>
    <row r="138" spans="1:7" ht="15.95" hidden="1">
      <c r="A138" s="11" t="s">
        <v>529</v>
      </c>
      <c r="B138" s="8" t="s">
        <v>565</v>
      </c>
      <c r="C138" s="18" t="s">
        <v>579</v>
      </c>
      <c r="D138" s="18" t="s">
        <v>580</v>
      </c>
      <c r="F138" s="79" t="s">
        <v>556</v>
      </c>
    </row>
    <row r="139" spans="1:7" ht="15.95" hidden="1">
      <c r="A139" s="11" t="s">
        <v>529</v>
      </c>
      <c r="B139" s="8" t="s">
        <v>565</v>
      </c>
      <c r="C139" s="18" t="s">
        <v>581</v>
      </c>
      <c r="D139" s="18" t="s">
        <v>582</v>
      </c>
      <c r="F139" s="79" t="s">
        <v>556</v>
      </c>
      <c r="G139" s="79"/>
    </row>
    <row r="140" spans="1:7" ht="48" hidden="1">
      <c r="A140" s="11" t="s">
        <v>529</v>
      </c>
      <c r="B140" s="8" t="s">
        <v>565</v>
      </c>
      <c r="C140" s="26" t="s">
        <v>583</v>
      </c>
      <c r="D140" s="48" t="s">
        <v>584</v>
      </c>
      <c r="E140" s="11" t="s">
        <v>585</v>
      </c>
      <c r="F140" s="7" t="s">
        <v>586</v>
      </c>
      <c r="G140" s="25"/>
    </row>
    <row r="141" spans="1:7" ht="15.95" hidden="1">
      <c r="A141" s="11" t="s">
        <v>529</v>
      </c>
      <c r="B141" s="8" t="s">
        <v>565</v>
      </c>
      <c r="C141" s="18" t="s">
        <v>218</v>
      </c>
      <c r="D141" s="18" t="s">
        <v>587</v>
      </c>
      <c r="F141" s="79" t="s">
        <v>556</v>
      </c>
    </row>
    <row r="142" spans="1:7" ht="15.95" hidden="1">
      <c r="A142" s="11" t="s">
        <v>529</v>
      </c>
      <c r="B142" s="11" t="s">
        <v>547</v>
      </c>
      <c r="C142" s="18" t="s">
        <v>588</v>
      </c>
      <c r="D142" s="18" t="s">
        <v>589</v>
      </c>
      <c r="F142" s="79" t="s">
        <v>556</v>
      </c>
    </row>
    <row r="143" spans="1:7" ht="15.95" hidden="1">
      <c r="A143" s="11" t="s">
        <v>529</v>
      </c>
      <c r="B143" s="11" t="s">
        <v>547</v>
      </c>
      <c r="C143" s="18" t="s">
        <v>569</v>
      </c>
      <c r="D143" s="18" t="s">
        <v>590</v>
      </c>
      <c r="F143" s="79"/>
    </row>
    <row r="144" spans="1:7" ht="15.95" hidden="1">
      <c r="A144" s="11" t="s">
        <v>529</v>
      </c>
      <c r="B144" s="11" t="s">
        <v>547</v>
      </c>
      <c r="C144" s="18" t="s">
        <v>559</v>
      </c>
      <c r="D144" s="18" t="s">
        <v>591</v>
      </c>
      <c r="F144" s="79" t="s">
        <v>556</v>
      </c>
    </row>
    <row r="145" spans="1:6" ht="15.95" hidden="1">
      <c r="A145" s="11" t="s">
        <v>529</v>
      </c>
      <c r="B145" s="11" t="s">
        <v>547</v>
      </c>
      <c r="C145" s="18" t="s">
        <v>561</v>
      </c>
      <c r="D145" s="18" t="s">
        <v>592</v>
      </c>
      <c r="F145" s="79" t="s">
        <v>556</v>
      </c>
    </row>
    <row r="146" spans="1:6" ht="15.95" hidden="1">
      <c r="A146" s="11" t="s">
        <v>529</v>
      </c>
      <c r="B146" s="11" t="s">
        <v>593</v>
      </c>
      <c r="C146" s="18" t="s">
        <v>594</v>
      </c>
      <c r="D146" s="18" t="s">
        <v>595</v>
      </c>
      <c r="F146" s="79" t="s">
        <v>556</v>
      </c>
    </row>
    <row r="147" spans="1:6" ht="15.95" hidden="1">
      <c r="A147" s="11" t="s">
        <v>529</v>
      </c>
      <c r="B147" s="11" t="s">
        <v>593</v>
      </c>
      <c r="C147" s="18" t="s">
        <v>377</v>
      </c>
      <c r="D147" s="18" t="s">
        <v>587</v>
      </c>
      <c r="F147" s="79" t="s">
        <v>556</v>
      </c>
    </row>
    <row r="148" spans="1:6" ht="15.95" hidden="1">
      <c r="B148" s="11" t="s">
        <v>596</v>
      </c>
      <c r="C148" s="18" t="s">
        <v>569</v>
      </c>
      <c r="D148" s="18" t="s">
        <v>597</v>
      </c>
      <c r="F148" s="79"/>
    </row>
    <row r="149" spans="1:6" ht="15.95" hidden="1">
      <c r="A149" s="11" t="s">
        <v>529</v>
      </c>
      <c r="B149" s="11" t="s">
        <v>596</v>
      </c>
      <c r="C149" s="18" t="s">
        <v>598</v>
      </c>
      <c r="D149" s="18" t="s">
        <v>599</v>
      </c>
      <c r="F149" s="79" t="s">
        <v>556</v>
      </c>
    </row>
    <row r="150" spans="1:6" ht="15.95" hidden="1">
      <c r="A150" s="11" t="s">
        <v>529</v>
      </c>
      <c r="B150" s="11" t="s">
        <v>596</v>
      </c>
      <c r="C150" s="18" t="s">
        <v>600</v>
      </c>
      <c r="D150" s="18" t="s">
        <v>601</v>
      </c>
      <c r="F150" s="79" t="s">
        <v>556</v>
      </c>
    </row>
    <row r="151" spans="1:6" ht="15.95" hidden="1">
      <c r="A151" s="11" t="s">
        <v>529</v>
      </c>
      <c r="B151" s="11" t="s">
        <v>596</v>
      </c>
      <c r="C151" s="18" t="s">
        <v>602</v>
      </c>
      <c r="D151" s="56" t="s">
        <v>603</v>
      </c>
      <c r="F151" s="79" t="s">
        <v>556</v>
      </c>
    </row>
    <row r="152" spans="1:6" ht="15.95" hidden="1">
      <c r="A152" s="11" t="s">
        <v>529</v>
      </c>
      <c r="B152" s="11" t="s">
        <v>596</v>
      </c>
      <c r="C152" s="18" t="s">
        <v>604</v>
      </c>
      <c r="D152" s="56" t="s">
        <v>605</v>
      </c>
      <c r="F152" s="79" t="s">
        <v>556</v>
      </c>
    </row>
    <row r="153" spans="1:6" ht="15.95" hidden="1">
      <c r="A153" s="11" t="s">
        <v>529</v>
      </c>
      <c r="B153" s="11" t="s">
        <v>596</v>
      </c>
      <c r="C153" s="18" t="s">
        <v>606</v>
      </c>
      <c r="D153" s="18" t="s">
        <v>607</v>
      </c>
      <c r="F153" s="79" t="s">
        <v>556</v>
      </c>
    </row>
    <row r="154" spans="1:6" ht="32.1" hidden="1">
      <c r="A154" s="11" t="s">
        <v>529</v>
      </c>
      <c r="B154" s="11" t="s">
        <v>596</v>
      </c>
      <c r="C154" s="18" t="s">
        <v>608</v>
      </c>
      <c r="D154" s="18" t="s">
        <v>609</v>
      </c>
      <c r="F154" s="79" t="s">
        <v>556</v>
      </c>
    </row>
    <row r="155" spans="1:6" ht="15.95" hidden="1">
      <c r="A155" s="11" t="s">
        <v>610</v>
      </c>
      <c r="B155" s="11" t="s">
        <v>611</v>
      </c>
      <c r="C155" s="18" t="s">
        <v>612</v>
      </c>
      <c r="D155" s="18" t="s">
        <v>613</v>
      </c>
    </row>
    <row r="156" spans="1:6" ht="15.95" hidden="1">
      <c r="A156" s="11" t="s">
        <v>610</v>
      </c>
      <c r="B156" s="11" t="s">
        <v>614</v>
      </c>
      <c r="C156" s="18" t="s">
        <v>615</v>
      </c>
      <c r="D156" s="18" t="s">
        <v>616</v>
      </c>
      <c r="F156" s="16" t="s">
        <v>617</v>
      </c>
    </row>
    <row r="157" spans="1:6" ht="15.95" hidden="1">
      <c r="A157" s="11" t="s">
        <v>610</v>
      </c>
      <c r="B157" s="11" t="s">
        <v>618</v>
      </c>
      <c r="C157" s="18" t="s">
        <v>619</v>
      </c>
      <c r="D157" s="18" t="s">
        <v>620</v>
      </c>
      <c r="F157" s="16" t="s">
        <v>617</v>
      </c>
    </row>
    <row r="158" spans="1:6" ht="15.95" hidden="1">
      <c r="A158" s="11" t="s">
        <v>610</v>
      </c>
      <c r="B158" s="11" t="s">
        <v>621</v>
      </c>
      <c r="C158" s="18" t="s">
        <v>622</v>
      </c>
      <c r="D158" s="80" t="s">
        <v>623</v>
      </c>
      <c r="F158" s="16"/>
    </row>
    <row r="159" spans="1:6" ht="15.95" hidden="1">
      <c r="A159" s="11" t="s">
        <v>610</v>
      </c>
      <c r="B159" s="11" t="s">
        <v>621</v>
      </c>
      <c r="C159" s="18" t="s">
        <v>624</v>
      </c>
      <c r="D159" s="80" t="s">
        <v>625</v>
      </c>
      <c r="F159" s="19" t="s">
        <v>626</v>
      </c>
    </row>
    <row r="160" spans="1:6" ht="15.95" hidden="1">
      <c r="A160" s="11" t="s">
        <v>610</v>
      </c>
      <c r="B160" s="11" t="s">
        <v>621</v>
      </c>
      <c r="C160" s="18" t="s">
        <v>627</v>
      </c>
      <c r="D160" s="80" t="s">
        <v>628</v>
      </c>
    </row>
    <row r="161" spans="1:6" ht="15.95" hidden="1">
      <c r="A161" s="11" t="s">
        <v>610</v>
      </c>
      <c r="B161" s="11" t="s">
        <v>621</v>
      </c>
      <c r="C161" s="18" t="s">
        <v>629</v>
      </c>
      <c r="D161" s="80" t="s">
        <v>630</v>
      </c>
    </row>
    <row r="162" spans="1:6" ht="15.95" hidden="1">
      <c r="A162" s="11" t="s">
        <v>610</v>
      </c>
      <c r="B162" s="11" t="s">
        <v>621</v>
      </c>
      <c r="C162" s="18" t="s">
        <v>631</v>
      </c>
      <c r="D162" s="81" t="s">
        <v>632</v>
      </c>
    </row>
    <row r="163" spans="1:6" ht="15.95" hidden="1">
      <c r="A163" s="11" t="s">
        <v>610</v>
      </c>
      <c r="B163" s="11" t="s">
        <v>621</v>
      </c>
      <c r="C163" s="18" t="s">
        <v>633</v>
      </c>
      <c r="D163" s="81" t="s">
        <v>634</v>
      </c>
    </row>
    <row r="164" spans="1:6" ht="15.95" hidden="1">
      <c r="A164" s="11" t="s">
        <v>610</v>
      </c>
      <c r="B164" s="11" t="s">
        <v>621</v>
      </c>
      <c r="C164" s="18" t="s">
        <v>635</v>
      </c>
      <c r="D164" s="81" t="s">
        <v>636</v>
      </c>
    </row>
    <row r="165" spans="1:6" ht="15.95" hidden="1">
      <c r="A165" s="11" t="s">
        <v>610</v>
      </c>
      <c r="B165" s="11" t="s">
        <v>621</v>
      </c>
      <c r="C165" s="18" t="s">
        <v>637</v>
      </c>
      <c r="D165" s="80" t="s">
        <v>638</v>
      </c>
    </row>
    <row r="166" spans="1:6" ht="15.95" hidden="1">
      <c r="A166" s="11" t="s">
        <v>610</v>
      </c>
      <c r="B166" s="11" t="s">
        <v>621</v>
      </c>
      <c r="C166" s="18" t="s">
        <v>639</v>
      </c>
      <c r="D166" s="81" t="s">
        <v>640</v>
      </c>
    </row>
    <row r="167" spans="1:6" ht="15.95" hidden="1">
      <c r="A167" s="11" t="s">
        <v>610</v>
      </c>
      <c r="B167" s="11" t="s">
        <v>621</v>
      </c>
      <c r="C167" s="18" t="s">
        <v>641</v>
      </c>
      <c r="D167" s="80" t="s">
        <v>642</v>
      </c>
    </row>
    <row r="168" spans="1:6" ht="32.1" hidden="1">
      <c r="A168" s="11" t="s">
        <v>610</v>
      </c>
      <c r="B168" s="11" t="s">
        <v>643</v>
      </c>
      <c r="C168" s="18" t="s">
        <v>624</v>
      </c>
      <c r="D168" s="80" t="s">
        <v>644</v>
      </c>
      <c r="F168" s="19" t="s">
        <v>626</v>
      </c>
    </row>
    <row r="169" spans="1:6" ht="32.1" hidden="1">
      <c r="A169" s="11" t="s">
        <v>610</v>
      </c>
      <c r="B169" s="11" t="s">
        <v>643</v>
      </c>
      <c r="C169" s="18" t="s">
        <v>627</v>
      </c>
      <c r="D169" s="80" t="s">
        <v>645</v>
      </c>
    </row>
    <row r="170" spans="1:6" ht="32.1" hidden="1">
      <c r="A170" s="11" t="s">
        <v>610</v>
      </c>
      <c r="B170" s="11" t="s">
        <v>643</v>
      </c>
      <c r="C170" s="18" t="s">
        <v>629</v>
      </c>
      <c r="D170" s="80" t="s">
        <v>646</v>
      </c>
    </row>
    <row r="171" spans="1:6" ht="32.1" hidden="1">
      <c r="A171" s="11" t="s">
        <v>610</v>
      </c>
      <c r="B171" s="11" t="s">
        <v>643</v>
      </c>
      <c r="C171" s="18" t="s">
        <v>631</v>
      </c>
      <c r="D171" s="81" t="s">
        <v>647</v>
      </c>
    </row>
    <row r="172" spans="1:6" ht="32.1" hidden="1">
      <c r="A172" s="11" t="s">
        <v>610</v>
      </c>
      <c r="B172" s="11" t="s">
        <v>643</v>
      </c>
      <c r="C172" s="18" t="s">
        <v>633</v>
      </c>
      <c r="D172" s="81" t="s">
        <v>648</v>
      </c>
      <c r="F172" s="11" t="s">
        <v>649</v>
      </c>
    </row>
    <row r="173" spans="1:6" ht="32.1" hidden="1">
      <c r="A173" s="11" t="s">
        <v>610</v>
      </c>
      <c r="B173" s="11" t="s">
        <v>643</v>
      </c>
      <c r="C173" s="18" t="s">
        <v>635</v>
      </c>
      <c r="D173" s="81" t="s">
        <v>650</v>
      </c>
    </row>
    <row r="174" spans="1:6" ht="32.1" hidden="1">
      <c r="A174" s="11" t="s">
        <v>610</v>
      </c>
      <c r="B174" s="11" t="s">
        <v>643</v>
      </c>
      <c r="C174" s="18" t="s">
        <v>637</v>
      </c>
      <c r="D174" s="80" t="s">
        <v>651</v>
      </c>
      <c r="F174" s="11" t="s">
        <v>649</v>
      </c>
    </row>
    <row r="175" spans="1:6" ht="32.1" hidden="1">
      <c r="A175" s="11" t="s">
        <v>610</v>
      </c>
      <c r="B175" s="11" t="s">
        <v>643</v>
      </c>
      <c r="C175" s="18" t="s">
        <v>639</v>
      </c>
      <c r="D175" s="81" t="s">
        <v>652</v>
      </c>
    </row>
    <row r="176" spans="1:6" ht="32.1" hidden="1">
      <c r="A176" s="11" t="s">
        <v>610</v>
      </c>
      <c r="B176" s="11" t="s">
        <v>643</v>
      </c>
      <c r="C176" s="18" t="s">
        <v>641</v>
      </c>
      <c r="D176" s="80" t="s">
        <v>653</v>
      </c>
      <c r="F176" s="11" t="s">
        <v>649</v>
      </c>
    </row>
    <row r="177" spans="1:6" hidden="1"/>
    <row r="178" spans="1:6" ht="15.95" hidden="1">
      <c r="A178" s="105" t="s">
        <v>654</v>
      </c>
      <c r="B178" s="105" t="s">
        <v>655</v>
      </c>
      <c r="C178" s="106" t="s">
        <v>656</v>
      </c>
      <c r="D178" s="106" t="s">
        <v>657</v>
      </c>
    </row>
    <row r="179" spans="1:6" ht="15.95" hidden="1">
      <c r="A179" s="105" t="s">
        <v>654</v>
      </c>
      <c r="B179" s="105" t="s">
        <v>658</v>
      </c>
      <c r="C179" s="106" t="s">
        <v>659</v>
      </c>
      <c r="D179" s="106" t="s">
        <v>660</v>
      </c>
    </row>
    <row r="180" spans="1:6" ht="15.95" hidden="1">
      <c r="A180" s="11" t="s">
        <v>661</v>
      </c>
      <c r="B180" s="11" t="s">
        <v>662</v>
      </c>
      <c r="C180" s="18" t="s">
        <v>663</v>
      </c>
      <c r="D180" s="18" t="s">
        <v>664</v>
      </c>
      <c r="F180" s="11" t="s">
        <v>665</v>
      </c>
    </row>
    <row r="181" spans="1:6" ht="15.95" hidden="1">
      <c r="A181" s="11" t="s">
        <v>661</v>
      </c>
      <c r="B181" s="11" t="s">
        <v>662</v>
      </c>
      <c r="C181" s="18" t="s">
        <v>473</v>
      </c>
      <c r="D181" s="18" t="s">
        <v>666</v>
      </c>
    </row>
    <row r="182" spans="1:6" ht="15.95" hidden="1">
      <c r="A182" s="11" t="s">
        <v>661</v>
      </c>
      <c r="B182" s="11" t="s">
        <v>662</v>
      </c>
      <c r="C182" s="18" t="s">
        <v>667</v>
      </c>
      <c r="D182" s="18" t="s">
        <v>668</v>
      </c>
    </row>
    <row r="183" spans="1:6" ht="32.1" hidden="1">
      <c r="A183" s="11" t="s">
        <v>661</v>
      </c>
      <c r="B183" s="11" t="s">
        <v>662</v>
      </c>
      <c r="C183" s="18" t="s">
        <v>669</v>
      </c>
      <c r="D183" s="18" t="s">
        <v>670</v>
      </c>
    </row>
    <row r="184" spans="1:6" ht="15.95" hidden="1">
      <c r="A184" s="11" t="s">
        <v>661</v>
      </c>
      <c r="B184" s="11" t="s">
        <v>662</v>
      </c>
      <c r="C184" s="18" t="s">
        <v>671</v>
      </c>
      <c r="D184" s="18" t="s">
        <v>672</v>
      </c>
    </row>
    <row r="185" spans="1:6" ht="15.95" hidden="1">
      <c r="A185" s="11" t="s">
        <v>661</v>
      </c>
      <c r="B185" s="11" t="s">
        <v>662</v>
      </c>
      <c r="C185" s="18" t="s">
        <v>673</v>
      </c>
      <c r="D185" s="18" t="s">
        <v>674</v>
      </c>
    </row>
    <row r="186" spans="1:6" ht="30" hidden="1">
      <c r="A186" s="11" t="s">
        <v>661</v>
      </c>
      <c r="B186" s="11" t="s">
        <v>662</v>
      </c>
      <c r="C186" s="18" t="s">
        <v>675</v>
      </c>
      <c r="D186" s="53" t="s">
        <v>676</v>
      </c>
    </row>
    <row r="187" spans="1:6" ht="138.75" hidden="1" customHeight="1">
      <c r="A187" s="11" t="s">
        <v>661</v>
      </c>
      <c r="B187" s="11" t="s">
        <v>662</v>
      </c>
      <c r="C187" s="18" t="s">
        <v>677</v>
      </c>
      <c r="D187" s="193" t="s">
        <v>678</v>
      </c>
      <c r="F187" s="18" t="s">
        <v>679</v>
      </c>
    </row>
    <row r="188" spans="1:6" ht="32.1" hidden="1">
      <c r="A188" s="11" t="s">
        <v>661</v>
      </c>
      <c r="B188" s="11" t="s">
        <v>662</v>
      </c>
      <c r="C188" s="18" t="s">
        <v>680</v>
      </c>
      <c r="D188" s="18" t="s">
        <v>681</v>
      </c>
    </row>
    <row r="189" spans="1:6" ht="15.95" hidden="1">
      <c r="A189" s="11" t="s">
        <v>661</v>
      </c>
      <c r="B189" s="11" t="s">
        <v>662</v>
      </c>
      <c r="C189" s="18" t="s">
        <v>682</v>
      </c>
      <c r="D189" s="54" t="s">
        <v>683</v>
      </c>
    </row>
    <row r="190" spans="1:6" ht="15.95" hidden="1">
      <c r="A190" s="11" t="s">
        <v>661</v>
      </c>
      <c r="B190" s="11" t="s">
        <v>662</v>
      </c>
      <c r="C190" s="18" t="s">
        <v>684</v>
      </c>
      <c r="D190" s="57" t="s">
        <v>685</v>
      </c>
    </row>
    <row r="191" spans="1:6" ht="15.95" hidden="1">
      <c r="A191" s="11" t="s">
        <v>661</v>
      </c>
      <c r="B191" s="11" t="s">
        <v>662</v>
      </c>
      <c r="C191" s="18" t="s">
        <v>686</v>
      </c>
      <c r="D191" s="53" t="s">
        <v>687</v>
      </c>
    </row>
    <row r="192" spans="1:6" ht="96" hidden="1">
      <c r="A192" s="11" t="s">
        <v>661</v>
      </c>
      <c r="B192" s="11" t="s">
        <v>688</v>
      </c>
      <c r="C192" s="18" t="s">
        <v>689</v>
      </c>
      <c r="D192" s="18" t="s">
        <v>690</v>
      </c>
    </row>
    <row r="193" spans="1:4" ht="15.95" hidden="1">
      <c r="A193" s="11" t="s">
        <v>661</v>
      </c>
      <c r="B193" s="11" t="s">
        <v>688</v>
      </c>
      <c r="C193" s="18" t="s">
        <v>691</v>
      </c>
      <c r="D193" s="18" t="s">
        <v>692</v>
      </c>
    </row>
    <row r="194" spans="1:4" ht="15.95" hidden="1">
      <c r="A194" s="11" t="s">
        <v>661</v>
      </c>
      <c r="B194" s="11" t="s">
        <v>688</v>
      </c>
      <c r="C194" s="18" t="s">
        <v>663</v>
      </c>
      <c r="D194" s="18" t="s">
        <v>693</v>
      </c>
    </row>
    <row r="195" spans="1:4" ht="32.1" hidden="1">
      <c r="A195" s="11" t="s">
        <v>661</v>
      </c>
      <c r="B195" s="11" t="s">
        <v>688</v>
      </c>
      <c r="C195" s="18" t="s">
        <v>694</v>
      </c>
      <c r="D195" s="18" t="s">
        <v>695</v>
      </c>
    </row>
    <row r="196" spans="1:4" ht="15.95" hidden="1">
      <c r="A196" s="11" t="s">
        <v>661</v>
      </c>
      <c r="B196" s="11" t="s">
        <v>688</v>
      </c>
      <c r="C196" s="18" t="s">
        <v>696</v>
      </c>
      <c r="D196" s="18" t="s">
        <v>697</v>
      </c>
    </row>
    <row r="197" spans="1:4" ht="15.95" hidden="1">
      <c r="A197" s="11" t="s">
        <v>661</v>
      </c>
      <c r="B197" s="11" t="s">
        <v>688</v>
      </c>
      <c r="C197" s="18" t="s">
        <v>698</v>
      </c>
      <c r="D197" s="18" t="s">
        <v>699</v>
      </c>
    </row>
    <row r="198" spans="1:4" ht="32.1" hidden="1">
      <c r="A198" s="11" t="s">
        <v>661</v>
      </c>
      <c r="B198" s="11" t="s">
        <v>688</v>
      </c>
      <c r="C198" s="18" t="s">
        <v>671</v>
      </c>
      <c r="D198" s="18" t="s">
        <v>700</v>
      </c>
    </row>
    <row r="199" spans="1:4" hidden="1">
      <c r="A199" s="11" t="s">
        <v>661</v>
      </c>
      <c r="B199" s="11" t="s">
        <v>688</v>
      </c>
      <c r="C199" s="18" t="s">
        <v>701</v>
      </c>
      <c r="D199" s="18" t="s">
        <v>702</v>
      </c>
    </row>
    <row r="200" spans="1:4" ht="32.1" hidden="1">
      <c r="A200" s="11" t="s">
        <v>661</v>
      </c>
      <c r="B200" s="11" t="s">
        <v>688</v>
      </c>
      <c r="C200" s="18" t="s">
        <v>703</v>
      </c>
      <c r="D200" s="18" t="s">
        <v>704</v>
      </c>
    </row>
    <row r="201" spans="1:4" ht="32.1" hidden="1">
      <c r="A201" s="11" t="s">
        <v>661</v>
      </c>
      <c r="B201" s="11" t="s">
        <v>688</v>
      </c>
      <c r="C201" s="18" t="s">
        <v>705</v>
      </c>
      <c r="D201" s="18" t="s">
        <v>706</v>
      </c>
    </row>
    <row r="202" spans="1:4" ht="128.1" hidden="1">
      <c r="A202" s="11" t="s">
        <v>661</v>
      </c>
      <c r="B202" s="11" t="s">
        <v>688</v>
      </c>
      <c r="C202" s="18" t="s">
        <v>707</v>
      </c>
      <c r="D202" s="18" t="s">
        <v>708</v>
      </c>
    </row>
    <row r="203" spans="1:4" ht="32.1" hidden="1">
      <c r="A203" s="11" t="s">
        <v>661</v>
      </c>
      <c r="B203" s="11" t="s">
        <v>688</v>
      </c>
      <c r="C203" s="18" t="s">
        <v>709</v>
      </c>
      <c r="D203" s="18" t="s">
        <v>710</v>
      </c>
    </row>
    <row r="204" spans="1:4" ht="32.1" hidden="1">
      <c r="A204" s="11" t="s">
        <v>661</v>
      </c>
      <c r="B204" s="11" t="s">
        <v>688</v>
      </c>
      <c r="C204" s="18" t="s">
        <v>711</v>
      </c>
      <c r="D204" s="18" t="s">
        <v>712</v>
      </c>
    </row>
    <row r="205" spans="1:4" ht="32.1" hidden="1">
      <c r="A205" s="11" t="s">
        <v>661</v>
      </c>
      <c r="B205" s="11" t="s">
        <v>688</v>
      </c>
      <c r="C205" s="18" t="s">
        <v>713</v>
      </c>
      <c r="D205" s="18" t="s">
        <v>714</v>
      </c>
    </row>
    <row r="206" spans="1:4" ht="15.95" hidden="1">
      <c r="A206" s="11" t="s">
        <v>661</v>
      </c>
      <c r="B206" s="11" t="s">
        <v>688</v>
      </c>
      <c r="C206" s="18" t="s">
        <v>715</v>
      </c>
      <c r="D206" s="18" t="s">
        <v>716</v>
      </c>
    </row>
    <row r="207" spans="1:4" ht="30" hidden="1">
      <c r="A207" s="11" t="s">
        <v>661</v>
      </c>
      <c r="B207" s="11" t="s">
        <v>717</v>
      </c>
      <c r="C207" s="18" t="s">
        <v>718</v>
      </c>
      <c r="D207" s="53" t="s">
        <v>719</v>
      </c>
    </row>
    <row r="208" spans="1:4" ht="30" hidden="1">
      <c r="A208" s="11" t="s">
        <v>661</v>
      </c>
      <c r="B208" s="38" t="s">
        <v>717</v>
      </c>
      <c r="C208" s="89" t="s">
        <v>720</v>
      </c>
      <c r="D208" s="90" t="s">
        <v>719</v>
      </c>
    </row>
    <row r="209" spans="1:6" ht="15.95" hidden="1">
      <c r="A209" s="11" t="s">
        <v>661</v>
      </c>
      <c r="B209" s="28" t="s">
        <v>717</v>
      </c>
      <c r="C209" s="56" t="s">
        <v>721</v>
      </c>
      <c r="D209" s="73" t="s">
        <v>722</v>
      </c>
      <c r="F209" s="11" t="s">
        <v>723</v>
      </c>
    </row>
    <row r="210" spans="1:6" ht="15.95" hidden="1">
      <c r="A210" s="11" t="s">
        <v>661</v>
      </c>
      <c r="B210" s="38" t="s">
        <v>717</v>
      </c>
      <c r="C210" s="89" t="s">
        <v>724</v>
      </c>
      <c r="D210" s="89" t="s">
        <v>725</v>
      </c>
    </row>
    <row r="211" spans="1:6" ht="15.95" hidden="1">
      <c r="A211" s="11" t="s">
        <v>661</v>
      </c>
      <c r="B211" s="28" t="s">
        <v>717</v>
      </c>
      <c r="C211" s="56" t="s">
        <v>726</v>
      </c>
      <c r="D211" s="56" t="s">
        <v>727</v>
      </c>
    </row>
    <row r="212" spans="1:6" ht="30" hidden="1">
      <c r="A212" s="11" t="s">
        <v>661</v>
      </c>
      <c r="B212" s="38" t="s">
        <v>717</v>
      </c>
      <c r="C212" s="89" t="s">
        <v>728</v>
      </c>
      <c r="D212" s="73" t="s">
        <v>729</v>
      </c>
    </row>
    <row r="213" spans="1:6" ht="15.95" hidden="1">
      <c r="A213" s="11" t="s">
        <v>661</v>
      </c>
      <c r="B213" s="28" t="s">
        <v>717</v>
      </c>
      <c r="C213" s="56" t="s">
        <v>730</v>
      </c>
      <c r="D213" s="56" t="s">
        <v>731</v>
      </c>
    </row>
    <row r="214" spans="1:6" ht="15.95" hidden="1">
      <c r="A214" s="11" t="s">
        <v>661</v>
      </c>
      <c r="B214" s="38" t="s">
        <v>717</v>
      </c>
      <c r="C214" s="89" t="s">
        <v>732</v>
      </c>
      <c r="D214" s="89" t="s">
        <v>733</v>
      </c>
    </row>
    <row r="215" spans="1:6" hidden="1">
      <c r="A215" s="11" t="s">
        <v>661</v>
      </c>
      <c r="B215" s="28" t="s">
        <v>717</v>
      </c>
      <c r="C215" s="56" t="s">
        <v>734</v>
      </c>
      <c r="D215" s="73">
        <v>3</v>
      </c>
    </row>
    <row r="216" spans="1:6" ht="15.95" hidden="1">
      <c r="A216" s="11" t="s">
        <v>661</v>
      </c>
      <c r="B216" s="38" t="s">
        <v>717</v>
      </c>
      <c r="C216" s="89" t="s">
        <v>735</v>
      </c>
      <c r="D216" s="89" t="s">
        <v>702</v>
      </c>
    </row>
    <row r="217" spans="1:6" ht="15.95" hidden="1">
      <c r="A217" s="11" t="s">
        <v>661</v>
      </c>
      <c r="B217" s="28" t="s">
        <v>717</v>
      </c>
      <c r="C217" s="56" t="s">
        <v>736</v>
      </c>
      <c r="D217" s="56" t="s">
        <v>737</v>
      </c>
    </row>
    <row r="218" spans="1:6" ht="15.95" hidden="1">
      <c r="A218" s="11" t="s">
        <v>661</v>
      </c>
      <c r="B218" s="38" t="s">
        <v>717</v>
      </c>
      <c r="C218" s="89" t="s">
        <v>738</v>
      </c>
      <c r="D218" s="89" t="s">
        <v>739</v>
      </c>
    </row>
    <row r="219" spans="1:6" ht="15.95" hidden="1">
      <c r="A219" s="11" t="s">
        <v>661</v>
      </c>
      <c r="B219" s="11" t="s">
        <v>717</v>
      </c>
      <c r="C219" s="18" t="s">
        <v>740</v>
      </c>
      <c r="D219" s="18" t="s">
        <v>741</v>
      </c>
    </row>
    <row r="220" spans="1:6" hidden="1">
      <c r="A220" s="11" t="s">
        <v>661</v>
      </c>
      <c r="B220" s="11" t="s">
        <v>742</v>
      </c>
      <c r="C220" s="11" t="s">
        <v>743</v>
      </c>
    </row>
    <row r="221" spans="1:6" hidden="1">
      <c r="A221" s="11" t="s">
        <v>661</v>
      </c>
      <c r="B221" s="11" t="s">
        <v>742</v>
      </c>
      <c r="C221" s="11" t="s">
        <v>744</v>
      </c>
    </row>
    <row r="222" spans="1:6" ht="15.95" hidden="1">
      <c r="A222" s="11" t="s">
        <v>661</v>
      </c>
      <c r="B222" s="11" t="s">
        <v>742</v>
      </c>
      <c r="C222" s="11" t="s">
        <v>745</v>
      </c>
      <c r="D222" s="18" t="s">
        <v>746</v>
      </c>
    </row>
    <row r="223" spans="1:6" ht="15.95" hidden="1">
      <c r="A223" s="11" t="s">
        <v>661</v>
      </c>
      <c r="B223" s="11" t="s">
        <v>742</v>
      </c>
      <c r="C223" s="11" t="s">
        <v>747</v>
      </c>
      <c r="D223" s="18" t="s">
        <v>748</v>
      </c>
    </row>
    <row r="224" spans="1:6" ht="96" hidden="1">
      <c r="A224" s="11" t="s">
        <v>661</v>
      </c>
      <c r="B224" s="11" t="s">
        <v>742</v>
      </c>
      <c r="C224" s="11" t="s">
        <v>749</v>
      </c>
      <c r="D224" s="18" t="s">
        <v>690</v>
      </c>
    </row>
    <row r="225" spans="1:4" ht="48" hidden="1">
      <c r="A225" s="11" t="s">
        <v>661</v>
      </c>
      <c r="B225" s="11" t="s">
        <v>742</v>
      </c>
      <c r="C225" s="11" t="s">
        <v>750</v>
      </c>
      <c r="D225" s="18" t="s">
        <v>751</v>
      </c>
    </row>
    <row r="226" spans="1:4" ht="48" hidden="1">
      <c r="A226" s="11" t="s">
        <v>661</v>
      </c>
      <c r="B226" s="11" t="s">
        <v>742</v>
      </c>
      <c r="C226" s="11" t="s">
        <v>752</v>
      </c>
      <c r="D226" s="18" t="s">
        <v>753</v>
      </c>
    </row>
    <row r="227" spans="1:4" ht="32.1" hidden="1">
      <c r="A227" s="11" t="s">
        <v>661</v>
      </c>
      <c r="B227" s="11" t="s">
        <v>742</v>
      </c>
      <c r="C227" s="11" t="s">
        <v>754</v>
      </c>
      <c r="D227" s="18" t="s">
        <v>755</v>
      </c>
    </row>
    <row r="228" spans="1:4" ht="48" hidden="1">
      <c r="A228" s="11" t="s">
        <v>661</v>
      </c>
      <c r="B228" s="11" t="s">
        <v>742</v>
      </c>
      <c r="C228" s="11" t="s">
        <v>756</v>
      </c>
      <c r="D228" s="18" t="s">
        <v>757</v>
      </c>
    </row>
    <row r="229" spans="1:4" ht="63.95" hidden="1">
      <c r="A229" s="11" t="s">
        <v>661</v>
      </c>
      <c r="B229" s="11" t="s">
        <v>742</v>
      </c>
      <c r="C229" s="11" t="s">
        <v>758</v>
      </c>
      <c r="D229" s="18" t="s">
        <v>759</v>
      </c>
    </row>
    <row r="230" spans="1:4" ht="63.95" hidden="1">
      <c r="A230" s="11" t="s">
        <v>661</v>
      </c>
      <c r="B230" s="11" t="s">
        <v>742</v>
      </c>
      <c r="C230" s="11" t="s">
        <v>760</v>
      </c>
      <c r="D230" s="18" t="s">
        <v>761</v>
      </c>
    </row>
    <row r="231" spans="1:4" ht="48" hidden="1">
      <c r="A231" s="11" t="s">
        <v>661</v>
      </c>
      <c r="B231" s="11" t="s">
        <v>742</v>
      </c>
      <c r="C231" s="11" t="s">
        <v>762</v>
      </c>
      <c r="D231" s="18" t="s">
        <v>763</v>
      </c>
    </row>
    <row r="232" spans="1:4" ht="48" hidden="1">
      <c r="A232" s="11" t="s">
        <v>661</v>
      </c>
      <c r="B232" s="11" t="s">
        <v>742</v>
      </c>
      <c r="C232" s="11" t="s">
        <v>764</v>
      </c>
      <c r="D232" s="18" t="s">
        <v>765</v>
      </c>
    </row>
    <row r="233" spans="1:4" ht="15.95" hidden="1">
      <c r="A233" s="11" t="s">
        <v>661</v>
      </c>
      <c r="B233" s="11" t="s">
        <v>766</v>
      </c>
      <c r="C233" s="18" t="s">
        <v>744</v>
      </c>
      <c r="D233" s="18" t="s">
        <v>767</v>
      </c>
    </row>
    <row r="234" spans="1:4" ht="15.95" hidden="1">
      <c r="A234" s="11" t="s">
        <v>661</v>
      </c>
      <c r="B234" s="11" t="s">
        <v>766</v>
      </c>
      <c r="C234" s="18" t="s">
        <v>745</v>
      </c>
      <c r="D234" s="18" t="s">
        <v>745</v>
      </c>
    </row>
    <row r="235" spans="1:4" ht="15.95" hidden="1">
      <c r="A235" s="11" t="s">
        <v>661</v>
      </c>
      <c r="B235" s="11" t="s">
        <v>766</v>
      </c>
      <c r="C235" s="18" t="s">
        <v>747</v>
      </c>
      <c r="D235" s="18" t="s">
        <v>747</v>
      </c>
    </row>
    <row r="236" spans="1:4" ht="15.95" hidden="1">
      <c r="A236" s="11" t="s">
        <v>661</v>
      </c>
      <c r="B236" s="11" t="s">
        <v>766</v>
      </c>
      <c r="C236" s="18" t="s">
        <v>768</v>
      </c>
      <c r="D236" s="18" t="s">
        <v>768</v>
      </c>
    </row>
    <row r="237" spans="1:4" ht="15.95" hidden="1">
      <c r="A237" s="11" t="s">
        <v>661</v>
      </c>
      <c r="B237" s="11" t="s">
        <v>766</v>
      </c>
      <c r="C237" s="18" t="s">
        <v>769</v>
      </c>
      <c r="D237" s="18" t="s">
        <v>770</v>
      </c>
    </row>
    <row r="238" spans="1:4" ht="15.95" hidden="1">
      <c r="A238" s="11" t="s">
        <v>661</v>
      </c>
      <c r="B238" s="11" t="s">
        <v>766</v>
      </c>
      <c r="C238" s="18" t="s">
        <v>771</v>
      </c>
      <c r="D238" s="18" t="s">
        <v>772</v>
      </c>
    </row>
    <row r="239" spans="1:4" ht="15.95" hidden="1">
      <c r="A239" s="11" t="s">
        <v>661</v>
      </c>
      <c r="B239" s="11" t="s">
        <v>766</v>
      </c>
      <c r="C239" s="18" t="s">
        <v>773</v>
      </c>
      <c r="D239" s="18" t="s">
        <v>774</v>
      </c>
    </row>
    <row r="240" spans="1:4" ht="15.95" hidden="1">
      <c r="A240" s="11" t="s">
        <v>661</v>
      </c>
      <c r="B240" s="11" t="s">
        <v>766</v>
      </c>
      <c r="C240" s="18" t="s">
        <v>775</v>
      </c>
      <c r="D240" s="18" t="s">
        <v>775</v>
      </c>
    </row>
    <row r="241" spans="1:4" ht="15.95" hidden="1">
      <c r="A241" s="11" t="s">
        <v>661</v>
      </c>
      <c r="B241" s="11" t="s">
        <v>766</v>
      </c>
      <c r="C241" s="18" t="s">
        <v>776</v>
      </c>
      <c r="D241" s="18" t="s">
        <v>776</v>
      </c>
    </row>
    <row r="242" spans="1:4" ht="15.95" hidden="1">
      <c r="A242" s="11" t="s">
        <v>661</v>
      </c>
      <c r="B242" s="11" t="s">
        <v>766</v>
      </c>
      <c r="C242" s="18" t="s">
        <v>777</v>
      </c>
      <c r="D242" s="18" t="s">
        <v>777</v>
      </c>
    </row>
    <row r="243" spans="1:4" ht="15.95" hidden="1">
      <c r="A243" s="11" t="s">
        <v>661</v>
      </c>
      <c r="B243" s="11" t="s">
        <v>766</v>
      </c>
      <c r="C243" s="18" t="s">
        <v>778</v>
      </c>
      <c r="D243" s="18" t="s">
        <v>778</v>
      </c>
    </row>
    <row r="244" spans="1:4" ht="15.95" hidden="1">
      <c r="A244" s="11" t="s">
        <v>661</v>
      </c>
      <c r="B244" s="11" t="s">
        <v>766</v>
      </c>
      <c r="C244" s="18" t="s">
        <v>779</v>
      </c>
      <c r="D244" s="18" t="s">
        <v>779</v>
      </c>
    </row>
    <row r="245" spans="1:4" ht="15.95" hidden="1">
      <c r="A245" s="11" t="s">
        <v>661</v>
      </c>
      <c r="B245" s="11" t="s">
        <v>766</v>
      </c>
      <c r="C245" s="18" t="s">
        <v>780</v>
      </c>
      <c r="D245" s="18" t="s">
        <v>780</v>
      </c>
    </row>
    <row r="246" spans="1:4" ht="15.95" hidden="1">
      <c r="A246" s="11" t="s">
        <v>661</v>
      </c>
      <c r="B246" s="11" t="s">
        <v>766</v>
      </c>
      <c r="C246" s="18" t="s">
        <v>781</v>
      </c>
      <c r="D246" s="18" t="s">
        <v>781</v>
      </c>
    </row>
    <row r="247" spans="1:4" ht="15.95" hidden="1">
      <c r="A247" s="11" t="s">
        <v>661</v>
      </c>
      <c r="B247" s="11" t="s">
        <v>766</v>
      </c>
      <c r="C247" s="18" t="s">
        <v>782</v>
      </c>
      <c r="D247" s="18" t="s">
        <v>782</v>
      </c>
    </row>
    <row r="248" spans="1:4" ht="15.95" hidden="1">
      <c r="A248" s="11" t="s">
        <v>661</v>
      </c>
      <c r="B248" s="11" t="s">
        <v>766</v>
      </c>
      <c r="C248" s="18" t="s">
        <v>783</v>
      </c>
      <c r="D248" s="18" t="s">
        <v>783</v>
      </c>
    </row>
    <row r="249" spans="1:4" ht="15.95" hidden="1">
      <c r="A249" s="11" t="s">
        <v>661</v>
      </c>
      <c r="B249" s="11" t="s">
        <v>766</v>
      </c>
      <c r="C249" s="18" t="s">
        <v>784</v>
      </c>
      <c r="D249" s="18" t="s">
        <v>194</v>
      </c>
    </row>
    <row r="250" spans="1:4" ht="15.95" hidden="1">
      <c r="A250" s="11" t="s">
        <v>661</v>
      </c>
      <c r="B250" s="11" t="s">
        <v>766</v>
      </c>
      <c r="C250" s="18" t="s">
        <v>785</v>
      </c>
      <c r="D250" s="18" t="s">
        <v>123</v>
      </c>
    </row>
    <row r="251" spans="1:4" ht="15.95" hidden="1">
      <c r="A251" s="11" t="s">
        <v>661</v>
      </c>
      <c r="B251" s="11" t="s">
        <v>766</v>
      </c>
      <c r="C251" s="18" t="s">
        <v>786</v>
      </c>
      <c r="D251" s="18" t="s">
        <v>118</v>
      </c>
    </row>
    <row r="252" spans="1:4" ht="15.95" hidden="1">
      <c r="A252" s="11" t="s">
        <v>661</v>
      </c>
      <c r="B252" s="11" t="s">
        <v>787</v>
      </c>
      <c r="C252" s="18" t="s">
        <v>105</v>
      </c>
      <c r="D252" s="18" t="s">
        <v>105</v>
      </c>
    </row>
    <row r="253" spans="1:4" ht="15.95" hidden="1">
      <c r="A253" s="11" t="s">
        <v>661</v>
      </c>
      <c r="B253" s="11" t="s">
        <v>787</v>
      </c>
      <c r="C253" s="18" t="s">
        <v>788</v>
      </c>
      <c r="D253" s="18" t="s">
        <v>772</v>
      </c>
    </row>
    <row r="254" spans="1:4" ht="15.95" hidden="1">
      <c r="A254" s="11" t="s">
        <v>661</v>
      </c>
      <c r="B254" s="11" t="s">
        <v>787</v>
      </c>
      <c r="C254" s="18" t="s">
        <v>789</v>
      </c>
      <c r="D254" s="18" t="s">
        <v>774</v>
      </c>
    </row>
    <row r="255" spans="1:4" ht="15.95" hidden="1">
      <c r="A255" s="11" t="s">
        <v>661</v>
      </c>
      <c r="B255" s="11" t="s">
        <v>787</v>
      </c>
      <c r="C255" s="18" t="s">
        <v>775</v>
      </c>
      <c r="D255" s="18" t="s">
        <v>775</v>
      </c>
    </row>
    <row r="256" spans="1:4" ht="15.95" hidden="1">
      <c r="A256" s="11" t="s">
        <v>661</v>
      </c>
      <c r="B256" s="11" t="s">
        <v>787</v>
      </c>
      <c r="C256" s="18" t="s">
        <v>790</v>
      </c>
      <c r="D256" s="18" t="s">
        <v>790</v>
      </c>
    </row>
    <row r="257" spans="1:5" ht="15.95" hidden="1">
      <c r="A257" s="11" t="s">
        <v>661</v>
      </c>
      <c r="B257" s="11" t="s">
        <v>787</v>
      </c>
      <c r="C257" s="18" t="s">
        <v>791</v>
      </c>
      <c r="D257" s="18" t="s">
        <v>791</v>
      </c>
    </row>
    <row r="258" spans="1:5" ht="15.95" hidden="1">
      <c r="A258" s="11" t="s">
        <v>661</v>
      </c>
      <c r="B258" s="11" t="s">
        <v>787</v>
      </c>
      <c r="C258" s="18" t="s">
        <v>792</v>
      </c>
      <c r="D258" s="18" t="s">
        <v>792</v>
      </c>
    </row>
    <row r="259" spans="1:5" ht="15.95" hidden="1">
      <c r="A259" s="11" t="s">
        <v>661</v>
      </c>
      <c r="B259" s="11" t="s">
        <v>787</v>
      </c>
      <c r="C259" s="18" t="s">
        <v>793</v>
      </c>
      <c r="D259" s="18" t="s">
        <v>793</v>
      </c>
    </row>
    <row r="260" spans="1:5" ht="15.95" hidden="1">
      <c r="A260" s="11" t="s">
        <v>661</v>
      </c>
      <c r="B260" s="11" t="s">
        <v>787</v>
      </c>
      <c r="C260" s="18" t="s">
        <v>794</v>
      </c>
      <c r="D260" s="18" t="s">
        <v>794</v>
      </c>
    </row>
    <row r="261" spans="1:5" ht="15.95" hidden="1">
      <c r="A261" s="11" t="s">
        <v>661</v>
      </c>
      <c r="B261" s="11" t="s">
        <v>787</v>
      </c>
      <c r="C261" s="18" t="s">
        <v>795</v>
      </c>
      <c r="D261" s="18" t="s">
        <v>795</v>
      </c>
    </row>
    <row r="262" spans="1:5" ht="15.95" hidden="1">
      <c r="A262" s="11" t="s">
        <v>661</v>
      </c>
      <c r="B262" s="11" t="s">
        <v>787</v>
      </c>
      <c r="C262" s="18" t="s">
        <v>796</v>
      </c>
      <c r="D262" s="18" t="s">
        <v>231</v>
      </c>
    </row>
    <row r="263" spans="1:5" ht="15.95" hidden="1">
      <c r="A263" s="11" t="s">
        <v>661</v>
      </c>
      <c r="B263" s="11" t="s">
        <v>787</v>
      </c>
      <c r="C263" s="18" t="s">
        <v>797</v>
      </c>
      <c r="D263" s="18" t="s">
        <v>225</v>
      </c>
    </row>
    <row r="264" spans="1:5" ht="15.95" hidden="1">
      <c r="A264" s="11" t="s">
        <v>661</v>
      </c>
      <c r="B264" s="11" t="s">
        <v>787</v>
      </c>
      <c r="C264" s="18" t="s">
        <v>798</v>
      </c>
      <c r="D264" s="18" t="s">
        <v>799</v>
      </c>
    </row>
    <row r="265" spans="1:5" ht="15.95" hidden="1">
      <c r="A265" s="11" t="s">
        <v>661</v>
      </c>
      <c r="B265" s="11" t="s">
        <v>787</v>
      </c>
      <c r="C265" s="18" t="s">
        <v>800</v>
      </c>
      <c r="D265" s="18" t="s">
        <v>234</v>
      </c>
    </row>
    <row r="266" spans="1:5" ht="15.95" hidden="1">
      <c r="A266" s="11" t="s">
        <v>661</v>
      </c>
      <c r="B266" s="11" t="s">
        <v>787</v>
      </c>
      <c r="C266" s="18" t="s">
        <v>801</v>
      </c>
      <c r="D266" s="18" t="s">
        <v>802</v>
      </c>
    </row>
    <row r="267" spans="1:5" ht="32.1" hidden="1">
      <c r="A267" s="11" t="s">
        <v>661</v>
      </c>
      <c r="B267" s="11" t="s">
        <v>787</v>
      </c>
      <c r="C267" s="18" t="s">
        <v>803</v>
      </c>
      <c r="D267" s="18" t="s">
        <v>804</v>
      </c>
    </row>
    <row r="268" spans="1:5" ht="15.95" hidden="1">
      <c r="A268" s="11" t="s">
        <v>661</v>
      </c>
      <c r="B268" s="11" t="s">
        <v>787</v>
      </c>
      <c r="C268" s="18" t="s">
        <v>377</v>
      </c>
      <c r="D268" s="18" t="s">
        <v>219</v>
      </c>
      <c r="E268" s="11" t="s">
        <v>805</v>
      </c>
    </row>
    <row r="269" spans="1:5" ht="15.95" hidden="1">
      <c r="A269" s="11" t="s">
        <v>806</v>
      </c>
      <c r="B269" s="11" t="s">
        <v>807</v>
      </c>
      <c r="C269" s="18" t="s">
        <v>808</v>
      </c>
      <c r="E269" s="11" t="s">
        <v>805</v>
      </c>
    </row>
    <row r="270" spans="1:5" ht="15.95" hidden="1">
      <c r="A270" s="11" t="s">
        <v>806</v>
      </c>
      <c r="B270" s="11" t="s">
        <v>807</v>
      </c>
      <c r="C270" s="18" t="s">
        <v>809</v>
      </c>
      <c r="E270" s="11" t="s">
        <v>805</v>
      </c>
    </row>
    <row r="271" spans="1:5" ht="15.95" hidden="1">
      <c r="A271" s="11" t="s">
        <v>806</v>
      </c>
      <c r="B271" s="11" t="s">
        <v>807</v>
      </c>
      <c r="C271" s="18" t="s">
        <v>810</v>
      </c>
      <c r="E271" s="11" t="s">
        <v>805</v>
      </c>
    </row>
    <row r="272" spans="1:5" ht="15.95" hidden="1">
      <c r="A272" s="11" t="s">
        <v>806</v>
      </c>
      <c r="B272" s="11" t="s">
        <v>807</v>
      </c>
      <c r="C272" s="18" t="s">
        <v>811</v>
      </c>
      <c r="E272" s="11" t="s">
        <v>805</v>
      </c>
    </row>
    <row r="273" spans="1:5" ht="15.95" hidden="1">
      <c r="A273" s="11" t="s">
        <v>812</v>
      </c>
      <c r="B273" s="11" t="s">
        <v>813</v>
      </c>
      <c r="C273" s="18" t="s">
        <v>814</v>
      </c>
      <c r="D273" s="18" t="s">
        <v>815</v>
      </c>
      <c r="E273" s="11" t="s">
        <v>805</v>
      </c>
    </row>
    <row r="274" spans="1:5" ht="15.95" hidden="1">
      <c r="A274" s="11" t="s">
        <v>812</v>
      </c>
      <c r="B274" s="11" t="s">
        <v>813</v>
      </c>
      <c r="C274" s="18" t="s">
        <v>816</v>
      </c>
      <c r="D274" s="18" t="s">
        <v>817</v>
      </c>
      <c r="E274" s="11" t="s">
        <v>805</v>
      </c>
    </row>
    <row r="275" spans="1:5" ht="15.95" hidden="1">
      <c r="A275" s="11" t="s">
        <v>812</v>
      </c>
      <c r="B275" s="11" t="s">
        <v>813</v>
      </c>
      <c r="C275" s="18" t="s">
        <v>818</v>
      </c>
      <c r="D275" s="18" t="s">
        <v>819</v>
      </c>
      <c r="E275" s="11" t="s">
        <v>805</v>
      </c>
    </row>
    <row r="276" spans="1:5" ht="63.95" hidden="1">
      <c r="A276" s="11" t="s">
        <v>812</v>
      </c>
      <c r="B276" s="11" t="s">
        <v>813</v>
      </c>
      <c r="C276" s="18" t="s">
        <v>820</v>
      </c>
      <c r="D276" s="18" t="s">
        <v>821</v>
      </c>
      <c r="E276" s="11" t="s">
        <v>805</v>
      </c>
    </row>
    <row r="277" spans="1:5" ht="15.95" hidden="1">
      <c r="A277" s="11" t="s">
        <v>812</v>
      </c>
      <c r="B277" s="11" t="s">
        <v>813</v>
      </c>
      <c r="C277" s="18" t="s">
        <v>822</v>
      </c>
      <c r="D277" s="18" t="s">
        <v>823</v>
      </c>
      <c r="E277" s="11" t="s">
        <v>805</v>
      </c>
    </row>
    <row r="278" spans="1:5" ht="15.95" hidden="1">
      <c r="A278" s="11" t="s">
        <v>812</v>
      </c>
      <c r="B278" s="11" t="s">
        <v>813</v>
      </c>
      <c r="C278" s="18" t="s">
        <v>824</v>
      </c>
      <c r="D278" s="18" t="s">
        <v>825</v>
      </c>
      <c r="E278" s="11" t="s">
        <v>805</v>
      </c>
    </row>
    <row r="279" spans="1:5" ht="15.95" hidden="1">
      <c r="A279" s="11" t="s">
        <v>812</v>
      </c>
      <c r="B279" s="11" t="s">
        <v>813</v>
      </c>
      <c r="C279" s="18" t="s">
        <v>826</v>
      </c>
      <c r="D279" s="18" t="s">
        <v>827</v>
      </c>
    </row>
    <row r="280" spans="1:5" ht="15.95" hidden="1">
      <c r="A280" s="11" t="s">
        <v>812</v>
      </c>
      <c r="B280" s="11" t="s">
        <v>828</v>
      </c>
      <c r="C280" s="18" t="s">
        <v>818</v>
      </c>
      <c r="D280" s="18" t="s">
        <v>829</v>
      </c>
    </row>
    <row r="281" spans="1:5" ht="15.95" hidden="1">
      <c r="A281" s="11" t="s">
        <v>812</v>
      </c>
      <c r="B281" s="11" t="s">
        <v>828</v>
      </c>
      <c r="C281" s="18" t="s">
        <v>830</v>
      </c>
      <c r="D281" s="18" t="s">
        <v>829</v>
      </c>
    </row>
    <row r="282" spans="1:5" ht="15.75" hidden="1" customHeight="1">
      <c r="A282" s="11" t="s">
        <v>812</v>
      </c>
      <c r="B282" s="11" t="s">
        <v>831</v>
      </c>
      <c r="C282" s="18" t="s">
        <v>832</v>
      </c>
      <c r="D282" s="18" t="s">
        <v>819</v>
      </c>
      <c r="E282" s="84" t="s">
        <v>833</v>
      </c>
    </row>
    <row r="283" spans="1:5" ht="15.95" hidden="1">
      <c r="A283" s="11" t="s">
        <v>812</v>
      </c>
      <c r="B283" s="11" t="s">
        <v>831</v>
      </c>
      <c r="C283" s="18" t="s">
        <v>834</v>
      </c>
      <c r="D283" s="18" t="s">
        <v>835</v>
      </c>
      <c r="E283" s="84" t="s">
        <v>836</v>
      </c>
    </row>
    <row r="284" spans="1:5" ht="39" hidden="1">
      <c r="A284" s="11" t="s">
        <v>812</v>
      </c>
      <c r="B284" s="11" t="s">
        <v>831</v>
      </c>
      <c r="C284" s="18" t="s">
        <v>837</v>
      </c>
      <c r="D284" s="18" t="s">
        <v>838</v>
      </c>
      <c r="E284" s="85" t="s">
        <v>839</v>
      </c>
    </row>
    <row r="285" spans="1:5" ht="15.95" hidden="1">
      <c r="A285" s="11" t="s">
        <v>812</v>
      </c>
      <c r="B285" s="11" t="s">
        <v>840</v>
      </c>
      <c r="C285" s="18" t="s">
        <v>841</v>
      </c>
      <c r="D285" s="18" t="s">
        <v>842</v>
      </c>
    </row>
    <row r="286" spans="1:5" ht="15.95" hidden="1">
      <c r="A286" s="11" t="s">
        <v>812</v>
      </c>
      <c r="B286" s="11" t="s">
        <v>840</v>
      </c>
      <c r="C286" s="18" t="s">
        <v>843</v>
      </c>
      <c r="D286" s="18" t="s">
        <v>844</v>
      </c>
    </row>
    <row r="287" spans="1:5" ht="48" hidden="1">
      <c r="A287" s="11" t="s">
        <v>812</v>
      </c>
      <c r="B287" s="11" t="s">
        <v>840</v>
      </c>
      <c r="C287" s="18" t="s">
        <v>845</v>
      </c>
      <c r="D287" s="18" t="s">
        <v>846</v>
      </c>
    </row>
    <row r="288" spans="1:5" ht="15.95" hidden="1">
      <c r="A288" s="11" t="s">
        <v>812</v>
      </c>
      <c r="B288" s="11" t="s">
        <v>840</v>
      </c>
      <c r="C288" s="18" t="s">
        <v>847</v>
      </c>
      <c r="D288" s="18" t="s">
        <v>848</v>
      </c>
    </row>
    <row r="289" spans="1:5" ht="15.95" hidden="1">
      <c r="A289" s="11" t="s">
        <v>812</v>
      </c>
      <c r="B289" s="11" t="s">
        <v>840</v>
      </c>
      <c r="C289" s="18" t="s">
        <v>849</v>
      </c>
      <c r="D289" s="18" t="s">
        <v>850</v>
      </c>
    </row>
    <row r="290" spans="1:5" ht="48" hidden="1">
      <c r="A290" s="11" t="s">
        <v>812</v>
      </c>
      <c r="B290" s="11" t="s">
        <v>840</v>
      </c>
      <c r="C290" s="18" t="s">
        <v>851</v>
      </c>
      <c r="D290" s="18" t="s">
        <v>852</v>
      </c>
    </row>
    <row r="291" spans="1:5" ht="48" hidden="1">
      <c r="A291" s="11" t="s">
        <v>812</v>
      </c>
      <c r="B291" s="11" t="s">
        <v>840</v>
      </c>
      <c r="C291" s="18" t="s">
        <v>853</v>
      </c>
      <c r="D291" s="18" t="s">
        <v>854</v>
      </c>
    </row>
    <row r="292" spans="1:5" ht="15.95" hidden="1">
      <c r="A292" s="11" t="s">
        <v>812</v>
      </c>
      <c r="B292" s="11" t="s">
        <v>840</v>
      </c>
      <c r="C292" s="18" t="s">
        <v>667</v>
      </c>
      <c r="D292" s="18" t="s">
        <v>855</v>
      </c>
    </row>
    <row r="293" spans="1:5" ht="15.95" hidden="1">
      <c r="A293" s="11" t="s">
        <v>812</v>
      </c>
      <c r="B293" s="11" t="s">
        <v>840</v>
      </c>
      <c r="C293" s="18" t="s">
        <v>856</v>
      </c>
      <c r="D293" s="18" t="s">
        <v>857</v>
      </c>
    </row>
    <row r="294" spans="1:5" ht="15.95" hidden="1">
      <c r="A294" s="11" t="s">
        <v>812</v>
      </c>
      <c r="B294" s="11" t="s">
        <v>840</v>
      </c>
      <c r="C294" s="18" t="s">
        <v>858</v>
      </c>
      <c r="D294" s="18" t="s">
        <v>859</v>
      </c>
    </row>
    <row r="295" spans="1:5" ht="15.95" hidden="1">
      <c r="A295" s="11" t="s">
        <v>812</v>
      </c>
      <c r="B295" s="11" t="s">
        <v>840</v>
      </c>
      <c r="C295" s="18" t="s">
        <v>860</v>
      </c>
      <c r="D295" s="18" t="s">
        <v>861</v>
      </c>
    </row>
    <row r="296" spans="1:5" ht="48" hidden="1">
      <c r="B296" s="11" t="s">
        <v>840</v>
      </c>
      <c r="C296" s="18" t="s">
        <v>862</v>
      </c>
      <c r="D296" s="18" t="s">
        <v>863</v>
      </c>
    </row>
    <row r="297" spans="1:5" ht="15.95" hidden="1">
      <c r="A297" s="11" t="s">
        <v>812</v>
      </c>
      <c r="B297" s="11" t="s">
        <v>840</v>
      </c>
      <c r="C297" s="18" t="s">
        <v>862</v>
      </c>
      <c r="D297" s="18" t="s">
        <v>864</v>
      </c>
    </row>
    <row r="298" spans="1:5" ht="15.95" hidden="1">
      <c r="A298" s="11" t="s">
        <v>812</v>
      </c>
      <c r="B298" s="11" t="s">
        <v>840</v>
      </c>
      <c r="C298" s="18" t="s">
        <v>865</v>
      </c>
      <c r="D298" s="18" t="s">
        <v>866</v>
      </c>
    </row>
    <row r="299" spans="1:5" ht="15.95" hidden="1">
      <c r="A299" s="11" t="s">
        <v>812</v>
      </c>
      <c r="B299" s="11" t="s">
        <v>840</v>
      </c>
      <c r="C299" s="86" t="s">
        <v>867</v>
      </c>
      <c r="D299" s="18" t="s">
        <v>868</v>
      </c>
    </row>
    <row r="300" spans="1:5" ht="15.95" hidden="1">
      <c r="A300" s="11" t="s">
        <v>812</v>
      </c>
      <c r="B300" s="11" t="s">
        <v>840</v>
      </c>
      <c r="C300" s="87" t="s">
        <v>869</v>
      </c>
      <c r="D300" s="18" t="s">
        <v>870</v>
      </c>
    </row>
    <row r="301" spans="1:5" hidden="1">
      <c r="A301" s="11" t="s">
        <v>812</v>
      </c>
      <c r="B301" s="11" t="s">
        <v>840</v>
      </c>
      <c r="C301" s="88" t="s">
        <v>871</v>
      </c>
      <c r="D301" s="18" t="s">
        <v>872</v>
      </c>
    </row>
    <row r="302" spans="1:5" ht="15.95" hidden="1">
      <c r="A302" s="11" t="s">
        <v>812</v>
      </c>
      <c r="B302" s="11" t="s">
        <v>611</v>
      </c>
      <c r="C302" s="18" t="s">
        <v>873</v>
      </c>
    </row>
    <row r="303" spans="1:5" ht="32.1" hidden="1">
      <c r="A303" s="11" t="s">
        <v>812</v>
      </c>
      <c r="B303" s="11" t="s">
        <v>614</v>
      </c>
      <c r="C303" s="18" t="s">
        <v>874</v>
      </c>
      <c r="D303" s="18" t="s">
        <v>875</v>
      </c>
      <c r="E303" s="11" t="s">
        <v>876</v>
      </c>
    </row>
    <row r="304" spans="1:5" ht="15.95" hidden="1">
      <c r="A304" s="11" t="s">
        <v>877</v>
      </c>
      <c r="B304" s="11" t="s">
        <v>878</v>
      </c>
      <c r="C304" s="11" t="s">
        <v>879</v>
      </c>
      <c r="D304" s="18" t="s">
        <v>880</v>
      </c>
    </row>
    <row r="305" spans="1:6" ht="15.95" hidden="1">
      <c r="A305" s="11" t="s">
        <v>877</v>
      </c>
      <c r="B305" s="11" t="s">
        <v>878</v>
      </c>
      <c r="C305" s="11" t="s">
        <v>881</v>
      </c>
      <c r="D305" s="18" t="s">
        <v>882</v>
      </c>
    </row>
    <row r="306" spans="1:6" ht="15.95" hidden="1">
      <c r="A306" s="11" t="s">
        <v>877</v>
      </c>
      <c r="B306" s="11" t="s">
        <v>878</v>
      </c>
      <c r="C306" s="11" t="s">
        <v>883</v>
      </c>
      <c r="D306" s="100" t="s">
        <v>884</v>
      </c>
      <c r="F306" s="11" t="s">
        <v>885</v>
      </c>
    </row>
    <row r="307" spans="1:6" ht="32.1" hidden="1">
      <c r="A307" s="11" t="s">
        <v>877</v>
      </c>
      <c r="B307" s="11" t="s">
        <v>878</v>
      </c>
      <c r="C307" s="18" t="s">
        <v>886</v>
      </c>
      <c r="D307" s="18" t="s">
        <v>887</v>
      </c>
      <c r="F307" s="11" t="s">
        <v>885</v>
      </c>
    </row>
    <row r="308" spans="1:6" ht="15.95" hidden="1">
      <c r="A308" s="11" t="s">
        <v>877</v>
      </c>
      <c r="B308" s="11" t="s">
        <v>878</v>
      </c>
      <c r="C308" s="18" t="s">
        <v>888</v>
      </c>
      <c r="D308" s="18" t="s">
        <v>889</v>
      </c>
      <c r="F308" s="11" t="s">
        <v>885</v>
      </c>
    </row>
    <row r="309" spans="1:6" ht="15.95" hidden="1">
      <c r="A309" s="11" t="s">
        <v>877</v>
      </c>
      <c r="B309" s="11" t="s">
        <v>890</v>
      </c>
      <c r="C309" s="11" t="s">
        <v>883</v>
      </c>
      <c r="D309" s="18" t="s">
        <v>884</v>
      </c>
      <c r="F309" s="11" t="s">
        <v>885</v>
      </c>
    </row>
    <row r="310" spans="1:6" ht="15.95" hidden="1">
      <c r="A310" s="11" t="s">
        <v>877</v>
      </c>
      <c r="B310" s="11" t="s">
        <v>890</v>
      </c>
      <c r="C310" s="18" t="s">
        <v>886</v>
      </c>
      <c r="D310" s="18" t="s">
        <v>891</v>
      </c>
      <c r="F310" s="11" t="s">
        <v>885</v>
      </c>
    </row>
    <row r="311" spans="1:6" ht="15.95" hidden="1">
      <c r="A311" s="11" t="s">
        <v>877</v>
      </c>
      <c r="B311" s="11" t="s">
        <v>890</v>
      </c>
      <c r="C311" s="18" t="s">
        <v>892</v>
      </c>
      <c r="D311" s="18" t="s">
        <v>893</v>
      </c>
      <c r="F311" s="11" t="s">
        <v>885</v>
      </c>
    </row>
    <row r="312" spans="1:6" ht="15.95" hidden="1">
      <c r="A312" s="11" t="s">
        <v>877</v>
      </c>
      <c r="B312" s="11" t="s">
        <v>890</v>
      </c>
      <c r="C312" s="18" t="s">
        <v>894</v>
      </c>
      <c r="D312" s="18" t="s">
        <v>895</v>
      </c>
      <c r="F312" s="11" t="s">
        <v>885</v>
      </c>
    </row>
    <row r="313" spans="1:6" ht="15.95" hidden="1">
      <c r="A313" s="11" t="s">
        <v>877</v>
      </c>
      <c r="B313" s="11" t="s">
        <v>890</v>
      </c>
      <c r="C313" s="18" t="s">
        <v>896</v>
      </c>
      <c r="D313" s="18" t="s">
        <v>897</v>
      </c>
    </row>
    <row r="314" spans="1:6" ht="15.95" hidden="1">
      <c r="A314" s="11" t="s">
        <v>877</v>
      </c>
      <c r="B314" s="11" t="s">
        <v>898</v>
      </c>
      <c r="C314" s="11" t="s">
        <v>883</v>
      </c>
      <c r="D314" s="18" t="s">
        <v>899</v>
      </c>
      <c r="F314" s="11" t="s">
        <v>885</v>
      </c>
    </row>
    <row r="315" spans="1:6" ht="15.95" hidden="1">
      <c r="A315" s="11" t="s">
        <v>877</v>
      </c>
      <c r="B315" s="11" t="s">
        <v>898</v>
      </c>
      <c r="C315" s="18" t="s">
        <v>886</v>
      </c>
      <c r="D315" s="18" t="s">
        <v>900</v>
      </c>
      <c r="F315" s="11" t="s">
        <v>885</v>
      </c>
    </row>
    <row r="316" spans="1:6" ht="15.95" hidden="1">
      <c r="A316" s="11" t="s">
        <v>877</v>
      </c>
      <c r="B316" s="11" t="s">
        <v>898</v>
      </c>
      <c r="C316" s="18" t="s">
        <v>888</v>
      </c>
      <c r="D316" s="18" t="s">
        <v>901</v>
      </c>
      <c r="F316" s="11" t="s">
        <v>885</v>
      </c>
    </row>
    <row r="317" spans="1:6" ht="15.95" hidden="1">
      <c r="A317" s="11" t="s">
        <v>877</v>
      </c>
      <c r="B317" s="11" t="s">
        <v>898</v>
      </c>
      <c r="C317" s="18" t="s">
        <v>380</v>
      </c>
      <c r="D317" s="18" t="s">
        <v>902</v>
      </c>
      <c r="F317" s="11" t="s">
        <v>903</v>
      </c>
    </row>
    <row r="318" spans="1:6" ht="15.95" hidden="1">
      <c r="A318" s="11" t="s">
        <v>877</v>
      </c>
      <c r="B318" s="11" t="s">
        <v>898</v>
      </c>
      <c r="C318" s="18" t="s">
        <v>904</v>
      </c>
      <c r="D318" s="18" t="s">
        <v>905</v>
      </c>
      <c r="F318" s="11" t="s">
        <v>906</v>
      </c>
    </row>
    <row r="319" spans="1:6" ht="15.95" hidden="1">
      <c r="A319" s="11" t="s">
        <v>877</v>
      </c>
      <c r="B319" s="11" t="s">
        <v>898</v>
      </c>
      <c r="C319" s="18" t="s">
        <v>907</v>
      </c>
      <c r="D319" s="18" t="s">
        <v>908</v>
      </c>
      <c r="F319" s="11" t="s">
        <v>906</v>
      </c>
    </row>
    <row r="320" spans="1:6" ht="15.95" hidden="1">
      <c r="A320" s="11" t="s">
        <v>877</v>
      </c>
      <c r="B320" s="11" t="s">
        <v>909</v>
      </c>
      <c r="C320" s="18" t="s">
        <v>910</v>
      </c>
      <c r="D320" s="18" t="s">
        <v>911</v>
      </c>
      <c r="F320" s="11" t="s">
        <v>906</v>
      </c>
    </row>
    <row r="321" spans="1:6" ht="15.95" hidden="1">
      <c r="A321" s="11" t="s">
        <v>877</v>
      </c>
      <c r="B321" s="11" t="s">
        <v>909</v>
      </c>
      <c r="C321" s="18" t="s">
        <v>912</v>
      </c>
      <c r="D321" s="18" t="s">
        <v>905</v>
      </c>
      <c r="F321" s="11" t="s">
        <v>906</v>
      </c>
    </row>
    <row r="322" spans="1:6" ht="15.95" hidden="1">
      <c r="A322" s="11" t="s">
        <v>877</v>
      </c>
      <c r="B322" s="11" t="s">
        <v>913</v>
      </c>
      <c r="C322" s="18" t="s">
        <v>914</v>
      </c>
      <c r="D322" s="18" t="s">
        <v>915</v>
      </c>
      <c r="F322" s="11" t="s">
        <v>916</v>
      </c>
    </row>
    <row r="323" spans="1:6" ht="15.95" hidden="1">
      <c r="A323" s="11" t="s">
        <v>877</v>
      </c>
      <c r="B323" s="11" t="s">
        <v>913</v>
      </c>
      <c r="C323" s="18" t="s">
        <v>917</v>
      </c>
      <c r="D323" s="18" t="s">
        <v>918</v>
      </c>
      <c r="F323" s="11" t="s">
        <v>916</v>
      </c>
    </row>
    <row r="324" spans="1:6" ht="15.95" hidden="1">
      <c r="A324" s="11" t="s">
        <v>877</v>
      </c>
      <c r="B324" s="11" t="s">
        <v>913</v>
      </c>
      <c r="C324" s="18" t="s">
        <v>919</v>
      </c>
      <c r="D324" s="18" t="s">
        <v>902</v>
      </c>
    </row>
    <row r="325" spans="1:6" ht="63.95" hidden="1">
      <c r="A325" s="11" t="s">
        <v>877</v>
      </c>
      <c r="B325" s="11" t="s">
        <v>913</v>
      </c>
      <c r="C325" s="18" t="s">
        <v>920</v>
      </c>
      <c r="D325" s="18" t="s">
        <v>921</v>
      </c>
      <c r="F325" s="18" t="s">
        <v>922</v>
      </c>
    </row>
    <row r="326" spans="1:6" ht="15.95" hidden="1">
      <c r="A326" s="11" t="s">
        <v>877</v>
      </c>
      <c r="B326" s="11" t="s">
        <v>923</v>
      </c>
      <c r="C326" s="18" t="s">
        <v>924</v>
      </c>
      <c r="D326" s="18" t="s">
        <v>925</v>
      </c>
    </row>
    <row r="327" spans="1:6" ht="15.95" hidden="1">
      <c r="A327" s="11" t="s">
        <v>877</v>
      </c>
      <c r="B327" s="11" t="s">
        <v>923</v>
      </c>
      <c r="C327" s="18" t="s">
        <v>926</v>
      </c>
      <c r="D327" s="18" t="s">
        <v>927</v>
      </c>
    </row>
    <row r="328" spans="1:6" ht="15.95" hidden="1">
      <c r="A328" s="11" t="s">
        <v>877</v>
      </c>
      <c r="B328" s="11" t="s">
        <v>923</v>
      </c>
      <c r="C328" s="18" t="s">
        <v>928</v>
      </c>
      <c r="D328" s="18" t="s">
        <v>929</v>
      </c>
    </row>
    <row r="329" spans="1:6" ht="15.95" hidden="1">
      <c r="A329" s="11" t="s">
        <v>877</v>
      </c>
      <c r="B329" s="11" t="s">
        <v>923</v>
      </c>
      <c r="C329" s="18" t="s">
        <v>930</v>
      </c>
      <c r="D329" s="18" t="s">
        <v>931</v>
      </c>
    </row>
    <row r="330" spans="1:6" ht="15.95" hidden="1">
      <c r="A330" s="11" t="s">
        <v>877</v>
      </c>
      <c r="B330" s="11" t="s">
        <v>923</v>
      </c>
      <c r="C330" s="18" t="s">
        <v>932</v>
      </c>
      <c r="D330" s="18" t="s">
        <v>933</v>
      </c>
    </row>
    <row r="331" spans="1:6" ht="15.95" hidden="1">
      <c r="A331" s="11" t="s">
        <v>877</v>
      </c>
      <c r="B331" s="11" t="s">
        <v>923</v>
      </c>
      <c r="C331" s="18" t="s">
        <v>934</v>
      </c>
      <c r="D331" s="18" t="s">
        <v>935</v>
      </c>
    </row>
    <row r="332" spans="1:6" ht="15.95" hidden="1">
      <c r="A332" s="11" t="s">
        <v>877</v>
      </c>
      <c r="B332" s="11" t="s">
        <v>923</v>
      </c>
      <c r="C332" s="18" t="s">
        <v>936</v>
      </c>
      <c r="D332" s="18" t="s">
        <v>937</v>
      </c>
    </row>
    <row r="333" spans="1:6" ht="15.95" hidden="1">
      <c r="A333" s="11" t="s">
        <v>877</v>
      </c>
      <c r="B333" s="11" t="s">
        <v>923</v>
      </c>
      <c r="C333" s="18" t="s">
        <v>938</v>
      </c>
      <c r="D333" s="18" t="s">
        <v>939</v>
      </c>
    </row>
    <row r="334" spans="1:6" ht="15.95" hidden="1">
      <c r="A334" s="11" t="s">
        <v>877</v>
      </c>
      <c r="B334" s="11" t="s">
        <v>923</v>
      </c>
      <c r="C334" s="18" t="s">
        <v>940</v>
      </c>
      <c r="D334" s="28" t="s">
        <v>941</v>
      </c>
    </row>
    <row r="335" spans="1:6" ht="15.95" hidden="1">
      <c r="A335" s="11" t="s">
        <v>877</v>
      </c>
      <c r="B335" s="11" t="s">
        <v>923</v>
      </c>
      <c r="C335" s="18" t="s">
        <v>667</v>
      </c>
      <c r="D335" s="18" t="s">
        <v>942</v>
      </c>
    </row>
    <row r="336" spans="1:6" ht="15.95" hidden="1">
      <c r="A336" s="11" t="s">
        <v>877</v>
      </c>
      <c r="B336" s="11" t="s">
        <v>923</v>
      </c>
      <c r="C336" s="18" t="s">
        <v>943</v>
      </c>
      <c r="D336" s="18" t="s">
        <v>944</v>
      </c>
    </row>
    <row r="337" spans="1:6" ht="15.95" hidden="1">
      <c r="A337" s="11" t="s">
        <v>877</v>
      </c>
      <c r="B337" s="11" t="s">
        <v>923</v>
      </c>
      <c r="C337" s="18" t="s">
        <v>473</v>
      </c>
      <c r="D337" s="18" t="s">
        <v>945</v>
      </c>
    </row>
    <row r="338" spans="1:6" ht="15.95" hidden="1">
      <c r="A338" s="11" t="s">
        <v>877</v>
      </c>
      <c r="B338" s="11" t="s">
        <v>946</v>
      </c>
      <c r="C338" s="18" t="s">
        <v>947</v>
      </c>
      <c r="D338" s="18" t="s">
        <v>948</v>
      </c>
      <c r="F338" s="11" t="s">
        <v>949</v>
      </c>
    </row>
    <row r="339" spans="1:6" hidden="1">
      <c r="A339" s="11" t="s">
        <v>950</v>
      </c>
      <c r="B339" s="11" t="s">
        <v>951</v>
      </c>
      <c r="C339" s="11" t="s">
        <v>952</v>
      </c>
      <c r="D339" s="103" t="s">
        <v>953</v>
      </c>
      <c r="F339" s="11" t="s">
        <v>954</v>
      </c>
    </row>
    <row r="340" spans="1:6" hidden="1">
      <c r="A340" s="11" t="s">
        <v>950</v>
      </c>
      <c r="B340" s="11" t="s">
        <v>951</v>
      </c>
      <c r="C340" s="11" t="s">
        <v>955</v>
      </c>
      <c r="D340" s="18" t="s">
        <v>956</v>
      </c>
    </row>
    <row r="341" spans="1:6" hidden="1">
      <c r="A341" s="11" t="s">
        <v>950</v>
      </c>
      <c r="B341" s="11" t="s">
        <v>951</v>
      </c>
      <c r="C341" s="11" t="s">
        <v>957</v>
      </c>
      <c r="D341" s="103" t="s">
        <v>958</v>
      </c>
      <c r="F341" s="11" t="s">
        <v>954</v>
      </c>
    </row>
    <row r="342" spans="1:6" hidden="1">
      <c r="A342" s="11" t="s">
        <v>950</v>
      </c>
      <c r="B342" s="11" t="s">
        <v>951</v>
      </c>
      <c r="C342" s="18" t="s">
        <v>959</v>
      </c>
      <c r="D342" s="18" t="s">
        <v>960</v>
      </c>
    </row>
    <row r="343" spans="1:6" hidden="1">
      <c r="A343" s="11" t="s">
        <v>950</v>
      </c>
      <c r="B343" s="11" t="s">
        <v>951</v>
      </c>
      <c r="C343" s="18" t="s">
        <v>914</v>
      </c>
      <c r="D343" s="18" t="s">
        <v>961</v>
      </c>
    </row>
    <row r="344" spans="1:6" hidden="1">
      <c r="A344" s="11" t="s">
        <v>950</v>
      </c>
      <c r="B344" s="11" t="s">
        <v>951</v>
      </c>
      <c r="C344" s="18" t="s">
        <v>943</v>
      </c>
      <c r="D344" s="18" t="s">
        <v>962</v>
      </c>
    </row>
    <row r="345" spans="1:6" ht="30.75" hidden="1">
      <c r="A345" s="11" t="s">
        <v>950</v>
      </c>
      <c r="B345" s="11" t="s">
        <v>951</v>
      </c>
      <c r="C345" s="18" t="s">
        <v>917</v>
      </c>
      <c r="D345" s="18" t="s">
        <v>963</v>
      </c>
    </row>
    <row r="346" spans="1:6" ht="15.95" hidden="1">
      <c r="A346" s="11" t="s">
        <v>950</v>
      </c>
      <c r="B346" s="11" t="s">
        <v>951</v>
      </c>
      <c r="C346" s="18" t="s">
        <v>964</v>
      </c>
      <c r="D346" s="18" t="s">
        <v>902</v>
      </c>
    </row>
    <row r="347" spans="1:6" ht="107.25" hidden="1" customHeight="1">
      <c r="A347" s="66" t="s">
        <v>858</v>
      </c>
      <c r="B347" s="104" t="s">
        <v>965</v>
      </c>
      <c r="C347" s="22" t="s">
        <v>858</v>
      </c>
      <c r="D347" s="18" t="s">
        <v>966</v>
      </c>
      <c r="E347" s="22" t="s">
        <v>967</v>
      </c>
      <c r="F347" s="28" t="s">
        <v>968</v>
      </c>
    </row>
    <row r="348" spans="1:6" ht="15.95" hidden="1">
      <c r="A348" s="66" t="s">
        <v>858</v>
      </c>
      <c r="B348" s="104" t="s">
        <v>890</v>
      </c>
      <c r="C348" s="22" t="s">
        <v>969</v>
      </c>
      <c r="D348" s="18" t="s">
        <v>970</v>
      </c>
      <c r="E348" s="22"/>
      <c r="F348" s="28" t="s">
        <v>968</v>
      </c>
    </row>
    <row r="349" spans="1:6" ht="48" hidden="1">
      <c r="A349" s="66" t="s">
        <v>858</v>
      </c>
      <c r="B349" s="104" t="s">
        <v>890</v>
      </c>
      <c r="C349" s="22" t="s">
        <v>971</v>
      </c>
      <c r="D349" s="18" t="s">
        <v>972</v>
      </c>
      <c r="E349" s="22"/>
      <c r="F349" s="18" t="s">
        <v>973</v>
      </c>
    </row>
    <row r="350" spans="1:6" ht="15.95" hidden="1">
      <c r="A350" s="66" t="s">
        <v>858</v>
      </c>
      <c r="B350" s="104" t="s">
        <v>890</v>
      </c>
      <c r="C350" s="22" t="s">
        <v>974</v>
      </c>
      <c r="D350" s="18" t="s">
        <v>975</v>
      </c>
      <c r="E350" s="22"/>
      <c r="F350" s="28" t="s">
        <v>968</v>
      </c>
    </row>
    <row r="351" spans="1:6" ht="15.95" hidden="1">
      <c r="A351" s="66" t="s">
        <v>858</v>
      </c>
      <c r="B351" s="104" t="s">
        <v>890</v>
      </c>
      <c r="C351" s="22" t="s">
        <v>976</v>
      </c>
      <c r="D351" s="18" t="s">
        <v>977</v>
      </c>
      <c r="E351" s="22"/>
      <c r="F351" s="28" t="s">
        <v>968</v>
      </c>
    </row>
    <row r="352" spans="1:6" ht="15.95" hidden="1">
      <c r="A352" s="66" t="s">
        <v>858</v>
      </c>
      <c r="B352" s="104" t="s">
        <v>890</v>
      </c>
      <c r="C352" s="22" t="s">
        <v>978</v>
      </c>
      <c r="D352" s="18" t="s">
        <v>979</v>
      </c>
      <c r="E352" s="22"/>
      <c r="F352" s="28" t="s">
        <v>968</v>
      </c>
    </row>
    <row r="353" spans="1:6" ht="15.95" hidden="1">
      <c r="A353" s="66" t="s">
        <v>858</v>
      </c>
      <c r="B353" s="11" t="s">
        <v>980</v>
      </c>
      <c r="C353" s="18" t="s">
        <v>981</v>
      </c>
      <c r="D353" s="18" t="s">
        <v>982</v>
      </c>
      <c r="E353" s="22"/>
      <c r="F353" s="28" t="s">
        <v>968</v>
      </c>
    </row>
    <row r="354" spans="1:6" ht="303.95" hidden="1">
      <c r="A354" s="66" t="s">
        <v>858</v>
      </c>
      <c r="B354" s="66" t="s">
        <v>983</v>
      </c>
      <c r="C354" s="67" t="s">
        <v>984</v>
      </c>
      <c r="D354" s="67" t="s">
        <v>985</v>
      </c>
      <c r="E354" s="18" t="s">
        <v>986</v>
      </c>
      <c r="F354" s="28" t="s">
        <v>968</v>
      </c>
    </row>
    <row r="355" spans="1:6" ht="32.1" hidden="1">
      <c r="A355" s="66" t="s">
        <v>858</v>
      </c>
      <c r="B355" s="66" t="s">
        <v>987</v>
      </c>
      <c r="C355" s="67" t="s">
        <v>988</v>
      </c>
      <c r="D355" s="18" t="s">
        <v>989</v>
      </c>
      <c r="E355" s="18" t="s">
        <v>990</v>
      </c>
      <c r="F355" s="28" t="s">
        <v>968</v>
      </c>
    </row>
    <row r="356" spans="1:6" ht="15.95" hidden="1">
      <c r="A356" s="66" t="s">
        <v>858</v>
      </c>
      <c r="B356" s="11" t="s">
        <v>991</v>
      </c>
      <c r="C356" s="18" t="s">
        <v>992</v>
      </c>
      <c r="D356" s="18" t="s">
        <v>993</v>
      </c>
      <c r="F356" s="28" t="s">
        <v>968</v>
      </c>
    </row>
    <row r="357" spans="1:6" ht="15.95" hidden="1">
      <c r="A357" s="66" t="s">
        <v>858</v>
      </c>
      <c r="B357" s="11" t="s">
        <v>994</v>
      </c>
      <c r="C357" s="18" t="s">
        <v>995</v>
      </c>
      <c r="D357" s="18" t="s">
        <v>313</v>
      </c>
      <c r="F357" s="28" t="s">
        <v>968</v>
      </c>
    </row>
    <row r="358" spans="1:6" ht="15.95" hidden="1">
      <c r="A358" s="66" t="s">
        <v>858</v>
      </c>
      <c r="B358" s="11" t="s">
        <v>994</v>
      </c>
      <c r="C358" s="18" t="s">
        <v>241</v>
      </c>
      <c r="D358" s="18" t="s">
        <v>996</v>
      </c>
      <c r="F358" s="28" t="s">
        <v>968</v>
      </c>
    </row>
    <row r="359" spans="1:6" ht="15.95" hidden="1">
      <c r="A359" s="66" t="s">
        <v>858</v>
      </c>
      <c r="B359" s="11" t="s">
        <v>994</v>
      </c>
      <c r="C359" s="18" t="s">
        <v>997</v>
      </c>
      <c r="D359" s="18" t="s">
        <v>998</v>
      </c>
      <c r="F359" s="28" t="s">
        <v>968</v>
      </c>
    </row>
    <row r="360" spans="1:6" ht="32.1" hidden="1">
      <c r="A360" s="66" t="s">
        <v>858</v>
      </c>
      <c r="B360" s="11" t="s">
        <v>994</v>
      </c>
      <c r="C360" s="18" t="s">
        <v>969</v>
      </c>
      <c r="D360" s="67" t="s">
        <v>999</v>
      </c>
      <c r="F360" s="28" t="s">
        <v>968</v>
      </c>
    </row>
    <row r="361" spans="1:6" ht="15.95" hidden="1">
      <c r="A361" s="66" t="s">
        <v>858</v>
      </c>
      <c r="B361" s="11" t="s">
        <v>1000</v>
      </c>
      <c r="C361" s="18" t="s">
        <v>468</v>
      </c>
      <c r="D361" s="18" t="s">
        <v>1001</v>
      </c>
      <c r="F361" s="28" t="s">
        <v>968</v>
      </c>
    </row>
    <row r="362" spans="1:6" ht="15.95" hidden="1">
      <c r="A362" s="66" t="s">
        <v>858</v>
      </c>
      <c r="B362" s="16" t="s">
        <v>994</v>
      </c>
      <c r="C362" s="57" t="s">
        <v>981</v>
      </c>
      <c r="D362" s="57" t="s">
        <v>1002</v>
      </c>
      <c r="E362" s="16" t="s">
        <v>1003</v>
      </c>
      <c r="F362" s="28" t="s">
        <v>968</v>
      </c>
    </row>
    <row r="363" spans="1:6" ht="15.95" hidden="1">
      <c r="A363" s="66" t="s">
        <v>858</v>
      </c>
      <c r="B363" s="11" t="s">
        <v>1004</v>
      </c>
      <c r="C363" s="18" t="s">
        <v>969</v>
      </c>
      <c r="D363" s="96" t="s">
        <v>1005</v>
      </c>
      <c r="F363" s="28" t="s">
        <v>968</v>
      </c>
    </row>
    <row r="364" spans="1:6" ht="15.95" hidden="1">
      <c r="A364" s="66" t="s">
        <v>858</v>
      </c>
      <c r="B364" s="11" t="s">
        <v>1006</v>
      </c>
      <c r="C364" s="18" t="s">
        <v>969</v>
      </c>
      <c r="D364" s="18" t="s">
        <v>1007</v>
      </c>
      <c r="E364" s="11" t="s">
        <v>1008</v>
      </c>
      <c r="F364" s="28" t="s">
        <v>968</v>
      </c>
    </row>
    <row r="365" spans="1:6" ht="15.95" hidden="1">
      <c r="A365" s="66" t="s">
        <v>1009</v>
      </c>
      <c r="B365" s="11" t="s">
        <v>878</v>
      </c>
      <c r="C365" s="11" t="s">
        <v>879</v>
      </c>
      <c r="D365" s="18" t="s">
        <v>1010</v>
      </c>
    </row>
    <row r="366" spans="1:6" ht="15.95" hidden="1">
      <c r="A366" s="66" t="s">
        <v>1009</v>
      </c>
      <c r="B366" s="11" t="s">
        <v>878</v>
      </c>
      <c r="C366" s="11" t="s">
        <v>883</v>
      </c>
      <c r="D366" s="100" t="s">
        <v>884</v>
      </c>
    </row>
    <row r="367" spans="1:6" ht="32.1" hidden="1">
      <c r="A367" s="66" t="s">
        <v>1009</v>
      </c>
      <c r="B367" s="11" t="s">
        <v>878</v>
      </c>
      <c r="C367" s="18" t="s">
        <v>886</v>
      </c>
      <c r="D367" s="18" t="s">
        <v>1011</v>
      </c>
    </row>
    <row r="368" spans="1:6" ht="15.95" hidden="1">
      <c r="A368" s="66" t="s">
        <v>1009</v>
      </c>
      <c r="B368" s="11" t="s">
        <v>878</v>
      </c>
      <c r="C368" s="18" t="s">
        <v>888</v>
      </c>
      <c r="D368" s="18" t="s">
        <v>889</v>
      </c>
    </row>
    <row r="369" spans="1:4" ht="15.95" hidden="1">
      <c r="A369" s="66" t="s">
        <v>1009</v>
      </c>
      <c r="B369" s="11" t="s">
        <v>890</v>
      </c>
      <c r="C369" s="11" t="s">
        <v>883</v>
      </c>
      <c r="D369" s="18" t="s">
        <v>884</v>
      </c>
    </row>
    <row r="370" spans="1:4" ht="15.95" hidden="1">
      <c r="A370" s="66" t="s">
        <v>1009</v>
      </c>
      <c r="B370" s="11" t="s">
        <v>890</v>
      </c>
      <c r="C370" s="18" t="s">
        <v>886</v>
      </c>
      <c r="D370" s="18" t="s">
        <v>891</v>
      </c>
    </row>
    <row r="371" spans="1:4" ht="15.95" hidden="1">
      <c r="A371" s="66" t="s">
        <v>1009</v>
      </c>
      <c r="B371" s="11" t="s">
        <v>890</v>
      </c>
      <c r="C371" s="18" t="s">
        <v>892</v>
      </c>
      <c r="D371" s="18" t="s">
        <v>1012</v>
      </c>
    </row>
    <row r="372" spans="1:4" ht="15.95" hidden="1">
      <c r="A372" s="66" t="s">
        <v>1009</v>
      </c>
      <c r="B372" s="11" t="s">
        <v>890</v>
      </c>
      <c r="C372" s="18" t="s">
        <v>894</v>
      </c>
      <c r="D372" s="18" t="s">
        <v>1012</v>
      </c>
    </row>
    <row r="373" spans="1:4" ht="15.95" hidden="1">
      <c r="A373" s="66" t="s">
        <v>1009</v>
      </c>
      <c r="B373" s="11" t="s">
        <v>890</v>
      </c>
      <c r="C373" s="18" t="s">
        <v>896</v>
      </c>
      <c r="D373" s="18" t="s">
        <v>1013</v>
      </c>
    </row>
    <row r="374" spans="1:4" ht="80.099999999999994" hidden="1">
      <c r="A374" s="66"/>
      <c r="B374" s="11" t="s">
        <v>1014</v>
      </c>
      <c r="C374" s="18" t="s">
        <v>920</v>
      </c>
      <c r="D374" s="26" t="s">
        <v>1015</v>
      </c>
    </row>
    <row r="375" spans="1:4" ht="15.95" hidden="1">
      <c r="A375" s="66" t="s">
        <v>1009</v>
      </c>
      <c r="B375" s="11" t="s">
        <v>1014</v>
      </c>
      <c r="C375" s="11" t="s">
        <v>883</v>
      </c>
      <c r="D375" s="18" t="s">
        <v>1016</v>
      </c>
    </row>
    <row r="376" spans="1:4" ht="15.95" hidden="1">
      <c r="A376" s="66" t="s">
        <v>1009</v>
      </c>
      <c r="B376" s="11" t="s">
        <v>1014</v>
      </c>
      <c r="C376" s="18" t="s">
        <v>886</v>
      </c>
      <c r="D376" s="18" t="s">
        <v>1017</v>
      </c>
    </row>
    <row r="377" spans="1:4" ht="15.95" hidden="1">
      <c r="A377" s="66" t="s">
        <v>1009</v>
      </c>
      <c r="B377" s="11" t="s">
        <v>1014</v>
      </c>
      <c r="C377" s="18" t="s">
        <v>888</v>
      </c>
      <c r="D377" s="18" t="s">
        <v>1018</v>
      </c>
    </row>
    <row r="378" spans="1:4" ht="15.95" hidden="1">
      <c r="A378" s="66" t="s">
        <v>1009</v>
      </c>
      <c r="B378" s="11" t="s">
        <v>1014</v>
      </c>
      <c r="C378" s="18" t="s">
        <v>380</v>
      </c>
      <c r="D378" s="18" t="s">
        <v>902</v>
      </c>
    </row>
    <row r="379" spans="1:4" ht="15.95" hidden="1">
      <c r="A379" s="66" t="s">
        <v>1009</v>
      </c>
      <c r="B379" s="11" t="s">
        <v>1014</v>
      </c>
      <c r="C379" s="18" t="s">
        <v>1019</v>
      </c>
      <c r="D379" s="18" t="s">
        <v>1020</v>
      </c>
    </row>
    <row r="380" spans="1:4" ht="15.95" hidden="1">
      <c r="A380" s="66" t="s">
        <v>1009</v>
      </c>
      <c r="B380" s="11" t="s">
        <v>1014</v>
      </c>
      <c r="C380" s="18" t="s">
        <v>1021</v>
      </c>
      <c r="D380" s="18" t="s">
        <v>1022</v>
      </c>
    </row>
    <row r="381" spans="1:4" ht="15.95" hidden="1">
      <c r="A381" s="66" t="s">
        <v>1009</v>
      </c>
      <c r="B381" s="11" t="s">
        <v>946</v>
      </c>
      <c r="C381" s="18" t="s">
        <v>1023</v>
      </c>
      <c r="D381" s="18" t="s">
        <v>1024</v>
      </c>
    </row>
    <row r="382" spans="1:4" ht="159.94999999999999" hidden="1">
      <c r="A382" s="66" t="s">
        <v>1009</v>
      </c>
      <c r="B382" s="11" t="s">
        <v>946</v>
      </c>
      <c r="C382" s="18" t="s">
        <v>920</v>
      </c>
      <c r="D382" s="26" t="s">
        <v>1025</v>
      </c>
    </row>
    <row r="383" spans="1:4" ht="15.95" hidden="1">
      <c r="A383" s="66" t="s">
        <v>1026</v>
      </c>
      <c r="B383" t="s">
        <v>1027</v>
      </c>
      <c r="D383" s="133" t="s">
        <v>1028</v>
      </c>
    </row>
    <row r="384" spans="1:4" ht="15.95" hidden="1">
      <c r="A384" s="66" t="s">
        <v>1026</v>
      </c>
      <c r="B384" t="s">
        <v>1029</v>
      </c>
      <c r="D384" s="133" t="s">
        <v>1030</v>
      </c>
    </row>
    <row r="385" spans="1:6" ht="15.95" hidden="1">
      <c r="A385" s="66" t="s">
        <v>1026</v>
      </c>
      <c r="B385" t="s">
        <v>1031</v>
      </c>
      <c r="D385" s="133" t="s">
        <v>1032</v>
      </c>
    </row>
    <row r="386" spans="1:6" ht="15.95" hidden="1">
      <c r="A386" s="66" t="s">
        <v>1026</v>
      </c>
      <c r="B386" t="s">
        <v>940</v>
      </c>
      <c r="D386" s="133" t="s">
        <v>1033</v>
      </c>
    </row>
    <row r="387" spans="1:6" ht="15.95" hidden="1">
      <c r="A387" s="66" t="s">
        <v>1026</v>
      </c>
      <c r="B387" t="s">
        <v>1034</v>
      </c>
      <c r="D387" s="133" t="s">
        <v>1035</v>
      </c>
    </row>
    <row r="388" spans="1:6" ht="15.95" hidden="1">
      <c r="A388" s="66" t="s">
        <v>1026</v>
      </c>
      <c r="B388" t="s">
        <v>1036</v>
      </c>
      <c r="D388" s="133" t="s">
        <v>1037</v>
      </c>
    </row>
    <row r="389" spans="1:6" ht="15.75" hidden="1">
      <c r="A389" s="66" t="s">
        <v>1026</v>
      </c>
      <c r="B389" t="s">
        <v>1038</v>
      </c>
      <c r="D389" s="134" t="s">
        <v>1039</v>
      </c>
    </row>
    <row r="390" spans="1:6" ht="15.95" hidden="1">
      <c r="A390" s="66" t="s">
        <v>1026</v>
      </c>
      <c r="B390" t="s">
        <v>473</v>
      </c>
      <c r="D390" s="133" t="s">
        <v>1040</v>
      </c>
    </row>
    <row r="391" spans="1:6" ht="15.95" hidden="1">
      <c r="A391" s="66" t="s">
        <v>1026</v>
      </c>
      <c r="B391" t="s">
        <v>803</v>
      </c>
      <c r="D391" s="133" t="s">
        <v>1041</v>
      </c>
    </row>
    <row r="392" spans="1:6" ht="15.95" hidden="1">
      <c r="A392" s="66" t="s">
        <v>1026</v>
      </c>
      <c r="B392" t="s">
        <v>1042</v>
      </c>
      <c r="D392" s="133" t="s">
        <v>1043</v>
      </c>
    </row>
    <row r="393" spans="1:6" ht="15.95" hidden="1">
      <c r="A393" s="66" t="s">
        <v>1026</v>
      </c>
      <c r="B393" t="s">
        <v>1044</v>
      </c>
      <c r="D393" s="133" t="s">
        <v>1045</v>
      </c>
    </row>
    <row r="394" spans="1:6" ht="17.100000000000001" hidden="1">
      <c r="A394" s="66" t="s">
        <v>1026</v>
      </c>
      <c r="B394" t="s">
        <v>1046</v>
      </c>
      <c r="C394" s="57"/>
      <c r="D394" s="134" t="s">
        <v>1047</v>
      </c>
    </row>
    <row r="395" spans="1:6" ht="119.1" hidden="1">
      <c r="A395" s="66" t="s">
        <v>1026</v>
      </c>
      <c r="B395" t="s">
        <v>858</v>
      </c>
      <c r="C395" s="57"/>
      <c r="D395" s="134" t="s">
        <v>1048</v>
      </c>
    </row>
    <row r="396" spans="1:6" ht="15.95" hidden="1">
      <c r="A396" s="66" t="s">
        <v>1026</v>
      </c>
      <c r="B396" t="s">
        <v>1049</v>
      </c>
      <c r="D396" s="133" t="s">
        <v>1050</v>
      </c>
    </row>
    <row r="397" spans="1:6" ht="15.95" hidden="1">
      <c r="A397" s="66"/>
      <c r="B397" t="s">
        <v>1051</v>
      </c>
      <c r="C397" s="18" t="s">
        <v>1052</v>
      </c>
      <c r="D397" s="133" t="s">
        <v>1053</v>
      </c>
      <c r="F397" s="11" t="s">
        <v>1054</v>
      </c>
    </row>
    <row r="398" spans="1:6" ht="15.95" hidden="1">
      <c r="A398" s="66" t="s">
        <v>1026</v>
      </c>
      <c r="B398" t="s">
        <v>1055</v>
      </c>
      <c r="D398" s="133" t="s">
        <v>1056</v>
      </c>
    </row>
    <row r="399" spans="1:6" ht="91.5" hidden="1">
      <c r="A399" s="66" t="s">
        <v>1026</v>
      </c>
      <c r="B399" t="s">
        <v>1057</v>
      </c>
      <c r="D399" s="133" t="s">
        <v>1058</v>
      </c>
      <c r="F399" s="18" t="s">
        <v>1059</v>
      </c>
    </row>
    <row r="400" spans="1:6" ht="15.95" hidden="1">
      <c r="A400" s="66" t="s">
        <v>1026</v>
      </c>
      <c r="B400" t="s">
        <v>1060</v>
      </c>
      <c r="D400" s="22" t="s">
        <v>1061</v>
      </c>
    </row>
    <row r="401" spans="1:4" ht="15.95" hidden="1">
      <c r="A401" s="66" t="s">
        <v>1026</v>
      </c>
      <c r="B401" t="s">
        <v>1062</v>
      </c>
      <c r="D401" s="133" t="s">
        <v>1063</v>
      </c>
    </row>
    <row r="402" spans="1:4" ht="15.95" hidden="1">
      <c r="A402" s="66" t="s">
        <v>1026</v>
      </c>
      <c r="B402" t="s">
        <v>1064</v>
      </c>
      <c r="D402" s="133" t="s">
        <v>1065</v>
      </c>
    </row>
    <row r="403" spans="1:4" ht="15.95" hidden="1">
      <c r="A403" s="66" t="s">
        <v>1026</v>
      </c>
      <c r="B403" s="11" t="s">
        <v>1051</v>
      </c>
      <c r="D403" s="22" t="s">
        <v>1066</v>
      </c>
    </row>
    <row r="404" spans="1:4" hidden="1">
      <c r="A404" s="66" t="s">
        <v>1026</v>
      </c>
      <c r="D404" s="22"/>
    </row>
    <row r="405" spans="1:4" hidden="1">
      <c r="A405" s="66" t="s">
        <v>1026</v>
      </c>
      <c r="D405" s="22"/>
    </row>
    <row r="406" spans="1:4" hidden="1">
      <c r="A406" s="66" t="s">
        <v>1026</v>
      </c>
      <c r="D406" s="22"/>
    </row>
    <row r="407" spans="1:4" hidden="1">
      <c r="A407" s="66" t="s">
        <v>1026</v>
      </c>
      <c r="D407" s="22"/>
    </row>
    <row r="408" spans="1:4" hidden="1">
      <c r="A408" s="66" t="s">
        <v>1026</v>
      </c>
    </row>
    <row r="409" spans="1:4" hidden="1">
      <c r="A409" s="66" t="s">
        <v>1026</v>
      </c>
    </row>
    <row r="410" spans="1:4" hidden="1">
      <c r="A410" s="66" t="s">
        <v>1026</v>
      </c>
    </row>
    <row r="411" spans="1:4" hidden="1"/>
    <row r="412" spans="1:4" ht="15.95" hidden="1">
      <c r="A412" s="11" t="s">
        <v>1067</v>
      </c>
      <c r="B412" s="11" t="s">
        <v>1068</v>
      </c>
      <c r="C412" s="18" t="s">
        <v>309</v>
      </c>
      <c r="D412" s="18" t="s">
        <v>313</v>
      </c>
    </row>
    <row r="413" spans="1:4" ht="15.95" hidden="1">
      <c r="A413" s="11" t="s">
        <v>1067</v>
      </c>
      <c r="B413" s="11" t="s">
        <v>1068</v>
      </c>
      <c r="C413" s="18" t="s">
        <v>997</v>
      </c>
      <c r="D413" s="18" t="s">
        <v>1069</v>
      </c>
    </row>
    <row r="414" spans="1:4" ht="15.95" hidden="1">
      <c r="A414" s="11" t="s">
        <v>1067</v>
      </c>
      <c r="B414" s="11" t="s">
        <v>1068</v>
      </c>
      <c r="C414" s="18" t="s">
        <v>1070</v>
      </c>
      <c r="D414" s="18" t="s">
        <v>741</v>
      </c>
    </row>
    <row r="415" spans="1:4" ht="15.95" hidden="1">
      <c r="A415" s="11" t="s">
        <v>1067</v>
      </c>
      <c r="B415" s="11" t="s">
        <v>1068</v>
      </c>
      <c r="C415" s="18" t="s">
        <v>663</v>
      </c>
      <c r="D415" s="18" t="s">
        <v>1071</v>
      </c>
    </row>
    <row r="416" spans="1:4" ht="32.1" hidden="1">
      <c r="A416" s="11" t="s">
        <v>1067</v>
      </c>
      <c r="B416" s="11" t="s">
        <v>1068</v>
      </c>
      <c r="C416" s="18" t="s">
        <v>1072</v>
      </c>
      <c r="D416" s="18" t="s">
        <v>1073</v>
      </c>
    </row>
    <row r="417" spans="1:7" ht="15.95" hidden="1">
      <c r="A417" s="11" t="s">
        <v>1067</v>
      </c>
      <c r="B417" s="11" t="s">
        <v>1068</v>
      </c>
      <c r="C417" s="18" t="s">
        <v>473</v>
      </c>
      <c r="D417" s="18" t="s">
        <v>1074</v>
      </c>
    </row>
    <row r="418" spans="1:7" ht="15.95" hidden="1">
      <c r="A418" s="11" t="s">
        <v>1067</v>
      </c>
      <c r="B418" s="11" t="s">
        <v>1068</v>
      </c>
      <c r="C418" s="18" t="s">
        <v>1075</v>
      </c>
      <c r="D418" s="18" t="s">
        <v>1076</v>
      </c>
    </row>
    <row r="419" spans="1:7" ht="32.1" hidden="1">
      <c r="A419" s="11" t="s">
        <v>1067</v>
      </c>
      <c r="B419" s="11" t="s">
        <v>1068</v>
      </c>
      <c r="C419" s="18" t="s">
        <v>1077</v>
      </c>
      <c r="D419" s="18" t="s">
        <v>1078</v>
      </c>
    </row>
    <row r="420" spans="1:7" ht="32.1" hidden="1">
      <c r="A420" s="11" t="s">
        <v>1067</v>
      </c>
      <c r="B420" s="11" t="s">
        <v>1068</v>
      </c>
      <c r="C420" s="18" t="s">
        <v>858</v>
      </c>
      <c r="D420" s="18" t="s">
        <v>1079</v>
      </c>
      <c r="F420" s="11" t="s">
        <v>1080</v>
      </c>
    </row>
    <row r="421" spans="1:7" ht="32.1" hidden="1">
      <c r="A421" s="11" t="s">
        <v>1067</v>
      </c>
      <c r="B421" s="11" t="s">
        <v>1068</v>
      </c>
      <c r="C421" s="18" t="s">
        <v>1081</v>
      </c>
      <c r="D421" s="18" t="s">
        <v>1082</v>
      </c>
    </row>
    <row r="422" spans="1:7" ht="128.1" hidden="1">
      <c r="A422" s="11" t="s">
        <v>1067</v>
      </c>
      <c r="B422" s="11" t="s">
        <v>1068</v>
      </c>
      <c r="C422" s="18" t="s">
        <v>1083</v>
      </c>
      <c r="D422" s="18" t="s">
        <v>708</v>
      </c>
      <c r="F422" s="11" t="s">
        <v>1084</v>
      </c>
    </row>
    <row r="423" spans="1:7" ht="32.1" hidden="1">
      <c r="A423" s="11" t="s">
        <v>1067</v>
      </c>
      <c r="B423" s="11" t="s">
        <v>1068</v>
      </c>
      <c r="C423" s="18" t="s">
        <v>671</v>
      </c>
      <c r="D423" s="18" t="s">
        <v>1085</v>
      </c>
    </row>
    <row r="424" spans="1:7" ht="15.95" hidden="1">
      <c r="A424" s="11" t="s">
        <v>1067</v>
      </c>
      <c r="B424" s="11" t="s">
        <v>1068</v>
      </c>
      <c r="C424" s="18" t="s">
        <v>1086</v>
      </c>
      <c r="D424" s="18" t="s">
        <v>1087</v>
      </c>
    </row>
    <row r="425" spans="1:7" ht="15.95" hidden="1">
      <c r="A425" s="11" t="s">
        <v>1067</v>
      </c>
      <c r="B425" s="11" t="s">
        <v>1068</v>
      </c>
      <c r="C425" s="18" t="s">
        <v>803</v>
      </c>
      <c r="D425" s="18" t="s">
        <v>1088</v>
      </c>
    </row>
    <row r="426" spans="1:7" ht="15.95" hidden="1">
      <c r="A426" s="11" t="s">
        <v>1067</v>
      </c>
      <c r="B426" s="11" t="s">
        <v>1068</v>
      </c>
      <c r="C426" s="18" t="s">
        <v>1089</v>
      </c>
      <c r="D426" s="18" t="s">
        <v>1090</v>
      </c>
    </row>
    <row r="427" spans="1:7" ht="15.95" hidden="1">
      <c r="A427" s="11" t="s">
        <v>1067</v>
      </c>
      <c r="B427" s="11" t="s">
        <v>1068</v>
      </c>
      <c r="C427" s="18" t="s">
        <v>1091</v>
      </c>
      <c r="D427" s="18" t="s">
        <v>1092</v>
      </c>
    </row>
    <row r="428" spans="1:7" hidden="1">
      <c r="A428" s="11" t="s">
        <v>1067</v>
      </c>
      <c r="B428" s="11" t="s">
        <v>1093</v>
      </c>
      <c r="C428" s="18" t="s">
        <v>701</v>
      </c>
      <c r="D428" s="89" t="s">
        <v>1094</v>
      </c>
      <c r="F428" s="11" t="s">
        <v>1095</v>
      </c>
    </row>
    <row r="429" spans="1:7" hidden="1">
      <c r="A429" s="11" t="s">
        <v>1067</v>
      </c>
      <c r="B429" s="11" t="s">
        <v>1093</v>
      </c>
      <c r="C429" s="18" t="s">
        <v>1096</v>
      </c>
      <c r="D429" s="73" t="s">
        <v>1097</v>
      </c>
      <c r="F429" s="11" t="s">
        <v>1095</v>
      </c>
    </row>
    <row r="430" spans="1:7" ht="27" hidden="1">
      <c r="A430" s="11" t="s">
        <v>1067</v>
      </c>
      <c r="B430" s="11" t="s">
        <v>1093</v>
      </c>
      <c r="C430" s="18" t="s">
        <v>1098</v>
      </c>
      <c r="D430" s="73" t="s">
        <v>729</v>
      </c>
      <c r="F430" s="11" t="s">
        <v>1095</v>
      </c>
    </row>
    <row r="431" spans="1:7" s="18" customFormat="1" ht="15.95" hidden="1">
      <c r="A431" s="11" t="s">
        <v>1067</v>
      </c>
      <c r="B431" s="11" t="s">
        <v>1093</v>
      </c>
      <c r="C431" s="56" t="s">
        <v>1099</v>
      </c>
      <c r="D431" s="73" t="s">
        <v>722</v>
      </c>
      <c r="E431" s="11"/>
      <c r="F431" s="11" t="s">
        <v>1095</v>
      </c>
      <c r="G431" s="11"/>
    </row>
    <row r="432" spans="1:7" s="18" customFormat="1" ht="60" hidden="1">
      <c r="A432" s="11" t="s">
        <v>1067</v>
      </c>
      <c r="B432" s="11" t="s">
        <v>1100</v>
      </c>
      <c r="C432" s="18" t="s">
        <v>1101</v>
      </c>
      <c r="D432" s="190" t="s">
        <v>1102</v>
      </c>
      <c r="E432" s="11"/>
      <c r="F432" s="11"/>
      <c r="G432" s="11"/>
    </row>
    <row r="433" spans="1:7" s="18" customFormat="1" ht="96" hidden="1">
      <c r="A433" s="11" t="s">
        <v>1067</v>
      </c>
      <c r="B433" s="11" t="s">
        <v>1100</v>
      </c>
      <c r="C433" s="18" t="s">
        <v>1103</v>
      </c>
      <c r="D433" s="18" t="s">
        <v>1104</v>
      </c>
      <c r="E433" s="11"/>
      <c r="F433" s="11"/>
      <c r="G433" s="11"/>
    </row>
    <row r="434" spans="1:7" ht="15.95" hidden="1">
      <c r="A434" s="11" t="s">
        <v>1067</v>
      </c>
      <c r="B434" s="11" t="s">
        <v>1100</v>
      </c>
      <c r="C434" s="18" t="s">
        <v>1105</v>
      </c>
      <c r="D434" s="18" t="s">
        <v>1106</v>
      </c>
    </row>
    <row r="435" spans="1:7" ht="15.95" hidden="1">
      <c r="A435" s="11" t="s">
        <v>1067</v>
      </c>
      <c r="B435" s="11" t="s">
        <v>1100</v>
      </c>
      <c r="C435" s="18" t="s">
        <v>1107</v>
      </c>
      <c r="D435" s="18" t="s">
        <v>194</v>
      </c>
    </row>
    <row r="436" spans="1:7" ht="15.95" hidden="1">
      <c r="A436" s="11" t="s">
        <v>1067</v>
      </c>
      <c r="B436" s="11" t="s">
        <v>1100</v>
      </c>
      <c r="C436" s="18" t="s">
        <v>1108</v>
      </c>
      <c r="D436" s="18" t="s">
        <v>123</v>
      </c>
    </row>
    <row r="437" spans="1:7" ht="15.95" hidden="1">
      <c r="A437" s="11" t="s">
        <v>1067</v>
      </c>
      <c r="B437" s="11" t="s">
        <v>1100</v>
      </c>
      <c r="C437" s="18" t="s">
        <v>1109</v>
      </c>
      <c r="D437" s="18" t="s">
        <v>118</v>
      </c>
    </row>
    <row r="438" spans="1:7" hidden="1">
      <c r="A438" s="11" t="s">
        <v>1067</v>
      </c>
      <c r="B438" s="11" t="s">
        <v>1100</v>
      </c>
      <c r="C438" s="18" t="s">
        <v>1110</v>
      </c>
      <c r="D438" s="18" t="s">
        <v>1111</v>
      </c>
    </row>
    <row r="439" spans="1:7" ht="15.95" hidden="1">
      <c r="A439" s="11" t="s">
        <v>1067</v>
      </c>
      <c r="B439" s="11" t="s">
        <v>1100</v>
      </c>
      <c r="C439" s="18" t="s">
        <v>663</v>
      </c>
      <c r="D439" s="18" t="s">
        <v>1071</v>
      </c>
    </row>
    <row r="440" spans="1:7" ht="32.1" hidden="1">
      <c r="A440" s="11" t="s">
        <v>1067</v>
      </c>
      <c r="B440" s="11" t="s">
        <v>1100</v>
      </c>
      <c r="C440" s="18" t="s">
        <v>1112</v>
      </c>
      <c r="D440" s="18" t="s">
        <v>1085</v>
      </c>
    </row>
    <row r="441" spans="1:7" ht="15.95" hidden="1">
      <c r="A441" s="11" t="s">
        <v>1067</v>
      </c>
      <c r="B441" s="11" t="s">
        <v>840</v>
      </c>
      <c r="C441" s="18" t="s">
        <v>1098</v>
      </c>
      <c r="D441" s="18" t="s">
        <v>1113</v>
      </c>
    </row>
    <row r="442" spans="1:7" ht="32.1" hidden="1">
      <c r="A442" s="11" t="s">
        <v>1067</v>
      </c>
      <c r="B442" s="11" t="s">
        <v>840</v>
      </c>
      <c r="C442" s="18" t="s">
        <v>1112</v>
      </c>
      <c r="D442" s="18" t="s">
        <v>1085</v>
      </c>
    </row>
    <row r="443" spans="1:7" ht="15.95" hidden="1">
      <c r="A443" s="11" t="s">
        <v>1067</v>
      </c>
      <c r="B443" s="11" t="s">
        <v>840</v>
      </c>
      <c r="C443" s="18" t="s">
        <v>803</v>
      </c>
      <c r="D443" s="18" t="s">
        <v>1088</v>
      </c>
    </row>
    <row r="444" spans="1:7" ht="32.1" hidden="1">
      <c r="A444" s="11" t="s">
        <v>1067</v>
      </c>
      <c r="B444" s="11" t="s">
        <v>840</v>
      </c>
      <c r="C444" s="18" t="s">
        <v>1099</v>
      </c>
      <c r="D444" s="18" t="s">
        <v>1079</v>
      </c>
    </row>
    <row r="445" spans="1:7" ht="32.1" hidden="1">
      <c r="A445" s="11" t="s">
        <v>1067</v>
      </c>
      <c r="B445" s="11" t="s">
        <v>840</v>
      </c>
      <c r="C445" s="18" t="s">
        <v>701</v>
      </c>
      <c r="D445" s="18" t="s">
        <v>1078</v>
      </c>
    </row>
    <row r="446" spans="1:7" ht="15.95" hidden="1">
      <c r="A446" s="11" t="s">
        <v>1067</v>
      </c>
      <c r="B446" s="11" t="s">
        <v>840</v>
      </c>
      <c r="C446" s="18" t="s">
        <v>1114</v>
      </c>
      <c r="D446" s="18" t="s">
        <v>1115</v>
      </c>
    </row>
    <row r="447" spans="1:7" ht="15.95" hidden="1">
      <c r="A447" s="11" t="s">
        <v>1067</v>
      </c>
      <c r="B447" s="11" t="s">
        <v>1116</v>
      </c>
      <c r="C447" s="18" t="s">
        <v>1117</v>
      </c>
      <c r="D447" s="18" t="s">
        <v>1118</v>
      </c>
    </row>
    <row r="448" spans="1:7" ht="15.95" hidden="1">
      <c r="A448" s="11" t="s">
        <v>1067</v>
      </c>
      <c r="B448" s="11" t="s">
        <v>1116</v>
      </c>
      <c r="C448" s="18" t="s">
        <v>380</v>
      </c>
      <c r="D448" s="18" t="s">
        <v>1119</v>
      </c>
    </row>
    <row r="449" spans="1:4" ht="15.95" hidden="1">
      <c r="A449" s="11" t="s">
        <v>1067</v>
      </c>
      <c r="B449" s="11" t="s">
        <v>1116</v>
      </c>
      <c r="C449" s="18" t="s">
        <v>1120</v>
      </c>
      <c r="D449" s="18" t="s">
        <v>1121</v>
      </c>
    </row>
    <row r="450" spans="1:4" ht="15.95" hidden="1">
      <c r="B450" s="11" t="s">
        <v>1116</v>
      </c>
      <c r="C450" s="18" t="s">
        <v>1122</v>
      </c>
      <c r="D450" s="18" t="s">
        <v>1123</v>
      </c>
    </row>
    <row r="451" spans="1:4" ht="15.95" hidden="1">
      <c r="A451" s="11" t="s">
        <v>1067</v>
      </c>
      <c r="B451" s="11" t="s">
        <v>1116</v>
      </c>
      <c r="C451" s="18" t="s">
        <v>1124</v>
      </c>
      <c r="D451" s="18" t="s">
        <v>1125</v>
      </c>
    </row>
    <row r="452" spans="1:4" ht="15.95" hidden="1">
      <c r="A452" s="11" t="s">
        <v>1067</v>
      </c>
      <c r="B452" s="11" t="s">
        <v>1126</v>
      </c>
      <c r="C452" s="18" t="s">
        <v>917</v>
      </c>
      <c r="D452" s="28" t="s">
        <v>1127</v>
      </c>
    </row>
    <row r="453" spans="1:4" ht="15.95" hidden="1">
      <c r="A453" s="11" t="s">
        <v>1067</v>
      </c>
      <c r="B453" s="11" t="s">
        <v>1126</v>
      </c>
      <c r="C453" s="18" t="s">
        <v>380</v>
      </c>
      <c r="D453" s="18" t="s">
        <v>1119</v>
      </c>
    </row>
    <row r="454" spans="1:4" ht="15.95" hidden="1">
      <c r="A454" s="11" t="s">
        <v>1067</v>
      </c>
      <c r="B454" s="11" t="s">
        <v>1126</v>
      </c>
      <c r="C454" s="18" t="s">
        <v>1124</v>
      </c>
      <c r="D454" s="18" t="s">
        <v>1128</v>
      </c>
    </row>
    <row r="455" spans="1:4" hidden="1"/>
  </sheetData>
  <phoneticPr fontId="3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AE9E8-7697-48FA-9A6F-50D49F29062B}">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3028-E53B-4BED-B68C-E487422D023F}">
  <sheetPr>
    <tabColor theme="9" tint="0.39997558519241921"/>
  </sheetPr>
  <dimension ref="A1:L85"/>
  <sheetViews>
    <sheetView topLeftCell="A57" zoomScale="70" zoomScaleNormal="70" workbookViewId="0">
      <selection activeCell="G35" sqref="A31:G35"/>
    </sheetView>
  </sheetViews>
  <sheetFormatPr defaultColWidth="8.85546875" defaultRowHeight="15" customHeight="1"/>
  <cols>
    <col min="1" max="1" width="29.42578125" bestFit="1" customWidth="1"/>
    <col min="2" max="2" width="34.42578125" bestFit="1" customWidth="1"/>
    <col min="3" max="3" width="42" bestFit="1" customWidth="1"/>
    <col min="4" max="4" width="23.28515625" bestFit="1" customWidth="1"/>
    <col min="5" max="5" width="30.7109375" bestFit="1" customWidth="1"/>
    <col min="6" max="7" width="20.7109375" customWidth="1"/>
    <col min="8" max="10" width="46.7109375" customWidth="1"/>
    <col min="11" max="11" width="12.7109375" customWidth="1"/>
  </cols>
  <sheetData>
    <row r="1" spans="1:12">
      <c r="A1" s="74" t="s">
        <v>329</v>
      </c>
      <c r="B1" s="74" t="s">
        <v>330</v>
      </c>
      <c r="C1" s="74" t="s">
        <v>331</v>
      </c>
      <c r="D1" s="74" t="s">
        <v>1129</v>
      </c>
      <c r="E1" s="75" t="s">
        <v>1130</v>
      </c>
      <c r="F1" s="75" t="s">
        <v>1131</v>
      </c>
      <c r="G1" s="75" t="s">
        <v>1132</v>
      </c>
      <c r="H1" s="74" t="s">
        <v>1133</v>
      </c>
      <c r="I1" s="75"/>
      <c r="J1" s="75"/>
      <c r="K1" s="58" t="s">
        <v>1134</v>
      </c>
    </row>
    <row r="2" spans="1:12" s="77" customFormat="1">
      <c r="A2" s="76" t="s">
        <v>336</v>
      </c>
      <c r="B2" s="76" t="s">
        <v>611</v>
      </c>
      <c r="C2" s="76" t="s">
        <v>1135</v>
      </c>
      <c r="D2" s="76" t="s">
        <v>1136</v>
      </c>
      <c r="E2" s="77" t="s">
        <v>1137</v>
      </c>
      <c r="F2" s="77" t="s">
        <v>1138</v>
      </c>
      <c r="G2" s="77" t="s">
        <v>1138</v>
      </c>
      <c r="H2" s="76"/>
      <c r="K2" s="77" t="s">
        <v>1139</v>
      </c>
      <c r="L2" s="77" t="s">
        <v>1136</v>
      </c>
    </row>
    <row r="3" spans="1:12" s="77" customFormat="1">
      <c r="A3" s="77" t="s">
        <v>336</v>
      </c>
      <c r="B3" s="77" t="s">
        <v>611</v>
      </c>
      <c r="C3" s="77" t="s">
        <v>1140</v>
      </c>
      <c r="D3" s="77" t="s">
        <v>380</v>
      </c>
      <c r="E3" s="77" t="s">
        <v>1137</v>
      </c>
      <c r="F3" s="83" t="s">
        <v>1141</v>
      </c>
      <c r="G3" s="83" t="s">
        <v>1142</v>
      </c>
      <c r="K3" s="77" t="s">
        <v>1143</v>
      </c>
      <c r="L3" s="77" t="s">
        <v>1144</v>
      </c>
    </row>
    <row r="4" spans="1:12" s="77" customFormat="1">
      <c r="A4" s="77" t="s">
        <v>336</v>
      </c>
      <c r="B4" s="77" t="s">
        <v>614</v>
      </c>
      <c r="C4" s="77" t="s">
        <v>1135</v>
      </c>
      <c r="D4" s="77" t="s">
        <v>1136</v>
      </c>
      <c r="E4" s="77" t="s">
        <v>1137</v>
      </c>
      <c r="F4" s="77" t="s">
        <v>1138</v>
      </c>
      <c r="G4" s="77" t="s">
        <v>1138</v>
      </c>
      <c r="K4" s="77" t="s">
        <v>1145</v>
      </c>
      <c r="L4" s="77" t="s">
        <v>1146</v>
      </c>
    </row>
    <row r="5" spans="1:12" s="77" customFormat="1">
      <c r="A5" s="77" t="s">
        <v>336</v>
      </c>
      <c r="B5" s="77" t="s">
        <v>614</v>
      </c>
      <c r="C5" s="77" t="s">
        <v>1140</v>
      </c>
      <c r="D5" s="77" t="s">
        <v>380</v>
      </c>
      <c r="E5" s="77" t="s">
        <v>1137</v>
      </c>
      <c r="F5" s="83" t="s">
        <v>1141</v>
      </c>
      <c r="G5" s="83" t="s">
        <v>1142</v>
      </c>
      <c r="K5" s="77" t="s">
        <v>1147</v>
      </c>
      <c r="L5" s="77" t="s">
        <v>1148</v>
      </c>
    </row>
    <row r="6" spans="1:12" s="77" customFormat="1">
      <c r="A6" s="77" t="s">
        <v>336</v>
      </c>
      <c r="B6" s="77" t="s">
        <v>1149</v>
      </c>
      <c r="C6" s="77" t="s">
        <v>1135</v>
      </c>
      <c r="D6" s="77" t="s">
        <v>1136</v>
      </c>
      <c r="E6" s="77" t="s">
        <v>1137</v>
      </c>
      <c r="F6" s="77" t="s">
        <v>1138</v>
      </c>
      <c r="G6" s="77" t="s">
        <v>1138</v>
      </c>
      <c r="K6" s="77" t="s">
        <v>1150</v>
      </c>
      <c r="L6" s="77" t="s">
        <v>1151</v>
      </c>
    </row>
    <row r="7" spans="1:12" s="77" customFormat="1">
      <c r="A7" s="77" t="s">
        <v>336</v>
      </c>
      <c r="B7" s="77" t="s">
        <v>1152</v>
      </c>
      <c r="C7" s="77" t="s">
        <v>1135</v>
      </c>
      <c r="D7" s="77" t="s">
        <v>1136</v>
      </c>
      <c r="E7" s="77" t="s">
        <v>1137</v>
      </c>
      <c r="F7" s="77" t="s">
        <v>1138</v>
      </c>
      <c r="G7" s="77" t="s">
        <v>1138</v>
      </c>
      <c r="K7" s="77" t="s">
        <v>1153</v>
      </c>
      <c r="L7" s="77" t="s">
        <v>1154</v>
      </c>
    </row>
    <row r="8" spans="1:12" s="77" customFormat="1">
      <c r="A8" s="77" t="s">
        <v>336</v>
      </c>
      <c r="B8" s="77" t="s">
        <v>1155</v>
      </c>
      <c r="C8" s="77" t="s">
        <v>1140</v>
      </c>
      <c r="D8" s="77" t="s">
        <v>380</v>
      </c>
      <c r="E8" s="77" t="s">
        <v>1137</v>
      </c>
      <c r="F8" s="83" t="s">
        <v>1141</v>
      </c>
      <c r="G8" s="83" t="s">
        <v>1142</v>
      </c>
    </row>
    <row r="9" spans="1:12" s="77" customFormat="1">
      <c r="A9" s="77" t="s">
        <v>336</v>
      </c>
      <c r="B9" s="77" t="s">
        <v>1155</v>
      </c>
      <c r="C9" s="77" t="s">
        <v>362</v>
      </c>
      <c r="D9" s="77" t="s">
        <v>380</v>
      </c>
      <c r="E9" s="77" t="s">
        <v>1137</v>
      </c>
      <c r="F9" s="83" t="s">
        <v>1156</v>
      </c>
      <c r="G9" s="83" t="s">
        <v>1157</v>
      </c>
      <c r="H9" s="77" t="s">
        <v>1158</v>
      </c>
    </row>
    <row r="10" spans="1:12" s="77" customFormat="1">
      <c r="A10" s="77" t="s">
        <v>336</v>
      </c>
      <c r="B10" s="77" t="s">
        <v>1159</v>
      </c>
      <c r="C10" s="77" t="s">
        <v>1160</v>
      </c>
      <c r="D10" s="77" t="s">
        <v>1136</v>
      </c>
      <c r="E10" s="77" t="s">
        <v>1137</v>
      </c>
      <c r="F10" s="77" t="s">
        <v>1138</v>
      </c>
      <c r="G10" s="77" t="s">
        <v>1138</v>
      </c>
    </row>
    <row r="11" spans="1:12" s="77" customFormat="1">
      <c r="A11" s="77" t="s">
        <v>336</v>
      </c>
      <c r="B11" s="77" t="s">
        <v>1155</v>
      </c>
      <c r="C11" s="77" t="s">
        <v>305</v>
      </c>
      <c r="D11" s="77" t="s">
        <v>1161</v>
      </c>
      <c r="E11" s="77" t="s">
        <v>1134</v>
      </c>
      <c r="F11" s="77" t="s">
        <v>1138</v>
      </c>
      <c r="G11" s="77" t="s">
        <v>1138</v>
      </c>
      <c r="H11" s="78" t="s">
        <v>1162</v>
      </c>
    </row>
    <row r="12" spans="1:12" s="77" customFormat="1">
      <c r="A12" s="77" t="s">
        <v>382</v>
      </c>
      <c r="B12" s="77" t="s">
        <v>655</v>
      </c>
      <c r="C12" s="77" t="s">
        <v>1163</v>
      </c>
      <c r="D12" s="77" t="s">
        <v>1136</v>
      </c>
      <c r="E12" s="77" t="s">
        <v>1137</v>
      </c>
      <c r="F12" s="77" t="s">
        <v>1138</v>
      </c>
      <c r="G12" s="77" t="s">
        <v>1138</v>
      </c>
      <c r="I12" s="78"/>
      <c r="J12" s="78"/>
    </row>
    <row r="13" spans="1:12" s="77" customFormat="1">
      <c r="A13" s="77" t="s">
        <v>382</v>
      </c>
      <c r="B13" s="77" t="s">
        <v>1164</v>
      </c>
      <c r="C13" s="77" t="s">
        <v>1070</v>
      </c>
      <c r="D13" s="77" t="s">
        <v>1136</v>
      </c>
      <c r="E13" s="77" t="s">
        <v>1137</v>
      </c>
      <c r="F13" s="77" t="s">
        <v>1138</v>
      </c>
      <c r="G13" s="77" t="s">
        <v>1138</v>
      </c>
    </row>
    <row r="14" spans="1:12" s="77" customFormat="1">
      <c r="A14" s="77" t="s">
        <v>382</v>
      </c>
      <c r="B14" s="77" t="s">
        <v>1165</v>
      </c>
      <c r="C14" s="77" t="s">
        <v>414</v>
      </c>
      <c r="D14" s="77" t="s">
        <v>1136</v>
      </c>
      <c r="E14" s="77" t="s">
        <v>1137</v>
      </c>
      <c r="F14" s="77" t="s">
        <v>1138</v>
      </c>
      <c r="G14" s="77" t="s">
        <v>1138</v>
      </c>
    </row>
    <row r="15" spans="1:12" s="77" customFormat="1">
      <c r="A15" s="77" t="s">
        <v>382</v>
      </c>
      <c r="B15" s="77" t="s">
        <v>1166</v>
      </c>
      <c r="C15" s="77" t="s">
        <v>1167</v>
      </c>
      <c r="D15" s="77" t="s">
        <v>1168</v>
      </c>
      <c r="E15" s="77" t="s">
        <v>1137</v>
      </c>
      <c r="F15" s="77" t="s">
        <v>1169</v>
      </c>
      <c r="G15" s="77" t="s">
        <v>1170</v>
      </c>
    </row>
    <row r="16" spans="1:12" s="77" customFormat="1">
      <c r="A16" s="77" t="s">
        <v>382</v>
      </c>
      <c r="B16" s="77" t="s">
        <v>1171</v>
      </c>
      <c r="C16" s="77" t="s">
        <v>1167</v>
      </c>
      <c r="D16" s="77" t="s">
        <v>1168</v>
      </c>
      <c r="E16" s="77" t="s">
        <v>1137</v>
      </c>
      <c r="F16" s="77" t="s">
        <v>1169</v>
      </c>
      <c r="G16" s="77" t="s">
        <v>1170</v>
      </c>
    </row>
    <row r="17" spans="1:7" s="77" customFormat="1">
      <c r="A17" s="77" t="s">
        <v>382</v>
      </c>
      <c r="B17" s="77" t="s">
        <v>1172</v>
      </c>
      <c r="C17" s="77" t="s">
        <v>1167</v>
      </c>
      <c r="D17" s="77" t="s">
        <v>1168</v>
      </c>
      <c r="E17" s="77" t="s">
        <v>1137</v>
      </c>
      <c r="F17" s="77" t="s">
        <v>1169</v>
      </c>
      <c r="G17" s="77" t="s">
        <v>1170</v>
      </c>
    </row>
    <row r="18" spans="1:7" s="77" customFormat="1">
      <c r="A18" s="77" t="s">
        <v>382</v>
      </c>
      <c r="B18" s="77" t="s">
        <v>1173</v>
      </c>
      <c r="C18" s="77" t="s">
        <v>1167</v>
      </c>
      <c r="D18" s="77" t="s">
        <v>1168</v>
      </c>
      <c r="E18" s="77" t="s">
        <v>1137</v>
      </c>
      <c r="F18" s="77" t="s">
        <v>1169</v>
      </c>
      <c r="G18" s="77" t="s">
        <v>1170</v>
      </c>
    </row>
    <row r="19" spans="1:7" s="77" customFormat="1">
      <c r="A19" s="77" t="s">
        <v>382</v>
      </c>
      <c r="B19" s="77" t="s">
        <v>1174</v>
      </c>
      <c r="C19" s="77" t="s">
        <v>1175</v>
      </c>
      <c r="D19" s="77" t="s">
        <v>1176</v>
      </c>
      <c r="E19" s="77" t="s">
        <v>1137</v>
      </c>
      <c r="F19" s="77" t="s">
        <v>1177</v>
      </c>
      <c r="G19" s="77" t="s">
        <v>1178</v>
      </c>
    </row>
    <row r="20" spans="1:7" s="77" customFormat="1">
      <c r="A20" s="77" t="s">
        <v>1179</v>
      </c>
      <c r="B20" s="77" t="s">
        <v>655</v>
      </c>
      <c r="C20" s="77" t="s">
        <v>1180</v>
      </c>
      <c r="D20" s="77" t="s">
        <v>1136</v>
      </c>
      <c r="E20" s="77" t="s">
        <v>1137</v>
      </c>
      <c r="F20" s="77" t="s">
        <v>1138</v>
      </c>
      <c r="G20" s="77" t="s">
        <v>1138</v>
      </c>
    </row>
    <row r="21" spans="1:7" s="77" customFormat="1">
      <c r="A21" s="77" t="s">
        <v>1179</v>
      </c>
      <c r="B21" s="77" t="s">
        <v>658</v>
      </c>
      <c r="C21" s="77" t="s">
        <v>1181</v>
      </c>
      <c r="D21" s="77" t="s">
        <v>1136</v>
      </c>
      <c r="E21" s="77" t="s">
        <v>1137</v>
      </c>
      <c r="F21" s="77" t="s">
        <v>1138</v>
      </c>
      <c r="G21" s="77" t="s">
        <v>1138</v>
      </c>
    </row>
    <row r="22" spans="1:7" s="77" customFormat="1">
      <c r="A22" s="77" t="s">
        <v>1179</v>
      </c>
      <c r="B22" s="77" t="s">
        <v>658</v>
      </c>
      <c r="C22" s="77" t="s">
        <v>1182</v>
      </c>
      <c r="D22" s="77" t="s">
        <v>380</v>
      </c>
      <c r="E22" s="77" t="s">
        <v>1137</v>
      </c>
      <c r="F22" s="83" t="s">
        <v>1141</v>
      </c>
      <c r="G22" s="83" t="s">
        <v>1142</v>
      </c>
    </row>
    <row r="23" spans="1:7" s="77" customFormat="1">
      <c r="A23" s="77" t="s">
        <v>1179</v>
      </c>
      <c r="B23" s="77" t="s">
        <v>658</v>
      </c>
      <c r="C23" s="77" t="s">
        <v>1183</v>
      </c>
      <c r="D23" s="77" t="s">
        <v>1136</v>
      </c>
      <c r="E23" s="77" t="s">
        <v>1137</v>
      </c>
      <c r="F23" s="77" t="s">
        <v>1138</v>
      </c>
      <c r="G23" s="77" t="s">
        <v>1138</v>
      </c>
    </row>
    <row r="24" spans="1:7" s="77" customFormat="1">
      <c r="A24" s="77" t="s">
        <v>1179</v>
      </c>
      <c r="B24" s="77" t="s">
        <v>658</v>
      </c>
      <c r="C24" s="77" t="s">
        <v>1184</v>
      </c>
      <c r="D24" s="77" t="s">
        <v>380</v>
      </c>
      <c r="E24" s="77" t="s">
        <v>1137</v>
      </c>
      <c r="F24" s="83" t="s">
        <v>1141</v>
      </c>
      <c r="G24" s="83" t="s">
        <v>1142</v>
      </c>
    </row>
    <row r="25" spans="1:7" s="77" customFormat="1">
      <c r="A25" s="77" t="s">
        <v>1179</v>
      </c>
      <c r="B25" s="77" t="s">
        <v>470</v>
      </c>
      <c r="C25" s="77" t="s">
        <v>1185</v>
      </c>
      <c r="D25" s="77" t="s">
        <v>1136</v>
      </c>
      <c r="E25" s="77" t="s">
        <v>1137</v>
      </c>
      <c r="F25" s="77" t="s">
        <v>1138</v>
      </c>
      <c r="G25" s="77" t="s">
        <v>1138</v>
      </c>
    </row>
    <row r="26" spans="1:7" s="77" customFormat="1">
      <c r="A26" s="77" t="s">
        <v>1179</v>
      </c>
      <c r="B26" s="77" t="s">
        <v>470</v>
      </c>
      <c r="C26" s="77" t="s">
        <v>1186</v>
      </c>
      <c r="D26" s="77" t="s">
        <v>380</v>
      </c>
      <c r="E26" s="77" t="s">
        <v>1137</v>
      </c>
      <c r="F26" s="83" t="s">
        <v>1141</v>
      </c>
      <c r="G26" s="83" t="s">
        <v>1142</v>
      </c>
    </row>
    <row r="27" spans="1:7" s="77" customFormat="1">
      <c r="A27" s="77" t="s">
        <v>1179</v>
      </c>
      <c r="B27" s="77" t="s">
        <v>470</v>
      </c>
      <c r="C27" s="77" t="s">
        <v>1183</v>
      </c>
      <c r="D27" s="77" t="s">
        <v>1136</v>
      </c>
      <c r="E27" s="77" t="s">
        <v>1137</v>
      </c>
      <c r="F27" s="77" t="s">
        <v>1138</v>
      </c>
      <c r="G27" s="77" t="s">
        <v>1138</v>
      </c>
    </row>
    <row r="28" spans="1:7" s="77" customFormat="1">
      <c r="A28" s="77" t="s">
        <v>1179</v>
      </c>
      <c r="B28" s="77" t="s">
        <v>470</v>
      </c>
      <c r="C28" s="77" t="s">
        <v>1183</v>
      </c>
      <c r="D28" s="77" t="s">
        <v>380</v>
      </c>
      <c r="E28" s="77" t="s">
        <v>1137</v>
      </c>
      <c r="F28" s="83" t="s">
        <v>1187</v>
      </c>
      <c r="G28" s="83" t="s">
        <v>1188</v>
      </c>
    </row>
    <row r="29" spans="1:7" s="77" customFormat="1">
      <c r="A29" s="77" t="s">
        <v>1179</v>
      </c>
      <c r="B29" s="77" t="s">
        <v>498</v>
      </c>
      <c r="C29" s="77" t="s">
        <v>1184</v>
      </c>
      <c r="D29" s="77" t="s">
        <v>380</v>
      </c>
      <c r="E29" s="77" t="s">
        <v>1137</v>
      </c>
      <c r="F29" s="83" t="s">
        <v>1141</v>
      </c>
      <c r="G29" s="83" t="s">
        <v>1142</v>
      </c>
    </row>
    <row r="30" spans="1:7" s="77" customFormat="1">
      <c r="A30" s="77" t="s">
        <v>1179</v>
      </c>
      <c r="B30" s="77" t="s">
        <v>498</v>
      </c>
      <c r="C30" s="77" t="s">
        <v>1189</v>
      </c>
      <c r="D30" s="77" t="s">
        <v>1136</v>
      </c>
      <c r="E30" s="77" t="s">
        <v>1137</v>
      </c>
      <c r="F30" s="77" t="s">
        <v>1138</v>
      </c>
      <c r="G30" s="77" t="s">
        <v>1138</v>
      </c>
    </row>
    <row r="31" spans="1:7" s="77" customFormat="1">
      <c r="A31" s="77" t="s">
        <v>1179</v>
      </c>
      <c r="B31" s="77" t="s">
        <v>498</v>
      </c>
      <c r="C31" s="77" t="s">
        <v>507</v>
      </c>
      <c r="D31" s="77" t="s">
        <v>1136</v>
      </c>
      <c r="E31" s="77" t="s">
        <v>1137</v>
      </c>
      <c r="F31" s="77" t="s">
        <v>1138</v>
      </c>
      <c r="G31" s="77" t="s">
        <v>1138</v>
      </c>
    </row>
    <row r="32" spans="1:7" s="77" customFormat="1">
      <c r="A32" s="77" t="s">
        <v>1179</v>
      </c>
      <c r="B32" s="77" t="s">
        <v>498</v>
      </c>
      <c r="C32" s="77" t="s">
        <v>509</v>
      </c>
      <c r="D32" s="77" t="s">
        <v>1136</v>
      </c>
      <c r="E32" s="77" t="s">
        <v>1137</v>
      </c>
      <c r="F32" s="77" t="s">
        <v>1138</v>
      </c>
      <c r="G32" s="77" t="s">
        <v>1138</v>
      </c>
    </row>
    <row r="33" spans="1:7" s="77" customFormat="1">
      <c r="A33" s="77" t="s">
        <v>1179</v>
      </c>
      <c r="B33" s="77" t="s">
        <v>498</v>
      </c>
      <c r="C33" s="77" t="s">
        <v>515</v>
      </c>
      <c r="D33" s="77" t="s">
        <v>1136</v>
      </c>
      <c r="E33" s="77" t="s">
        <v>1137</v>
      </c>
      <c r="F33" s="77" t="s">
        <v>1138</v>
      </c>
      <c r="G33" s="77" t="s">
        <v>1138</v>
      </c>
    </row>
    <row r="34" spans="1:7" s="77" customFormat="1">
      <c r="A34" s="77" t="s">
        <v>675</v>
      </c>
      <c r="B34" s="77" t="s">
        <v>1190</v>
      </c>
      <c r="C34" s="77" t="s">
        <v>1070</v>
      </c>
      <c r="D34" s="77" t="s">
        <v>1136</v>
      </c>
      <c r="E34" s="77" t="s">
        <v>1137</v>
      </c>
      <c r="F34" s="77" t="s">
        <v>1138</v>
      </c>
      <c r="G34" s="77" t="s">
        <v>1138</v>
      </c>
    </row>
    <row r="35" spans="1:7" s="77" customFormat="1">
      <c r="A35" s="77" t="s">
        <v>675</v>
      </c>
      <c r="B35" s="77" t="s">
        <v>1191</v>
      </c>
      <c r="C35" s="77" t="s">
        <v>1070</v>
      </c>
      <c r="D35" s="77" t="s">
        <v>1136</v>
      </c>
      <c r="E35" s="77" t="s">
        <v>1137</v>
      </c>
      <c r="F35" s="77" t="s">
        <v>1138</v>
      </c>
      <c r="G35" s="77" t="s">
        <v>1138</v>
      </c>
    </row>
    <row r="36" spans="1:7" s="77" customFormat="1">
      <c r="A36" s="77" t="s">
        <v>675</v>
      </c>
      <c r="B36" s="77" t="s">
        <v>1192</v>
      </c>
      <c r="C36" s="77" t="s">
        <v>1070</v>
      </c>
      <c r="D36" s="77" t="s">
        <v>1136</v>
      </c>
      <c r="E36" s="77" t="s">
        <v>1137</v>
      </c>
      <c r="F36" s="77" t="s">
        <v>1138</v>
      </c>
      <c r="G36" s="77" t="s">
        <v>1138</v>
      </c>
    </row>
    <row r="37" spans="1:7" s="77" customFormat="1">
      <c r="A37" s="77" t="s">
        <v>675</v>
      </c>
      <c r="B37" s="77" t="s">
        <v>568</v>
      </c>
      <c r="C37" s="77" t="s">
        <v>566</v>
      </c>
      <c r="D37" s="77" t="s">
        <v>1136</v>
      </c>
      <c r="E37" s="77" t="s">
        <v>1137</v>
      </c>
      <c r="F37" s="77" t="s">
        <v>1138</v>
      </c>
      <c r="G37" s="77" t="s">
        <v>1138</v>
      </c>
    </row>
    <row r="38" spans="1:7" s="77" customFormat="1">
      <c r="A38" s="77" t="s">
        <v>675</v>
      </c>
      <c r="B38" s="77" t="s">
        <v>1193</v>
      </c>
      <c r="C38" s="77" t="s">
        <v>566</v>
      </c>
      <c r="D38" s="77" t="s">
        <v>1136</v>
      </c>
      <c r="E38" s="77" t="s">
        <v>1137</v>
      </c>
      <c r="F38" s="77" t="s">
        <v>1138</v>
      </c>
      <c r="G38" s="77" t="s">
        <v>1138</v>
      </c>
    </row>
    <row r="39" spans="1:7" s="77" customFormat="1">
      <c r="A39" s="77" t="s">
        <v>675</v>
      </c>
      <c r="B39" s="77" t="s">
        <v>1194</v>
      </c>
      <c r="C39" s="77" t="s">
        <v>566</v>
      </c>
      <c r="D39" s="77" t="s">
        <v>1136</v>
      </c>
      <c r="E39" s="77" t="s">
        <v>1137</v>
      </c>
      <c r="F39" s="77" t="s">
        <v>1138</v>
      </c>
      <c r="G39" s="77" t="s">
        <v>1138</v>
      </c>
    </row>
    <row r="40" spans="1:7" s="77" customFormat="1">
      <c r="A40" s="77" t="s">
        <v>675</v>
      </c>
      <c r="B40" s="77" t="s">
        <v>1195</v>
      </c>
      <c r="C40" s="77" t="s">
        <v>1196</v>
      </c>
      <c r="D40" s="77" t="s">
        <v>1136</v>
      </c>
      <c r="E40" s="77" t="s">
        <v>1137</v>
      </c>
      <c r="F40" s="77" t="s">
        <v>1138</v>
      </c>
      <c r="G40" s="77" t="s">
        <v>1138</v>
      </c>
    </row>
    <row r="41" spans="1:7" s="77" customFormat="1">
      <c r="A41" s="77" t="s">
        <v>610</v>
      </c>
      <c r="B41" s="77" t="s">
        <v>1190</v>
      </c>
      <c r="C41" s="77" t="s">
        <v>1070</v>
      </c>
      <c r="D41" s="77" t="s">
        <v>1136</v>
      </c>
      <c r="E41" s="77" t="s">
        <v>1137</v>
      </c>
      <c r="F41" s="77" t="s">
        <v>1138</v>
      </c>
      <c r="G41" s="77" t="s">
        <v>1138</v>
      </c>
    </row>
    <row r="42" spans="1:7" s="77" customFormat="1">
      <c r="A42" s="77" t="s">
        <v>610</v>
      </c>
      <c r="B42" s="77" t="s">
        <v>1197</v>
      </c>
      <c r="C42" s="77" t="s">
        <v>1198</v>
      </c>
      <c r="D42" s="77" t="s">
        <v>1136</v>
      </c>
      <c r="E42" s="77" t="s">
        <v>1137</v>
      </c>
      <c r="F42" s="77" t="s">
        <v>1138</v>
      </c>
      <c r="G42" s="77" t="s">
        <v>1138</v>
      </c>
    </row>
    <row r="43" spans="1:7" s="77" customFormat="1">
      <c r="A43" s="77" t="s">
        <v>610</v>
      </c>
      <c r="B43" s="77" t="s">
        <v>1197</v>
      </c>
      <c r="C43" s="77" t="s">
        <v>1198</v>
      </c>
      <c r="D43" s="77" t="s">
        <v>380</v>
      </c>
      <c r="E43" s="77" t="s">
        <v>1137</v>
      </c>
      <c r="F43" s="83" t="s">
        <v>1187</v>
      </c>
      <c r="G43" s="83" t="s">
        <v>1188</v>
      </c>
    </row>
    <row r="44" spans="1:7" s="77" customFormat="1">
      <c r="A44" s="77" t="s">
        <v>610</v>
      </c>
      <c r="B44" s="77" t="s">
        <v>1199</v>
      </c>
      <c r="C44" s="77" t="s">
        <v>1198</v>
      </c>
      <c r="D44" s="77" t="s">
        <v>1136</v>
      </c>
      <c r="E44" s="77" t="s">
        <v>1137</v>
      </c>
      <c r="F44" s="77" t="s">
        <v>1138</v>
      </c>
      <c r="G44" s="77" t="s">
        <v>1138</v>
      </c>
    </row>
    <row r="45" spans="1:7" s="77" customFormat="1">
      <c r="A45" s="77" t="s">
        <v>610</v>
      </c>
      <c r="B45" s="77" t="s">
        <v>1199</v>
      </c>
      <c r="C45" s="77" t="s">
        <v>1198</v>
      </c>
      <c r="D45" s="77" t="s">
        <v>380</v>
      </c>
      <c r="E45" s="77" t="s">
        <v>1137</v>
      </c>
      <c r="F45" s="83" t="s">
        <v>1187</v>
      </c>
      <c r="G45" s="83" t="s">
        <v>1188</v>
      </c>
    </row>
    <row r="46" spans="1:7" s="77" customFormat="1">
      <c r="A46" s="77" t="s">
        <v>654</v>
      </c>
      <c r="B46" s="77" t="s">
        <v>1190</v>
      </c>
      <c r="C46" s="77" t="s">
        <v>1070</v>
      </c>
      <c r="D46" s="77" t="s">
        <v>1136</v>
      </c>
      <c r="E46" s="77" t="s">
        <v>1137</v>
      </c>
      <c r="F46" s="77" t="s">
        <v>1138</v>
      </c>
      <c r="G46" s="77" t="s">
        <v>1138</v>
      </c>
    </row>
    <row r="47" spans="1:7" s="77" customFormat="1">
      <c r="A47" s="77" t="s">
        <v>654</v>
      </c>
      <c r="B47" s="77" t="s">
        <v>1191</v>
      </c>
      <c r="C47" s="77" t="s">
        <v>1070</v>
      </c>
      <c r="D47" s="77" t="s">
        <v>1136</v>
      </c>
      <c r="E47" s="77" t="s">
        <v>1137</v>
      </c>
      <c r="F47" s="77" t="s">
        <v>1138</v>
      </c>
      <c r="G47" s="77" t="s">
        <v>1138</v>
      </c>
    </row>
    <row r="48" spans="1:7" s="77" customFormat="1">
      <c r="A48" s="77" t="s">
        <v>654</v>
      </c>
      <c r="B48" s="77" t="s">
        <v>688</v>
      </c>
      <c r="C48" s="77" t="s">
        <v>1200</v>
      </c>
      <c r="D48" s="77" t="s">
        <v>1136</v>
      </c>
      <c r="E48" s="77" t="s">
        <v>1137</v>
      </c>
      <c r="F48" s="77" t="s">
        <v>1138</v>
      </c>
      <c r="G48" s="77" t="s">
        <v>1138</v>
      </c>
    </row>
    <row r="49" spans="1:7" s="77" customFormat="1">
      <c r="A49" s="77" t="s">
        <v>654</v>
      </c>
      <c r="B49" s="77" t="s">
        <v>688</v>
      </c>
      <c r="C49" s="77" t="s">
        <v>663</v>
      </c>
      <c r="D49" s="77" t="s">
        <v>380</v>
      </c>
      <c r="E49" s="77" t="s">
        <v>1137</v>
      </c>
      <c r="F49" s="83" t="s">
        <v>1141</v>
      </c>
      <c r="G49" s="83" t="s">
        <v>1142</v>
      </c>
    </row>
    <row r="50" spans="1:7" s="77" customFormat="1">
      <c r="A50" s="77" t="s">
        <v>654</v>
      </c>
      <c r="B50" s="77" t="s">
        <v>688</v>
      </c>
      <c r="C50" s="77" t="s">
        <v>686</v>
      </c>
      <c r="D50" s="77" t="s">
        <v>1148</v>
      </c>
      <c r="E50" s="77" t="s">
        <v>1137</v>
      </c>
      <c r="F50" s="83" t="s">
        <v>1201</v>
      </c>
      <c r="G50" s="83" t="s">
        <v>1202</v>
      </c>
    </row>
    <row r="51" spans="1:7" s="77" customFormat="1">
      <c r="A51" s="77" t="s">
        <v>654</v>
      </c>
      <c r="B51" s="77" t="s">
        <v>742</v>
      </c>
      <c r="C51" s="77" t="s">
        <v>663</v>
      </c>
      <c r="D51" s="77" t="s">
        <v>380</v>
      </c>
      <c r="E51" s="77" t="s">
        <v>1137</v>
      </c>
      <c r="F51" s="83" t="s">
        <v>1141</v>
      </c>
      <c r="G51" s="83" t="s">
        <v>1142</v>
      </c>
    </row>
    <row r="52" spans="1:7" s="77" customFormat="1">
      <c r="A52" s="77" t="s">
        <v>654</v>
      </c>
      <c r="B52" s="77" t="s">
        <v>742</v>
      </c>
      <c r="C52" s="77" t="s">
        <v>1075</v>
      </c>
      <c r="D52" s="77" t="s">
        <v>380</v>
      </c>
      <c r="E52" s="77" t="s">
        <v>1137</v>
      </c>
      <c r="F52" s="83" t="s">
        <v>1141</v>
      </c>
      <c r="G52" s="83" t="s">
        <v>1142</v>
      </c>
    </row>
    <row r="53" spans="1:7" s="77" customFormat="1">
      <c r="A53" s="77" t="s">
        <v>1203</v>
      </c>
      <c r="B53" s="77" t="s">
        <v>1204</v>
      </c>
      <c r="C53" s="77" t="s">
        <v>1205</v>
      </c>
      <c r="D53" s="77" t="s">
        <v>1136</v>
      </c>
      <c r="E53" s="77" t="s">
        <v>1137</v>
      </c>
      <c r="F53" s="77" t="s">
        <v>1138</v>
      </c>
      <c r="G53" s="77" t="s">
        <v>1138</v>
      </c>
    </row>
    <row r="54" spans="1:7" s="77" customFormat="1">
      <c r="A54" s="77" t="s">
        <v>1203</v>
      </c>
      <c r="B54" s="77" t="s">
        <v>1204</v>
      </c>
      <c r="C54" s="77" t="s">
        <v>1206</v>
      </c>
      <c r="D54" s="77" t="s">
        <v>1136</v>
      </c>
      <c r="E54" s="77" t="s">
        <v>1137</v>
      </c>
      <c r="F54" s="77" t="s">
        <v>1138</v>
      </c>
      <c r="G54" s="77" t="s">
        <v>1138</v>
      </c>
    </row>
    <row r="55" spans="1:7" s="77" customFormat="1">
      <c r="A55" s="77" t="s">
        <v>1203</v>
      </c>
      <c r="B55" s="77" t="s">
        <v>1207</v>
      </c>
      <c r="C55" s="77" t="s">
        <v>1208</v>
      </c>
      <c r="D55" s="77" t="s">
        <v>1136</v>
      </c>
      <c r="E55" s="77" t="s">
        <v>1137</v>
      </c>
      <c r="F55" s="77" t="s">
        <v>1138</v>
      </c>
      <c r="G55" s="77" t="s">
        <v>1138</v>
      </c>
    </row>
    <row r="56" spans="1:7" s="77" customFormat="1">
      <c r="A56" s="77" t="s">
        <v>1203</v>
      </c>
      <c r="B56" s="77" t="s">
        <v>1209</v>
      </c>
      <c r="C56" s="77" t="s">
        <v>1210</v>
      </c>
      <c r="D56" s="77" t="s">
        <v>1136</v>
      </c>
      <c r="E56" s="77" t="s">
        <v>1137</v>
      </c>
      <c r="F56" s="77" t="s">
        <v>1138</v>
      </c>
      <c r="G56" s="77" t="s">
        <v>1138</v>
      </c>
    </row>
    <row r="57" spans="1:7" s="77" customFormat="1">
      <c r="A57" s="77" t="s">
        <v>1203</v>
      </c>
      <c r="B57" s="77" t="s">
        <v>1209</v>
      </c>
      <c r="C57" s="77" t="s">
        <v>1211</v>
      </c>
      <c r="D57" s="77" t="s">
        <v>1212</v>
      </c>
      <c r="E57" s="77" t="s">
        <v>1137</v>
      </c>
      <c r="F57" s="83" t="s">
        <v>1213</v>
      </c>
      <c r="G57" s="83" t="s">
        <v>1214</v>
      </c>
    </row>
    <row r="58" spans="1:7" s="77" customFormat="1">
      <c r="A58" s="77" t="s">
        <v>1203</v>
      </c>
      <c r="B58" s="77" t="s">
        <v>1209</v>
      </c>
      <c r="C58" s="77" t="s">
        <v>1215</v>
      </c>
      <c r="D58" s="77" t="s">
        <v>380</v>
      </c>
      <c r="E58" s="77" t="s">
        <v>1137</v>
      </c>
      <c r="F58" s="83" t="s">
        <v>1141</v>
      </c>
      <c r="G58" s="83" t="s">
        <v>1142</v>
      </c>
    </row>
    <row r="59" spans="1:7" s="77" customFormat="1">
      <c r="A59" s="77" t="s">
        <v>1203</v>
      </c>
      <c r="B59" s="77" t="s">
        <v>1209</v>
      </c>
      <c r="C59" s="77" t="s">
        <v>1216</v>
      </c>
      <c r="D59" s="77" t="s">
        <v>1217</v>
      </c>
      <c r="E59" s="77" t="s">
        <v>1137</v>
      </c>
      <c r="F59" s="83" t="s">
        <v>1218</v>
      </c>
      <c r="G59" s="83" t="s">
        <v>1219</v>
      </c>
    </row>
    <row r="60" spans="1:7" s="77" customFormat="1">
      <c r="A60" s="77" t="s">
        <v>1203</v>
      </c>
      <c r="B60" s="77" t="s">
        <v>1209</v>
      </c>
      <c r="C60" s="77" t="s">
        <v>1220</v>
      </c>
      <c r="D60" s="77" t="s">
        <v>1161</v>
      </c>
      <c r="E60" s="77" t="s">
        <v>1221</v>
      </c>
      <c r="F60" s="77" t="s">
        <v>1138</v>
      </c>
      <c r="G60" s="77" t="s">
        <v>1138</v>
      </c>
    </row>
    <row r="61" spans="1:7" s="77" customFormat="1">
      <c r="A61" s="77" t="s">
        <v>1203</v>
      </c>
      <c r="B61" s="77" t="s">
        <v>1222</v>
      </c>
      <c r="C61" s="77" t="s">
        <v>1208</v>
      </c>
      <c r="D61" s="77" t="s">
        <v>1136</v>
      </c>
      <c r="E61" s="77" t="s">
        <v>1137</v>
      </c>
      <c r="F61" s="77" t="s">
        <v>1138</v>
      </c>
      <c r="G61" s="77" t="s">
        <v>1138</v>
      </c>
    </row>
    <row r="62" spans="1:7" s="77" customFormat="1">
      <c r="A62" s="77" t="s">
        <v>1203</v>
      </c>
      <c r="B62" s="77" t="s">
        <v>1223</v>
      </c>
      <c r="C62" s="77" t="s">
        <v>538</v>
      </c>
      <c r="D62" s="77" t="s">
        <v>1136</v>
      </c>
      <c r="E62" s="77" t="s">
        <v>1137</v>
      </c>
      <c r="F62" s="77" t="s">
        <v>1138</v>
      </c>
      <c r="G62" s="77" t="s">
        <v>1138</v>
      </c>
    </row>
    <row r="63" spans="1:7" s="77" customFormat="1">
      <c r="A63" s="77" t="s">
        <v>1203</v>
      </c>
      <c r="B63" s="77" t="s">
        <v>1224</v>
      </c>
      <c r="C63" s="77" t="s">
        <v>1225</v>
      </c>
      <c r="D63" s="77" t="s">
        <v>1226</v>
      </c>
      <c r="E63" s="77" t="s">
        <v>1137</v>
      </c>
      <c r="F63" s="83" t="s">
        <v>1227</v>
      </c>
      <c r="G63" s="83" t="s">
        <v>1228</v>
      </c>
    </row>
    <row r="64" spans="1:7" s="77" customFormat="1">
      <c r="A64" s="77" t="s">
        <v>1203</v>
      </c>
      <c r="B64" s="77" t="s">
        <v>1224</v>
      </c>
      <c r="C64" s="77" t="s">
        <v>1211</v>
      </c>
      <c r="D64" s="77" t="s">
        <v>1212</v>
      </c>
      <c r="E64" s="77" t="s">
        <v>1137</v>
      </c>
      <c r="F64" s="83" t="s">
        <v>1213</v>
      </c>
      <c r="G64" s="83" t="s">
        <v>1214</v>
      </c>
    </row>
    <row r="65" spans="1:7" s="77" customFormat="1">
      <c r="A65" s="77" t="s">
        <v>1203</v>
      </c>
      <c r="B65" s="77" t="s">
        <v>1224</v>
      </c>
      <c r="C65" s="77" t="s">
        <v>1229</v>
      </c>
      <c r="D65" s="77" t="s">
        <v>1212</v>
      </c>
      <c r="E65" s="77" t="s">
        <v>1137</v>
      </c>
      <c r="F65" s="83" t="s">
        <v>1213</v>
      </c>
      <c r="G65" s="83" t="s">
        <v>1214</v>
      </c>
    </row>
    <row r="66" spans="1:7" s="77" customFormat="1">
      <c r="A66" s="77" t="s">
        <v>1203</v>
      </c>
      <c r="B66" s="77" t="s">
        <v>1224</v>
      </c>
      <c r="C66" s="77" t="s">
        <v>1230</v>
      </c>
      <c r="D66" s="77" t="s">
        <v>380</v>
      </c>
      <c r="E66" s="77" t="s">
        <v>1137</v>
      </c>
      <c r="F66" s="83" t="s">
        <v>1231</v>
      </c>
      <c r="G66" s="83" t="s">
        <v>1145</v>
      </c>
    </row>
    <row r="67" spans="1:7" s="77" customFormat="1">
      <c r="A67" s="77" t="s">
        <v>1203</v>
      </c>
      <c r="B67" s="77" t="s">
        <v>1224</v>
      </c>
      <c r="C67" s="77" t="s">
        <v>1232</v>
      </c>
      <c r="D67" s="77" t="s">
        <v>380</v>
      </c>
      <c r="E67" s="77" t="s">
        <v>1137</v>
      </c>
      <c r="F67" s="83" t="s">
        <v>1231</v>
      </c>
      <c r="G67" s="83" t="s">
        <v>1145</v>
      </c>
    </row>
    <row r="68" spans="1:7" s="77" customFormat="1">
      <c r="A68" s="77" t="s">
        <v>1203</v>
      </c>
      <c r="B68" s="77" t="s">
        <v>1224</v>
      </c>
      <c r="C68" s="77" t="s">
        <v>1233</v>
      </c>
      <c r="D68" s="77" t="s">
        <v>380</v>
      </c>
      <c r="E68" s="77" t="s">
        <v>1137</v>
      </c>
      <c r="F68" s="83" t="s">
        <v>1231</v>
      </c>
      <c r="G68" s="83" t="s">
        <v>1145</v>
      </c>
    </row>
    <row r="69" spans="1:7" s="77" customFormat="1">
      <c r="A69" s="77" t="s">
        <v>812</v>
      </c>
      <c r="B69" s="77" t="s">
        <v>1234</v>
      </c>
      <c r="C69" s="77" t="s">
        <v>1124</v>
      </c>
      <c r="D69" s="77" t="s">
        <v>1136</v>
      </c>
      <c r="E69" s="77" t="s">
        <v>1137</v>
      </c>
      <c r="F69" s="77" t="s">
        <v>1138</v>
      </c>
      <c r="G69" s="77" t="s">
        <v>1138</v>
      </c>
    </row>
    <row r="70" spans="1:7" s="77" customFormat="1">
      <c r="A70" s="77" t="s">
        <v>812</v>
      </c>
      <c r="B70" s="77" t="s">
        <v>1235</v>
      </c>
      <c r="C70" s="77" t="s">
        <v>1236</v>
      </c>
      <c r="D70" s="77" t="s">
        <v>1136</v>
      </c>
      <c r="E70" s="77" t="s">
        <v>1137</v>
      </c>
      <c r="F70" s="77" t="s">
        <v>1138</v>
      </c>
      <c r="G70" s="77" t="s">
        <v>1138</v>
      </c>
    </row>
    <row r="71" spans="1:7" s="77" customFormat="1">
      <c r="A71" s="77" t="s">
        <v>812</v>
      </c>
      <c r="B71" s="77" t="s">
        <v>1237</v>
      </c>
      <c r="C71" s="77" t="s">
        <v>1184</v>
      </c>
      <c r="D71" s="77" t="s">
        <v>380</v>
      </c>
      <c r="E71" s="77" t="s">
        <v>1137</v>
      </c>
      <c r="F71" s="83" t="s">
        <v>1141</v>
      </c>
      <c r="G71" s="83" t="s">
        <v>1142</v>
      </c>
    </row>
    <row r="72" spans="1:7" s="77" customFormat="1">
      <c r="A72" s="77" t="s">
        <v>812</v>
      </c>
      <c r="B72" s="77" t="s">
        <v>1237</v>
      </c>
      <c r="C72" s="77" t="s">
        <v>865</v>
      </c>
      <c r="D72" s="77" t="s">
        <v>380</v>
      </c>
      <c r="E72" s="77" t="s">
        <v>1137</v>
      </c>
      <c r="F72" s="83" t="s">
        <v>1141</v>
      </c>
      <c r="G72" s="83" t="s">
        <v>1142</v>
      </c>
    </row>
    <row r="73" spans="1:7" s="77" customFormat="1">
      <c r="A73" s="77" t="s">
        <v>812</v>
      </c>
      <c r="B73" s="77" t="s">
        <v>1237</v>
      </c>
      <c r="C73" s="77" t="s">
        <v>1238</v>
      </c>
      <c r="D73" s="77" t="s">
        <v>1136</v>
      </c>
      <c r="E73" s="77" t="s">
        <v>1137</v>
      </c>
      <c r="F73" s="77" t="s">
        <v>1138</v>
      </c>
      <c r="G73" s="77" t="s">
        <v>1138</v>
      </c>
    </row>
    <row r="74" spans="1:7" s="77" customFormat="1">
      <c r="A74" s="77" t="s">
        <v>812</v>
      </c>
      <c r="B74" s="77" t="s">
        <v>1237</v>
      </c>
      <c r="C74" s="77" t="s">
        <v>380</v>
      </c>
      <c r="D74" s="77" t="s">
        <v>380</v>
      </c>
      <c r="E74" s="77" t="s">
        <v>1137</v>
      </c>
      <c r="F74" s="83" t="s">
        <v>1141</v>
      </c>
      <c r="G74" s="83" t="s">
        <v>1142</v>
      </c>
    </row>
    <row r="75" spans="1:7" s="77" customFormat="1">
      <c r="A75" s="77" t="s">
        <v>812</v>
      </c>
      <c r="B75" s="77" t="s">
        <v>1237</v>
      </c>
      <c r="C75" s="77" t="s">
        <v>869</v>
      </c>
      <c r="D75" s="77" t="s">
        <v>1136</v>
      </c>
      <c r="E75" s="77" t="s">
        <v>1137</v>
      </c>
      <c r="F75" s="77" t="s">
        <v>1138</v>
      </c>
      <c r="G75" s="77" t="s">
        <v>1138</v>
      </c>
    </row>
    <row r="76" spans="1:7" s="77" customFormat="1">
      <c r="A76" s="77" t="s">
        <v>812</v>
      </c>
      <c r="B76" s="77" t="s">
        <v>1237</v>
      </c>
      <c r="C76" s="77" t="s">
        <v>1124</v>
      </c>
      <c r="D76" s="77" t="s">
        <v>1136</v>
      </c>
      <c r="E76" s="77" t="s">
        <v>1137</v>
      </c>
      <c r="F76" s="77" t="s">
        <v>1138</v>
      </c>
      <c r="G76" s="77" t="s">
        <v>1138</v>
      </c>
    </row>
    <row r="77" spans="1:7" s="77" customFormat="1">
      <c r="A77" s="77" t="s">
        <v>812</v>
      </c>
      <c r="B77" s="77" t="s">
        <v>1237</v>
      </c>
      <c r="C77" s="77" t="s">
        <v>1239</v>
      </c>
      <c r="D77" s="77" t="s">
        <v>1136</v>
      </c>
      <c r="E77" s="77" t="s">
        <v>1137</v>
      </c>
      <c r="F77" s="77" t="s">
        <v>1138</v>
      </c>
      <c r="G77" s="77" t="s">
        <v>1138</v>
      </c>
    </row>
    <row r="78" spans="1:7" s="77" customFormat="1">
      <c r="A78" s="77" t="s">
        <v>812</v>
      </c>
      <c r="B78" s="77" t="s">
        <v>1240</v>
      </c>
      <c r="C78" s="77" t="s">
        <v>380</v>
      </c>
      <c r="D78" s="77" t="s">
        <v>380</v>
      </c>
      <c r="E78" s="77" t="s">
        <v>1137</v>
      </c>
      <c r="F78" s="83" t="s">
        <v>1141</v>
      </c>
      <c r="G78" s="83" t="s">
        <v>1142</v>
      </c>
    </row>
    <row r="79" spans="1:7" s="77" customFormat="1">
      <c r="A79" s="77" t="s">
        <v>1241</v>
      </c>
      <c r="B79" s="77" t="s">
        <v>1242</v>
      </c>
      <c r="C79" s="77" t="s">
        <v>1243</v>
      </c>
      <c r="D79" s="77" t="s">
        <v>380</v>
      </c>
      <c r="E79" s="77" t="s">
        <v>1137</v>
      </c>
      <c r="F79" s="83" t="s">
        <v>1244</v>
      </c>
      <c r="G79" s="83" t="s">
        <v>1245</v>
      </c>
    </row>
    <row r="80" spans="1:7" s="77" customFormat="1">
      <c r="A80" s="77" t="s">
        <v>1241</v>
      </c>
      <c r="B80" s="77" t="s">
        <v>1190</v>
      </c>
      <c r="C80" s="77" t="s">
        <v>1124</v>
      </c>
      <c r="D80" s="77" t="s">
        <v>1136</v>
      </c>
      <c r="E80" s="77" t="s">
        <v>1137</v>
      </c>
      <c r="F80" s="77" t="s">
        <v>1138</v>
      </c>
      <c r="G80" s="77" t="s">
        <v>1138</v>
      </c>
    </row>
    <row r="81" spans="1:8" s="77" customFormat="1">
      <c r="A81" s="77" t="s">
        <v>1241</v>
      </c>
      <c r="B81" s="77" t="s">
        <v>1191</v>
      </c>
      <c r="C81" s="77" t="s">
        <v>1124</v>
      </c>
      <c r="D81" s="77" t="s">
        <v>1136</v>
      </c>
      <c r="E81" s="77" t="s">
        <v>1137</v>
      </c>
      <c r="F81" s="77" t="s">
        <v>1138</v>
      </c>
      <c r="G81" s="77" t="s">
        <v>1138</v>
      </c>
    </row>
    <row r="82" spans="1:8" s="77" customFormat="1">
      <c r="A82" s="77" t="s">
        <v>1241</v>
      </c>
      <c r="B82" s="77" t="s">
        <v>1192</v>
      </c>
      <c r="C82" s="77" t="s">
        <v>1124</v>
      </c>
      <c r="D82" s="77" t="s">
        <v>1136</v>
      </c>
      <c r="E82" s="77" t="s">
        <v>1137</v>
      </c>
      <c r="F82" s="77" t="s">
        <v>1138</v>
      </c>
      <c r="G82" s="77" t="s">
        <v>1138</v>
      </c>
    </row>
    <row r="83" spans="1:8" s="77" customFormat="1">
      <c r="A83" s="77" t="s">
        <v>1241</v>
      </c>
      <c r="B83" s="77" t="s">
        <v>1246</v>
      </c>
      <c r="C83" s="77" t="s">
        <v>1070</v>
      </c>
      <c r="D83" s="77" t="s">
        <v>1136</v>
      </c>
      <c r="E83" s="77" t="s">
        <v>1137</v>
      </c>
      <c r="F83" s="77" t="s">
        <v>1138</v>
      </c>
      <c r="G83" s="77" t="s">
        <v>1138</v>
      </c>
    </row>
    <row r="84" spans="1:8" s="77" customFormat="1">
      <c r="A84" s="77" t="s">
        <v>1241</v>
      </c>
      <c r="B84" s="77" t="s">
        <v>1247</v>
      </c>
      <c r="C84" s="77" t="s">
        <v>969</v>
      </c>
      <c r="D84" s="77" t="s">
        <v>1146</v>
      </c>
      <c r="E84" s="77" t="s">
        <v>1137</v>
      </c>
      <c r="F84" s="83" t="s">
        <v>1248</v>
      </c>
      <c r="G84" s="83" t="s">
        <v>1249</v>
      </c>
    </row>
    <row r="85" spans="1:8" s="77" customFormat="1">
      <c r="A85"/>
      <c r="B85"/>
      <c r="C85"/>
      <c r="D85"/>
      <c r="E85"/>
      <c r="F85"/>
      <c r="G85"/>
      <c r="H85"/>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F1C8-83CA-4905-A6C3-C6DC3EB4A43B}">
  <sheetPr>
    <tabColor rgb="FF404040"/>
  </sheetPr>
  <dimension ref="A1:G7"/>
  <sheetViews>
    <sheetView workbookViewId="0">
      <selection activeCell="B6" sqref="B6"/>
    </sheetView>
  </sheetViews>
  <sheetFormatPr defaultColWidth="8.85546875" defaultRowHeight="15"/>
  <cols>
    <col min="1" max="1" width="28.140625" customWidth="1"/>
    <col min="2" max="2" width="29.42578125" bestFit="1" customWidth="1"/>
    <col min="3" max="3" width="30.140625" customWidth="1"/>
    <col min="4" max="4" width="111.42578125" customWidth="1"/>
    <col min="5" max="5" width="43.140625" customWidth="1"/>
    <col min="6" max="6" width="112.42578125" bestFit="1" customWidth="1"/>
  </cols>
  <sheetData>
    <row r="1" spans="1:7" ht="15.95">
      <c r="A1" s="68" t="s">
        <v>1250</v>
      </c>
      <c r="B1" s="68" t="s">
        <v>329</v>
      </c>
      <c r="C1" s="69" t="s">
        <v>331</v>
      </c>
      <c r="D1" s="68" t="s">
        <v>332</v>
      </c>
      <c r="E1" s="68" t="s">
        <v>333</v>
      </c>
      <c r="F1" s="68" t="s">
        <v>334</v>
      </c>
      <c r="G1" s="68" t="s">
        <v>335</v>
      </c>
    </row>
    <row r="2" spans="1:7" ht="15.95">
      <c r="A2" s="66" t="s">
        <v>1251</v>
      </c>
      <c r="B2" t="s">
        <v>382</v>
      </c>
      <c r="C2" s="67" t="s">
        <v>1252</v>
      </c>
      <c r="D2" s="70" t="s">
        <v>1253</v>
      </c>
      <c r="E2" s="12" t="s">
        <v>805</v>
      </c>
      <c r="F2" s="66" t="s">
        <v>341</v>
      </c>
      <c r="G2" s="66"/>
    </row>
    <row r="3" spans="1:7" ht="15.95">
      <c r="A3" s="11" t="s">
        <v>1251</v>
      </c>
      <c r="B3" t="s">
        <v>336</v>
      </c>
      <c r="C3" s="18" t="s">
        <v>1252</v>
      </c>
      <c r="D3" s="71" t="s">
        <v>1254</v>
      </c>
      <c r="E3" s="13" t="s">
        <v>805</v>
      </c>
      <c r="F3" s="11" t="s">
        <v>346</v>
      </c>
      <c r="G3" s="11"/>
    </row>
    <row r="4" spans="1:7" ht="15.95">
      <c r="A4" s="66" t="s">
        <v>1251</v>
      </c>
      <c r="B4" t="s">
        <v>1179</v>
      </c>
      <c r="C4" s="67" t="s">
        <v>1252</v>
      </c>
      <c r="D4" s="70" t="s">
        <v>1255</v>
      </c>
      <c r="E4" s="13" t="s">
        <v>805</v>
      </c>
      <c r="F4" s="66"/>
      <c r="G4" s="66"/>
    </row>
    <row r="5" spans="1:7" ht="15.95">
      <c r="A5" s="11" t="s">
        <v>1251</v>
      </c>
      <c r="B5" t="s">
        <v>675</v>
      </c>
      <c r="C5" s="18" t="s">
        <v>1252</v>
      </c>
      <c r="D5" s="72" t="s">
        <v>1256</v>
      </c>
      <c r="E5" s="12" t="s">
        <v>805</v>
      </c>
      <c r="F5" s="11" t="s">
        <v>348</v>
      </c>
      <c r="G5" s="11"/>
    </row>
    <row r="6" spans="1:7" ht="15.95">
      <c r="A6" s="11" t="s">
        <v>1251</v>
      </c>
      <c r="B6" t="s">
        <v>1257</v>
      </c>
      <c r="C6" s="18" t="s">
        <v>1252</v>
      </c>
      <c r="D6" s="72"/>
      <c r="E6" s="12" t="s">
        <v>805</v>
      </c>
      <c r="F6" s="11"/>
      <c r="G6" s="11"/>
    </row>
    <row r="7" spans="1:7" ht="15.95">
      <c r="A7" s="11" t="s">
        <v>1251</v>
      </c>
      <c r="B7" t="s">
        <v>610</v>
      </c>
      <c r="C7" s="18" t="s">
        <v>1252</v>
      </c>
      <c r="D7" s="72"/>
      <c r="E7" s="12" t="s">
        <v>805</v>
      </c>
      <c r="F7" s="11"/>
      <c r="G7" s="11"/>
    </row>
  </sheetData>
  <conditionalFormatting sqref="E1:E7 C8:C1048576">
    <cfRule type="cellIs" dxfId="26" priority="1" operator="equal">
      <formula>"Yes"</formula>
    </cfRule>
    <cfRule type="cellIs" dxfId="25" priority="2" operator="equal">
      <formula>"No"</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4EFF-547C-4ECF-9245-3182E5B46B82}">
  <sheetPr>
    <tabColor rgb="FF404040"/>
  </sheetPr>
  <dimension ref="A1:I68"/>
  <sheetViews>
    <sheetView topLeftCell="C1" workbookViewId="0">
      <selection activeCell="F23" sqref="F23"/>
    </sheetView>
  </sheetViews>
  <sheetFormatPr defaultColWidth="8.85546875" defaultRowHeight="15"/>
  <cols>
    <col min="2" max="2" width="23.7109375" customWidth="1"/>
    <col min="3" max="3" width="46.28515625" customWidth="1"/>
    <col min="4" max="4" width="33.42578125" bestFit="1" customWidth="1"/>
    <col min="5" max="5" width="9.7109375" customWidth="1"/>
    <col min="6" max="6" width="35.7109375" bestFit="1" customWidth="1"/>
    <col min="7" max="7" width="56" customWidth="1"/>
    <col min="8" max="8" width="64" bestFit="1" customWidth="1"/>
    <col min="15" max="15" width="0" hidden="1" customWidth="1"/>
  </cols>
  <sheetData>
    <row r="1" spans="1:9">
      <c r="A1" s="28"/>
      <c r="B1" s="28"/>
      <c r="C1" s="28"/>
      <c r="D1" s="28"/>
      <c r="E1" s="29"/>
      <c r="F1" s="28"/>
      <c r="G1" s="28"/>
      <c r="H1" s="28"/>
    </row>
    <row r="2" spans="1:9">
      <c r="A2" s="28"/>
      <c r="B2" s="28"/>
      <c r="C2" s="28"/>
      <c r="D2" s="28"/>
      <c r="E2" s="29" t="s">
        <v>1258</v>
      </c>
      <c r="F2" s="29"/>
      <c r="G2" s="28"/>
      <c r="H2" s="28"/>
    </row>
    <row r="3" spans="1:9">
      <c r="A3" s="28"/>
      <c r="B3" s="28"/>
      <c r="C3" s="28"/>
      <c r="D3" s="28"/>
      <c r="E3" s="28"/>
      <c r="F3" s="28"/>
      <c r="G3" s="28"/>
      <c r="H3" s="28"/>
    </row>
    <row r="4" spans="1:9" ht="80.099999999999994">
      <c r="A4" s="28"/>
      <c r="B4" s="30" t="s">
        <v>1259</v>
      </c>
      <c r="C4" s="31" t="s">
        <v>1260</v>
      </c>
      <c r="D4" s="31" t="s">
        <v>1261</v>
      </c>
      <c r="E4" s="9" t="s">
        <v>1262</v>
      </c>
      <c r="F4" s="31" t="s">
        <v>1263</v>
      </c>
      <c r="G4" s="32" t="s">
        <v>1264</v>
      </c>
      <c r="H4" s="10" t="s">
        <v>1265</v>
      </c>
    </row>
    <row r="5" spans="1:9">
      <c r="A5" s="28"/>
      <c r="B5" s="33" t="s">
        <v>1266</v>
      </c>
      <c r="C5" s="38" t="s">
        <v>1267</v>
      </c>
      <c r="D5" s="38" t="s">
        <v>1267</v>
      </c>
      <c r="E5" s="38" t="s">
        <v>1267</v>
      </c>
      <c r="F5" s="34" t="s">
        <v>1267</v>
      </c>
      <c r="G5" s="39" t="s">
        <v>1267</v>
      </c>
      <c r="H5" s="36" t="s">
        <v>1267</v>
      </c>
    </row>
    <row r="6" spans="1:9">
      <c r="A6" s="28"/>
      <c r="B6" s="37" t="s">
        <v>1268</v>
      </c>
      <c r="C6" s="28" t="s">
        <v>1267</v>
      </c>
      <c r="D6" s="28" t="s">
        <v>1267</v>
      </c>
      <c r="E6" s="28" t="s">
        <v>1267</v>
      </c>
      <c r="F6" s="34" t="s">
        <v>1267</v>
      </c>
      <c r="G6" s="40"/>
      <c r="H6" s="36" t="s">
        <v>1267</v>
      </c>
    </row>
    <row r="7" spans="1:9">
      <c r="A7" s="28"/>
      <c r="B7" s="37" t="s">
        <v>1267</v>
      </c>
      <c r="C7" s="38" t="s">
        <v>1267</v>
      </c>
      <c r="D7" s="38" t="s">
        <v>1267</v>
      </c>
      <c r="E7" s="38" t="s">
        <v>1267</v>
      </c>
      <c r="F7" s="34" t="s">
        <v>1267</v>
      </c>
      <c r="G7" s="39" t="s">
        <v>1267</v>
      </c>
      <c r="H7" s="36" t="s">
        <v>1267</v>
      </c>
    </row>
    <row r="8" spans="1:9" ht="15.95">
      <c r="A8" s="28"/>
      <c r="B8" s="33" t="s">
        <v>1269</v>
      </c>
      <c r="C8" s="28" t="s">
        <v>621</v>
      </c>
      <c r="D8" s="28" t="s">
        <v>1270</v>
      </c>
      <c r="E8" s="28"/>
      <c r="F8" s="49" t="s">
        <v>1271</v>
      </c>
      <c r="G8" s="36" t="s">
        <v>1272</v>
      </c>
      <c r="H8" s="36"/>
    </row>
    <row r="9" spans="1:9">
      <c r="A9" s="28"/>
      <c r="B9" s="37" t="s">
        <v>1267</v>
      </c>
      <c r="C9" s="38" t="s">
        <v>621</v>
      </c>
      <c r="D9" s="38" t="s">
        <v>1273</v>
      </c>
      <c r="E9" s="38" t="s">
        <v>1267</v>
      </c>
      <c r="F9" s="34" t="s">
        <v>1274</v>
      </c>
      <c r="G9" s="38" t="s">
        <v>1275</v>
      </c>
      <c r="H9" s="36" t="s">
        <v>1267</v>
      </c>
    </row>
    <row r="10" spans="1:9">
      <c r="A10" s="28"/>
      <c r="B10" s="37" t="s">
        <v>1267</v>
      </c>
      <c r="C10" s="28" t="s">
        <v>621</v>
      </c>
      <c r="D10" s="28" t="s">
        <v>1276</v>
      </c>
      <c r="E10" s="28"/>
      <c r="F10" s="34" t="s">
        <v>1274</v>
      </c>
      <c r="G10" s="28" t="s">
        <v>1277</v>
      </c>
      <c r="H10" s="36" t="s">
        <v>1267</v>
      </c>
    </row>
    <row r="11" spans="1:9">
      <c r="A11" s="28"/>
      <c r="B11" s="37" t="s">
        <v>1267</v>
      </c>
      <c r="C11" s="38" t="s">
        <v>621</v>
      </c>
      <c r="D11" s="38" t="s">
        <v>637</v>
      </c>
      <c r="E11" s="38" t="s">
        <v>1267</v>
      </c>
      <c r="F11" s="34" t="s">
        <v>1274</v>
      </c>
      <c r="G11" s="38" t="s">
        <v>1278</v>
      </c>
      <c r="H11" s="42" t="s">
        <v>1279</v>
      </c>
      <c r="I11" t="s">
        <v>1280</v>
      </c>
    </row>
    <row r="12" spans="1:9">
      <c r="A12" s="28"/>
      <c r="B12" s="37" t="s">
        <v>1267</v>
      </c>
      <c r="C12" s="28" t="s">
        <v>621</v>
      </c>
      <c r="D12" s="28" t="s">
        <v>641</v>
      </c>
      <c r="E12" s="28"/>
      <c r="F12" s="34" t="s">
        <v>1274</v>
      </c>
      <c r="G12" s="28" t="s">
        <v>1278</v>
      </c>
      <c r="H12" s="42" t="s">
        <v>1281</v>
      </c>
    </row>
    <row r="13" spans="1:9">
      <c r="A13" s="28"/>
      <c r="B13" s="37" t="s">
        <v>1267</v>
      </c>
      <c r="C13" s="38" t="s">
        <v>621</v>
      </c>
      <c r="D13" s="38" t="s">
        <v>1282</v>
      </c>
      <c r="E13" s="38" t="s">
        <v>1267</v>
      </c>
      <c r="F13" s="34" t="s">
        <v>1274</v>
      </c>
      <c r="G13" s="38" t="s">
        <v>1283</v>
      </c>
      <c r="H13" s="47"/>
    </row>
    <row r="14" spans="1:9">
      <c r="A14" s="28"/>
      <c r="B14" s="37" t="s">
        <v>1267</v>
      </c>
      <c r="C14" s="28" t="s">
        <v>621</v>
      </c>
      <c r="D14" s="28"/>
      <c r="E14" s="28"/>
      <c r="F14" s="34" t="s">
        <v>1267</v>
      </c>
      <c r="G14" s="35" t="s">
        <v>1267</v>
      </c>
      <c r="H14" s="42"/>
    </row>
    <row r="15" spans="1:9">
      <c r="A15" s="28"/>
      <c r="B15" s="37" t="s">
        <v>1267</v>
      </c>
      <c r="C15" s="38" t="s">
        <v>1267</v>
      </c>
      <c r="D15" s="38" t="s">
        <v>1267</v>
      </c>
      <c r="E15" s="38" t="s">
        <v>1267</v>
      </c>
      <c r="F15" s="34" t="s">
        <v>1267</v>
      </c>
      <c r="G15" s="39" t="s">
        <v>1267</v>
      </c>
      <c r="H15" s="42" t="s">
        <v>1267</v>
      </c>
    </row>
    <row r="16" spans="1:9" ht="15.95">
      <c r="A16" s="28"/>
      <c r="B16" s="33" t="s">
        <v>1284</v>
      </c>
      <c r="C16" s="28" t="s">
        <v>643</v>
      </c>
      <c r="D16" s="28" t="s">
        <v>1285</v>
      </c>
      <c r="E16" s="28"/>
      <c r="F16" s="49" t="s">
        <v>1271</v>
      </c>
      <c r="G16" s="35" t="s">
        <v>1286</v>
      </c>
      <c r="H16" s="42" t="s">
        <v>1267</v>
      </c>
    </row>
    <row r="17" spans="1:8">
      <c r="A17" s="28"/>
      <c r="B17" s="37" t="s">
        <v>1267</v>
      </c>
      <c r="C17" s="38" t="s">
        <v>643</v>
      </c>
      <c r="D17" s="38" t="s">
        <v>1273</v>
      </c>
      <c r="E17" s="38" t="s">
        <v>1267</v>
      </c>
      <c r="F17" s="34" t="s">
        <v>1274</v>
      </c>
      <c r="G17" s="39" t="s">
        <v>1287</v>
      </c>
      <c r="H17" s="42" t="s">
        <v>1267</v>
      </c>
    </row>
    <row r="18" spans="1:8">
      <c r="A18" s="28"/>
      <c r="B18" s="37" t="s">
        <v>1267</v>
      </c>
      <c r="C18" s="28" t="s">
        <v>643</v>
      </c>
      <c r="D18" s="28" t="s">
        <v>1276</v>
      </c>
      <c r="E18" s="28"/>
      <c r="F18" s="34" t="s">
        <v>1274</v>
      </c>
      <c r="G18" s="35" t="s">
        <v>1288</v>
      </c>
      <c r="H18" s="42" t="s">
        <v>1267</v>
      </c>
    </row>
    <row r="19" spans="1:8">
      <c r="A19" s="28"/>
      <c r="B19" s="37" t="s">
        <v>1267</v>
      </c>
      <c r="C19" s="38" t="s">
        <v>643</v>
      </c>
      <c r="D19" s="38" t="s">
        <v>637</v>
      </c>
      <c r="E19" s="38" t="s">
        <v>1267</v>
      </c>
      <c r="F19" s="34" t="s">
        <v>1274</v>
      </c>
      <c r="G19" s="39" t="s">
        <v>1289</v>
      </c>
      <c r="H19" s="42" t="s">
        <v>1279</v>
      </c>
    </row>
    <row r="20" spans="1:8">
      <c r="A20" s="28"/>
      <c r="B20" s="37" t="s">
        <v>1267</v>
      </c>
      <c r="C20" s="28" t="s">
        <v>643</v>
      </c>
      <c r="D20" s="28" t="s">
        <v>641</v>
      </c>
      <c r="E20" s="28"/>
      <c r="F20" s="34" t="s">
        <v>1274</v>
      </c>
      <c r="G20" s="35" t="s">
        <v>1290</v>
      </c>
      <c r="H20" s="42" t="s">
        <v>1281</v>
      </c>
    </row>
    <row r="21" spans="1:8">
      <c r="A21" s="28"/>
      <c r="B21" s="37" t="s">
        <v>1267</v>
      </c>
      <c r="C21" s="38" t="s">
        <v>643</v>
      </c>
      <c r="D21" s="38" t="s">
        <v>1282</v>
      </c>
      <c r="E21" s="38" t="s">
        <v>1267</v>
      </c>
      <c r="F21" s="34" t="s">
        <v>1274</v>
      </c>
      <c r="G21" s="39" t="s">
        <v>1283</v>
      </c>
      <c r="H21" s="36"/>
    </row>
    <row r="22" spans="1:8">
      <c r="A22" s="28"/>
      <c r="B22" s="37" t="s">
        <v>1267</v>
      </c>
      <c r="C22" s="28"/>
      <c r="D22" s="28"/>
      <c r="E22" s="28"/>
      <c r="F22" s="34" t="s">
        <v>1267</v>
      </c>
      <c r="G22" s="35" t="s">
        <v>1267</v>
      </c>
      <c r="H22" s="36"/>
    </row>
    <row r="23" spans="1:8" ht="15.95">
      <c r="A23" s="28"/>
      <c r="B23" s="37" t="s">
        <v>1291</v>
      </c>
      <c r="C23" s="38" t="s">
        <v>1292</v>
      </c>
      <c r="D23" s="38" t="s">
        <v>1293</v>
      </c>
      <c r="E23" s="38" t="s">
        <v>1267</v>
      </c>
      <c r="F23" s="49" t="s">
        <v>1271</v>
      </c>
      <c r="G23" s="39" t="s">
        <v>1267</v>
      </c>
      <c r="H23" s="36"/>
    </row>
    <row r="24" spans="1:8">
      <c r="A24" s="28"/>
      <c r="B24" s="37" t="s">
        <v>1267</v>
      </c>
      <c r="C24" s="28" t="s">
        <v>1292</v>
      </c>
      <c r="D24" s="28" t="s">
        <v>964</v>
      </c>
      <c r="E24" s="28"/>
      <c r="F24" s="34" t="s">
        <v>1294</v>
      </c>
      <c r="G24" s="40"/>
      <c r="H24" s="36" t="s">
        <v>1267</v>
      </c>
    </row>
    <row r="25" spans="1:8">
      <c r="A25" s="28"/>
      <c r="B25" s="37" t="s">
        <v>1267</v>
      </c>
      <c r="C25" s="38" t="s">
        <v>1292</v>
      </c>
      <c r="D25" s="38" t="s">
        <v>1295</v>
      </c>
      <c r="E25" s="38" t="s">
        <v>1267</v>
      </c>
      <c r="F25" s="34" t="s">
        <v>1296</v>
      </c>
      <c r="G25" s="39" t="s">
        <v>1267</v>
      </c>
      <c r="H25" s="36" t="s">
        <v>1267</v>
      </c>
    </row>
    <row r="26" spans="1:8">
      <c r="A26" s="28"/>
      <c r="B26" s="37" t="s">
        <v>1267</v>
      </c>
      <c r="C26" s="28" t="s">
        <v>1292</v>
      </c>
      <c r="D26" s="28" t="s">
        <v>1297</v>
      </c>
      <c r="E26" s="28"/>
      <c r="F26" s="34" t="s">
        <v>1298</v>
      </c>
      <c r="G26" s="35" t="s">
        <v>1267</v>
      </c>
      <c r="H26" s="36" t="s">
        <v>1267</v>
      </c>
    </row>
    <row r="27" spans="1:8">
      <c r="A27" s="28"/>
      <c r="B27" s="37" t="s">
        <v>1267</v>
      </c>
      <c r="C27" s="38" t="s">
        <v>1292</v>
      </c>
      <c r="D27" s="38" t="s">
        <v>1299</v>
      </c>
      <c r="E27" s="38" t="s">
        <v>1267</v>
      </c>
      <c r="F27" s="34" t="s">
        <v>1300</v>
      </c>
      <c r="G27" s="39" t="s">
        <v>1267</v>
      </c>
      <c r="H27" s="36" t="s">
        <v>1267</v>
      </c>
    </row>
    <row r="28" spans="1:8">
      <c r="A28" s="28"/>
      <c r="B28" s="37" t="s">
        <v>1267</v>
      </c>
      <c r="C28" s="28" t="s">
        <v>1292</v>
      </c>
      <c r="D28" s="28" t="s">
        <v>1301</v>
      </c>
      <c r="E28" s="28"/>
      <c r="F28" s="34" t="s">
        <v>1302</v>
      </c>
      <c r="G28" s="35" t="s">
        <v>1267</v>
      </c>
      <c r="H28" s="36" t="s">
        <v>1267</v>
      </c>
    </row>
    <row r="29" spans="1:8">
      <c r="A29" s="28"/>
      <c r="B29" s="37" t="s">
        <v>1267</v>
      </c>
      <c r="C29" s="38" t="s">
        <v>1292</v>
      </c>
      <c r="D29" s="38" t="s">
        <v>1303</v>
      </c>
      <c r="E29" s="38" t="s">
        <v>1267</v>
      </c>
      <c r="F29" s="34" t="s">
        <v>1304</v>
      </c>
      <c r="G29" s="39" t="s">
        <v>1267</v>
      </c>
      <c r="H29" s="36" t="s">
        <v>1267</v>
      </c>
    </row>
    <row r="30" spans="1:8">
      <c r="A30" s="28"/>
      <c r="B30" s="37" t="s">
        <v>1267</v>
      </c>
      <c r="C30" s="28" t="s">
        <v>1292</v>
      </c>
      <c r="D30" s="28" t="s">
        <v>1305</v>
      </c>
      <c r="E30" s="28"/>
      <c r="F30" s="34" t="s">
        <v>1306</v>
      </c>
      <c r="G30" s="35" t="s">
        <v>1267</v>
      </c>
      <c r="H30" s="36" t="s">
        <v>1267</v>
      </c>
    </row>
    <row r="31" spans="1:8">
      <c r="A31" s="28"/>
      <c r="B31" s="37" t="s">
        <v>1267</v>
      </c>
      <c r="C31" s="38" t="s">
        <v>1292</v>
      </c>
      <c r="D31" s="38" t="s">
        <v>1307</v>
      </c>
      <c r="E31" s="38" t="s">
        <v>1267</v>
      </c>
      <c r="F31" s="34" t="s">
        <v>1308</v>
      </c>
      <c r="G31" s="39" t="s">
        <v>1267</v>
      </c>
      <c r="H31" s="36" t="s">
        <v>1267</v>
      </c>
    </row>
    <row r="32" spans="1:8">
      <c r="A32" s="28"/>
      <c r="B32" s="37" t="s">
        <v>1267</v>
      </c>
      <c r="C32" s="28" t="s">
        <v>1292</v>
      </c>
      <c r="D32" s="28" t="s">
        <v>1309</v>
      </c>
      <c r="E32" s="28"/>
      <c r="F32" s="34" t="s">
        <v>1310</v>
      </c>
      <c r="G32" s="35" t="s">
        <v>1267</v>
      </c>
      <c r="H32" s="36" t="s">
        <v>1267</v>
      </c>
    </row>
    <row r="33" spans="1:8">
      <c r="A33" s="28"/>
      <c r="B33" s="37" t="s">
        <v>1267</v>
      </c>
      <c r="C33" s="38" t="s">
        <v>1292</v>
      </c>
      <c r="D33" s="50" t="s">
        <v>1311</v>
      </c>
      <c r="E33" s="38" t="s">
        <v>1267</v>
      </c>
      <c r="F33" s="34" t="s">
        <v>1312</v>
      </c>
      <c r="G33" s="39"/>
      <c r="H33" s="36" t="s">
        <v>1267</v>
      </c>
    </row>
    <row r="34" spans="1:8">
      <c r="A34" s="28"/>
      <c r="B34" s="33" t="s">
        <v>1267</v>
      </c>
      <c r="C34" s="28" t="s">
        <v>1292</v>
      </c>
      <c r="D34" s="51" t="s">
        <v>1313</v>
      </c>
      <c r="E34" s="28"/>
      <c r="F34" s="34" t="s">
        <v>1314</v>
      </c>
      <c r="G34" s="40"/>
      <c r="H34" s="36" t="s">
        <v>1267</v>
      </c>
    </row>
    <row r="35" spans="1:8">
      <c r="A35" s="28"/>
      <c r="B35" s="37" t="s">
        <v>1267</v>
      </c>
      <c r="C35" s="38" t="s">
        <v>1292</v>
      </c>
      <c r="D35" s="50" t="s">
        <v>1315</v>
      </c>
      <c r="E35" s="38" t="s">
        <v>1267</v>
      </c>
      <c r="F35" s="34" t="s">
        <v>1316</v>
      </c>
      <c r="G35" s="43"/>
      <c r="H35" s="36" t="s">
        <v>1267</v>
      </c>
    </row>
    <row r="36" spans="1:8">
      <c r="A36" s="28"/>
      <c r="B36" s="33" t="s">
        <v>1267</v>
      </c>
      <c r="C36" s="28" t="s">
        <v>1292</v>
      </c>
      <c r="D36" s="51" t="s">
        <v>1317</v>
      </c>
      <c r="E36" s="28"/>
      <c r="F36" s="34" t="s">
        <v>1318</v>
      </c>
      <c r="G36" s="35"/>
      <c r="H36" s="36" t="s">
        <v>1267</v>
      </c>
    </row>
    <row r="37" spans="1:8">
      <c r="A37" s="28"/>
      <c r="B37" s="37" t="s">
        <v>1267</v>
      </c>
      <c r="C37" s="38" t="s">
        <v>1292</v>
      </c>
      <c r="D37" s="50" t="s">
        <v>1319</v>
      </c>
      <c r="E37" s="38" t="s">
        <v>1267</v>
      </c>
      <c r="F37" s="34" t="s">
        <v>1320</v>
      </c>
      <c r="G37" s="43"/>
      <c r="H37" s="36" t="s">
        <v>1267</v>
      </c>
    </row>
    <row r="38" spans="1:8">
      <c r="A38" s="28"/>
      <c r="B38" s="37" t="s">
        <v>1267</v>
      </c>
      <c r="C38" s="28"/>
      <c r="D38" s="28"/>
      <c r="E38" s="28"/>
      <c r="F38" s="34" t="s">
        <v>1267</v>
      </c>
      <c r="G38" s="35" t="s">
        <v>1267</v>
      </c>
      <c r="H38" s="36" t="s">
        <v>1267</v>
      </c>
    </row>
    <row r="39" spans="1:8">
      <c r="A39" s="28"/>
      <c r="B39" s="33" t="s">
        <v>1321</v>
      </c>
      <c r="C39" s="38" t="s">
        <v>643</v>
      </c>
      <c r="D39" s="38" t="s">
        <v>90</v>
      </c>
      <c r="E39" s="38" t="s">
        <v>1267</v>
      </c>
      <c r="F39" s="34" t="s">
        <v>1322</v>
      </c>
      <c r="G39" s="39" t="s">
        <v>1267</v>
      </c>
      <c r="H39" s="42" t="s">
        <v>1323</v>
      </c>
    </row>
    <row r="40" spans="1:8">
      <c r="A40" s="28"/>
      <c r="B40" s="37" t="s">
        <v>1267</v>
      </c>
      <c r="C40" s="28" t="s">
        <v>643</v>
      </c>
      <c r="D40" s="28" t="s">
        <v>1324</v>
      </c>
      <c r="E40" s="28"/>
      <c r="F40" s="34" t="s">
        <v>1325</v>
      </c>
      <c r="G40" s="35" t="s">
        <v>1267</v>
      </c>
      <c r="H40" s="42" t="s">
        <v>1323</v>
      </c>
    </row>
    <row r="41" spans="1:8">
      <c r="A41" s="28"/>
      <c r="B41" s="37" t="s">
        <v>1267</v>
      </c>
      <c r="C41" s="38" t="s">
        <v>643</v>
      </c>
      <c r="D41" s="38" t="s">
        <v>1326</v>
      </c>
      <c r="E41" s="38" t="s">
        <v>1267</v>
      </c>
      <c r="F41" s="34" t="s">
        <v>1327</v>
      </c>
      <c r="G41" s="39" t="s">
        <v>1267</v>
      </c>
      <c r="H41" s="42" t="s">
        <v>1323</v>
      </c>
    </row>
    <row r="42" spans="1:8">
      <c r="A42" s="28"/>
      <c r="B42" s="37" t="s">
        <v>1267</v>
      </c>
      <c r="C42" s="28" t="s">
        <v>643</v>
      </c>
      <c r="D42" s="28" t="s">
        <v>1328</v>
      </c>
      <c r="E42" s="28"/>
      <c r="F42" s="34" t="s">
        <v>1329</v>
      </c>
      <c r="G42" s="35" t="s">
        <v>1267</v>
      </c>
      <c r="H42" s="42" t="s">
        <v>1323</v>
      </c>
    </row>
    <row r="43" spans="1:8">
      <c r="A43" s="28"/>
      <c r="B43" s="37" t="s">
        <v>1267</v>
      </c>
      <c r="C43" s="38" t="s">
        <v>643</v>
      </c>
      <c r="D43" s="38" t="s">
        <v>1330</v>
      </c>
      <c r="E43" s="38" t="s">
        <v>1267</v>
      </c>
      <c r="F43" s="34" t="s">
        <v>1331</v>
      </c>
      <c r="G43" s="39" t="s">
        <v>1267</v>
      </c>
      <c r="H43" s="42" t="s">
        <v>1323</v>
      </c>
    </row>
    <row r="44" spans="1:8">
      <c r="A44" s="28"/>
      <c r="B44" s="37" t="s">
        <v>1267</v>
      </c>
      <c r="C44" s="28" t="s">
        <v>643</v>
      </c>
      <c r="D44" s="28" t="s">
        <v>1332</v>
      </c>
      <c r="E44" s="28"/>
      <c r="F44" s="41" t="s">
        <v>1333</v>
      </c>
      <c r="G44" s="40"/>
      <c r="H44" s="42" t="s">
        <v>1323</v>
      </c>
    </row>
    <row r="45" spans="1:8">
      <c r="A45" s="28"/>
      <c r="B45" s="37" t="s">
        <v>1267</v>
      </c>
      <c r="C45" s="38" t="s">
        <v>643</v>
      </c>
      <c r="D45" s="38" t="s">
        <v>1334</v>
      </c>
      <c r="E45" s="38" t="s">
        <v>1267</v>
      </c>
      <c r="F45" s="41" t="s">
        <v>1335</v>
      </c>
      <c r="G45" s="43"/>
      <c r="H45" s="42" t="s">
        <v>1323</v>
      </c>
    </row>
    <row r="46" spans="1:8">
      <c r="A46" s="28"/>
      <c r="B46" s="37" t="s">
        <v>1267</v>
      </c>
      <c r="C46" s="28" t="s">
        <v>643</v>
      </c>
      <c r="D46" s="28" t="s">
        <v>1336</v>
      </c>
      <c r="E46" s="28"/>
      <c r="F46" s="34" t="s">
        <v>1294</v>
      </c>
      <c r="G46" s="35" t="s">
        <v>1267</v>
      </c>
      <c r="H46" s="42" t="s">
        <v>1323</v>
      </c>
    </row>
    <row r="47" spans="1:8">
      <c r="A47" s="28"/>
      <c r="B47" s="37" t="s">
        <v>1267</v>
      </c>
      <c r="C47" s="38" t="s">
        <v>643</v>
      </c>
      <c r="D47" s="38" t="s">
        <v>1337</v>
      </c>
      <c r="E47" s="38" t="s">
        <v>1267</v>
      </c>
      <c r="F47" s="34" t="s">
        <v>1338</v>
      </c>
      <c r="G47" s="39" t="s">
        <v>1267</v>
      </c>
      <c r="H47" s="42" t="s">
        <v>1323</v>
      </c>
    </row>
    <row r="48" spans="1:8">
      <c r="A48" s="28"/>
      <c r="B48" s="37" t="s">
        <v>1267</v>
      </c>
      <c r="C48" s="28"/>
      <c r="D48" s="28"/>
      <c r="E48" s="28"/>
      <c r="F48" s="34" t="s">
        <v>1267</v>
      </c>
      <c r="G48" s="35" t="s">
        <v>1267</v>
      </c>
      <c r="H48" s="36" t="s">
        <v>1267</v>
      </c>
    </row>
    <row r="49" spans="1:8">
      <c r="A49" s="28"/>
      <c r="B49" s="33" t="s">
        <v>1339</v>
      </c>
      <c r="C49" s="38" t="s">
        <v>1267</v>
      </c>
      <c r="D49" s="38" t="s">
        <v>1267</v>
      </c>
      <c r="E49" s="38" t="s">
        <v>1267</v>
      </c>
      <c r="F49" s="34" t="s">
        <v>1267</v>
      </c>
      <c r="G49" s="39" t="s">
        <v>1267</v>
      </c>
      <c r="H49" s="36" t="s">
        <v>1267</v>
      </c>
    </row>
    <row r="50" spans="1:8">
      <c r="A50" s="28"/>
      <c r="B50" s="37" t="s">
        <v>1267</v>
      </c>
      <c r="C50" s="28"/>
      <c r="D50" s="28"/>
      <c r="E50" s="28"/>
      <c r="F50" s="34" t="s">
        <v>1267</v>
      </c>
      <c r="G50" s="35" t="s">
        <v>1267</v>
      </c>
      <c r="H50" s="36" t="s">
        <v>1267</v>
      </c>
    </row>
    <row r="51" spans="1:8">
      <c r="A51" s="28"/>
      <c r="B51" s="37" t="s">
        <v>1267</v>
      </c>
      <c r="C51" s="38" t="s">
        <v>1267</v>
      </c>
      <c r="D51" s="38" t="s">
        <v>1267</v>
      </c>
      <c r="E51" s="38" t="s">
        <v>1267</v>
      </c>
      <c r="F51" s="34" t="s">
        <v>1267</v>
      </c>
      <c r="G51" s="39" t="s">
        <v>1267</v>
      </c>
      <c r="H51" s="36" t="s">
        <v>1267</v>
      </c>
    </row>
    <row r="52" spans="1:8">
      <c r="A52" s="28"/>
      <c r="B52" s="44" t="s">
        <v>1267</v>
      </c>
      <c r="C52" s="45" t="s">
        <v>1267</v>
      </c>
      <c r="D52" s="45" t="s">
        <v>1267</v>
      </c>
      <c r="E52" s="45" t="s">
        <v>1267</v>
      </c>
      <c r="F52" s="45" t="s">
        <v>1267</v>
      </c>
      <c r="G52" s="46" t="s">
        <v>1267</v>
      </c>
      <c r="H52" s="46" t="s">
        <v>1267</v>
      </c>
    </row>
    <row r="53" spans="1:8">
      <c r="A53" s="28"/>
      <c r="B53" s="28"/>
      <c r="C53" s="28"/>
      <c r="D53" s="28"/>
      <c r="E53" s="28"/>
      <c r="F53" s="28"/>
      <c r="G53" s="28"/>
      <c r="H53" s="28"/>
    </row>
    <row r="54" spans="1:8">
      <c r="A54" s="28"/>
      <c r="B54" s="28"/>
      <c r="C54" s="28"/>
      <c r="D54" s="28"/>
      <c r="E54" s="28"/>
      <c r="F54" s="28"/>
      <c r="G54" s="28"/>
      <c r="H54" s="28"/>
    </row>
    <row r="55" spans="1:8">
      <c r="A55" s="28"/>
      <c r="B55" s="28"/>
      <c r="C55" s="28"/>
      <c r="D55" s="28"/>
      <c r="E55" s="28"/>
      <c r="F55" s="28"/>
      <c r="G55" s="28"/>
      <c r="H55" s="28"/>
    </row>
    <row r="56" spans="1:8">
      <c r="A56" s="28"/>
      <c r="B56" s="28"/>
      <c r="C56" s="28"/>
      <c r="D56" s="28"/>
      <c r="E56" s="28"/>
      <c r="F56" s="28"/>
      <c r="G56" s="28"/>
      <c r="H56" s="28"/>
    </row>
    <row r="57" spans="1:8">
      <c r="A57" s="28"/>
      <c r="B57" s="28"/>
      <c r="C57" s="28"/>
      <c r="D57" s="28"/>
      <c r="E57" s="28"/>
      <c r="F57" s="28"/>
      <c r="G57" s="28"/>
      <c r="H57" s="28"/>
    </row>
    <row r="58" spans="1:8">
      <c r="A58" s="28"/>
      <c r="B58" s="28"/>
      <c r="C58" s="28"/>
      <c r="D58" s="28"/>
      <c r="E58" s="28"/>
      <c r="F58" s="28"/>
      <c r="G58" s="28"/>
      <c r="H58" s="28"/>
    </row>
    <row r="59" spans="1:8">
      <c r="A59" s="28"/>
      <c r="B59" s="28"/>
      <c r="C59" s="28"/>
      <c r="D59" s="28"/>
      <c r="E59" s="28"/>
      <c r="F59" s="28"/>
      <c r="G59" s="28"/>
      <c r="H59" s="28"/>
    </row>
    <row r="60" spans="1:8">
      <c r="A60" s="28"/>
      <c r="B60" s="28"/>
      <c r="C60" s="28"/>
      <c r="D60" s="28"/>
      <c r="E60" s="28"/>
      <c r="F60" s="28"/>
      <c r="G60" s="28"/>
      <c r="H60" s="28"/>
    </row>
    <row r="61" spans="1:8">
      <c r="A61" s="28"/>
      <c r="B61" s="28"/>
      <c r="C61" s="28"/>
      <c r="D61" s="28"/>
      <c r="E61" s="28"/>
      <c r="F61" s="28"/>
      <c r="G61" s="28"/>
      <c r="H61" s="28"/>
    </row>
    <row r="62" spans="1:8">
      <c r="A62" s="28"/>
      <c r="B62" s="28"/>
      <c r="C62" s="28"/>
      <c r="D62" s="28"/>
      <c r="E62" s="28"/>
      <c r="F62" s="28"/>
      <c r="G62" s="28"/>
      <c r="H62" s="28"/>
    </row>
    <row r="63" spans="1:8">
      <c r="A63" s="28"/>
      <c r="B63" s="28"/>
      <c r="C63" s="28"/>
      <c r="D63" s="28"/>
      <c r="E63" s="28"/>
      <c r="F63" s="28"/>
      <c r="G63" s="28"/>
      <c r="H63" s="28"/>
    </row>
    <row r="64" spans="1:8">
      <c r="A64" s="28"/>
      <c r="B64" s="28"/>
      <c r="C64" s="28"/>
      <c r="D64" s="28"/>
      <c r="E64" s="28"/>
      <c r="F64" s="28"/>
      <c r="G64" s="28"/>
      <c r="H64" s="28"/>
    </row>
    <row r="65" spans="1:8">
      <c r="A65" s="28"/>
      <c r="B65" s="28"/>
      <c r="C65" s="28"/>
      <c r="D65" s="28"/>
      <c r="E65" s="28"/>
      <c r="F65" s="28"/>
      <c r="G65" s="28"/>
      <c r="H65" s="28"/>
    </row>
    <row r="66" spans="1:8">
      <c r="A66" s="28"/>
      <c r="B66" s="28"/>
      <c r="C66" s="28"/>
      <c r="D66" s="28"/>
      <c r="E66" s="28"/>
      <c r="F66" s="28"/>
      <c r="G66" s="28"/>
      <c r="H66" s="28"/>
    </row>
    <row r="67" spans="1:8">
      <c r="A67" s="28"/>
      <c r="B67" s="28"/>
      <c r="C67" s="28"/>
      <c r="D67" s="28"/>
      <c r="E67" s="28"/>
      <c r="F67" s="28"/>
      <c r="G67" s="28"/>
      <c r="H67" s="28"/>
    </row>
    <row r="68" spans="1:8">
      <c r="A68" s="28"/>
      <c r="B68" s="28"/>
      <c r="C68" s="28"/>
      <c r="D68" s="28"/>
      <c r="E68" s="28"/>
      <c r="F68" s="28"/>
      <c r="G68" s="28"/>
      <c r="H68"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0D8A-2728-4FC6-BF99-3A8C7A37A6A0}">
  <sheetPr>
    <tabColor rgb="FF404040"/>
  </sheetPr>
  <dimension ref="A1:E56"/>
  <sheetViews>
    <sheetView topLeftCell="A5" workbookViewId="0">
      <selection activeCell="C39" sqref="C38:C39"/>
    </sheetView>
  </sheetViews>
  <sheetFormatPr defaultColWidth="8.85546875" defaultRowHeight="15" customHeight="1"/>
  <cols>
    <col min="1" max="1" width="21.28515625" bestFit="1" customWidth="1"/>
    <col min="2" max="2" width="38.42578125" bestFit="1" customWidth="1"/>
    <col min="3" max="3" width="81.7109375" customWidth="1"/>
    <col min="4" max="4" width="169" customWidth="1"/>
    <col min="5" max="5" width="166.85546875" customWidth="1"/>
  </cols>
  <sheetData>
    <row r="1" spans="1:5" ht="240" customHeight="1">
      <c r="A1" s="282" t="s">
        <v>1340</v>
      </c>
      <c r="B1" s="283"/>
      <c r="C1" s="283"/>
      <c r="D1" s="283"/>
      <c r="E1" s="283"/>
    </row>
    <row r="2" spans="1:5"/>
    <row r="3" spans="1:5">
      <c r="A3" s="58" t="s">
        <v>330</v>
      </c>
      <c r="B3" s="58" t="s">
        <v>331</v>
      </c>
      <c r="C3" s="58" t="s">
        <v>1341</v>
      </c>
      <c r="D3" s="58" t="s">
        <v>1342</v>
      </c>
      <c r="E3" s="58"/>
    </row>
    <row r="4" spans="1:5">
      <c r="A4" s="28" t="s">
        <v>688</v>
      </c>
      <c r="B4" t="s">
        <v>309</v>
      </c>
      <c r="C4" s="28" t="s">
        <v>1343</v>
      </c>
    </row>
    <row r="5" spans="1:5">
      <c r="A5" s="28" t="s">
        <v>688</v>
      </c>
      <c r="B5" s="60" t="s">
        <v>1200</v>
      </c>
      <c r="C5" s="28"/>
      <c r="D5" s="63"/>
    </row>
    <row r="6" spans="1:5" ht="32.1">
      <c r="A6" s="28" t="s">
        <v>688</v>
      </c>
      <c r="B6" s="64" t="s">
        <v>1344</v>
      </c>
      <c r="C6" s="62" t="s">
        <v>1345</v>
      </c>
      <c r="D6" t="s">
        <v>1345</v>
      </c>
    </row>
    <row r="7" spans="1:5">
      <c r="A7" s="28" t="s">
        <v>688</v>
      </c>
      <c r="B7" t="s">
        <v>1075</v>
      </c>
      <c r="C7" t="s">
        <v>1346</v>
      </c>
    </row>
    <row r="8" spans="1:5">
      <c r="A8" s="28" t="s">
        <v>688</v>
      </c>
      <c r="B8" t="s">
        <v>663</v>
      </c>
      <c r="C8" t="s">
        <v>1347</v>
      </c>
    </row>
    <row r="9" spans="1:5">
      <c r="A9" s="28" t="s">
        <v>688</v>
      </c>
      <c r="B9" s="65" t="s">
        <v>1348</v>
      </c>
      <c r="C9" t="s">
        <v>859</v>
      </c>
      <c r="D9" s="62"/>
    </row>
    <row r="10" spans="1:5">
      <c r="A10" s="28" t="s">
        <v>688</v>
      </c>
      <c r="B10" t="s">
        <v>1184</v>
      </c>
      <c r="C10" t="s">
        <v>1349</v>
      </c>
    </row>
    <row r="11" spans="1:5">
      <c r="A11" s="28" t="s">
        <v>688</v>
      </c>
      <c r="B11" t="s">
        <v>1096</v>
      </c>
      <c r="C11" t="s">
        <v>1350</v>
      </c>
    </row>
    <row r="12" spans="1:5">
      <c r="A12" s="28" t="s">
        <v>688</v>
      </c>
      <c r="B12" t="s">
        <v>1351</v>
      </c>
      <c r="C12" t="s">
        <v>1352</v>
      </c>
    </row>
    <row r="13" spans="1:5">
      <c r="A13" s="28" t="s">
        <v>688</v>
      </c>
      <c r="B13" t="s">
        <v>701</v>
      </c>
      <c r="C13" t="s">
        <v>1353</v>
      </c>
    </row>
    <row r="14" spans="1:5">
      <c r="A14" s="28" t="s">
        <v>688</v>
      </c>
      <c r="B14" t="s">
        <v>673</v>
      </c>
      <c r="C14" t="s">
        <v>1354</v>
      </c>
    </row>
    <row r="15" spans="1:5">
      <c r="A15" s="28" t="s">
        <v>688</v>
      </c>
      <c r="B15" t="s">
        <v>1355</v>
      </c>
      <c r="C15" s="28" t="s">
        <v>1356</v>
      </c>
    </row>
    <row r="16" spans="1:5">
      <c r="A16" s="28" t="s">
        <v>688</v>
      </c>
      <c r="B16" s="61" t="s">
        <v>1357</v>
      </c>
      <c r="C16" s="59" t="s">
        <v>1358</v>
      </c>
      <c r="D16" s="59" t="s">
        <v>1359</v>
      </c>
    </row>
    <row r="17" spans="1:4">
      <c r="A17" s="28" t="s">
        <v>688</v>
      </c>
      <c r="B17" t="s">
        <v>784</v>
      </c>
      <c r="C17" s="28" t="s">
        <v>1360</v>
      </c>
    </row>
    <row r="18" spans="1:4">
      <c r="A18" s="28" t="s">
        <v>688</v>
      </c>
      <c r="B18" t="s">
        <v>785</v>
      </c>
      <c r="C18" s="28" t="s">
        <v>1361</v>
      </c>
    </row>
    <row r="19" spans="1:4">
      <c r="A19" s="28" t="s">
        <v>688</v>
      </c>
      <c r="B19" t="s">
        <v>1362</v>
      </c>
      <c r="C19" s="28" t="s">
        <v>1363</v>
      </c>
    </row>
    <row r="20" spans="1:4">
      <c r="A20" s="28" t="s">
        <v>688</v>
      </c>
      <c r="B20" t="s">
        <v>1364</v>
      </c>
      <c r="C20" t="s">
        <v>1365</v>
      </c>
    </row>
    <row r="26" spans="1:4" ht="15" customHeight="1">
      <c r="A26" s="55" t="s">
        <v>330</v>
      </c>
      <c r="B26" s="55" t="s">
        <v>331</v>
      </c>
      <c r="C26" s="55" t="s">
        <v>1026</v>
      </c>
      <c r="D26" s="55" t="s">
        <v>1366</v>
      </c>
    </row>
    <row r="27" spans="1:4" ht="15" customHeight="1">
      <c r="A27" s="28" t="s">
        <v>655</v>
      </c>
      <c r="B27" s="56" t="s">
        <v>656</v>
      </c>
      <c r="C27" s="56" t="s">
        <v>656</v>
      </c>
      <c r="D27" s="28"/>
    </row>
    <row r="28" spans="1:4" ht="15" customHeight="1">
      <c r="A28" s="28" t="s">
        <v>658</v>
      </c>
      <c r="B28" s="28" t="s">
        <v>1367</v>
      </c>
      <c r="C28" s="28" t="s">
        <v>1367</v>
      </c>
      <c r="D28" s="28"/>
    </row>
    <row r="29" spans="1:4" ht="15" customHeight="1">
      <c r="A29" s="28" t="s">
        <v>662</v>
      </c>
      <c r="B29" s="56" t="s">
        <v>663</v>
      </c>
      <c r="C29" s="28" t="s">
        <v>468</v>
      </c>
      <c r="D29" s="28" t="s">
        <v>1294</v>
      </c>
    </row>
    <row r="30" spans="1:4" ht="15" customHeight="1">
      <c r="A30" s="28" t="s">
        <v>662</v>
      </c>
      <c r="B30" s="56" t="s">
        <v>667</v>
      </c>
      <c r="C30" s="28" t="s">
        <v>803</v>
      </c>
      <c r="D30" s="28"/>
    </row>
    <row r="31" spans="1:4" ht="15" customHeight="1">
      <c r="A31" s="28" t="s">
        <v>662</v>
      </c>
      <c r="B31" s="56" t="s">
        <v>667</v>
      </c>
      <c r="C31" s="28" t="s">
        <v>1368</v>
      </c>
      <c r="D31" s="28"/>
    </row>
    <row r="32" spans="1:4" ht="15" customHeight="1">
      <c r="A32" s="28" t="s">
        <v>662</v>
      </c>
      <c r="B32" s="56" t="s">
        <v>673</v>
      </c>
      <c r="C32" s="28" t="s">
        <v>1369</v>
      </c>
      <c r="D32" s="28"/>
    </row>
    <row r="33" spans="1:4" ht="15" customHeight="1">
      <c r="A33" s="28" t="s">
        <v>662</v>
      </c>
      <c r="B33" s="56" t="s">
        <v>675</v>
      </c>
      <c r="C33" s="28" t="s">
        <v>1370</v>
      </c>
      <c r="D33" s="28"/>
    </row>
    <row r="34" spans="1:4" ht="15" customHeight="1">
      <c r="A34" s="28" t="s">
        <v>662</v>
      </c>
      <c r="B34" s="56" t="s">
        <v>677</v>
      </c>
      <c r="C34" s="28" t="s">
        <v>1371</v>
      </c>
      <c r="D34" s="28"/>
    </row>
    <row r="35" spans="1:4" ht="15" customHeight="1">
      <c r="A35" s="28" t="s">
        <v>662</v>
      </c>
      <c r="B35" s="56" t="s">
        <v>677</v>
      </c>
      <c r="C35" s="28" t="s">
        <v>1372</v>
      </c>
      <c r="D35" s="28"/>
    </row>
    <row r="36" spans="1:4" ht="15" customHeight="1">
      <c r="A36" s="28" t="s">
        <v>662</v>
      </c>
      <c r="B36" s="56" t="s">
        <v>677</v>
      </c>
      <c r="C36" s="28" t="s">
        <v>1373</v>
      </c>
      <c r="D36" s="28"/>
    </row>
    <row r="37" spans="1:4" ht="15" customHeight="1">
      <c r="A37" s="28" t="s">
        <v>662</v>
      </c>
      <c r="B37" s="56" t="s">
        <v>677</v>
      </c>
      <c r="C37" s="28" t="s">
        <v>1374</v>
      </c>
      <c r="D37" s="28"/>
    </row>
    <row r="38" spans="1:4" ht="15" customHeight="1">
      <c r="A38" s="28" t="s">
        <v>662</v>
      </c>
      <c r="B38" s="56" t="s">
        <v>677</v>
      </c>
      <c r="C38" s="28" t="s">
        <v>1375</v>
      </c>
      <c r="D38" s="28"/>
    </row>
    <row r="39" spans="1:4" ht="15" customHeight="1">
      <c r="A39" s="28" t="s">
        <v>662</v>
      </c>
      <c r="B39" s="56" t="s">
        <v>677</v>
      </c>
      <c r="C39" s="28" t="s">
        <v>1376</v>
      </c>
      <c r="D39" s="28"/>
    </row>
    <row r="40" spans="1:4" ht="15" customHeight="1">
      <c r="A40" s="28" t="s">
        <v>662</v>
      </c>
      <c r="B40" s="56" t="s">
        <v>680</v>
      </c>
      <c r="C40" s="28" t="s">
        <v>1377</v>
      </c>
      <c r="D40" s="28"/>
    </row>
    <row r="41" spans="1:4" ht="15" customHeight="1">
      <c r="A41" s="28" t="s">
        <v>662</v>
      </c>
      <c r="B41" s="56" t="s">
        <v>680</v>
      </c>
      <c r="C41" s="28" t="s">
        <v>1378</v>
      </c>
      <c r="D41" s="28"/>
    </row>
    <row r="42" spans="1:4" ht="15" customHeight="1">
      <c r="A42" s="28" t="s">
        <v>662</v>
      </c>
      <c r="B42" s="56" t="s">
        <v>684</v>
      </c>
      <c r="C42" s="28" t="s">
        <v>1379</v>
      </c>
      <c r="D42" s="28"/>
    </row>
    <row r="43" spans="1:4" ht="15" customHeight="1">
      <c r="A43" s="28" t="s">
        <v>662</v>
      </c>
      <c r="B43" s="56" t="s">
        <v>686</v>
      </c>
      <c r="C43" s="28" t="s">
        <v>1148</v>
      </c>
      <c r="D43" s="28"/>
    </row>
    <row r="44" spans="1:4" ht="15" customHeight="1">
      <c r="A44" s="28" t="s">
        <v>688</v>
      </c>
      <c r="B44" s="56" t="s">
        <v>689</v>
      </c>
      <c r="C44" s="28" t="s">
        <v>1380</v>
      </c>
      <c r="D44" s="28"/>
    </row>
    <row r="45" spans="1:4" ht="15" customHeight="1">
      <c r="A45" s="28" t="s">
        <v>688</v>
      </c>
      <c r="B45" s="56" t="s">
        <v>691</v>
      </c>
      <c r="C45" s="28" t="s">
        <v>1380</v>
      </c>
      <c r="D45" s="28"/>
    </row>
    <row r="46" spans="1:4" ht="15" customHeight="1">
      <c r="A46" s="28" t="s">
        <v>717</v>
      </c>
      <c r="B46" s="56" t="s">
        <v>721</v>
      </c>
      <c r="C46" s="28" t="s">
        <v>1381</v>
      </c>
      <c r="D46" s="28"/>
    </row>
    <row r="47" spans="1:4" ht="15" customHeight="1">
      <c r="A47" s="28" t="s">
        <v>717</v>
      </c>
      <c r="B47" s="56" t="s">
        <v>728</v>
      </c>
      <c r="C47" s="28" t="s">
        <v>1382</v>
      </c>
      <c r="D47" s="28"/>
    </row>
    <row r="48" spans="1:4" ht="15" customHeight="1">
      <c r="A48" s="28" t="s">
        <v>717</v>
      </c>
      <c r="B48" s="56" t="s">
        <v>738</v>
      </c>
      <c r="C48" s="28" t="s">
        <v>1383</v>
      </c>
      <c r="D48" s="28"/>
    </row>
    <row r="49" spans="1:4" ht="15" customHeight="1">
      <c r="A49" s="28" t="s">
        <v>742</v>
      </c>
      <c r="B49" s="28" t="s">
        <v>743</v>
      </c>
      <c r="C49" s="28" t="s">
        <v>743</v>
      </c>
      <c r="D49" s="28" t="s">
        <v>1384</v>
      </c>
    </row>
    <row r="50" spans="1:4" ht="15" customHeight="1">
      <c r="A50" s="28" t="s">
        <v>742</v>
      </c>
      <c r="B50" s="28" t="s">
        <v>744</v>
      </c>
      <c r="C50" s="28" t="s">
        <v>744</v>
      </c>
      <c r="D50" s="28" t="s">
        <v>1380</v>
      </c>
    </row>
    <row r="51" spans="1:4" ht="15" customHeight="1">
      <c r="A51" s="28" t="s">
        <v>742</v>
      </c>
      <c r="B51" s="28" t="s">
        <v>747</v>
      </c>
      <c r="C51" s="28" t="s">
        <v>747</v>
      </c>
      <c r="D51" s="28" t="s">
        <v>1385</v>
      </c>
    </row>
    <row r="52" spans="1:4" ht="15" customHeight="1">
      <c r="A52" s="28" t="s">
        <v>742</v>
      </c>
      <c r="B52" s="28" t="s">
        <v>749</v>
      </c>
      <c r="C52" s="28" t="s">
        <v>1386</v>
      </c>
      <c r="D52" s="28" t="s">
        <v>1387</v>
      </c>
    </row>
    <row r="53" spans="1:4" ht="15" customHeight="1">
      <c r="A53" s="28"/>
      <c r="B53" s="28"/>
      <c r="C53" s="28"/>
      <c r="D53" s="28"/>
    </row>
    <row r="54" spans="1:4" ht="15" customHeight="1">
      <c r="A54" s="28"/>
      <c r="B54" s="28"/>
      <c r="C54" s="28"/>
      <c r="D54" s="28"/>
    </row>
    <row r="55" spans="1:4" ht="15" customHeight="1">
      <c r="A55" s="28"/>
      <c r="B55" s="28"/>
      <c r="C55" s="28"/>
      <c r="D55" s="28"/>
    </row>
    <row r="56" spans="1:4" ht="15" customHeight="1">
      <c r="A56" s="28"/>
      <c r="B56" s="28"/>
      <c r="C56" s="28"/>
      <c r="D56" s="28"/>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FE250-7454-4696-9458-B46384E7ED4E}">
  <dimension ref="A1"/>
  <sheetViews>
    <sheetView workbookViewId="0"/>
  </sheetViews>
  <sheetFormatPr defaultColWidth="8.8554687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26BA-FA5A-453C-A4FD-B80228FE5F9B}">
  <sheetPr>
    <tabColor theme="9" tint="0.39997558519241921"/>
  </sheetPr>
  <dimension ref="A1:D39"/>
  <sheetViews>
    <sheetView zoomScale="110" zoomScaleNormal="110" workbookViewId="0">
      <selection activeCell="E22" sqref="E22"/>
    </sheetView>
  </sheetViews>
  <sheetFormatPr defaultColWidth="8.85546875" defaultRowHeight="15"/>
  <cols>
    <col min="1" max="1" width="29.42578125" bestFit="1" customWidth="1"/>
    <col min="2" max="2" width="35.7109375" customWidth="1"/>
    <col min="3" max="3" width="57.7109375" customWidth="1"/>
    <col min="4" max="4" width="86.140625" customWidth="1"/>
  </cols>
  <sheetData>
    <row r="1" spans="1:4">
      <c r="A1" s="82" t="s">
        <v>1388</v>
      </c>
      <c r="B1" s="82" t="s">
        <v>1389</v>
      </c>
      <c r="C1" s="82" t="s">
        <v>1390</v>
      </c>
      <c r="D1" s="82" t="s">
        <v>1133</v>
      </c>
    </row>
    <row r="2" spans="1:4" ht="15.95">
      <c r="A2" t="s">
        <v>1391</v>
      </c>
      <c r="B2" t="s">
        <v>1392</v>
      </c>
      <c r="C2" s="62" t="s">
        <v>1393</v>
      </c>
    </row>
    <row r="3" spans="1:4" ht="32.1">
      <c r="A3" t="s">
        <v>1394</v>
      </c>
      <c r="B3" t="s">
        <v>96</v>
      </c>
      <c r="C3" s="62" t="s">
        <v>1395</v>
      </c>
    </row>
    <row r="4" spans="1:4" ht="32.1">
      <c r="A4" t="s">
        <v>1396</v>
      </c>
      <c r="B4" t="s">
        <v>96</v>
      </c>
      <c r="C4" s="62" t="s">
        <v>1397</v>
      </c>
    </row>
    <row r="5" spans="1:4" ht="32.1">
      <c r="A5" t="s">
        <v>1398</v>
      </c>
      <c r="B5" t="s">
        <v>96</v>
      </c>
      <c r="C5" s="62" t="s">
        <v>1399</v>
      </c>
    </row>
    <row r="6" spans="1:4" ht="32.1">
      <c r="A6" t="s">
        <v>473</v>
      </c>
      <c r="B6" t="s">
        <v>96</v>
      </c>
      <c r="C6" s="62" t="s">
        <v>1400</v>
      </c>
    </row>
    <row r="7" spans="1:4" ht="15.95">
      <c r="A7" t="s">
        <v>1401</v>
      </c>
      <c r="B7" t="s">
        <v>96</v>
      </c>
      <c r="C7" s="62" t="s">
        <v>1402</v>
      </c>
    </row>
    <row r="8" spans="1:4" ht="15.95">
      <c r="A8" t="s">
        <v>671</v>
      </c>
      <c r="B8" t="s">
        <v>96</v>
      </c>
      <c r="C8" s="62" t="s">
        <v>1403</v>
      </c>
    </row>
    <row r="9" spans="1:4" ht="15.95">
      <c r="A9" t="s">
        <v>1404</v>
      </c>
      <c r="B9" t="s">
        <v>1392</v>
      </c>
      <c r="C9" s="62" t="s">
        <v>1405</v>
      </c>
    </row>
    <row r="10" spans="1:4" ht="32.1">
      <c r="A10" t="s">
        <v>803</v>
      </c>
      <c r="B10" t="s">
        <v>96</v>
      </c>
      <c r="C10" s="62" t="s">
        <v>1406</v>
      </c>
    </row>
    <row r="11" spans="1:4">
      <c r="A11" t="s">
        <v>1407</v>
      </c>
      <c r="B11" t="s">
        <v>1408</v>
      </c>
      <c r="C11" s="62"/>
    </row>
    <row r="12" spans="1:4">
      <c r="A12" t="s">
        <v>1409</v>
      </c>
      <c r="B12" t="s">
        <v>1408</v>
      </c>
      <c r="C12" s="62"/>
    </row>
    <row r="13" spans="1:4" ht="32.1">
      <c r="A13" t="s">
        <v>1410</v>
      </c>
      <c r="B13" t="s">
        <v>1411</v>
      </c>
      <c r="C13" s="62" t="s">
        <v>1412</v>
      </c>
    </row>
    <row r="14" spans="1:4" ht="48">
      <c r="A14" t="s">
        <v>812</v>
      </c>
      <c r="B14" t="s">
        <v>96</v>
      </c>
      <c r="C14" s="62" t="s">
        <v>1413</v>
      </c>
    </row>
    <row r="15" spans="1:4" ht="15.95">
      <c r="A15" t="s">
        <v>1414</v>
      </c>
      <c r="B15" t="s">
        <v>1392</v>
      </c>
      <c r="C15" s="62" t="s">
        <v>1415</v>
      </c>
    </row>
    <row r="16" spans="1:4" ht="15.95">
      <c r="A16" t="s">
        <v>1211</v>
      </c>
      <c r="B16" t="s">
        <v>1416</v>
      </c>
      <c r="C16" s="62" t="s">
        <v>1417</v>
      </c>
    </row>
    <row r="17" spans="1:4" ht="15.95">
      <c r="A17" t="s">
        <v>1418</v>
      </c>
      <c r="B17" t="s">
        <v>1408</v>
      </c>
      <c r="C17" s="62" t="s">
        <v>1419</v>
      </c>
      <c r="D17" t="s">
        <v>1420</v>
      </c>
    </row>
    <row r="18" spans="1:4" ht="48">
      <c r="A18" t="s">
        <v>1421</v>
      </c>
      <c r="B18" t="s">
        <v>1416</v>
      </c>
      <c r="C18" s="62" t="s">
        <v>1422</v>
      </c>
    </row>
    <row r="19" spans="1:4" ht="32.1">
      <c r="A19" t="s">
        <v>1423</v>
      </c>
      <c r="B19" t="s">
        <v>96</v>
      </c>
      <c r="C19" s="62" t="s">
        <v>1424</v>
      </c>
    </row>
    <row r="20" spans="1:4" ht="32.1">
      <c r="A20" t="s">
        <v>1425</v>
      </c>
      <c r="B20" t="s">
        <v>96</v>
      </c>
      <c r="C20" s="62" t="s">
        <v>1426</v>
      </c>
    </row>
    <row r="21" spans="1:4" ht="32.1">
      <c r="A21" t="s">
        <v>1107</v>
      </c>
      <c r="B21" t="s">
        <v>96</v>
      </c>
      <c r="C21" s="62" t="s">
        <v>1427</v>
      </c>
      <c r="D21" s="60" t="s">
        <v>1428</v>
      </c>
    </row>
    <row r="22" spans="1:4" ht="32.1">
      <c r="A22" t="s">
        <v>669</v>
      </c>
      <c r="B22" t="s">
        <v>96</v>
      </c>
      <c r="C22" s="62" t="s">
        <v>1400</v>
      </c>
    </row>
    <row r="23" spans="1:4" ht="15.95">
      <c r="A23" t="s">
        <v>1429</v>
      </c>
      <c r="B23" t="s">
        <v>1430</v>
      </c>
      <c r="C23" s="62" t="s">
        <v>1431</v>
      </c>
      <c r="D23" s="60" t="s">
        <v>1432</v>
      </c>
    </row>
    <row r="24" spans="1:4" ht="15.95">
      <c r="A24" t="s">
        <v>1433</v>
      </c>
      <c r="B24" t="s">
        <v>1430</v>
      </c>
      <c r="C24" s="62" t="s">
        <v>1434</v>
      </c>
      <c r="D24" s="60" t="s">
        <v>1432</v>
      </c>
    </row>
    <row r="25" spans="1:4" ht="15.95">
      <c r="A25" t="s">
        <v>1435</v>
      </c>
      <c r="B25" t="s">
        <v>1408</v>
      </c>
      <c r="C25" s="62" t="s">
        <v>1436</v>
      </c>
      <c r="D25" t="s">
        <v>1437</v>
      </c>
    </row>
    <row r="26" spans="1:4" ht="15.95">
      <c r="A26" t="s">
        <v>1438</v>
      </c>
      <c r="B26" t="s">
        <v>1408</v>
      </c>
      <c r="C26" s="62" t="s">
        <v>1439</v>
      </c>
      <c r="D26" t="s">
        <v>1440</v>
      </c>
    </row>
    <row r="27" spans="1:4">
      <c r="A27" t="s">
        <v>1441</v>
      </c>
      <c r="C27" t="s">
        <v>1442</v>
      </c>
    </row>
    <row r="28" spans="1:4" ht="111.95">
      <c r="A28" t="s">
        <v>1443</v>
      </c>
      <c r="B28" t="s">
        <v>1408</v>
      </c>
      <c r="C28" s="62" t="s">
        <v>1444</v>
      </c>
      <c r="D28" s="62" t="s">
        <v>1445</v>
      </c>
    </row>
    <row r="29" spans="1:4" ht="15.95">
      <c r="A29" t="s">
        <v>1446</v>
      </c>
      <c r="B29" t="s">
        <v>1447</v>
      </c>
      <c r="C29" s="62" t="s">
        <v>1448</v>
      </c>
    </row>
    <row r="30" spans="1:4" ht="15.95">
      <c r="A30" t="s">
        <v>1449</v>
      </c>
      <c r="B30" t="s">
        <v>1392</v>
      </c>
      <c r="C30" s="62" t="s">
        <v>1450</v>
      </c>
    </row>
    <row r="31" spans="1:4" ht="32.1">
      <c r="A31" t="s">
        <v>1451</v>
      </c>
      <c r="B31" t="s">
        <v>96</v>
      </c>
      <c r="C31" s="62" t="s">
        <v>1452</v>
      </c>
    </row>
    <row r="32" spans="1:4" ht="32.1">
      <c r="A32" t="s">
        <v>1453</v>
      </c>
      <c r="B32" t="s">
        <v>96</v>
      </c>
      <c r="C32" s="62" t="s">
        <v>1454</v>
      </c>
    </row>
    <row r="33" spans="1:4" ht="32.1">
      <c r="A33" t="s">
        <v>1229</v>
      </c>
      <c r="B33" t="s">
        <v>1416</v>
      </c>
      <c r="C33" s="62" t="s">
        <v>1455</v>
      </c>
    </row>
    <row r="34" spans="1:4" ht="32.1">
      <c r="A34" t="s">
        <v>1108</v>
      </c>
      <c r="B34" t="s">
        <v>96</v>
      </c>
      <c r="C34" s="62" t="s">
        <v>1456</v>
      </c>
    </row>
    <row r="35" spans="1:4" ht="32.1">
      <c r="A35" t="s">
        <v>745</v>
      </c>
      <c r="B35" t="s">
        <v>96</v>
      </c>
      <c r="C35" s="62" t="s">
        <v>1457</v>
      </c>
      <c r="D35" s="60" t="s">
        <v>1458</v>
      </c>
    </row>
    <row r="36" spans="1:4" ht="48">
      <c r="A36" t="s">
        <v>1459</v>
      </c>
      <c r="B36" t="s">
        <v>96</v>
      </c>
      <c r="C36" s="62" t="s">
        <v>1460</v>
      </c>
    </row>
    <row r="37" spans="1:4" ht="32.1">
      <c r="A37" t="s">
        <v>1461</v>
      </c>
      <c r="B37" t="s">
        <v>96</v>
      </c>
      <c r="C37" s="62" t="s">
        <v>1462</v>
      </c>
    </row>
    <row r="38" spans="1:4" ht="48">
      <c r="A38" t="s">
        <v>1463</v>
      </c>
      <c r="B38" t="s">
        <v>96</v>
      </c>
      <c r="C38" s="62" t="s">
        <v>1464</v>
      </c>
    </row>
    <row r="39" spans="1:4" ht="15.95">
      <c r="A39" t="s">
        <v>1465</v>
      </c>
      <c r="B39" t="s">
        <v>1416</v>
      </c>
      <c r="C39" s="62" t="s">
        <v>1466</v>
      </c>
    </row>
  </sheetData>
  <pageMargins left="0.7" right="0.7" top="0.75" bottom="0.75" header="0.3" footer="0.3"/>
  <pageSetup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E2497-5963-4FE9-8D99-6DD8567B22D8}">
  <dimension ref="A1:U77"/>
  <sheetViews>
    <sheetView tabSelected="1" workbookViewId="0">
      <selection activeCell="Q13" sqref="Q13"/>
    </sheetView>
  </sheetViews>
  <sheetFormatPr defaultRowHeight="15"/>
  <cols>
    <col min="1" max="1" width="26.28515625" bestFit="1" customWidth="1"/>
    <col min="2" max="2" width="15.5703125" customWidth="1"/>
    <col min="3" max="3" width="18.5703125" customWidth="1"/>
    <col min="4" max="4" width="15.7109375" customWidth="1"/>
    <col min="10" max="10" width="14.7109375" customWidth="1"/>
    <col min="11" max="11" width="18.7109375" customWidth="1"/>
    <col min="13" max="13" width="14.42578125" customWidth="1"/>
    <col min="14" max="14" width="18.42578125" customWidth="1"/>
    <col min="15" max="15" width="13.42578125" customWidth="1"/>
    <col min="16" max="16" width="13.85546875" bestFit="1" customWidth="1"/>
    <col min="17" max="17" width="13.85546875" customWidth="1"/>
    <col min="18" max="19" width="14.7109375" customWidth="1"/>
    <col min="20" max="20" width="12.28515625" customWidth="1"/>
    <col min="21" max="21" width="12.85546875" customWidth="1"/>
  </cols>
  <sheetData>
    <row r="1" spans="1:21">
      <c r="A1" s="286" t="s">
        <v>1467</v>
      </c>
      <c r="B1" s="286"/>
      <c r="C1" s="286"/>
      <c r="D1" s="286"/>
      <c r="E1" s="286"/>
      <c r="F1" s="286"/>
      <c r="G1" s="286"/>
      <c r="H1" s="286"/>
      <c r="I1" s="286"/>
      <c r="L1" s="287" t="s">
        <v>1468</v>
      </c>
      <c r="M1" s="287"/>
      <c r="N1" s="287"/>
      <c r="O1" s="287"/>
      <c r="P1" s="287"/>
      <c r="Q1" s="287"/>
      <c r="R1" s="287"/>
      <c r="S1" s="287"/>
      <c r="T1" s="287"/>
      <c r="U1" s="287"/>
    </row>
    <row r="2" spans="1:21">
      <c r="A2" s="209" t="s">
        <v>964</v>
      </c>
      <c r="B2" s="209">
        <f>C6+C20</f>
        <v>8500</v>
      </c>
      <c r="C2" s="209"/>
      <c r="D2" s="209"/>
      <c r="E2" s="209"/>
      <c r="F2" s="209"/>
      <c r="G2" s="209"/>
      <c r="H2" s="209"/>
      <c r="I2" s="209"/>
      <c r="L2" s="209"/>
      <c r="M2" s="209"/>
      <c r="N2" s="209"/>
      <c r="O2" s="209"/>
      <c r="P2" s="209"/>
      <c r="Q2" s="209"/>
      <c r="R2" s="209"/>
      <c r="S2" s="209"/>
      <c r="T2" s="209"/>
      <c r="U2" s="209"/>
    </row>
    <row r="3" spans="1:21">
      <c r="A3" s="210" t="s">
        <v>1469</v>
      </c>
      <c r="B3" s="211">
        <f>(B6*C6+B20*C20)/B2</f>
        <v>164.56823529411764</v>
      </c>
      <c r="C3" s="209"/>
      <c r="D3" s="209"/>
      <c r="E3" s="209"/>
      <c r="F3" s="209"/>
      <c r="G3" s="209"/>
      <c r="H3" s="209"/>
      <c r="I3" s="209"/>
      <c r="L3" s="209"/>
      <c r="M3" s="257" t="s">
        <v>380</v>
      </c>
      <c r="N3" s="276" t="s">
        <v>1470</v>
      </c>
      <c r="O3" s="276" t="s">
        <v>1471</v>
      </c>
      <c r="P3" s="276" t="s">
        <v>914</v>
      </c>
      <c r="Q3" s="278" t="s">
        <v>1472</v>
      </c>
      <c r="R3" s="276" t="s">
        <v>917</v>
      </c>
      <c r="S3" s="276" t="s">
        <v>1473</v>
      </c>
      <c r="T3" s="276" t="s">
        <v>1474</v>
      </c>
      <c r="U3" s="209"/>
    </row>
    <row r="4" spans="1:21">
      <c r="A4" s="209"/>
      <c r="B4" s="209"/>
      <c r="C4" s="209"/>
      <c r="D4" s="209"/>
      <c r="E4" s="209"/>
      <c r="F4" s="209"/>
      <c r="G4" s="209"/>
      <c r="H4" s="209"/>
      <c r="I4" s="209"/>
      <c r="L4" s="209" t="s">
        <v>1475</v>
      </c>
      <c r="M4" s="257">
        <f>C6</f>
        <v>5000</v>
      </c>
      <c r="N4" s="277">
        <f>(T4)+O4+Q4+S4</f>
        <v>221.484375</v>
      </c>
      <c r="O4" s="277">
        <f>B6</f>
        <v>155.25</v>
      </c>
      <c r="P4" s="277">
        <f>N4-O4</f>
        <v>66.234375</v>
      </c>
      <c r="Q4" s="279">
        <f>($D$41/60*(B16+B17+D46*2)/B15)/D43</f>
        <v>29.6875</v>
      </c>
      <c r="R4" s="277">
        <f>N4-O4-Q4</f>
        <v>36.546875</v>
      </c>
      <c r="S4" s="277">
        <f>D53</f>
        <v>26</v>
      </c>
      <c r="T4" s="277">
        <f>(S4+Q4+O4)*(B69)</f>
        <v>10.546875</v>
      </c>
      <c r="U4" s="209"/>
    </row>
    <row r="5" spans="1:21">
      <c r="A5" s="215" t="s">
        <v>1446</v>
      </c>
      <c r="B5" s="229" t="s">
        <v>1476</v>
      </c>
      <c r="C5" s="216" t="s">
        <v>380</v>
      </c>
      <c r="D5" s="216"/>
      <c r="E5" s="216"/>
      <c r="F5" s="216"/>
      <c r="G5" s="216"/>
      <c r="H5" s="216"/>
      <c r="I5" s="230"/>
      <c r="J5" s="101"/>
      <c r="L5" s="209" t="s">
        <v>1477</v>
      </c>
      <c r="M5" s="257">
        <f>C20</f>
        <v>3500</v>
      </c>
      <c r="N5" s="277">
        <f>(T5)+O5+Q5+S5</f>
        <v>313.82399999999996</v>
      </c>
      <c r="O5" s="277">
        <f>B20</f>
        <v>177.88</v>
      </c>
      <c r="P5" s="277">
        <f>N5-O5</f>
        <v>135.94399999999996</v>
      </c>
      <c r="Q5" s="279">
        <f>($D$41/60*(B30+B31+D46*2)/B29)/D43</f>
        <v>95</v>
      </c>
      <c r="R5" s="277">
        <f>N5-O5-Q5</f>
        <v>40.94399999999996</v>
      </c>
      <c r="S5" s="277">
        <f>D53</f>
        <v>26</v>
      </c>
      <c r="T5" s="277">
        <f>(S5+Q5+O5)*(B69)</f>
        <v>14.944000000000001</v>
      </c>
      <c r="U5" s="209"/>
    </row>
    <row r="6" spans="1:21">
      <c r="A6" s="219" t="s">
        <v>1478</v>
      </c>
      <c r="B6" s="210">
        <f>SUM(D9:D11)</f>
        <v>155.25</v>
      </c>
      <c r="C6" s="220">
        <v>5000</v>
      </c>
      <c r="D6" s="209"/>
      <c r="E6" s="209"/>
      <c r="F6" s="209"/>
      <c r="G6" s="209"/>
      <c r="H6" s="209"/>
      <c r="I6" s="231"/>
      <c r="J6" s="101"/>
      <c r="L6" s="209"/>
      <c r="M6" s="209"/>
      <c r="N6" s="209"/>
      <c r="O6" s="209"/>
      <c r="P6" s="209"/>
      <c r="Q6" s="280">
        <f>(Q4*M4+Q5*M5)/SUM(M4:M5)</f>
        <v>56.580882352941174</v>
      </c>
      <c r="R6" s="212"/>
      <c r="S6" s="209"/>
      <c r="T6" s="209"/>
      <c r="U6" s="209"/>
    </row>
    <row r="7" spans="1:21">
      <c r="A7" s="222"/>
      <c r="B7" s="209"/>
      <c r="C7" s="209"/>
      <c r="D7" s="209"/>
      <c r="E7" s="209"/>
      <c r="F7" s="209"/>
      <c r="G7" s="209"/>
      <c r="H7" s="209"/>
      <c r="I7" s="231"/>
      <c r="L7" s="209"/>
      <c r="M7" s="209"/>
      <c r="N7" s="209"/>
      <c r="O7" s="209"/>
      <c r="P7" s="209"/>
      <c r="Q7" s="212">
        <f>Q4*M4+Q5*M5</f>
        <v>480937.5</v>
      </c>
      <c r="R7" s="209"/>
      <c r="S7" s="209"/>
      <c r="T7" s="209"/>
      <c r="U7" s="209"/>
    </row>
    <row r="8" spans="1:21">
      <c r="A8" s="223" t="s">
        <v>1479</v>
      </c>
      <c r="B8" s="224" t="s">
        <v>377</v>
      </c>
      <c r="C8" s="224" t="s">
        <v>1480</v>
      </c>
      <c r="D8" s="224" t="s">
        <v>1481</v>
      </c>
      <c r="E8" s="284" t="s">
        <v>1482</v>
      </c>
      <c r="F8" s="284"/>
      <c r="G8" s="284"/>
      <c r="H8" s="284"/>
      <c r="I8" s="285"/>
      <c r="L8" s="209" t="s">
        <v>1483</v>
      </c>
      <c r="M8" s="209">
        <f>B2</f>
        <v>8500</v>
      </c>
      <c r="N8" s="209"/>
      <c r="O8" s="209"/>
      <c r="P8" s="209"/>
      <c r="Q8" s="209"/>
      <c r="R8" s="209"/>
      <c r="S8" s="212">
        <f>(B71*B73)</f>
        <v>12.975328676470589</v>
      </c>
      <c r="T8" s="212">
        <f>N8-S8</f>
        <v>-12.975328676470589</v>
      </c>
      <c r="U8" s="209"/>
    </row>
    <row r="9" spans="1:21">
      <c r="A9" s="222" t="s">
        <v>1484</v>
      </c>
      <c r="B9" s="209">
        <v>500</v>
      </c>
      <c r="C9" s="212">
        <v>33</v>
      </c>
      <c r="D9" s="212">
        <f>C9/1000*B9</f>
        <v>16.5</v>
      </c>
      <c r="E9" s="284"/>
      <c r="F9" s="284"/>
      <c r="G9" s="284"/>
      <c r="H9" s="284"/>
      <c r="I9" s="285"/>
      <c r="L9" s="209" t="s">
        <v>1485</v>
      </c>
      <c r="M9" s="209">
        <f>B2</f>
        <v>8500</v>
      </c>
      <c r="N9" s="212">
        <f>(C35*D35+C36*D36+C37*D37)/M9</f>
        <v>4.6235294117647054</v>
      </c>
      <c r="O9" s="212">
        <f>(C35*E35+C36*E36+C37*E37)/M9</f>
        <v>2.3188235294117647</v>
      </c>
      <c r="P9" s="212">
        <f>N9-O9</f>
        <v>2.3047058823529407</v>
      </c>
      <c r="Q9" s="212"/>
      <c r="R9" s="209" t="s">
        <v>1486</v>
      </c>
      <c r="S9" s="209" t="s">
        <v>1486</v>
      </c>
      <c r="T9" s="212">
        <f>P9</f>
        <v>2.3047058823529407</v>
      </c>
      <c r="U9" s="212"/>
    </row>
    <row r="10" spans="1:21">
      <c r="A10" s="222" t="s">
        <v>1487</v>
      </c>
      <c r="B10" s="209">
        <v>850</v>
      </c>
      <c r="C10" s="212">
        <v>150</v>
      </c>
      <c r="D10" s="212">
        <f t="shared" ref="D10:D11" si="0">C10/1000*B10</f>
        <v>127.5</v>
      </c>
      <c r="E10" s="284"/>
      <c r="F10" s="284"/>
      <c r="G10" s="284"/>
      <c r="H10" s="284"/>
      <c r="I10" s="285"/>
      <c r="L10" s="209"/>
      <c r="M10" s="209"/>
      <c r="N10" s="209"/>
      <c r="O10" s="209"/>
      <c r="P10" s="209"/>
      <c r="Q10" s="209"/>
      <c r="R10" s="209"/>
      <c r="S10" s="209"/>
      <c r="T10" s="209"/>
      <c r="U10" s="209"/>
    </row>
    <row r="11" spans="1:21">
      <c r="A11" s="222" t="s">
        <v>1488</v>
      </c>
      <c r="B11" s="209">
        <v>450</v>
      </c>
      <c r="C11" s="212">
        <v>25</v>
      </c>
      <c r="D11" s="212">
        <f t="shared" si="0"/>
        <v>11.25</v>
      </c>
      <c r="E11" s="284"/>
      <c r="F11" s="284"/>
      <c r="G11" s="284"/>
      <c r="H11" s="284"/>
      <c r="I11" s="285"/>
      <c r="L11" s="209" t="s">
        <v>1489</v>
      </c>
      <c r="M11" s="209"/>
      <c r="N11" s="209"/>
      <c r="O11" s="209"/>
      <c r="P11" s="209"/>
      <c r="Q11" s="209"/>
      <c r="R11" s="209"/>
      <c r="S11" s="209"/>
      <c r="T11" s="212">
        <f>T4*M4+T5*M5+T9*M9+T8*M8</f>
        <v>14338.081249999988</v>
      </c>
      <c r="U11" s="209"/>
    </row>
    <row r="12" spans="1:21">
      <c r="A12" s="290" t="s">
        <v>1490</v>
      </c>
      <c r="B12" s="291"/>
      <c r="C12" s="212"/>
      <c r="D12" s="212"/>
      <c r="E12" s="225"/>
      <c r="F12" s="225"/>
      <c r="G12" s="225"/>
      <c r="H12" s="225"/>
      <c r="I12" s="226"/>
      <c r="L12" s="209" t="s">
        <v>1491</v>
      </c>
      <c r="M12" s="209"/>
      <c r="N12" s="209"/>
      <c r="O12" s="209"/>
      <c r="P12" s="209"/>
      <c r="Q12" s="209"/>
      <c r="R12" s="209"/>
      <c r="S12" s="209"/>
      <c r="T12" s="212">
        <f>(T4*M4+T5*M5)/B2+T8+T9</f>
        <v>1.6868330882352924</v>
      </c>
      <c r="U12" s="209"/>
    </row>
    <row r="13" spans="1:21">
      <c r="A13" s="223" t="s">
        <v>1492</v>
      </c>
      <c r="B13" s="281">
        <f>C6/B15</f>
        <v>625</v>
      </c>
      <c r="C13" s="268" t="s">
        <v>1493</v>
      </c>
      <c r="D13" s="212"/>
      <c r="E13" s="225"/>
      <c r="F13" s="225"/>
      <c r="G13" s="225"/>
      <c r="H13" s="225"/>
      <c r="I13" s="226"/>
      <c r="L13" s="209"/>
      <c r="M13" s="209"/>
      <c r="N13" s="209"/>
      <c r="O13" s="209"/>
      <c r="P13" s="209"/>
      <c r="Q13" s="209"/>
      <c r="R13" s="209"/>
      <c r="S13" s="209"/>
      <c r="T13" s="212"/>
      <c r="U13" s="209"/>
    </row>
    <row r="14" spans="1:21">
      <c r="A14" s="222" t="s">
        <v>1494</v>
      </c>
      <c r="B14" s="244">
        <f>D41/60*(B16+B17+D46*2)/B15</f>
        <v>29.6875</v>
      </c>
      <c r="C14" s="212"/>
      <c r="D14" s="212"/>
      <c r="E14" s="225"/>
      <c r="F14" s="225"/>
      <c r="G14" s="225"/>
      <c r="H14" s="225"/>
      <c r="I14" s="226"/>
      <c r="L14" s="209"/>
      <c r="M14" s="209"/>
      <c r="N14" s="209"/>
      <c r="O14" s="209"/>
      <c r="P14" s="209"/>
      <c r="Q14" s="209"/>
      <c r="R14" s="209"/>
      <c r="S14" s="209"/>
      <c r="T14" s="212"/>
      <c r="U14" s="209"/>
    </row>
    <row r="15" spans="1:21">
      <c r="A15" s="222" t="s">
        <v>1495</v>
      </c>
      <c r="B15" s="271">
        <v>8</v>
      </c>
      <c r="C15" s="212"/>
      <c r="D15" s="212"/>
      <c r="E15" s="225"/>
      <c r="F15" s="225"/>
      <c r="G15" s="225"/>
      <c r="H15" s="225"/>
      <c r="I15" s="226"/>
      <c r="L15" s="209"/>
      <c r="M15" s="209"/>
      <c r="N15" s="209"/>
      <c r="O15" s="209"/>
      <c r="P15" s="209"/>
      <c r="Q15" s="209"/>
      <c r="R15" s="209"/>
      <c r="S15" s="209"/>
      <c r="T15" s="209"/>
      <c r="U15" s="209"/>
    </row>
    <row r="16" spans="1:21">
      <c r="A16" s="222" t="s">
        <v>1496</v>
      </c>
      <c r="B16" s="271">
        <v>5</v>
      </c>
      <c r="C16" s="212"/>
      <c r="D16" s="212"/>
      <c r="E16" s="225"/>
      <c r="F16" s="225"/>
      <c r="G16" s="225"/>
      <c r="H16" s="225"/>
      <c r="I16" s="226"/>
      <c r="L16" s="209"/>
      <c r="M16" s="209"/>
      <c r="N16" s="209"/>
      <c r="O16" s="209"/>
      <c r="P16" s="209"/>
      <c r="Q16" s="209"/>
      <c r="R16" s="209"/>
      <c r="S16" s="209"/>
      <c r="T16" s="209"/>
      <c r="U16" s="209"/>
    </row>
    <row r="17" spans="1:21">
      <c r="A17" s="227" t="s">
        <v>1497</v>
      </c>
      <c r="B17" s="275">
        <v>50</v>
      </c>
      <c r="C17" s="228"/>
      <c r="D17" s="228"/>
      <c r="E17" s="248"/>
      <c r="F17" s="248"/>
      <c r="G17" s="248"/>
      <c r="H17" s="248"/>
      <c r="I17" s="249"/>
      <c r="L17" s="209"/>
      <c r="M17" s="209"/>
      <c r="N17" s="209"/>
      <c r="O17" s="209"/>
      <c r="P17" s="209"/>
      <c r="Q17" s="209"/>
      <c r="R17" s="209"/>
      <c r="S17" s="209"/>
      <c r="T17" s="209"/>
      <c r="U17" s="209"/>
    </row>
    <row r="18" spans="1:21">
      <c r="A18" s="209"/>
      <c r="B18" s="209"/>
      <c r="C18" s="209"/>
      <c r="D18" s="209"/>
      <c r="E18" s="214"/>
      <c r="F18" s="214"/>
      <c r="G18" s="214"/>
      <c r="H18" s="214"/>
      <c r="I18" s="214"/>
    </row>
    <row r="19" spans="1:21">
      <c r="A19" s="215" t="s">
        <v>1446</v>
      </c>
      <c r="B19" s="229" t="s">
        <v>1498</v>
      </c>
      <c r="C19" s="216" t="s">
        <v>380</v>
      </c>
      <c r="D19" s="216"/>
      <c r="E19" s="217"/>
      <c r="F19" s="217"/>
      <c r="G19" s="217"/>
      <c r="H19" s="217"/>
      <c r="I19" s="218"/>
    </row>
    <row r="20" spans="1:21">
      <c r="A20" s="219" t="s">
        <v>1499</v>
      </c>
      <c r="B20" s="211">
        <f>SUM(D23:D25)</f>
        <v>177.88</v>
      </c>
      <c r="C20" s="220">
        <v>3500</v>
      </c>
      <c r="D20" s="209"/>
      <c r="E20" s="214"/>
      <c r="F20" s="214"/>
      <c r="G20" s="214"/>
      <c r="H20" s="214"/>
      <c r="I20" s="221"/>
      <c r="J20" s="101"/>
    </row>
    <row r="21" spans="1:21">
      <c r="A21" s="222"/>
      <c r="B21" s="209"/>
      <c r="C21" s="209"/>
      <c r="D21" s="209"/>
      <c r="E21" s="214"/>
      <c r="F21" s="214"/>
      <c r="G21" s="214"/>
      <c r="H21" s="214"/>
      <c r="I21" s="221"/>
      <c r="J21" s="101"/>
    </row>
    <row r="22" spans="1:21">
      <c r="A22" s="223" t="s">
        <v>1500</v>
      </c>
      <c r="B22" s="224" t="s">
        <v>377</v>
      </c>
      <c r="C22" s="224" t="s">
        <v>1480</v>
      </c>
      <c r="D22" s="224" t="s">
        <v>1481</v>
      </c>
      <c r="E22" s="214"/>
      <c r="F22" s="214"/>
      <c r="G22" s="214"/>
      <c r="H22" s="214"/>
      <c r="I22" s="221"/>
    </row>
    <row r="23" spans="1:21">
      <c r="A23" s="222" t="s">
        <v>1484</v>
      </c>
      <c r="B23" s="209">
        <v>600</v>
      </c>
      <c r="C23" s="212">
        <v>55</v>
      </c>
      <c r="D23" s="212">
        <f>C23/1000*B23</f>
        <v>33</v>
      </c>
      <c r="E23" s="284" t="s">
        <v>1482</v>
      </c>
      <c r="F23" s="284"/>
      <c r="G23" s="284"/>
      <c r="H23" s="284"/>
      <c r="I23" s="251"/>
    </row>
    <row r="24" spans="1:21">
      <c r="A24" s="222" t="s">
        <v>1487</v>
      </c>
      <c r="B24" s="209">
        <v>985</v>
      </c>
      <c r="C24" s="212">
        <v>123</v>
      </c>
      <c r="D24" s="212">
        <f t="shared" ref="D24:D25" si="1">C24/1000*B24</f>
        <v>121.155</v>
      </c>
      <c r="E24" s="284"/>
      <c r="F24" s="284"/>
      <c r="G24" s="284"/>
      <c r="H24" s="284"/>
      <c r="I24" s="251"/>
      <c r="M24" s="58"/>
    </row>
    <row r="25" spans="1:21">
      <c r="A25" s="222" t="s">
        <v>1488</v>
      </c>
      <c r="B25" s="209">
        <v>365</v>
      </c>
      <c r="C25" s="212">
        <v>65</v>
      </c>
      <c r="D25" s="212">
        <f t="shared" si="1"/>
        <v>23.725000000000001</v>
      </c>
      <c r="E25" s="284"/>
      <c r="F25" s="284"/>
      <c r="G25" s="284"/>
      <c r="H25" s="284"/>
      <c r="I25" s="251"/>
      <c r="M25" s="254"/>
      <c r="N25" t="s">
        <v>1501</v>
      </c>
      <c r="O25" t="s">
        <v>1055</v>
      </c>
    </row>
    <row r="26" spans="1:21">
      <c r="A26" s="290" t="s">
        <v>1502</v>
      </c>
      <c r="B26" s="291"/>
      <c r="C26" s="212"/>
      <c r="D26" s="212"/>
      <c r="E26" s="250"/>
      <c r="F26" s="250"/>
      <c r="G26" s="250"/>
      <c r="H26" s="250"/>
      <c r="I26" s="251"/>
    </row>
    <row r="27" spans="1:21">
      <c r="A27" s="223" t="s">
        <v>1492</v>
      </c>
      <c r="B27" s="281">
        <f>C20/B29</f>
        <v>700</v>
      </c>
      <c r="C27" s="268" t="s">
        <v>1493</v>
      </c>
      <c r="D27" s="212"/>
      <c r="E27" s="250"/>
      <c r="F27" s="250"/>
      <c r="G27" s="250"/>
      <c r="H27" s="250"/>
      <c r="I27" s="251"/>
      <c r="N27" t="s">
        <v>1503</v>
      </c>
    </row>
    <row r="28" spans="1:21">
      <c r="A28" s="222" t="s">
        <v>1494</v>
      </c>
      <c r="B28" s="244">
        <f>D41/60*(B30+B31+D46*2)/B29</f>
        <v>95</v>
      </c>
      <c r="C28" s="212"/>
      <c r="D28" s="212"/>
      <c r="E28" s="250"/>
      <c r="F28" s="250"/>
      <c r="G28" s="250"/>
      <c r="H28" s="250"/>
      <c r="I28" s="251"/>
    </row>
    <row r="29" spans="1:21">
      <c r="A29" s="222" t="s">
        <v>1495</v>
      </c>
      <c r="B29" s="271">
        <v>5</v>
      </c>
      <c r="C29" s="212"/>
      <c r="D29" s="212"/>
      <c r="E29" s="250"/>
      <c r="F29" s="250"/>
      <c r="G29" s="250"/>
      <c r="H29" s="250"/>
      <c r="I29" s="251"/>
    </row>
    <row r="30" spans="1:21">
      <c r="A30" s="222" t="s">
        <v>1496</v>
      </c>
      <c r="B30" s="271">
        <v>50</v>
      </c>
      <c r="C30" s="212"/>
      <c r="D30" s="212"/>
      <c r="E30" s="250"/>
      <c r="F30" s="250"/>
      <c r="G30" s="250"/>
      <c r="H30" s="250"/>
      <c r="I30" s="251"/>
    </row>
    <row r="31" spans="1:21">
      <c r="A31" s="227" t="s">
        <v>1497</v>
      </c>
      <c r="B31" s="275">
        <v>100</v>
      </c>
      <c r="C31" s="228"/>
      <c r="D31" s="228"/>
      <c r="E31" s="252"/>
      <c r="F31" s="252"/>
      <c r="G31" s="252"/>
      <c r="H31" s="252"/>
      <c r="I31" s="253"/>
    </row>
    <row r="32" spans="1:21">
      <c r="A32" s="209"/>
      <c r="B32" s="209"/>
      <c r="C32" s="212"/>
      <c r="D32" s="212"/>
      <c r="E32" s="225"/>
      <c r="F32" s="225"/>
      <c r="G32" s="225"/>
      <c r="H32" s="225"/>
      <c r="I32" s="225"/>
    </row>
    <row r="33" spans="1:10">
      <c r="A33" s="241" t="s">
        <v>1504</v>
      </c>
      <c r="B33" s="242">
        <f>(F35*C35+F36*C36+F37*C37)/B2</f>
        <v>2.3047058823529412</v>
      </c>
      <c r="C33" s="216"/>
      <c r="D33" s="216"/>
      <c r="E33" s="216"/>
      <c r="F33" s="230"/>
      <c r="G33" s="209"/>
      <c r="H33" s="209"/>
      <c r="I33" s="209"/>
    </row>
    <row r="34" spans="1:10">
      <c r="A34" s="222" t="s">
        <v>1505</v>
      </c>
      <c r="B34" s="209" t="s">
        <v>1506</v>
      </c>
      <c r="C34" s="209" t="s">
        <v>377</v>
      </c>
      <c r="D34" s="209" t="s">
        <v>1507</v>
      </c>
      <c r="E34" s="209" t="s">
        <v>1481</v>
      </c>
      <c r="F34" s="231" t="s">
        <v>1474</v>
      </c>
      <c r="G34" s="209"/>
      <c r="H34" s="209"/>
      <c r="I34" s="209"/>
    </row>
    <row r="35" spans="1:10">
      <c r="A35" s="255" t="s">
        <v>1508</v>
      </c>
      <c r="B35" s="220" t="s">
        <v>1509</v>
      </c>
      <c r="C35" s="220">
        <v>450</v>
      </c>
      <c r="D35" s="243">
        <v>10</v>
      </c>
      <c r="E35" s="243">
        <v>2</v>
      </c>
      <c r="F35" s="244">
        <f>(D35-E35)</f>
        <v>8</v>
      </c>
      <c r="G35" s="209"/>
      <c r="H35" s="209"/>
      <c r="I35" s="209"/>
    </row>
    <row r="36" spans="1:10">
      <c r="A36" s="255" t="s">
        <v>1510</v>
      </c>
      <c r="B36" s="220" t="s">
        <v>1511</v>
      </c>
      <c r="C36" s="220">
        <v>150</v>
      </c>
      <c r="D36" s="243">
        <v>85</v>
      </c>
      <c r="E36" s="243">
        <v>75</v>
      </c>
      <c r="F36" s="244">
        <f t="shared" ref="F36:F37" si="2">(D36-E36)</f>
        <v>10</v>
      </c>
      <c r="G36" s="209"/>
      <c r="H36" s="209"/>
      <c r="I36" s="209"/>
    </row>
    <row r="37" spans="1:10">
      <c r="A37" s="256" t="s">
        <v>1512</v>
      </c>
      <c r="B37" s="245" t="s">
        <v>1511</v>
      </c>
      <c r="C37" s="245">
        <v>630</v>
      </c>
      <c r="D37" s="246">
        <v>35</v>
      </c>
      <c r="E37" s="246">
        <v>12</v>
      </c>
      <c r="F37" s="247">
        <f>(D37-E37)</f>
        <v>23</v>
      </c>
      <c r="G37" s="209"/>
      <c r="H37" s="209"/>
      <c r="I37" s="209"/>
    </row>
    <row r="38" spans="1:10">
      <c r="A38" s="209"/>
      <c r="B38" s="209"/>
      <c r="C38" s="209"/>
      <c r="D38" s="209"/>
      <c r="E38" s="209"/>
      <c r="F38" s="209"/>
      <c r="G38" s="209"/>
      <c r="H38" s="209"/>
      <c r="I38" s="209"/>
    </row>
    <row r="39" spans="1:10">
      <c r="A39" s="209"/>
      <c r="B39" s="209"/>
      <c r="C39" s="209"/>
      <c r="D39" s="209"/>
      <c r="E39" s="209"/>
      <c r="F39" s="209"/>
      <c r="G39" s="209"/>
      <c r="H39" s="209"/>
      <c r="I39" s="209"/>
      <c r="J39" s="101"/>
    </row>
    <row r="40" spans="1:10">
      <c r="A40" s="232" t="s">
        <v>1513</v>
      </c>
      <c r="B40" s="233" t="s">
        <v>1472</v>
      </c>
      <c r="C40" s="233" t="s">
        <v>1514</v>
      </c>
      <c r="D40" s="234">
        <f>((D45+D46*2+D48)/D42*D41/60)/D43</f>
        <v>56.580882352941181</v>
      </c>
      <c r="E40" s="209"/>
      <c r="F40" s="209"/>
      <c r="G40" s="209"/>
      <c r="H40" s="209"/>
      <c r="I40" s="209"/>
      <c r="J40" s="101"/>
    </row>
    <row r="41" spans="1:10" ht="15.75">
      <c r="A41" s="235" t="s">
        <v>1515</v>
      </c>
      <c r="B41" s="213" t="s">
        <v>1472</v>
      </c>
      <c r="C41" s="213" t="s">
        <v>1516</v>
      </c>
      <c r="D41" s="236">
        <v>150</v>
      </c>
      <c r="E41" s="209"/>
      <c r="F41" s="209"/>
      <c r="G41" s="209"/>
      <c r="H41" s="209"/>
      <c r="I41" s="209"/>
    </row>
    <row r="42" spans="1:10" ht="15.75">
      <c r="A42" s="262" t="s">
        <v>1517</v>
      </c>
      <c r="B42" s="263" t="s">
        <v>1472</v>
      </c>
      <c r="C42" s="263" t="s">
        <v>1518</v>
      </c>
      <c r="D42" s="264">
        <f>B2/(B13+B27)</f>
        <v>6.4150943396226419</v>
      </c>
      <c r="E42" s="209" t="s">
        <v>1519</v>
      </c>
      <c r="F42" s="209"/>
      <c r="G42" s="209"/>
      <c r="H42" s="209"/>
      <c r="I42" s="209"/>
    </row>
    <row r="43" spans="1:10" ht="15.75">
      <c r="A43" s="262" t="s">
        <v>1520</v>
      </c>
      <c r="B43" s="263" t="s">
        <v>1472</v>
      </c>
      <c r="C43" s="263" t="s">
        <v>1518</v>
      </c>
      <c r="D43" s="269">
        <v>1</v>
      </c>
      <c r="E43" s="209"/>
      <c r="F43" s="209"/>
      <c r="G43" s="209"/>
      <c r="H43" s="209"/>
      <c r="I43" s="209"/>
    </row>
    <row r="44" spans="1:10" ht="15.75">
      <c r="A44" s="265" t="s">
        <v>1521</v>
      </c>
      <c r="B44" s="209" t="s">
        <v>1472</v>
      </c>
      <c r="C44" s="209" t="s">
        <v>1514</v>
      </c>
      <c r="D44" s="266">
        <f>D48+D46*2+D45</f>
        <v>145.18867924528303</v>
      </c>
      <c r="E44" s="209"/>
      <c r="F44" s="209"/>
      <c r="G44" s="209"/>
      <c r="H44" s="209"/>
      <c r="I44" s="209"/>
    </row>
    <row r="45" spans="1:10" ht="15.75">
      <c r="A45" s="270" t="s">
        <v>1522</v>
      </c>
      <c r="B45" s="209" t="s">
        <v>1472</v>
      </c>
      <c r="C45" s="209" t="s">
        <v>1518</v>
      </c>
      <c r="D45" s="271">
        <f>(B30*B27+B16*B13)/(B27+B13)</f>
        <v>28.773584905660378</v>
      </c>
      <c r="E45" s="209" t="s">
        <v>1523</v>
      </c>
      <c r="F45" s="209"/>
      <c r="G45" s="209"/>
      <c r="H45" s="209"/>
      <c r="I45" s="209"/>
    </row>
    <row r="46" spans="1:10" ht="15.75">
      <c r="A46" s="270" t="s">
        <v>1108</v>
      </c>
      <c r="B46" s="209" t="s">
        <v>1472</v>
      </c>
      <c r="C46" s="209" t="s">
        <v>1524</v>
      </c>
      <c r="D46" s="231">
        <f>(60/60)*D47</f>
        <v>20</v>
      </c>
      <c r="E46" s="209" t="s">
        <v>1525</v>
      </c>
      <c r="F46" s="209"/>
      <c r="G46" s="209"/>
      <c r="H46" s="209"/>
      <c r="I46" s="209"/>
    </row>
    <row r="47" spans="1:10" ht="15.75">
      <c r="A47" s="272" t="s">
        <v>1526</v>
      </c>
      <c r="B47" s="209" t="s">
        <v>1472</v>
      </c>
      <c r="C47" s="209" t="s">
        <v>1518</v>
      </c>
      <c r="D47" s="271">
        <v>20</v>
      </c>
      <c r="E47" s="209" t="s">
        <v>1527</v>
      </c>
      <c r="F47" s="209"/>
      <c r="G47" s="209"/>
      <c r="H47" s="209"/>
      <c r="I47" s="209"/>
    </row>
    <row r="48" spans="1:10" ht="15.75">
      <c r="A48" s="270" t="s">
        <v>1528</v>
      </c>
      <c r="B48" s="209" t="s">
        <v>1472</v>
      </c>
      <c r="C48" s="209" t="s">
        <v>1524</v>
      </c>
      <c r="D48" s="231">
        <f>(B31*B27+B17*B13)/(B27+B13)</f>
        <v>76.415094339622641</v>
      </c>
      <c r="E48" s="209" t="s">
        <v>1529</v>
      </c>
      <c r="F48" s="209"/>
      <c r="G48" s="209"/>
      <c r="H48" s="209"/>
      <c r="I48" s="209"/>
    </row>
    <row r="49" spans="1:12" ht="15.75">
      <c r="A49" s="272" t="s">
        <v>1461</v>
      </c>
      <c r="B49" s="209" t="s">
        <v>1472</v>
      </c>
      <c r="C49" s="209" t="s">
        <v>1518</v>
      </c>
      <c r="D49" s="271"/>
      <c r="E49" s="209" t="s">
        <v>1530</v>
      </c>
      <c r="F49" s="209"/>
      <c r="G49" s="209"/>
      <c r="H49" s="209"/>
      <c r="I49" s="209"/>
    </row>
    <row r="50" spans="1:12" ht="15.75">
      <c r="A50" s="273" t="s">
        <v>1531</v>
      </c>
      <c r="B50" s="274" t="s">
        <v>1472</v>
      </c>
      <c r="C50" s="274" t="s">
        <v>1518</v>
      </c>
      <c r="D50" s="275"/>
      <c r="E50" s="209" t="s">
        <v>1530</v>
      </c>
      <c r="F50" s="209"/>
      <c r="G50" s="209"/>
      <c r="H50" s="209"/>
      <c r="I50" s="209"/>
    </row>
    <row r="51" spans="1:12">
      <c r="A51" s="209"/>
      <c r="B51" s="209"/>
      <c r="C51" s="209"/>
      <c r="D51" s="209"/>
      <c r="E51" s="209"/>
      <c r="F51" s="209"/>
      <c r="G51" s="209"/>
      <c r="H51" s="209"/>
      <c r="I51" s="209"/>
    </row>
    <row r="52" spans="1:12">
      <c r="A52" s="209"/>
      <c r="B52" s="209"/>
      <c r="C52" s="209"/>
      <c r="D52" s="209"/>
      <c r="E52" s="209"/>
      <c r="F52" s="209"/>
      <c r="G52" s="209"/>
      <c r="H52" s="209"/>
      <c r="I52" s="209"/>
    </row>
    <row r="53" spans="1:12">
      <c r="A53" s="232" t="s">
        <v>1473</v>
      </c>
      <c r="B53" s="233" t="s">
        <v>1473</v>
      </c>
      <c r="C53" s="233" t="s">
        <v>1514</v>
      </c>
      <c r="D53" s="234">
        <f>D54+D55+D56+D57</f>
        <v>26</v>
      </c>
      <c r="E53" s="209"/>
      <c r="F53" s="209"/>
      <c r="G53" s="209"/>
      <c r="H53" s="209"/>
      <c r="I53" s="209"/>
    </row>
    <row r="54" spans="1:12">
      <c r="A54" s="238" t="s">
        <v>1532</v>
      </c>
      <c r="B54" s="213" t="s">
        <v>1473</v>
      </c>
      <c r="C54" s="213" t="s">
        <v>1518</v>
      </c>
      <c r="D54" s="236">
        <v>5</v>
      </c>
      <c r="E54" s="209"/>
      <c r="F54" s="209"/>
      <c r="G54" s="209"/>
      <c r="H54" s="209"/>
      <c r="I54" s="209"/>
    </row>
    <row r="55" spans="1:12">
      <c r="A55" s="238" t="s">
        <v>1533</v>
      </c>
      <c r="B55" s="213" t="s">
        <v>1473</v>
      </c>
      <c r="C55" s="213" t="s">
        <v>1518</v>
      </c>
      <c r="D55" s="236">
        <v>10</v>
      </c>
      <c r="E55" s="209"/>
      <c r="F55" s="209"/>
      <c r="G55" s="209"/>
      <c r="H55" s="209"/>
      <c r="I55" s="209"/>
    </row>
    <row r="56" spans="1:12">
      <c r="A56" s="238" t="s">
        <v>1534</v>
      </c>
      <c r="B56" s="213" t="s">
        <v>1473</v>
      </c>
      <c r="C56" s="213" t="s">
        <v>1518</v>
      </c>
      <c r="D56" s="236">
        <v>8</v>
      </c>
      <c r="E56" s="209"/>
      <c r="F56" s="209"/>
      <c r="G56" s="209"/>
      <c r="H56" s="209"/>
      <c r="I56" s="209"/>
    </row>
    <row r="57" spans="1:12">
      <c r="A57" s="239" t="s">
        <v>1473</v>
      </c>
      <c r="B57" s="237" t="s">
        <v>1473</v>
      </c>
      <c r="C57" s="237" t="s">
        <v>1518</v>
      </c>
      <c r="D57" s="240">
        <v>3</v>
      </c>
      <c r="E57" s="209"/>
      <c r="F57" s="209"/>
      <c r="G57" s="209"/>
      <c r="H57" s="209"/>
      <c r="I57" s="209"/>
    </row>
    <row r="58" spans="1:12">
      <c r="A58" s="209"/>
      <c r="B58" s="209"/>
      <c r="C58" s="209"/>
      <c r="D58" s="209"/>
      <c r="E58" s="209"/>
      <c r="F58" s="209"/>
      <c r="G58" s="209"/>
      <c r="H58" s="209"/>
      <c r="I58" s="209"/>
    </row>
    <row r="59" spans="1:12">
      <c r="A59" s="209" t="s">
        <v>1535</v>
      </c>
      <c r="B59" s="208">
        <v>0.05</v>
      </c>
      <c r="C59" s="209"/>
      <c r="D59" s="209"/>
      <c r="E59" s="209"/>
      <c r="F59" s="209"/>
      <c r="G59" s="209"/>
      <c r="H59" s="209"/>
      <c r="I59" s="209"/>
    </row>
    <row r="60" spans="1:12">
      <c r="A60" s="209"/>
      <c r="B60" s="212"/>
      <c r="C60" s="209"/>
      <c r="D60" s="209"/>
      <c r="E60" s="209"/>
      <c r="F60" s="209"/>
      <c r="G60" s="209"/>
      <c r="H60" s="209"/>
      <c r="I60" s="209"/>
      <c r="L60" s="101"/>
    </row>
    <row r="61" spans="1:12">
      <c r="A61" s="209"/>
      <c r="B61" s="212"/>
      <c r="C61" s="209"/>
      <c r="D61" s="209"/>
      <c r="E61" s="209"/>
      <c r="F61" s="209"/>
      <c r="G61" s="209"/>
      <c r="H61" s="209"/>
      <c r="I61" s="209"/>
      <c r="L61" s="101"/>
    </row>
    <row r="62" spans="1:12">
      <c r="A62" s="209"/>
      <c r="B62" s="212"/>
      <c r="C62" s="209"/>
      <c r="D62" s="209"/>
      <c r="E62" s="209"/>
      <c r="F62" s="209"/>
      <c r="G62" s="209"/>
      <c r="H62" s="209"/>
      <c r="I62" s="209"/>
    </row>
    <row r="63" spans="1:12">
      <c r="A63" s="288" t="s">
        <v>1536</v>
      </c>
      <c r="B63" s="289"/>
      <c r="C63" s="230"/>
      <c r="D63" s="209"/>
      <c r="E63" s="209"/>
      <c r="F63" s="209"/>
      <c r="G63" s="209"/>
      <c r="H63" s="209"/>
      <c r="I63" s="209"/>
    </row>
    <row r="64" spans="1:12">
      <c r="A64" s="258" t="s">
        <v>380</v>
      </c>
      <c r="B64" s="257">
        <f>B2</f>
        <v>8500</v>
      </c>
      <c r="C64" s="231"/>
      <c r="D64" s="209"/>
      <c r="E64" s="209"/>
      <c r="F64" s="209"/>
      <c r="G64" s="209"/>
      <c r="H64" s="209"/>
      <c r="I64" s="209"/>
    </row>
    <row r="65" spans="1:9">
      <c r="A65" s="258" t="s">
        <v>1471</v>
      </c>
      <c r="B65" s="267">
        <f>B3</f>
        <v>164.56823529411764</v>
      </c>
      <c r="C65" s="231"/>
      <c r="D65" s="209"/>
      <c r="E65" s="209"/>
      <c r="F65" s="209"/>
      <c r="G65" s="209"/>
      <c r="H65" s="209"/>
      <c r="I65" s="209"/>
    </row>
    <row r="66" spans="1:9">
      <c r="A66" s="258" t="s">
        <v>1472</v>
      </c>
      <c r="B66" s="267">
        <f>D40</f>
        <v>56.580882352941181</v>
      </c>
      <c r="C66" s="231"/>
      <c r="D66" s="209"/>
      <c r="E66" s="209"/>
      <c r="F66" s="209"/>
      <c r="G66" s="209"/>
      <c r="H66" s="209"/>
      <c r="I66" s="209"/>
    </row>
    <row r="67" spans="1:9">
      <c r="A67" s="258" t="s">
        <v>1537</v>
      </c>
      <c r="B67" s="267">
        <f>D53</f>
        <v>26</v>
      </c>
      <c r="C67" s="231"/>
      <c r="D67" s="209"/>
      <c r="E67" s="209"/>
      <c r="F67" s="209"/>
      <c r="G67" s="209"/>
      <c r="H67" s="209"/>
      <c r="I67" s="209"/>
    </row>
    <row r="68" spans="1:9">
      <c r="A68" s="222"/>
      <c r="B68" s="259"/>
      <c r="C68" s="231"/>
      <c r="D68" s="209"/>
      <c r="E68" s="209"/>
      <c r="F68" s="209"/>
      <c r="G68" s="209"/>
      <c r="H68" s="209"/>
      <c r="I68" s="209"/>
    </row>
    <row r="69" spans="1:9">
      <c r="A69" s="222" t="s">
        <v>1538</v>
      </c>
      <c r="B69" s="208">
        <v>0.05</v>
      </c>
      <c r="C69" s="244"/>
      <c r="D69" s="209"/>
      <c r="E69" s="209"/>
      <c r="F69" s="209"/>
      <c r="G69" s="209"/>
      <c r="H69" s="209"/>
      <c r="I69" s="209"/>
    </row>
    <row r="70" spans="1:9">
      <c r="A70" s="223" t="s">
        <v>1539</v>
      </c>
      <c r="B70" s="268">
        <f>SUM(B65:B67)*B69</f>
        <v>12.357455882352943</v>
      </c>
      <c r="C70" s="244"/>
      <c r="D70" s="224" t="s">
        <v>1540</v>
      </c>
      <c r="E70" s="209"/>
      <c r="F70" s="209"/>
      <c r="G70" s="209"/>
      <c r="H70" s="209"/>
      <c r="I70" s="209"/>
    </row>
    <row r="71" spans="1:9">
      <c r="A71" s="223" t="s">
        <v>1541</v>
      </c>
      <c r="B71" s="268">
        <f>SUM(B65:B67)+B70</f>
        <v>259.50657352941175</v>
      </c>
      <c r="C71" s="231"/>
      <c r="D71" s="224" t="s">
        <v>1540</v>
      </c>
      <c r="E71" s="209"/>
      <c r="F71" s="209"/>
      <c r="G71" s="209"/>
      <c r="H71" s="209"/>
      <c r="I71" s="209"/>
    </row>
    <row r="72" spans="1:9">
      <c r="A72" s="222"/>
      <c r="B72" s="212"/>
      <c r="C72" s="231"/>
      <c r="D72" s="209"/>
      <c r="E72" s="209"/>
      <c r="F72" s="209"/>
      <c r="G72" s="209"/>
      <c r="H72" s="209"/>
      <c r="I72" s="209"/>
    </row>
    <row r="73" spans="1:9">
      <c r="A73" s="222" t="s">
        <v>1483</v>
      </c>
      <c r="B73" s="259">
        <f>B59</f>
        <v>0.05</v>
      </c>
      <c r="C73" s="231"/>
      <c r="D73" s="209" t="s">
        <v>1542</v>
      </c>
      <c r="E73" s="209"/>
      <c r="F73" s="209"/>
      <c r="G73" s="209"/>
      <c r="H73" s="209"/>
      <c r="I73" s="209"/>
    </row>
    <row r="74" spans="1:9">
      <c r="A74" s="222" t="s">
        <v>1485</v>
      </c>
      <c r="B74" s="212">
        <f>B33</f>
        <v>2.3047058823529412</v>
      </c>
      <c r="C74" s="231"/>
      <c r="D74" s="209" t="s">
        <v>1543</v>
      </c>
      <c r="E74" s="209"/>
      <c r="F74" s="209"/>
      <c r="G74" s="209"/>
      <c r="H74" s="209"/>
      <c r="I74" s="209"/>
    </row>
    <row r="75" spans="1:9">
      <c r="A75" s="222"/>
      <c r="B75" s="212"/>
      <c r="C75" s="231"/>
      <c r="D75" s="209"/>
      <c r="E75" s="209"/>
      <c r="F75" s="209"/>
      <c r="G75" s="209"/>
      <c r="H75" s="209"/>
      <c r="I75" s="209"/>
    </row>
    <row r="76" spans="1:9">
      <c r="A76" s="222" t="s">
        <v>1491</v>
      </c>
      <c r="B76" s="260">
        <f>(B70+B74-B71*B73)/B71</f>
        <v>6.5001555270587921E-3</v>
      </c>
      <c r="C76" s="244">
        <f>(B70+B74-B71*B73)</f>
        <v>1.6868330882352947</v>
      </c>
      <c r="D76" s="209"/>
      <c r="E76" s="209"/>
      <c r="F76" s="209"/>
      <c r="G76" s="209"/>
      <c r="H76" s="209"/>
      <c r="I76" s="209"/>
    </row>
    <row r="77" spans="1:9">
      <c r="A77" s="227" t="s">
        <v>1489</v>
      </c>
      <c r="B77" s="228">
        <f>C76*B64</f>
        <v>14338.081250000005</v>
      </c>
      <c r="C77" s="261"/>
      <c r="D77" s="209"/>
      <c r="E77" s="209"/>
      <c r="F77" s="209"/>
      <c r="G77" s="209"/>
      <c r="H77" s="209"/>
      <c r="I77" s="209"/>
    </row>
  </sheetData>
  <mergeCells count="7">
    <mergeCell ref="E8:I11"/>
    <mergeCell ref="A1:I1"/>
    <mergeCell ref="E23:H25"/>
    <mergeCell ref="L1:U1"/>
    <mergeCell ref="A63:B63"/>
    <mergeCell ref="A12:B12"/>
    <mergeCell ref="A26:B26"/>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14DC0-8AD7-4233-A58C-868B6131C7DE}">
  <dimension ref="A3:G115"/>
  <sheetViews>
    <sheetView zoomScale="180" zoomScaleNormal="180" workbookViewId="0">
      <selection activeCell="E4" sqref="E4"/>
    </sheetView>
  </sheetViews>
  <sheetFormatPr defaultColWidth="10.85546875" defaultRowHeight="15.75"/>
  <cols>
    <col min="1" max="1" width="23.85546875" style="158" customWidth="1"/>
    <col min="2" max="2" width="12.7109375" style="158" bestFit="1" customWidth="1"/>
    <col min="3" max="3" width="15.28515625" style="158" bestFit="1" customWidth="1"/>
    <col min="4" max="4" width="9.140625" style="158"/>
    <col min="5" max="5" width="26.140625" style="158" customWidth="1"/>
    <col min="6" max="6" width="9.140625" style="158"/>
    <col min="7" max="7" width="12.42578125" style="158" bestFit="1" customWidth="1"/>
    <col min="8" max="8" width="17.140625" style="158" customWidth="1"/>
    <col min="9" max="16384" width="10.85546875" style="158"/>
  </cols>
  <sheetData>
    <row r="3" spans="1:7" ht="15.95">
      <c r="A3" s="161"/>
      <c r="B3" s="162" t="s">
        <v>1544</v>
      </c>
      <c r="C3" s="163" t="s">
        <v>1545</v>
      </c>
      <c r="E3" s="159" t="s">
        <v>1546</v>
      </c>
    </row>
    <row r="4" spans="1:7" ht="15.95">
      <c r="A4" s="164" t="s">
        <v>1547</v>
      </c>
      <c r="B4" s="158">
        <v>6.5</v>
      </c>
      <c r="C4" s="165">
        <v>7</v>
      </c>
      <c r="E4" s="158" t="s">
        <v>1548</v>
      </c>
      <c r="F4" s="158">
        <v>300</v>
      </c>
    </row>
    <row r="5" spans="1:7">
      <c r="A5" s="164" t="s">
        <v>1096</v>
      </c>
      <c r="B5" s="158">
        <v>110</v>
      </c>
      <c r="C5" s="165">
        <v>115</v>
      </c>
      <c r="E5" s="158" t="s">
        <v>1515</v>
      </c>
      <c r="F5" s="158">
        <v>125</v>
      </c>
    </row>
    <row r="6" spans="1:7">
      <c r="A6" s="164" t="s">
        <v>858</v>
      </c>
      <c r="B6" s="168">
        <v>0.75</v>
      </c>
      <c r="C6" s="169">
        <v>0.8</v>
      </c>
      <c r="E6" s="158" t="s">
        <v>1549</v>
      </c>
      <c r="F6" s="206">
        <v>0.9</v>
      </c>
    </row>
    <row r="7" spans="1:7">
      <c r="A7" s="164" t="s">
        <v>671</v>
      </c>
      <c r="B7" s="166">
        <v>5.83</v>
      </c>
      <c r="C7" s="167">
        <v>6</v>
      </c>
    </row>
    <row r="8" spans="1:7">
      <c r="A8" s="164" t="s">
        <v>701</v>
      </c>
      <c r="B8" s="166">
        <f>B7*60/(B5)</f>
        <v>3.18</v>
      </c>
      <c r="C8" s="199">
        <f>C7*60/(C5)</f>
        <v>3.1304347826086958</v>
      </c>
    </row>
    <row r="9" spans="1:7">
      <c r="A9" s="164" t="s">
        <v>1550</v>
      </c>
      <c r="B9" s="171">
        <f>$B$4*$B$8*$F$4*$B$6</f>
        <v>4650.7500000000009</v>
      </c>
      <c r="C9" s="172">
        <f>C4*C8*F4*$C$6</f>
        <v>5259.130434782609</v>
      </c>
    </row>
    <row r="10" spans="1:7">
      <c r="A10" s="164"/>
      <c r="C10" s="173"/>
    </row>
    <row r="11" spans="1:7">
      <c r="A11" s="164"/>
      <c r="C11" s="173"/>
    </row>
    <row r="12" spans="1:7">
      <c r="A12" s="174" t="s">
        <v>1551</v>
      </c>
      <c r="D12" s="180"/>
      <c r="E12" s="162" t="s">
        <v>1552</v>
      </c>
      <c r="F12" s="180"/>
      <c r="G12" s="181"/>
    </row>
    <row r="13" spans="1:7">
      <c r="A13" s="164"/>
      <c r="B13" s="171"/>
      <c r="C13" s="171"/>
      <c r="F13" s="171"/>
      <c r="G13" s="182"/>
    </row>
    <row r="14" spans="1:7">
      <c r="A14" s="164" t="s">
        <v>1117</v>
      </c>
      <c r="B14" s="158">
        <v>100</v>
      </c>
      <c r="C14" s="187">
        <f>ROUNDUP(B15/C9,0)</f>
        <v>89</v>
      </c>
      <c r="E14" s="158" t="s">
        <v>1117</v>
      </c>
      <c r="F14" s="158">
        <v>100</v>
      </c>
      <c r="G14" s="182">
        <f>F14</f>
        <v>100</v>
      </c>
    </row>
    <row r="15" spans="1:7">
      <c r="A15" s="164" t="s">
        <v>380</v>
      </c>
      <c r="B15" s="175">
        <f>B14*B9</f>
        <v>465075.00000000012</v>
      </c>
      <c r="C15" s="175">
        <f>C14*C9</f>
        <v>468062.60869565222</v>
      </c>
      <c r="E15" s="158" t="s">
        <v>380</v>
      </c>
      <c r="F15" s="175">
        <f>F14*B9</f>
        <v>465075.00000000012</v>
      </c>
      <c r="G15" s="183">
        <f>G14*C9</f>
        <v>525913.04347826086</v>
      </c>
    </row>
    <row r="16" spans="1:7">
      <c r="A16" s="164" t="s">
        <v>1553</v>
      </c>
      <c r="B16" s="176">
        <f>B21/B9</f>
        <v>48.37929366231252</v>
      </c>
      <c r="C16" s="176">
        <f>($C$22+$B$24*C9)/C9</f>
        <v>43.342393651945535</v>
      </c>
      <c r="E16" s="158" t="s">
        <v>1554</v>
      </c>
      <c r="F16" s="184">
        <v>35.5</v>
      </c>
      <c r="G16" s="185">
        <v>35.5</v>
      </c>
    </row>
    <row r="17" spans="1:7">
      <c r="A17" s="164" t="s">
        <v>1124</v>
      </c>
      <c r="C17" s="188">
        <f>(B16-C16)*C15</f>
        <v>2357584.5585915288</v>
      </c>
      <c r="E17" s="158" t="s">
        <v>1124</v>
      </c>
      <c r="G17" s="177">
        <f>(G15-F15)*G16</f>
        <v>2159750.5434782566</v>
      </c>
    </row>
    <row r="18" spans="1:7">
      <c r="A18" s="178"/>
      <c r="B18" s="179"/>
      <c r="C18" s="189"/>
      <c r="D18" s="179"/>
      <c r="E18" s="179"/>
      <c r="F18" s="179"/>
      <c r="G18" s="186"/>
    </row>
    <row r="20" spans="1:7">
      <c r="A20" s="205" t="s">
        <v>1555</v>
      </c>
      <c r="B20" s="205" t="s">
        <v>1544</v>
      </c>
      <c r="C20" s="205" t="s">
        <v>1545</v>
      </c>
    </row>
    <row r="21" spans="1:7">
      <c r="A21" s="201" t="s">
        <v>1556</v>
      </c>
      <c r="B21" s="202">
        <f>F4*B6*8*F5</f>
        <v>225000</v>
      </c>
      <c r="C21" s="203">
        <f>SUM(C22:C23)</f>
        <v>227943.30157127531</v>
      </c>
    </row>
    <row r="22" spans="1:7">
      <c r="A22" s="201" t="s">
        <v>1557</v>
      </c>
      <c r="B22" s="202">
        <f>B21*$F$6</f>
        <v>202500</v>
      </c>
      <c r="C22" s="203">
        <f>B22</f>
        <v>202500</v>
      </c>
    </row>
    <row r="23" spans="1:7">
      <c r="A23" s="201" t="s">
        <v>1558</v>
      </c>
      <c r="B23" s="202">
        <f>B21*(1-$F$6)</f>
        <v>22499.999999999996</v>
      </c>
      <c r="C23" s="204">
        <f>C9*B24</f>
        <v>25443.301571275315</v>
      </c>
    </row>
    <row r="24" spans="1:7">
      <c r="A24" s="201" t="s">
        <v>1559</v>
      </c>
      <c r="B24" s="204">
        <f>B23/B9</f>
        <v>4.8379293662312515</v>
      </c>
      <c r="C24" s="204">
        <f>B24</f>
        <v>4.8379293662312515</v>
      </c>
    </row>
    <row r="25" spans="1:7">
      <c r="A25" s="201" t="s">
        <v>1560</v>
      </c>
      <c r="B25" s="204">
        <f>B21/B9</f>
        <v>48.37929366231252</v>
      </c>
      <c r="C25" s="204">
        <f>C21/C9</f>
        <v>43.342393651945535</v>
      </c>
    </row>
    <row r="27" spans="1:7">
      <c r="A27" s="158" t="s">
        <v>1553</v>
      </c>
      <c r="B27" s="158" t="s">
        <v>1055</v>
      </c>
      <c r="C27" s="158" t="s">
        <v>671</v>
      </c>
    </row>
    <row r="28" spans="1:7">
      <c r="A28" s="200">
        <f>($C$22+$B$24*B28)/B28</f>
        <v>235.86471508052156</v>
      </c>
      <c r="B28" s="158">
        <f>C29/($C$5/60)*$C$4*$F$4*$C$6</f>
        <v>876.52173913041736</v>
      </c>
      <c r="C28" s="158">
        <v>0.89999999999998004</v>
      </c>
    </row>
    <row r="29" spans="1:7">
      <c r="A29" s="200">
        <f t="shared" ref="A29:A92" si="0">($C$22+$B$24*B29)/B29</f>
        <v>214.8622800155857</v>
      </c>
      <c r="B29" s="158">
        <f>C30/($C$5/60)*$C$4*$F$4*$C$6</f>
        <v>964.17391304346074</v>
      </c>
      <c r="C29" s="158">
        <v>0.99999999999998002</v>
      </c>
    </row>
    <row r="30" spans="1:7">
      <c r="A30" s="200">
        <f t="shared" si="0"/>
        <v>197.36025079480589</v>
      </c>
      <c r="B30" s="158">
        <f>C31/($C$5/60)*$C$4*$F$4*$C$6</f>
        <v>1051.8260869565042</v>
      </c>
      <c r="C30" s="158">
        <v>1.0999999999999801</v>
      </c>
    </row>
    <row r="31" spans="1:7">
      <c r="A31" s="200">
        <f t="shared" si="0"/>
        <v>182.55084145414611</v>
      </c>
      <c r="B31" s="158">
        <f>C32/($C$5/60)*$C$4*$F$4*$C$6</f>
        <v>1139.4782608695475</v>
      </c>
      <c r="C31" s="158">
        <v>1.19999999999998</v>
      </c>
    </row>
    <row r="32" spans="1:7">
      <c r="A32" s="200">
        <f t="shared" si="0"/>
        <v>169.85706201929486</v>
      </c>
      <c r="B32" s="158">
        <f>C33/($C$5/60)*$C$4*$F$4*$C$6</f>
        <v>1227.130434782591</v>
      </c>
      <c r="C32" s="158">
        <v>1.2999999999999801</v>
      </c>
    </row>
    <row r="33" spans="1:3">
      <c r="A33" s="200">
        <f t="shared" si="0"/>
        <v>158.85578650909045</v>
      </c>
      <c r="B33" s="158">
        <f>C34/($C$5/60)*$C$4*$F$4*$C$6</f>
        <v>1314.7826086956347</v>
      </c>
      <c r="C33" s="158">
        <v>1.3999999999999799</v>
      </c>
    </row>
    <row r="34" spans="1:3">
      <c r="A34" s="200">
        <f t="shared" si="0"/>
        <v>149.22967043766161</v>
      </c>
      <c r="B34" s="158">
        <f>C35/($C$5/60)*$C$4*$F$4*$C$6</f>
        <v>1402.4347826086782</v>
      </c>
      <c r="C34" s="158">
        <v>1.49999999999998</v>
      </c>
    </row>
    <row r="35" spans="1:3">
      <c r="A35" s="200">
        <f t="shared" si="0"/>
        <v>140.73603860993032</v>
      </c>
      <c r="B35" s="158">
        <f>C36/($C$5/60)*$C$4*$F$4*$C$6</f>
        <v>1490.0869565217217</v>
      </c>
      <c r="C35" s="158">
        <v>1.5999999999999801</v>
      </c>
    </row>
    <row r="36" spans="1:3">
      <c r="A36" s="200">
        <f t="shared" si="0"/>
        <v>133.18614365194696</v>
      </c>
      <c r="B36" s="158">
        <f>C37/($C$5/60)*$C$4*$F$4*$C$6</f>
        <v>1577.7391304347652</v>
      </c>
      <c r="C36" s="158">
        <v>1.69999999999998</v>
      </c>
    </row>
    <row r="37" spans="1:3">
      <c r="A37" s="200">
        <f t="shared" si="0"/>
        <v>126.43097447901447</v>
      </c>
      <c r="B37" s="158">
        <f>C38/($C$5/60)*$C$4*$F$4*$C$6</f>
        <v>1665.3913043478087</v>
      </c>
      <c r="C37" s="158">
        <v>1.7999999999999801</v>
      </c>
    </row>
    <row r="38" spans="1:3">
      <c r="A38" s="200">
        <f t="shared" si="0"/>
        <v>120.35132222337525</v>
      </c>
      <c r="B38" s="158">
        <f>C39/($C$5/60)*$C$4*$F$4*$C$6</f>
        <v>1753.0434782608522</v>
      </c>
      <c r="C38" s="158">
        <v>1.8999999999999799</v>
      </c>
    </row>
    <row r="39" spans="1:3">
      <c r="A39" s="200">
        <f t="shared" si="0"/>
        <v>114.8506844682731</v>
      </c>
      <c r="B39" s="158">
        <f>C40/($C$5/60)*$C$4*$F$4*$C$6</f>
        <v>1840.6956521738957</v>
      </c>
      <c r="C39" s="158">
        <v>1.99999999999998</v>
      </c>
    </row>
    <row r="40" spans="1:3">
      <c r="A40" s="200">
        <f t="shared" si="0"/>
        <v>109.85010469090754</v>
      </c>
      <c r="B40" s="158">
        <f>C41/($C$5/60)*$C$4*$F$4*$C$6</f>
        <v>1928.347826086939</v>
      </c>
      <c r="C40" s="158">
        <v>2.0999999999999801</v>
      </c>
    </row>
    <row r="41" spans="1:3">
      <c r="A41" s="200">
        <f t="shared" si="0"/>
        <v>105.28435793766069</v>
      </c>
      <c r="B41" s="158">
        <f>C42/($C$5/60)*$C$4*$F$4*$C$6</f>
        <v>2015.9999999999827</v>
      </c>
      <c r="C41" s="158">
        <v>2.1999999999999802</v>
      </c>
    </row>
    <row r="42" spans="1:3">
      <c r="A42" s="200">
        <f t="shared" si="0"/>
        <v>101.09909008051777</v>
      </c>
      <c r="B42" s="158">
        <f>C43/($C$5/60)*$C$4*$F$4*$C$6</f>
        <v>2103.6521739130258</v>
      </c>
      <c r="C42" s="158">
        <v>2.2999999999999798</v>
      </c>
    </row>
    <row r="43" spans="1:3">
      <c r="A43" s="200">
        <f t="shared" si="0"/>
        <v>97.248643651946281</v>
      </c>
      <c r="B43" s="158">
        <f>C44/($C$5/60)*$C$4*$F$4*$C$6</f>
        <v>2191.3043478260693</v>
      </c>
      <c r="C43" s="158">
        <v>2.3999999999999799</v>
      </c>
    </row>
    <row r="44" spans="1:3">
      <c r="A44" s="200">
        <f t="shared" si="0"/>
        <v>93.694385410187991</v>
      </c>
      <c r="B44" s="158">
        <f>C45/($C$5/60)*$C$4*$F$4*$C$6</f>
        <v>2278.9565217391128</v>
      </c>
      <c r="C44" s="158">
        <v>2.49999999999998</v>
      </c>
    </row>
    <row r="45" spans="1:3">
      <c r="A45" s="200">
        <f t="shared" si="0"/>
        <v>90.403405556708066</v>
      </c>
      <c r="B45" s="158">
        <f>C46/($C$5/60)*$C$4*$F$4*$C$6</f>
        <v>2366.6086956521567</v>
      </c>
      <c r="C45" s="158">
        <v>2.5999999999999801</v>
      </c>
    </row>
    <row r="46" spans="1:3">
      <c r="A46" s="200">
        <f t="shared" si="0"/>
        <v>87.347495692762479</v>
      </c>
      <c r="B46" s="158">
        <f>C47/($C$5/60)*$C$4*$F$4*$C$6</f>
        <v>2454.2608695651993</v>
      </c>
      <c r="C46" s="158">
        <v>2.6999999999999802</v>
      </c>
    </row>
    <row r="47" spans="1:3">
      <c r="A47" s="200">
        <f t="shared" si="0"/>
        <v>84.502338233226865</v>
      </c>
      <c r="B47" s="158">
        <f>C48/($C$5/60)*$C$4*$F$4*$C$6</f>
        <v>2541.9130434782437</v>
      </c>
      <c r="C47" s="158">
        <v>2.7999999999999798</v>
      </c>
    </row>
    <row r="48" spans="1:3">
      <c r="A48" s="200">
        <f t="shared" si="0"/>
        <v>81.846857937660346</v>
      </c>
      <c r="B48" s="158">
        <f>C49/($C$5/60)*$C$4*$F$4*$C$6</f>
        <v>2629.5652173912868</v>
      </c>
      <c r="C48" s="158">
        <v>2.8999999999999799</v>
      </c>
    </row>
    <row r="49" spans="1:3">
      <c r="A49" s="200">
        <f t="shared" si="0"/>
        <v>79.362698951485186</v>
      </c>
      <c r="B49" s="158">
        <f>C50/($C$5/60)*$C$4*$F$4*$C$6</f>
        <v>2717.2173913043302</v>
      </c>
      <c r="C49" s="158">
        <v>2.99999999999998</v>
      </c>
    </row>
    <row r="50" spans="1:3">
      <c r="A50" s="200">
        <f t="shared" si="0"/>
        <v>77.033799901945756</v>
      </c>
      <c r="B50" s="158">
        <f>C51/($C$5/60)*$C$4*$F$4*$C$6</f>
        <v>2804.8695652173828</v>
      </c>
      <c r="C50" s="158">
        <v>3.0999999999999801</v>
      </c>
    </row>
    <row r="51" spans="1:3">
      <c r="A51" s="200">
        <f t="shared" si="0"/>
        <v>74.846046249348333</v>
      </c>
      <c r="B51" s="158">
        <f>C52/($C$5/60)*$C$4*$F$4*$C$6</f>
        <v>2892.5217391304263</v>
      </c>
      <c r="C51" s="158">
        <v>3.19999999999999</v>
      </c>
    </row>
    <row r="52" spans="1:3">
      <c r="A52" s="200">
        <f t="shared" si="0"/>
        <v>72.786983988080181</v>
      </c>
      <c r="B52" s="158">
        <f>C53/($C$5/60)*$C$4*$F$4*$C$6</f>
        <v>2980.1739130434698</v>
      </c>
      <c r="C52" s="158">
        <v>3.2999999999999901</v>
      </c>
    </row>
    <row r="53" spans="1:3">
      <c r="A53" s="200">
        <f t="shared" si="0"/>
        <v>70.845582427455938</v>
      </c>
      <c r="B53" s="158">
        <f>C54/($C$5/60)*$C$4*$F$4*$C$6</f>
        <v>3067.8260869565129</v>
      </c>
      <c r="C53" s="158">
        <v>3.3999999999999901</v>
      </c>
    </row>
    <row r="54" spans="1:3">
      <c r="A54" s="200">
        <f t="shared" si="0"/>
        <v>69.01203650908856</v>
      </c>
      <c r="B54" s="158">
        <f>C55/($C$5/60)*$C$4*$F$4*$C$6</f>
        <v>3155.4782608695568</v>
      </c>
      <c r="C54" s="158">
        <v>3.4999999999999898</v>
      </c>
    </row>
    <row r="55" spans="1:3">
      <c r="A55" s="200">
        <f t="shared" si="0"/>
        <v>67.277601180903233</v>
      </c>
      <c r="B55" s="158">
        <f>C56/($C$5/60)*$C$4*$F$4*$C$6</f>
        <v>3243.1304347825999</v>
      </c>
      <c r="C55" s="158">
        <v>3.5999999999999899</v>
      </c>
    </row>
    <row r="56" spans="1:3">
      <c r="A56" s="200">
        <f t="shared" si="0"/>
        <v>65.634451922622389</v>
      </c>
      <c r="B56" s="158">
        <f>C57/($C$5/60)*$C$4*$F$4*$C$6</f>
        <v>3330.7826086956434</v>
      </c>
      <c r="C56" s="158">
        <v>3.69999999999999</v>
      </c>
    </row>
    <row r="57" spans="1:3">
      <c r="A57" s="200">
        <f t="shared" si="0"/>
        <v>64.075566728868765</v>
      </c>
      <c r="B57" s="158">
        <f>C58/($C$5/60)*$C$4*$F$4*$C$6</f>
        <v>3418.4347826086873</v>
      </c>
      <c r="C57" s="158">
        <v>3.7999999999999901</v>
      </c>
    </row>
    <row r="58" spans="1:3">
      <c r="A58" s="200">
        <f t="shared" si="0"/>
        <v>62.59462579480283</v>
      </c>
      <c r="B58" s="158">
        <f>C59/($C$5/60)*$C$4*$F$4*$C$6</f>
        <v>3506.0869565217299</v>
      </c>
      <c r="C58" s="158">
        <v>3.8999999999999901</v>
      </c>
    </row>
    <row r="59" spans="1:3">
      <c r="A59" s="200">
        <f t="shared" si="0"/>
        <v>61.185925881910826</v>
      </c>
      <c r="B59" s="158">
        <f>C60/($C$5/60)*$C$4*$F$4*$C$6</f>
        <v>3593.7391304347739</v>
      </c>
      <c r="C59" s="158">
        <v>3.9999999999999898</v>
      </c>
    </row>
    <row r="60" spans="1:3">
      <c r="A60" s="200">
        <f t="shared" si="0"/>
        <v>59.844306917251785</v>
      </c>
      <c r="B60" s="158">
        <f>C61/($C$5/60)*$C$4*$F$4*$C$6</f>
        <v>3681.3913043478178</v>
      </c>
      <c r="C60" s="158">
        <v>4.0999999999999899</v>
      </c>
    </row>
    <row r="61" spans="1:3">
      <c r="A61" s="200">
        <f t="shared" si="0"/>
        <v>58.565088834669922</v>
      </c>
      <c r="B61" s="158">
        <f>C62/($C$5/60)*$C$4*$F$4*$C$6</f>
        <v>3769.0434782608604</v>
      </c>
      <c r="C61" s="158">
        <v>4.1999999999999904</v>
      </c>
    </row>
    <row r="62" spans="1:3">
      <c r="A62" s="200">
        <f t="shared" si="0"/>
        <v>57.344017028569034</v>
      </c>
      <c r="B62" s="158">
        <f>C63/($C$5/60)*$C$4*$F$4*$C$6</f>
        <v>3856.6956521739044</v>
      </c>
      <c r="C62" s="158">
        <v>4.2999999999999901</v>
      </c>
    </row>
    <row r="63" spans="1:3">
      <c r="A63" s="200">
        <f t="shared" si="0"/>
        <v>56.177215080517072</v>
      </c>
      <c r="B63" s="158">
        <f>C64/($C$5/60)*$C$4*$F$4*$C$6</f>
        <v>3944.3478260869483</v>
      </c>
      <c r="C63" s="158">
        <v>4.3999999999999897</v>
      </c>
    </row>
    <row r="64" spans="1:3">
      <c r="A64" s="200">
        <f t="shared" si="0"/>
        <v>55.061143651945649</v>
      </c>
      <c r="B64" s="158">
        <f>C65/($C$5/60)*$C$4*$F$4*$C$6</f>
        <v>4031.9999999999909</v>
      </c>
      <c r="C64" s="158">
        <v>4.4999999999999902</v>
      </c>
    </row>
    <row r="65" spans="1:3">
      <c r="A65" s="200">
        <f t="shared" si="0"/>
        <v>53.992564624590017</v>
      </c>
      <c r="B65" s="158">
        <f>C66/($C$5/60)*$C$4*$F$4*$C$6</f>
        <v>4119.6521739130349</v>
      </c>
      <c r="C65" s="158">
        <v>4.5999999999999899</v>
      </c>
    </row>
    <row r="66" spans="1:3">
      <c r="A66" s="200">
        <f t="shared" si="0"/>
        <v>52.968509723374105</v>
      </c>
      <c r="B66" s="158">
        <f>C67/($C$5/60)*$C$4*$F$4*$C$6</f>
        <v>4207.304347826087</v>
      </c>
      <c r="C66" s="158">
        <v>4.6999999999999904</v>
      </c>
    </row>
    <row r="67" spans="1:3">
      <c r="A67" s="200">
        <f t="shared" si="0"/>
        <v>51.986252981391594</v>
      </c>
      <c r="B67" s="158">
        <f>C68/($C$5/60)*$C$4*$F$4*$C$6</f>
        <v>4294.9565217391309</v>
      </c>
      <c r="C67" s="158">
        <v>4.8</v>
      </c>
    </row>
    <row r="68" spans="1:3">
      <c r="A68" s="200">
        <f t="shared" si="0"/>
        <v>51.043286509088389</v>
      </c>
      <c r="B68" s="158">
        <f>C69/($C$5/60)*$C$4*$F$4*$C$6</f>
        <v>4382.608695652174</v>
      </c>
      <c r="C68" s="158">
        <v>4.9000000000000004</v>
      </c>
    </row>
    <row r="69" spans="1:3">
      <c r="A69" s="200">
        <f t="shared" si="0"/>
        <v>50.137299114130407</v>
      </c>
      <c r="B69" s="158">
        <f>C70/($C$5/60)*$C$4*$F$4*$C$6</f>
        <v>4470.2608695652179</v>
      </c>
      <c r="C69" s="158">
        <v>5</v>
      </c>
    </row>
    <row r="70" spans="1:3">
      <c r="A70" s="200">
        <f t="shared" si="0"/>
        <v>49.266157388209272</v>
      </c>
      <c r="B70" s="158">
        <f>C71/($C$5/60)*$C$4*$F$4*$C$6</f>
        <v>4557.913043478261</v>
      </c>
      <c r="C70" s="158">
        <v>5.0999999999999996</v>
      </c>
    </row>
    <row r="71" spans="1:3">
      <c r="A71" s="200">
        <f t="shared" si="0"/>
        <v>48.427888934964407</v>
      </c>
      <c r="B71" s="158">
        <f>C72/($C$5/60)*$C$4*$F$4*$C$6</f>
        <v>4645.565217391304</v>
      </c>
      <c r="C71" s="158">
        <v>5.2</v>
      </c>
    </row>
    <row r="72" spans="1:3">
      <c r="A72" s="200">
        <f t="shared" si="0"/>
        <v>47.620667461469345</v>
      </c>
      <c r="B72" s="158">
        <f>C73/($C$5/60)*$C$4*$F$4*$C$6</f>
        <v>4733.217391304348</v>
      </c>
      <c r="C72" s="158">
        <v>5.3</v>
      </c>
    </row>
    <row r="73" spans="1:3">
      <c r="A73" s="200">
        <f t="shared" si="0"/>
        <v>46.842799496101385</v>
      </c>
      <c r="B73" s="158">
        <f>C74/($C$5/60)*$C$4*$F$4*$C$6</f>
        <v>4820.869565217391</v>
      </c>
      <c r="C73" s="158">
        <v>5.4</v>
      </c>
    </row>
    <row r="74" spans="1:3">
      <c r="A74" s="200">
        <f t="shared" si="0"/>
        <v>46.092712529496559</v>
      </c>
      <c r="B74" s="158">
        <f>C75/($C$5/60)*$C$4*$F$4*$C$6</f>
        <v>4908.5217391304341</v>
      </c>
      <c r="C74" s="158">
        <v>5.5</v>
      </c>
    </row>
    <row r="75" spans="1:3">
      <c r="A75" s="200">
        <f t="shared" si="0"/>
        <v>45.368944403825232</v>
      </c>
      <c r="B75" s="158">
        <f>C76/($C$5/60)*$C$4*$F$4*$C$6</f>
        <v>4996.1739130434789</v>
      </c>
      <c r="C75" s="158">
        <v>5.6</v>
      </c>
    </row>
    <row r="76" spans="1:3">
      <c r="A76" s="200">
        <f t="shared" si="0"/>
        <v>44.465165337806852</v>
      </c>
      <c r="B76" s="158">
        <f>C77/($C$5/60)*$C$4*$F$4*$C$6</f>
        <v>5110.1217391304344</v>
      </c>
      <c r="C76" s="158">
        <v>5.7</v>
      </c>
    </row>
    <row r="77" spans="1:3">
      <c r="A77" s="200">
        <f t="shared" si="0"/>
        <v>43.995011690686454</v>
      </c>
      <c r="B77" s="158">
        <f>C78/($C$5/60)*$C$4*$F$4*$C$6</f>
        <v>5171.4782608695659</v>
      </c>
      <c r="C77" s="158">
        <f>B8*B5/60</f>
        <v>5.83</v>
      </c>
    </row>
    <row r="78" spans="1:3">
      <c r="A78" s="200">
        <f t="shared" si="0"/>
        <v>43.342393651945542</v>
      </c>
      <c r="B78" s="158">
        <f>C79/($C$5/60)*$C$4*$F$4*$C$6</f>
        <v>5259.1304347826081</v>
      </c>
      <c r="C78" s="158">
        <v>5.9</v>
      </c>
    </row>
    <row r="79" spans="1:3">
      <c r="A79" s="200">
        <f t="shared" si="0"/>
        <v>43.342393651945542</v>
      </c>
      <c r="B79" s="158">
        <f>C79/($C$5/60)*$C$4*$F$4*$C$6</f>
        <v>5259.1304347826081</v>
      </c>
      <c r="C79" s="158">
        <v>6</v>
      </c>
    </row>
    <row r="80" spans="1:3">
      <c r="A80" s="200">
        <f t="shared" si="0"/>
        <v>42.711172925950223</v>
      </c>
      <c r="B80" s="158">
        <f>C80/($C$5/60)*$C$4*$F$4*$C$6</f>
        <v>5346.782608695652</v>
      </c>
      <c r="C80" s="158">
        <v>6.1</v>
      </c>
    </row>
    <row r="81" spans="1:3">
      <c r="A81" s="200">
        <f t="shared" si="0"/>
        <v>42.100314158857977</v>
      </c>
      <c r="B81" s="158">
        <f>C81/($C$5/60)*$C$4*$F$4*$C$6</f>
        <v>5434.434782608696</v>
      </c>
      <c r="C81" s="158">
        <v>6.2</v>
      </c>
    </row>
    <row r="82" spans="1:3">
      <c r="A82" s="200">
        <f t="shared" si="0"/>
        <v>41.508847733578186</v>
      </c>
      <c r="B82" s="158">
        <f>C82/($C$5/60)*$C$4*$F$4*$C$6</f>
        <v>5522.0869565217399</v>
      </c>
      <c r="C82" s="158">
        <v>6.3</v>
      </c>
    </row>
    <row r="83" spans="1:3">
      <c r="A83" s="200">
        <f t="shared" si="0"/>
        <v>40.935864634088396</v>
      </c>
      <c r="B83" s="158">
        <f>C83/($C$5/60)*$C$4*$F$4*$C$6</f>
        <v>5609.739130434783</v>
      </c>
      <c r="C83" s="158">
        <v>6.4</v>
      </c>
    </row>
    <row r="84" spans="1:3">
      <c r="A84" s="200">
        <f t="shared" si="0"/>
        <v>40.380511783813667</v>
      </c>
      <c r="B84" s="158">
        <f>C84/($C$5/60)*$C$4*$F$4*$C$6</f>
        <v>5697.3913043478269</v>
      </c>
      <c r="C84" s="158">
        <v>6.5</v>
      </c>
    </row>
    <row r="85" spans="1:3">
      <c r="A85" s="200">
        <f t="shared" si="0"/>
        <v>39.841987807789693</v>
      </c>
      <c r="B85" s="158">
        <f>C85/($C$5/60)*$C$4*$F$4*$C$6</f>
        <v>5785.0434782608691</v>
      </c>
      <c r="C85" s="158">
        <v>6.6</v>
      </c>
    </row>
    <row r="86" spans="1:3">
      <c r="A86" s="200">
        <f t="shared" si="0"/>
        <v>39.319539174333599</v>
      </c>
      <c r="B86" s="158">
        <f>C86/($C$5/60)*$C$4*$F$4*$C$6</f>
        <v>5872.695652173913</v>
      </c>
      <c r="C86" s="158">
        <v>6.7</v>
      </c>
    </row>
    <row r="87" spans="1:3">
      <c r="A87" s="200">
        <f t="shared" si="0"/>
        <v>38.812456677155623</v>
      </c>
      <c r="B87" s="158">
        <f>C87/($C$5/60)*$C$4*$F$4*$C$6</f>
        <v>5960.347826086956</v>
      </c>
      <c r="C87" s="158">
        <v>6.8</v>
      </c>
    </row>
    <row r="88" spans="1:3">
      <c r="A88" s="200">
        <f t="shared" si="0"/>
        <v>38.320072223374105</v>
      </c>
      <c r="B88" s="158">
        <f>C88/($C$5/60)*$C$4*$F$4*$C$6</f>
        <v>6048</v>
      </c>
      <c r="C88" s="158">
        <v>6.9</v>
      </c>
    </row>
    <row r="89" spans="1:3">
      <c r="A89" s="200">
        <f t="shared" si="0"/>
        <v>37.841755896843495</v>
      </c>
      <c r="B89" s="158">
        <f>C89/($C$5/60)*$C$4*$F$4*$C$6</f>
        <v>6135.652173913044</v>
      </c>
      <c r="C89" s="158">
        <v>7</v>
      </c>
    </row>
    <row r="90" spans="1:3">
      <c r="A90" s="200">
        <f t="shared" si="0"/>
        <v>37.376913269651773</v>
      </c>
      <c r="B90" s="158">
        <f>C90/($C$5/60)*$C$4*$F$4*$C$6</f>
        <v>6223.304347826087</v>
      </c>
      <c r="C90" s="158">
        <v>7.1</v>
      </c>
    </row>
    <row r="91" spans="1:3">
      <c r="A91" s="200">
        <f t="shared" si="0"/>
        <v>36.92498293765982</v>
      </c>
      <c r="B91" s="158">
        <f>C91/($C$5/60)*$C$4*$F$4*$C$6</f>
        <v>6310.9565217391309</v>
      </c>
      <c r="C91" s="158">
        <v>7.2</v>
      </c>
    </row>
    <row r="92" spans="1:3">
      <c r="A92" s="200">
        <f t="shared" si="0"/>
        <v>36.485434258599156</v>
      </c>
      <c r="B92" s="158">
        <f>C92/($C$5/60)*$C$4*$F$4*$C$6</f>
        <v>6398.608695652174</v>
      </c>
      <c r="C92" s="158">
        <v>7.3</v>
      </c>
    </row>
    <row r="93" spans="1:3">
      <c r="A93" s="200">
        <f t="shared" ref="A93:A115" si="1">($C$22+$B$24*B93)/B93</f>
        <v>36.057765273567199</v>
      </c>
      <c r="B93" s="158">
        <f>C93/($C$5/60)*$C$4*$F$4*$C$6</f>
        <v>6486.2608695652088</v>
      </c>
      <c r="C93" s="158">
        <v>7.3999999999999897</v>
      </c>
    </row>
    <row r="94" spans="1:3">
      <c r="A94" s="200">
        <f t="shared" si="1"/>
        <v>35.641500794802724</v>
      </c>
      <c r="B94" s="158">
        <f>C94/($C$5/60)*$C$4*$F$4*$C$6</f>
        <v>6573.9130434782528</v>
      </c>
      <c r="C94" s="158">
        <v>7.4999999999999902</v>
      </c>
    </row>
    <row r="95" spans="1:3">
      <c r="A95" s="200">
        <f t="shared" si="1"/>
        <v>35.236190644426777</v>
      </c>
      <c r="B95" s="158">
        <f>C95/($C$5/60)*$C$4*$F$4*$C$6</f>
        <v>6661.5652173912958</v>
      </c>
      <c r="C95" s="158">
        <v>7.5999999999999899</v>
      </c>
    </row>
    <row r="96" spans="1:3">
      <c r="A96" s="200">
        <f t="shared" si="1"/>
        <v>34.84140803042424</v>
      </c>
      <c r="B96" s="158">
        <f>C96/($C$5/60)*$C$4*$F$4*$C$6</f>
        <v>6749.2173913043389</v>
      </c>
      <c r="C96" s="158">
        <v>7.6999999999999904</v>
      </c>
    </row>
    <row r="97" spans="1:3">
      <c r="A97" s="200">
        <f t="shared" si="1"/>
        <v>34.456748047549972</v>
      </c>
      <c r="B97" s="158">
        <f>C97/($C$5/60)*$C$4*$F$4*$C$6</f>
        <v>6836.8695652173819</v>
      </c>
      <c r="C97" s="158">
        <v>7.7999999999999901</v>
      </c>
    </row>
    <row r="98" spans="1:3">
      <c r="A98" s="200">
        <f t="shared" si="1"/>
        <v>34.081826292090234</v>
      </c>
      <c r="B98" s="158">
        <f>C98/($C$5/60)*$C$4*$F$4*$C$6</f>
        <v>6924.5217391304268</v>
      </c>
      <c r="C98" s="158">
        <v>7.8999999999999897</v>
      </c>
    </row>
    <row r="99" spans="1:3">
      <c r="A99" s="200">
        <f t="shared" si="1"/>
        <v>33.716277580517001</v>
      </c>
      <c r="B99" s="158">
        <f>C99/($C$5/60)*$C$4*$F$4*$C$6</f>
        <v>7012.1739130434698</v>
      </c>
      <c r="C99" s="158">
        <v>7.9999999999999902</v>
      </c>
    </row>
    <row r="100" spans="1:3">
      <c r="A100" s="200">
        <f t="shared" si="1"/>
        <v>33.359754763056678</v>
      </c>
      <c r="B100" s="158">
        <f>C100/($C$5/60)*$C$4*$F$4*$C$6</f>
        <v>7099.8260869565147</v>
      </c>
      <c r="C100" s="158">
        <v>8.0999999999999908</v>
      </c>
    </row>
    <row r="101" spans="1:3">
      <c r="A101" s="200">
        <f t="shared" si="1"/>
        <v>33.011927624071006</v>
      </c>
      <c r="B101" s="158">
        <f>C101/($C$5/60)*$C$4*$F$4*$C$6</f>
        <v>7187.4782608695568</v>
      </c>
      <c r="C101" s="158">
        <v>8.1999999999999904</v>
      </c>
    </row>
    <row r="102" spans="1:3">
      <c r="A102" s="200">
        <f t="shared" si="1"/>
        <v>32.672481861928361</v>
      </c>
      <c r="B102" s="158">
        <f>C102/($C$5/60)*$C$4*$F$4*$C$6</f>
        <v>7275.1304347825999</v>
      </c>
      <c r="C102" s="158">
        <v>8.2999999999999901</v>
      </c>
    </row>
    <row r="103" spans="1:3">
      <c r="A103" s="200">
        <f t="shared" si="1"/>
        <v>32.341118141741489</v>
      </c>
      <c r="B103" s="158">
        <f>C103/($C$5/60)*$C$4*$F$4*$C$6</f>
        <v>7362.7826086956429</v>
      </c>
      <c r="C103" s="158">
        <v>8.3999999999999897</v>
      </c>
    </row>
    <row r="104" spans="1:3">
      <c r="A104" s="200">
        <f t="shared" si="1"/>
        <v>32.01755121497078</v>
      </c>
      <c r="B104" s="158">
        <f>C104/($C$5/60)*$C$4*$F$4*$C$6</f>
        <v>7450.434782608686</v>
      </c>
      <c r="C104" s="158">
        <v>8.4999999999999893</v>
      </c>
    </row>
    <row r="105" spans="1:3">
      <c r="A105" s="200">
        <f t="shared" si="1"/>
        <v>31.701509100450544</v>
      </c>
      <c r="B105" s="158">
        <f>C105/($C$5/60)*$C$4*$F$4*$C$6</f>
        <v>7538.0869565217326</v>
      </c>
      <c r="C105" s="158">
        <v>8.5999999999999908</v>
      </c>
    </row>
    <row r="106" spans="1:3">
      <c r="A106" s="200">
        <f t="shared" si="1"/>
        <v>31.3927323218963</v>
      </c>
      <c r="B106" s="158">
        <f>C106/($C$5/60)*$C$4*$F$4*$C$6</f>
        <v>7625.7391304347757</v>
      </c>
      <c r="C106" s="158">
        <v>8.6999999999999904</v>
      </c>
    </row>
    <row r="107" spans="1:3">
      <c r="A107" s="200">
        <f t="shared" si="1"/>
        <v>31.090973197400114</v>
      </c>
      <c r="B107" s="158">
        <f>C107/($C$5/60)*$C$4*$F$4*$C$6</f>
        <v>7713.3913043478169</v>
      </c>
      <c r="C107" s="158">
        <v>8.7999999999999901</v>
      </c>
    </row>
    <row r="108" spans="1:3">
      <c r="A108" s="200">
        <f t="shared" si="1"/>
        <v>30.79599517682518</v>
      </c>
      <c r="B108" s="158">
        <f>C108/($C$5/60)*$C$4*$F$4*$C$6</f>
        <v>7801.0434782608618</v>
      </c>
      <c r="C108" s="158">
        <v>8.8999999999999897</v>
      </c>
    </row>
    <row r="109" spans="1:3">
      <c r="A109" s="200">
        <f t="shared" si="1"/>
        <v>30.507572223374137</v>
      </c>
      <c r="B109" s="158">
        <f>C109/($C$5/60)*$C$4*$F$4*$C$6</f>
        <v>7888.6956521739039</v>
      </c>
      <c r="C109" s="158">
        <v>8.9999999999999893</v>
      </c>
    </row>
    <row r="110" spans="1:3">
      <c r="A110" s="200">
        <f t="shared" si="1"/>
        <v>30.225488235933003</v>
      </c>
      <c r="B110" s="158">
        <f>C110/($C$5/60)*$C$4*$F$4*$C$6</f>
        <v>7976.3478260869488</v>
      </c>
      <c r="C110" s="158">
        <v>9.0999999999999908</v>
      </c>
    </row>
    <row r="111" spans="1:3">
      <c r="A111" s="200">
        <f t="shared" si="1"/>
        <v>29.949536509088428</v>
      </c>
      <c r="B111" s="158">
        <f>C111/($C$5/60)*$C$4*$F$4*$C$6</f>
        <v>8063.99999999999</v>
      </c>
      <c r="C111" s="158">
        <v>9.1999999999999904</v>
      </c>
    </row>
    <row r="112" spans="1:3">
      <c r="A112" s="200">
        <f t="shared" si="1"/>
        <v>29.679519227982436</v>
      </c>
      <c r="B112" s="158">
        <f>C112/($C$5/60)*$C$4*$F$4*$C$6</f>
        <v>8151.652173913033</v>
      </c>
      <c r="C112" s="158">
        <v>9.2999999999999901</v>
      </c>
    </row>
    <row r="113" spans="1:3">
      <c r="A113" s="200">
        <f t="shared" si="1"/>
        <v>29.415246995410609</v>
      </c>
      <c r="B113" s="158">
        <f>C113/($C$5/60)*$C$4*$F$4*$C$6</f>
        <v>8239.3043478260788</v>
      </c>
      <c r="C113" s="158">
        <v>9.3999999999999897</v>
      </c>
    </row>
    <row r="114" spans="1:3">
      <c r="A114" s="200">
        <f t="shared" si="1"/>
        <v>29.15653838878767</v>
      </c>
      <c r="B114" s="158">
        <f>C114/($C$5/60)*$C$4*$F$4*$C$6</f>
        <v>8326.9565217391209</v>
      </c>
      <c r="C114" s="158">
        <v>9.4999999999999893</v>
      </c>
    </row>
    <row r="115" spans="1:3">
      <c r="A115" s="200">
        <f t="shared" si="1"/>
        <v>28.903219544802703</v>
      </c>
      <c r="B115" s="158">
        <f>C115/($C$5/60)*$C$4*$F$4*$C$6</f>
        <v>8414.6086956521667</v>
      </c>
      <c r="C115" s="158">
        <v>9.5999999999999908</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552C1-9FFF-4781-8C6C-169DEAF05888}">
  <dimension ref="A3:H115"/>
  <sheetViews>
    <sheetView zoomScale="180" zoomScaleNormal="180" workbookViewId="0">
      <selection activeCell="B28" sqref="B28"/>
    </sheetView>
  </sheetViews>
  <sheetFormatPr defaultColWidth="10.85546875" defaultRowHeight="15.75"/>
  <cols>
    <col min="1" max="1" width="23.85546875" style="158" customWidth="1"/>
    <col min="2" max="2" width="12.7109375" style="158" bestFit="1" customWidth="1"/>
    <col min="3" max="3" width="15.28515625" style="158" bestFit="1" customWidth="1"/>
    <col min="4" max="4" width="9.140625" style="158"/>
    <col min="5" max="5" width="26.140625" style="158" customWidth="1"/>
    <col min="6" max="6" width="9.140625" style="158"/>
    <col min="7" max="7" width="12.42578125" style="158" bestFit="1" customWidth="1"/>
    <col min="8" max="8" width="17.140625" style="158" customWidth="1"/>
    <col min="9" max="16384" width="10.85546875" style="158"/>
  </cols>
  <sheetData>
    <row r="3" spans="1:7">
      <c r="A3" s="161"/>
      <c r="B3" s="162" t="s">
        <v>1544</v>
      </c>
      <c r="C3" s="163" t="s">
        <v>1545</v>
      </c>
      <c r="E3" s="159" t="s">
        <v>1546</v>
      </c>
    </row>
    <row r="4" spans="1:7">
      <c r="A4" s="164" t="s">
        <v>1547</v>
      </c>
      <c r="B4" s="200">
        <v>7.7</v>
      </c>
      <c r="C4" s="165">
        <v>7</v>
      </c>
      <c r="E4" s="158" t="s">
        <v>1548</v>
      </c>
      <c r="F4" s="158">
        <v>300</v>
      </c>
    </row>
    <row r="5" spans="1:7">
      <c r="A5" s="164" t="s">
        <v>1096</v>
      </c>
      <c r="B5" s="158">
        <v>82</v>
      </c>
      <c r="C5" s="165">
        <v>115</v>
      </c>
      <c r="E5" s="158" t="s">
        <v>1515</v>
      </c>
      <c r="F5" s="158">
        <v>110</v>
      </c>
    </row>
    <row r="6" spans="1:7">
      <c r="A6" s="164" t="s">
        <v>858</v>
      </c>
      <c r="B6" s="168">
        <v>0.63100000000000001</v>
      </c>
      <c r="C6" s="169">
        <v>0.8</v>
      </c>
      <c r="E6" s="158" t="s">
        <v>1549</v>
      </c>
      <c r="F6" s="206">
        <v>0.1</v>
      </c>
    </row>
    <row r="7" spans="1:7">
      <c r="A7" s="164" t="s">
        <v>671</v>
      </c>
      <c r="B7" s="166">
        <v>4.0999999999999996</v>
      </c>
      <c r="C7" s="167">
        <v>6</v>
      </c>
    </row>
    <row r="8" spans="1:7">
      <c r="A8" s="164" t="s">
        <v>701</v>
      </c>
      <c r="B8" s="166">
        <f>B7*60/(B5)</f>
        <v>2.9999999999999996</v>
      </c>
      <c r="C8" s="199">
        <f>C7*60/(C5)</f>
        <v>3.1304347826086958</v>
      </c>
    </row>
    <row r="9" spans="1:7">
      <c r="A9" s="164" t="s">
        <v>1550</v>
      </c>
      <c r="B9" s="171">
        <f>$B$4*$B$8*$F$4*$B$6</f>
        <v>4372.829999999999</v>
      </c>
      <c r="C9" s="172">
        <f>C4*C8*F4*$C$6</f>
        <v>5259.130434782609</v>
      </c>
    </row>
    <row r="10" spans="1:7">
      <c r="A10" s="164"/>
      <c r="C10" s="173"/>
    </row>
    <row r="11" spans="1:7">
      <c r="A11" s="164"/>
      <c r="C11" s="173"/>
    </row>
    <row r="12" spans="1:7">
      <c r="A12" s="174" t="s">
        <v>1551</v>
      </c>
      <c r="D12" s="180"/>
      <c r="E12" s="162" t="s">
        <v>1552</v>
      </c>
      <c r="F12" s="180"/>
      <c r="G12" s="181"/>
    </row>
    <row r="13" spans="1:7">
      <c r="A13" s="164"/>
      <c r="B13" s="171"/>
      <c r="C13" s="171"/>
      <c r="F13" s="171"/>
      <c r="G13" s="182"/>
    </row>
    <row r="14" spans="1:7">
      <c r="A14" s="164" t="s">
        <v>1117</v>
      </c>
      <c r="B14" s="158">
        <v>425</v>
      </c>
      <c r="C14" s="187">
        <f>ROUNDUP(B15/C9,0)</f>
        <v>354</v>
      </c>
      <c r="E14" s="158" t="s">
        <v>1117</v>
      </c>
      <c r="F14" s="158">
        <v>1</v>
      </c>
      <c r="G14" s="182">
        <v>1</v>
      </c>
    </row>
    <row r="15" spans="1:7">
      <c r="A15" s="164" t="s">
        <v>380</v>
      </c>
      <c r="B15" s="175">
        <f>B14*B9</f>
        <v>1858452.7499999995</v>
      </c>
      <c r="C15" s="175">
        <f>C14*C9</f>
        <v>1861732.1739130437</v>
      </c>
      <c r="E15" s="158" t="s">
        <v>380</v>
      </c>
      <c r="F15" s="175">
        <f>F14*B9</f>
        <v>4372.829999999999</v>
      </c>
      <c r="G15" s="183">
        <f>G14*C9</f>
        <v>5259.130434782609</v>
      </c>
    </row>
    <row r="16" spans="1:7">
      <c r="A16" s="164" t="s">
        <v>1553</v>
      </c>
      <c r="B16" s="176">
        <f>B21/B9</f>
        <v>38.095238095238102</v>
      </c>
      <c r="C16" s="176">
        <f>($C$22+$B$24*C9)/C9</f>
        <v>37.453234126984135</v>
      </c>
      <c r="E16" s="158" t="s">
        <v>1554</v>
      </c>
      <c r="F16" s="184">
        <v>35.5</v>
      </c>
      <c r="G16" s="185">
        <v>35.5</v>
      </c>
    </row>
    <row r="17" spans="1:8">
      <c r="A17" s="164" t="s">
        <v>1124</v>
      </c>
      <c r="C17" s="188">
        <f>(B16-C16)*C15</f>
        <v>1195239.4434782581</v>
      </c>
      <c r="E17" s="158" t="s">
        <v>1124</v>
      </c>
      <c r="G17" s="177">
        <f>(G15-F15)*G16</f>
        <v>31463.665434782655</v>
      </c>
      <c r="H17" s="207"/>
    </row>
    <row r="18" spans="1:8">
      <c r="A18" s="178"/>
      <c r="B18" s="179"/>
      <c r="C18" s="189"/>
      <c r="D18" s="179"/>
      <c r="E18" s="179"/>
      <c r="F18" s="179"/>
      <c r="G18" s="186"/>
    </row>
    <row r="20" spans="1:8">
      <c r="A20" s="205" t="s">
        <v>1555</v>
      </c>
      <c r="B20" s="205" t="s">
        <v>1544</v>
      </c>
      <c r="C20" s="205" t="s">
        <v>1545</v>
      </c>
    </row>
    <row r="21" spans="1:8">
      <c r="A21" s="201" t="s">
        <v>1556</v>
      </c>
      <c r="B21" s="202">
        <f>F4*B6*8*F5</f>
        <v>166584</v>
      </c>
      <c r="C21" s="203">
        <f>SUM(C22:C23)</f>
        <v>196971.44347826092</v>
      </c>
    </row>
    <row r="22" spans="1:8">
      <c r="A22" s="201" t="s">
        <v>1557</v>
      </c>
      <c r="B22" s="202">
        <f>B21*$F$6</f>
        <v>16658.400000000001</v>
      </c>
      <c r="C22" s="203">
        <f>B22</f>
        <v>16658.400000000001</v>
      </c>
    </row>
    <row r="23" spans="1:8">
      <c r="A23" s="201" t="s">
        <v>1558</v>
      </c>
      <c r="B23" s="202">
        <f>B21*(1-$F$6)</f>
        <v>149925.6</v>
      </c>
      <c r="C23" s="204">
        <f>C9*B24</f>
        <v>180313.04347826092</v>
      </c>
    </row>
    <row r="24" spans="1:8">
      <c r="A24" s="201" t="s">
        <v>1559</v>
      </c>
      <c r="B24" s="204">
        <f>B23/B9</f>
        <v>34.285714285714292</v>
      </c>
      <c r="C24" s="204">
        <f>B24</f>
        <v>34.285714285714292</v>
      </c>
    </row>
    <row r="25" spans="1:8">
      <c r="A25" s="201" t="s">
        <v>1560</v>
      </c>
      <c r="B25" s="204">
        <f>B21/B9</f>
        <v>38.095238095238102</v>
      </c>
      <c r="C25" s="204">
        <f>C21/C9</f>
        <v>37.453234126984135</v>
      </c>
    </row>
    <row r="27" spans="1:8">
      <c r="A27" s="158" t="s">
        <v>1553</v>
      </c>
      <c r="B27" s="158" t="s">
        <v>1055</v>
      </c>
      <c r="C27" s="158" t="s">
        <v>671</v>
      </c>
    </row>
    <row r="28" spans="1:8">
      <c r="A28" s="200">
        <f>($C$22+$B$24*B28)/B28</f>
        <v>53.290833333333715</v>
      </c>
      <c r="B28" s="158">
        <f>C29/($C$5/60)*$C$4*$F$4*$C$6</f>
        <v>876.52173913041736</v>
      </c>
      <c r="C28" s="158">
        <v>0.89999999999998004</v>
      </c>
    </row>
    <row r="29" spans="1:8">
      <c r="A29" s="200">
        <f t="shared" ref="A29:A92" si="0">($C$22+$B$24*B29)/B29</f>
        <v>51.563095238095563</v>
      </c>
      <c r="B29" s="158">
        <f>C30/($C$5/60)*$C$4*$F$4*$C$6</f>
        <v>964.17391304346074</v>
      </c>
      <c r="C29" s="158">
        <v>0.99999999999998002</v>
      </c>
    </row>
    <row r="30" spans="1:8">
      <c r="A30" s="200">
        <f t="shared" si="0"/>
        <v>50.123313492063765</v>
      </c>
      <c r="B30" s="158">
        <f>C31/($C$5/60)*$C$4*$F$4*$C$6</f>
        <v>1051.8260869565042</v>
      </c>
      <c r="C30" s="158">
        <v>1.0999999999999801</v>
      </c>
    </row>
    <row r="31" spans="1:8">
      <c r="A31" s="200">
        <f t="shared" si="0"/>
        <v>48.905036630036868</v>
      </c>
      <c r="B31" s="158">
        <f>C32/($C$5/60)*$C$4*$F$4*$C$6</f>
        <v>1139.4782608695475</v>
      </c>
      <c r="C31" s="158">
        <v>1.19999999999998</v>
      </c>
    </row>
    <row r="32" spans="1:8">
      <c r="A32" s="200">
        <f t="shared" si="0"/>
        <v>47.860799319728095</v>
      </c>
      <c r="B32" s="158">
        <f>C33/($C$5/60)*$C$4*$F$4*$C$6</f>
        <v>1227.130434782591</v>
      </c>
      <c r="C32" s="158">
        <v>1.2999999999999801</v>
      </c>
    </row>
    <row r="33" spans="1:3">
      <c r="A33" s="200">
        <f t="shared" si="0"/>
        <v>46.955793650793822</v>
      </c>
      <c r="B33" s="158">
        <f>C34/($C$5/60)*$C$4*$F$4*$C$6</f>
        <v>1314.7826086956347</v>
      </c>
      <c r="C33" s="158">
        <v>1.3999999999999799</v>
      </c>
    </row>
    <row r="34" spans="1:3">
      <c r="A34" s="200">
        <f t="shared" si="0"/>
        <v>46.163913690476349</v>
      </c>
      <c r="B34" s="158">
        <f>C35/($C$5/60)*$C$4*$F$4*$C$6</f>
        <v>1402.4347826086782</v>
      </c>
      <c r="C34" s="158">
        <v>1.49999999999998</v>
      </c>
    </row>
    <row r="35" spans="1:3">
      <c r="A35" s="200">
        <f t="shared" si="0"/>
        <v>45.465196078431511</v>
      </c>
      <c r="B35" s="158">
        <f>C36/($C$5/60)*$C$4*$F$4*$C$6</f>
        <v>1490.0869565217217</v>
      </c>
      <c r="C35" s="158">
        <v>1.5999999999999801</v>
      </c>
    </row>
    <row r="36" spans="1:3">
      <c r="A36" s="200">
        <f t="shared" si="0"/>
        <v>44.844113756613886</v>
      </c>
      <c r="B36" s="158">
        <f>C37/($C$5/60)*$C$4*$F$4*$C$6</f>
        <v>1577.7391304347652</v>
      </c>
      <c r="C36" s="158">
        <v>1.69999999999998</v>
      </c>
    </row>
    <row r="37" spans="1:3">
      <c r="A37" s="200">
        <f t="shared" si="0"/>
        <v>44.288408521303374</v>
      </c>
      <c r="B37" s="158">
        <f>C38/($C$5/60)*$C$4*$F$4*$C$6</f>
        <v>1665.3913043478087</v>
      </c>
      <c r="C37" s="158">
        <v>1.7999999999999801</v>
      </c>
    </row>
    <row r="38" spans="1:3">
      <c r="A38" s="200">
        <f t="shared" si="0"/>
        <v>43.788273809523908</v>
      </c>
      <c r="B38" s="158">
        <f>C39/($C$5/60)*$C$4*$F$4*$C$6</f>
        <v>1753.0434782608522</v>
      </c>
      <c r="C38" s="158">
        <v>1.8999999999999799</v>
      </c>
    </row>
    <row r="39" spans="1:3">
      <c r="A39" s="200">
        <f t="shared" si="0"/>
        <v>43.335770975056782</v>
      </c>
      <c r="B39" s="158">
        <f>C40/($C$5/60)*$C$4*$F$4*$C$6</f>
        <v>1840.6956521738957</v>
      </c>
      <c r="C39" s="158">
        <v>1.99999999999998</v>
      </c>
    </row>
    <row r="40" spans="1:3">
      <c r="A40" s="200">
        <f t="shared" si="0"/>
        <v>42.924404761904846</v>
      </c>
      <c r="B40" s="158">
        <f>C41/($C$5/60)*$C$4*$F$4*$C$6</f>
        <v>1928.347826086939</v>
      </c>
      <c r="C40" s="158">
        <v>2.0999999999999801</v>
      </c>
    </row>
    <row r="41" spans="1:3">
      <c r="A41" s="200">
        <f t="shared" si="0"/>
        <v>42.548809523809595</v>
      </c>
      <c r="B41" s="158">
        <f>C42/($C$5/60)*$C$4*$F$4*$C$6</f>
        <v>2015.9999999999827</v>
      </c>
      <c r="C41" s="158">
        <v>2.1999999999999802</v>
      </c>
    </row>
    <row r="42" spans="1:3">
      <c r="A42" s="200">
        <f t="shared" si="0"/>
        <v>42.204513888888968</v>
      </c>
      <c r="B42" s="158">
        <f>C43/($C$5/60)*$C$4*$F$4*$C$6</f>
        <v>2103.6521739130258</v>
      </c>
      <c r="C42" s="158">
        <v>2.2999999999999798</v>
      </c>
    </row>
    <row r="43" spans="1:3">
      <c r="A43" s="200">
        <f t="shared" si="0"/>
        <v>41.88776190476198</v>
      </c>
      <c r="B43" s="158">
        <f>C44/($C$5/60)*$C$4*$F$4*$C$6</f>
        <v>2191.3043478260693</v>
      </c>
      <c r="C43" s="158">
        <v>2.3999999999999799</v>
      </c>
    </row>
    <row r="44" spans="1:3">
      <c r="A44" s="200">
        <f t="shared" si="0"/>
        <v>41.595375457875527</v>
      </c>
      <c r="B44" s="158">
        <f>C45/($C$5/60)*$C$4*$F$4*$C$6</f>
        <v>2278.9565217391128</v>
      </c>
      <c r="C44" s="158">
        <v>2.49999999999998</v>
      </c>
    </row>
    <row r="45" spans="1:3">
      <c r="A45" s="200">
        <f t="shared" si="0"/>
        <v>41.324647266313988</v>
      </c>
      <c r="B45" s="158">
        <f>C46/($C$5/60)*$C$4*$F$4*$C$6</f>
        <v>2366.6086956521567</v>
      </c>
      <c r="C45" s="158">
        <v>2.5999999999999801</v>
      </c>
    </row>
    <row r="46" spans="1:3">
      <c r="A46" s="200">
        <f t="shared" si="0"/>
        <v>41.073256802721147</v>
      </c>
      <c r="B46" s="158">
        <f>C47/($C$5/60)*$C$4*$F$4*$C$6</f>
        <v>2454.2608695651993</v>
      </c>
      <c r="C46" s="158">
        <v>2.6999999999999802</v>
      </c>
    </row>
    <row r="47" spans="1:3">
      <c r="A47" s="200">
        <f t="shared" si="0"/>
        <v>40.83920361247953</v>
      </c>
      <c r="B47" s="158">
        <f>C48/($C$5/60)*$C$4*$F$4*$C$6</f>
        <v>2541.9130434782437</v>
      </c>
      <c r="C47" s="158">
        <v>2.7999999999999798</v>
      </c>
    </row>
    <row r="48" spans="1:3">
      <c r="A48" s="200">
        <f t="shared" si="0"/>
        <v>40.620753968254014</v>
      </c>
      <c r="B48" s="158">
        <f>C49/($C$5/60)*$C$4*$F$4*$C$6</f>
        <v>2629.5652173912868</v>
      </c>
      <c r="C48" s="158">
        <v>2.8999999999999799</v>
      </c>
    </row>
    <row r="49" spans="1:3">
      <c r="A49" s="200">
        <f t="shared" si="0"/>
        <v>40.416397849462413</v>
      </c>
      <c r="B49" s="158">
        <f>C50/($C$5/60)*$C$4*$F$4*$C$6</f>
        <v>2717.2173913043302</v>
      </c>
      <c r="C49" s="158">
        <v>2.99999999999998</v>
      </c>
    </row>
    <row r="50" spans="1:3">
      <c r="A50" s="200">
        <f t="shared" si="0"/>
        <v>40.224813988095264</v>
      </c>
      <c r="B50" s="158">
        <f>C51/($C$5/60)*$C$4*$F$4*$C$6</f>
        <v>2804.8695652173828</v>
      </c>
      <c r="C50" s="158">
        <v>3.0999999999999801</v>
      </c>
    </row>
    <row r="51" spans="1:3">
      <c r="A51" s="200">
        <f t="shared" si="0"/>
        <v>40.044841269841299</v>
      </c>
      <c r="B51" s="158">
        <f>C52/($C$5/60)*$C$4*$F$4*$C$6</f>
        <v>2892.5217391304263</v>
      </c>
      <c r="C51" s="158">
        <v>3.19999999999999</v>
      </c>
    </row>
    <row r="52" spans="1:3">
      <c r="A52" s="200">
        <f t="shared" si="0"/>
        <v>39.875455182072855</v>
      </c>
      <c r="B52" s="158">
        <f>C53/($C$5/60)*$C$4*$F$4*$C$6</f>
        <v>2980.1739130434698</v>
      </c>
      <c r="C52" s="158">
        <v>3.2999999999999901</v>
      </c>
    </row>
    <row r="53" spans="1:3">
      <c r="A53" s="200">
        <f t="shared" si="0"/>
        <v>39.715748299319749</v>
      </c>
      <c r="B53" s="158">
        <f>C54/($C$5/60)*$C$4*$F$4*$C$6</f>
        <v>3067.8260869565129</v>
      </c>
      <c r="C53" s="158">
        <v>3.3999999999999901</v>
      </c>
    </row>
    <row r="54" spans="1:3">
      <c r="A54" s="200">
        <f t="shared" si="0"/>
        <v>39.564914021164036</v>
      </c>
      <c r="B54" s="158">
        <f>C55/($C$5/60)*$C$4*$F$4*$C$6</f>
        <v>3155.4782608695568</v>
      </c>
      <c r="C54" s="158">
        <v>3.4999999999999898</v>
      </c>
    </row>
    <row r="55" spans="1:3">
      <c r="A55" s="200">
        <f t="shared" si="0"/>
        <v>39.42223294723297</v>
      </c>
      <c r="B55" s="158">
        <f>C56/($C$5/60)*$C$4*$F$4*$C$6</f>
        <v>3243.1304347825999</v>
      </c>
      <c r="C55" s="158">
        <v>3.5999999999999899</v>
      </c>
    </row>
    <row r="56" spans="1:3">
      <c r="A56" s="200">
        <f t="shared" si="0"/>
        <v>39.287061403508794</v>
      </c>
      <c r="B56" s="158">
        <f>C57/($C$5/60)*$C$4*$F$4*$C$6</f>
        <v>3330.7826086956434</v>
      </c>
      <c r="C56" s="158">
        <v>3.69999999999999</v>
      </c>
    </row>
    <row r="57" spans="1:3">
      <c r="A57" s="200">
        <f t="shared" si="0"/>
        <v>39.158821733821753</v>
      </c>
      <c r="B57" s="158">
        <f>C58/($C$5/60)*$C$4*$F$4*$C$6</f>
        <v>3418.4347826086873</v>
      </c>
      <c r="C57" s="158">
        <v>3.7999999999999901</v>
      </c>
    </row>
    <row r="58" spans="1:3">
      <c r="A58" s="200">
        <f t="shared" si="0"/>
        <v>39.036994047619068</v>
      </c>
      <c r="B58" s="158">
        <f>C59/($C$5/60)*$C$4*$F$4*$C$6</f>
        <v>3506.0869565217299</v>
      </c>
      <c r="C58" s="158">
        <v>3.8999999999999901</v>
      </c>
    </row>
    <row r="59" spans="1:3">
      <c r="A59" s="200">
        <f t="shared" si="0"/>
        <v>38.921109175377481</v>
      </c>
      <c r="B59" s="158">
        <f>C60/($C$5/60)*$C$4*$F$4*$C$6</f>
        <v>3593.7391304347739</v>
      </c>
      <c r="C59" s="158">
        <v>3.9999999999999898</v>
      </c>
    </row>
    <row r="60" spans="1:3">
      <c r="A60" s="200">
        <f t="shared" si="0"/>
        <v>38.810742630385505</v>
      </c>
      <c r="B60" s="158">
        <f>C61/($C$5/60)*$C$4*$F$4*$C$6</f>
        <v>3681.3913043478178</v>
      </c>
      <c r="C60" s="158">
        <v>4.0999999999999899</v>
      </c>
    </row>
    <row r="61" spans="1:3">
      <c r="A61" s="200">
        <f t="shared" si="0"/>
        <v>38.705509413067574</v>
      </c>
      <c r="B61" s="158">
        <f>C62/($C$5/60)*$C$4*$F$4*$C$6</f>
        <v>3769.0434782608604</v>
      </c>
      <c r="C61" s="158">
        <v>4.1999999999999904</v>
      </c>
    </row>
    <row r="62" spans="1:3">
      <c r="A62" s="200">
        <f t="shared" si="0"/>
        <v>38.605059523809537</v>
      </c>
      <c r="B62" s="158">
        <f>C63/($C$5/60)*$C$4*$F$4*$C$6</f>
        <v>3856.6956521739044</v>
      </c>
      <c r="C62" s="158">
        <v>4.2999999999999901</v>
      </c>
    </row>
    <row r="63" spans="1:3">
      <c r="A63" s="200">
        <f t="shared" si="0"/>
        <v>38.509074074074086</v>
      </c>
      <c r="B63" s="158">
        <f>C64/($C$5/60)*$C$4*$F$4*$C$6</f>
        <v>3944.3478260869483</v>
      </c>
      <c r="C63" s="158">
        <v>4.3999999999999897</v>
      </c>
    </row>
    <row r="64" spans="1:3">
      <c r="A64" s="200">
        <f t="shared" si="0"/>
        <v>38.417261904761915</v>
      </c>
      <c r="B64" s="158">
        <f>C65/($C$5/60)*$C$4*$F$4*$C$6</f>
        <v>4031.9999999999909</v>
      </c>
      <c r="C64" s="158">
        <v>4.4999999999999902</v>
      </c>
    </row>
    <row r="65" spans="1:3">
      <c r="A65" s="200">
        <f t="shared" si="0"/>
        <v>38.329356636271548</v>
      </c>
      <c r="B65" s="158">
        <f>C66/($C$5/60)*$C$4*$F$4*$C$6</f>
        <v>4119.6521739130349</v>
      </c>
      <c r="C65" s="158">
        <v>4.5999999999999899</v>
      </c>
    </row>
    <row r="66" spans="1:3">
      <c r="A66" s="200">
        <f t="shared" si="0"/>
        <v>38.245114087301594</v>
      </c>
      <c r="B66" s="158">
        <f>C67/($C$5/60)*$C$4*$F$4*$C$6</f>
        <v>4207.304347826087</v>
      </c>
      <c r="C66" s="158">
        <v>4.6999999999999904</v>
      </c>
    </row>
    <row r="67" spans="1:3">
      <c r="A67" s="200">
        <f t="shared" si="0"/>
        <v>38.164310009718179</v>
      </c>
      <c r="B67" s="158">
        <f>C68/($C$5/60)*$C$4*$F$4*$C$6</f>
        <v>4294.9565217391309</v>
      </c>
      <c r="C67" s="158">
        <v>4.8</v>
      </c>
    </row>
    <row r="68" spans="1:3">
      <c r="A68" s="200">
        <f t="shared" si="0"/>
        <v>38.086738095238097</v>
      </c>
      <c r="B68" s="158">
        <f>C69/($C$5/60)*$C$4*$F$4*$C$6</f>
        <v>4382.608695652174</v>
      </c>
      <c r="C68" s="158">
        <v>4.9000000000000004</v>
      </c>
    </row>
    <row r="69" spans="1:3">
      <c r="A69" s="200">
        <f t="shared" si="0"/>
        <v>38.012208216619989</v>
      </c>
      <c r="B69" s="158">
        <f>C70/($C$5/60)*$C$4*$F$4*$C$6</f>
        <v>4470.2608695652179</v>
      </c>
      <c r="C69" s="158">
        <v>5</v>
      </c>
    </row>
    <row r="70" spans="1:3">
      <c r="A70" s="200">
        <f t="shared" si="0"/>
        <v>37.940544871794877</v>
      </c>
      <c r="B70" s="158">
        <f>C71/($C$5/60)*$C$4*$F$4*$C$6</f>
        <v>4557.913043478261</v>
      </c>
      <c r="C70" s="158">
        <v>5.0999999999999996</v>
      </c>
    </row>
    <row r="71" spans="1:3">
      <c r="A71" s="200">
        <f t="shared" si="0"/>
        <v>37.871585804132984</v>
      </c>
      <c r="B71" s="158">
        <f>C72/($C$5/60)*$C$4*$F$4*$C$6</f>
        <v>4645.565217391304</v>
      </c>
      <c r="C71" s="158">
        <v>5.2</v>
      </c>
    </row>
    <row r="72" spans="1:3">
      <c r="A72" s="200">
        <f t="shared" si="0"/>
        <v>37.805180776014112</v>
      </c>
      <c r="B72" s="158">
        <f>C73/($C$5/60)*$C$4*$F$4*$C$6</f>
        <v>4733.217391304348</v>
      </c>
      <c r="C72" s="158">
        <v>5.3</v>
      </c>
    </row>
    <row r="73" spans="1:3">
      <c r="A73" s="200">
        <f t="shared" si="0"/>
        <v>37.741190476190482</v>
      </c>
      <c r="B73" s="158">
        <f>C74/($C$5/60)*$C$4*$F$4*$C$6</f>
        <v>4820.869565217391</v>
      </c>
      <c r="C73" s="158">
        <v>5.4</v>
      </c>
    </row>
    <row r="74" spans="1:3">
      <c r="A74" s="200">
        <f t="shared" si="0"/>
        <v>37.679485544217691</v>
      </c>
      <c r="B74" s="158">
        <f>C75/($C$5/60)*$C$4*$F$4*$C$6</f>
        <v>4908.5217391304341</v>
      </c>
      <c r="C74" s="158">
        <v>5.5</v>
      </c>
    </row>
    <row r="75" spans="1:3">
      <c r="A75" s="200">
        <f t="shared" si="0"/>
        <v>37.619945697577279</v>
      </c>
      <c r="B75" s="158">
        <f>C76/($C$5/60)*$C$4*$F$4*$C$6</f>
        <v>4996.1739130434789</v>
      </c>
      <c r="C75" s="158">
        <v>5.6</v>
      </c>
    </row>
    <row r="76" spans="1:3">
      <c r="A76" s="200">
        <f t="shared" si="0"/>
        <v>38.921109175377481</v>
      </c>
      <c r="B76" s="158">
        <f>C77/($C$5/60)*$C$4*$F$4*$C$6</f>
        <v>3593.7391304347825</v>
      </c>
      <c r="C76" s="158">
        <v>5.7</v>
      </c>
    </row>
    <row r="77" spans="1:3">
      <c r="A77" s="200">
        <f t="shared" si="0"/>
        <v>37.506920903954807</v>
      </c>
      <c r="B77" s="158">
        <f>C78/($C$5/60)*$C$4*$F$4*$C$6</f>
        <v>5171.4782608695659</v>
      </c>
      <c r="C77" s="158">
        <f>B8*B5/60</f>
        <v>4.0999999999999996</v>
      </c>
    </row>
    <row r="78" spans="1:3">
      <c r="A78" s="200">
        <f t="shared" si="0"/>
        <v>37.453234126984135</v>
      </c>
      <c r="B78" s="158">
        <f>C79/($C$5/60)*$C$4*$F$4*$C$6</f>
        <v>5259.1304347826081</v>
      </c>
      <c r="C78" s="158">
        <v>5.9</v>
      </c>
    </row>
    <row r="79" spans="1:3">
      <c r="A79" s="200">
        <f t="shared" si="0"/>
        <v>37.453234126984135</v>
      </c>
      <c r="B79" s="158">
        <f>C79/($C$5/60)*$C$4*$F$4*$C$6</f>
        <v>5259.1304347826081</v>
      </c>
      <c r="C79" s="158">
        <v>6</v>
      </c>
    </row>
    <row r="80" spans="1:3">
      <c r="A80" s="200">
        <f t="shared" si="0"/>
        <v>37.40130757220922</v>
      </c>
      <c r="B80" s="158">
        <f>C80/($C$5/60)*$C$4*$F$4*$C$6</f>
        <v>5346.782608695652</v>
      </c>
      <c r="C80" s="158">
        <v>6.1</v>
      </c>
    </row>
    <row r="81" spans="1:3">
      <c r="A81" s="200">
        <f t="shared" si="0"/>
        <v>37.351056067588331</v>
      </c>
      <c r="B81" s="158">
        <f>C81/($C$5/60)*$C$4*$F$4*$C$6</f>
        <v>5434.434782608696</v>
      </c>
      <c r="C81" s="158">
        <v>6.2</v>
      </c>
    </row>
    <row r="82" spans="1:3">
      <c r="A82" s="200">
        <f t="shared" si="0"/>
        <v>37.302399848828422</v>
      </c>
      <c r="B82" s="158">
        <f>C82/($C$5/60)*$C$4*$F$4*$C$6</f>
        <v>5522.0869565217399</v>
      </c>
      <c r="C82" s="158">
        <v>6.3</v>
      </c>
    </row>
    <row r="83" spans="1:3">
      <c r="A83" s="200">
        <f t="shared" si="0"/>
        <v>37.255264136904763</v>
      </c>
      <c r="B83" s="158">
        <f>C83/($C$5/60)*$C$4*$F$4*$C$6</f>
        <v>5609.739130434783</v>
      </c>
      <c r="C83" s="158">
        <v>6.4</v>
      </c>
    </row>
    <row r="84" spans="1:3">
      <c r="A84" s="200">
        <f t="shared" si="0"/>
        <v>37.209578754578757</v>
      </c>
      <c r="B84" s="158">
        <f>C84/($C$5/60)*$C$4*$F$4*$C$6</f>
        <v>5697.3913043478269</v>
      </c>
      <c r="C84" s="158">
        <v>6.5</v>
      </c>
    </row>
    <row r="85" spans="1:3">
      <c r="A85" s="200">
        <f t="shared" si="0"/>
        <v>37.165277777777781</v>
      </c>
      <c r="B85" s="158">
        <f>C85/($C$5/60)*$C$4*$F$4*$C$6</f>
        <v>5785.0434782608691</v>
      </c>
      <c r="C85" s="158">
        <v>6.6</v>
      </c>
    </row>
    <row r="86" spans="1:3">
      <c r="A86" s="200">
        <f t="shared" si="0"/>
        <v>37.12229921819474</v>
      </c>
      <c r="B86" s="158">
        <f>C86/($C$5/60)*$C$4*$F$4*$C$6</f>
        <v>5872.695652173913</v>
      </c>
      <c r="C86" s="158">
        <v>6.7</v>
      </c>
    </row>
    <row r="87" spans="1:3">
      <c r="A87" s="200">
        <f t="shared" si="0"/>
        <v>37.080584733893566</v>
      </c>
      <c r="B87" s="158">
        <f>C87/($C$5/60)*$C$4*$F$4*$C$6</f>
        <v>5960.347826086956</v>
      </c>
      <c r="C87" s="158">
        <v>6.8</v>
      </c>
    </row>
    <row r="88" spans="1:3">
      <c r="A88" s="200">
        <f t="shared" si="0"/>
        <v>37.040079365079372</v>
      </c>
      <c r="B88" s="158">
        <f>C88/($C$5/60)*$C$4*$F$4*$C$6</f>
        <v>6048</v>
      </c>
      <c r="C88" s="158">
        <v>6.9</v>
      </c>
    </row>
    <row r="89" spans="1:3">
      <c r="A89" s="200">
        <f t="shared" si="0"/>
        <v>37.00073129251701</v>
      </c>
      <c r="B89" s="158">
        <f>C89/($C$5/60)*$C$4*$F$4*$C$6</f>
        <v>6135.652173913044</v>
      </c>
      <c r="C89" s="158">
        <v>7</v>
      </c>
    </row>
    <row r="90" spans="1:3">
      <c r="A90" s="200">
        <f t="shared" si="0"/>
        <v>36.962491616364858</v>
      </c>
      <c r="B90" s="158">
        <f>C90/($C$5/60)*$C$4*$F$4*$C$6</f>
        <v>6223.304347826087</v>
      </c>
      <c r="C90" s="158">
        <v>7.1</v>
      </c>
    </row>
    <row r="91" spans="1:3">
      <c r="A91" s="200">
        <f t="shared" si="0"/>
        <v>36.92531415343916</v>
      </c>
      <c r="B91" s="158">
        <f>C91/($C$5/60)*$C$4*$F$4*$C$6</f>
        <v>6310.9565217391309</v>
      </c>
      <c r="C91" s="158">
        <v>7.2</v>
      </c>
    </row>
    <row r="92" spans="1:3">
      <c r="A92" s="200">
        <f t="shared" si="0"/>
        <v>36.88915525114156</v>
      </c>
      <c r="B92" s="158">
        <f>C92/($C$5/60)*$C$4*$F$4*$C$6</f>
        <v>6398.608695652174</v>
      </c>
      <c r="C92" s="158">
        <v>7.3</v>
      </c>
    </row>
    <row r="93" spans="1:3">
      <c r="A93" s="200">
        <f t="shared" ref="A93:A115" si="1">($C$22+$B$24*B93)/B93</f>
        <v>36.853973616473624</v>
      </c>
      <c r="B93" s="158">
        <f>C93/($C$5/60)*$C$4*$F$4*$C$6</f>
        <v>6486.2608695652088</v>
      </c>
      <c r="C93" s="158">
        <v>7.3999999999999897</v>
      </c>
    </row>
    <row r="94" spans="1:3">
      <c r="A94" s="200">
        <f t="shared" si="1"/>
        <v>36.819730158730167</v>
      </c>
      <c r="B94" s="158">
        <f>C94/($C$5/60)*$C$4*$F$4*$C$6</f>
        <v>6573.9130434782528</v>
      </c>
      <c r="C94" s="158">
        <v>7.4999999999999902</v>
      </c>
    </row>
    <row r="95" spans="1:3">
      <c r="A95" s="200">
        <f t="shared" si="1"/>
        <v>36.786387844611532</v>
      </c>
      <c r="B95" s="158">
        <f>C95/($C$5/60)*$C$4*$F$4*$C$6</f>
        <v>6661.5652173912958</v>
      </c>
      <c r="C95" s="158">
        <v>7.5999999999999899</v>
      </c>
    </row>
    <row r="96" spans="1:3">
      <c r="A96" s="200">
        <f t="shared" si="1"/>
        <v>36.753911564625859</v>
      </c>
      <c r="B96" s="158">
        <f>C96/($C$5/60)*$C$4*$F$4*$C$6</f>
        <v>6749.2173913043389</v>
      </c>
      <c r="C96" s="158">
        <v>7.6999999999999904</v>
      </c>
    </row>
    <row r="97" spans="1:3">
      <c r="A97" s="200">
        <f t="shared" si="1"/>
        <v>36.722268009768015</v>
      </c>
      <c r="B97" s="158">
        <f>C97/($C$5/60)*$C$4*$F$4*$C$6</f>
        <v>6836.8695652173819</v>
      </c>
      <c r="C97" s="158">
        <v>7.7999999999999901</v>
      </c>
    </row>
    <row r="98" spans="1:3">
      <c r="A98" s="200">
        <f t="shared" si="1"/>
        <v>36.691425557564806</v>
      </c>
      <c r="B98" s="158">
        <f>C98/($C$5/60)*$C$4*$F$4*$C$6</f>
        <v>6924.5217391304268</v>
      </c>
      <c r="C98" s="158">
        <v>7.8999999999999897</v>
      </c>
    </row>
    <row r="99" spans="1:3">
      <c r="A99" s="200">
        <f t="shared" si="1"/>
        <v>36.661354166666676</v>
      </c>
      <c r="B99" s="158">
        <f>C99/($C$5/60)*$C$4*$F$4*$C$6</f>
        <v>7012.1739130434698</v>
      </c>
      <c r="C99" s="158">
        <v>7.9999999999999902</v>
      </c>
    </row>
    <row r="100" spans="1:3">
      <c r="A100" s="200">
        <f t="shared" si="1"/>
        <v>36.632025279247507</v>
      </c>
      <c r="B100" s="158">
        <f>C100/($C$5/60)*$C$4*$F$4*$C$6</f>
        <v>7099.8260869565147</v>
      </c>
      <c r="C100" s="158">
        <v>8.0999999999999908</v>
      </c>
    </row>
    <row r="101" spans="1:3">
      <c r="A101" s="200">
        <f t="shared" si="1"/>
        <v>36.603411730545886</v>
      </c>
      <c r="B101" s="158">
        <f>C101/($C$5/60)*$C$4*$F$4*$C$6</f>
        <v>7187.4782608695568</v>
      </c>
      <c r="C101" s="158">
        <v>8.1999999999999904</v>
      </c>
    </row>
    <row r="102" spans="1:3">
      <c r="A102" s="200">
        <f t="shared" si="1"/>
        <v>36.575487664945506</v>
      </c>
      <c r="B102" s="158">
        <f>C102/($C$5/60)*$C$4*$F$4*$C$6</f>
        <v>7275.1304347825999</v>
      </c>
      <c r="C102" s="158">
        <v>8.2999999999999901</v>
      </c>
    </row>
    <row r="103" spans="1:3">
      <c r="A103" s="200">
        <f t="shared" si="1"/>
        <v>36.548228458049898</v>
      </c>
      <c r="B103" s="158">
        <f>C103/($C$5/60)*$C$4*$F$4*$C$6</f>
        <v>7362.7826086956429</v>
      </c>
      <c r="C103" s="158">
        <v>8.3999999999999897</v>
      </c>
    </row>
    <row r="104" spans="1:3">
      <c r="A104" s="200">
        <f t="shared" si="1"/>
        <v>36.521610644257713</v>
      </c>
      <c r="B104" s="158">
        <f>C104/($C$5/60)*$C$4*$F$4*$C$6</f>
        <v>7450.434782608686</v>
      </c>
      <c r="C104" s="158">
        <v>8.4999999999999893</v>
      </c>
    </row>
    <row r="105" spans="1:3">
      <c r="A105" s="200">
        <f t="shared" si="1"/>
        <v>36.495611849390926</v>
      </c>
      <c r="B105" s="158">
        <f>C105/($C$5/60)*$C$4*$F$4*$C$6</f>
        <v>7538.0869565217326</v>
      </c>
      <c r="C105" s="158">
        <v>8.5999999999999908</v>
      </c>
    </row>
    <row r="106" spans="1:3">
      <c r="A106" s="200">
        <f t="shared" si="1"/>
        <v>36.470210727969352</v>
      </c>
      <c r="B106" s="158">
        <f>C106/($C$5/60)*$C$4*$F$4*$C$6</f>
        <v>7625.7391304347757</v>
      </c>
      <c r="C106" s="158">
        <v>8.6999999999999904</v>
      </c>
    </row>
    <row r="107" spans="1:3">
      <c r="A107" s="200">
        <f t="shared" si="1"/>
        <v>36.445386904761918</v>
      </c>
      <c r="B107" s="158">
        <f>C107/($C$5/60)*$C$4*$F$4*$C$6</f>
        <v>7713.3913043478169</v>
      </c>
      <c r="C107" s="158">
        <v>8.7999999999999901</v>
      </c>
    </row>
    <row r="108" spans="1:3">
      <c r="A108" s="200">
        <f t="shared" si="1"/>
        <v>36.421120920278234</v>
      </c>
      <c r="B108" s="158">
        <f>C108/($C$5/60)*$C$4*$F$4*$C$6</f>
        <v>7801.0434782608618</v>
      </c>
      <c r="C108" s="158">
        <v>8.8999999999999897</v>
      </c>
    </row>
    <row r="109" spans="1:3">
      <c r="A109" s="200">
        <f t="shared" si="1"/>
        <v>36.397394179894192</v>
      </c>
      <c r="B109" s="158">
        <f>C109/($C$5/60)*$C$4*$F$4*$C$6</f>
        <v>7888.6956521739039</v>
      </c>
      <c r="C109" s="158">
        <v>8.9999999999999893</v>
      </c>
    </row>
    <row r="110" spans="1:3">
      <c r="A110" s="200">
        <f t="shared" si="1"/>
        <v>36.374188906331774</v>
      </c>
      <c r="B110" s="158">
        <f>C110/($C$5/60)*$C$4*$F$4*$C$6</f>
        <v>7976.3478260869488</v>
      </c>
      <c r="C110" s="158">
        <v>9.0999999999999908</v>
      </c>
    </row>
    <row r="111" spans="1:3">
      <c r="A111" s="200">
        <f t="shared" si="1"/>
        <v>36.351488095238111</v>
      </c>
      <c r="B111" s="158">
        <f>C111/($C$5/60)*$C$4*$F$4*$C$6</f>
        <v>8063.99999999999</v>
      </c>
      <c r="C111" s="158">
        <v>9.1999999999999904</v>
      </c>
    </row>
    <row r="112" spans="1:3">
      <c r="A112" s="200">
        <f t="shared" si="1"/>
        <v>36.329275473630325</v>
      </c>
      <c r="B112" s="158">
        <f>C112/($C$5/60)*$C$4*$F$4*$C$6</f>
        <v>8151.652173913033</v>
      </c>
      <c r="C112" s="158">
        <v>9.2999999999999901</v>
      </c>
    </row>
    <row r="113" spans="1:3">
      <c r="A113" s="200">
        <f t="shared" si="1"/>
        <v>36.307535460992916</v>
      </c>
      <c r="B113" s="158">
        <f>C113/($C$5/60)*$C$4*$F$4*$C$6</f>
        <v>8239.3043478260788</v>
      </c>
      <c r="C113" s="158">
        <v>9.3999999999999897</v>
      </c>
    </row>
    <row r="114" spans="1:3">
      <c r="A114" s="200">
        <f t="shared" si="1"/>
        <v>36.286253132832094</v>
      </c>
      <c r="B114" s="158">
        <f>C114/($C$5/60)*$C$4*$F$4*$C$6</f>
        <v>8326.9565217391209</v>
      </c>
      <c r="C114" s="158">
        <v>9.4999999999999893</v>
      </c>
    </row>
    <row r="115" spans="1:3">
      <c r="A115" s="200">
        <f t="shared" si="1"/>
        <v>36.265414186507947</v>
      </c>
      <c r="B115" s="158">
        <f>C115/($C$5/60)*$C$4*$F$4*$C$6</f>
        <v>8414.6086956521667</v>
      </c>
      <c r="C115" s="158">
        <v>9.5999999999999908</v>
      </c>
    </row>
  </sheetData>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D2D9-996D-D24F-9542-93079719BA59}">
  <dimension ref="A3:G113"/>
  <sheetViews>
    <sheetView zoomScale="180" zoomScaleNormal="180" workbookViewId="0">
      <selection activeCell="C8" sqref="C8"/>
    </sheetView>
  </sheetViews>
  <sheetFormatPr defaultColWidth="10.85546875" defaultRowHeight="15.95"/>
  <cols>
    <col min="1" max="1" width="23.85546875" style="158" customWidth="1"/>
    <col min="2" max="2" width="12.7109375" style="158" bestFit="1" customWidth="1"/>
    <col min="3" max="3" width="15.28515625" style="158" bestFit="1" customWidth="1"/>
    <col min="4" max="4" width="10.85546875" style="158"/>
    <col min="5" max="5" width="26.140625" style="158" customWidth="1"/>
    <col min="6" max="6" width="10.85546875" style="158"/>
    <col min="7" max="7" width="12.42578125" style="158" bestFit="1" customWidth="1"/>
    <col min="8" max="8" width="17.140625" style="158" customWidth="1"/>
    <col min="9" max="16384" width="10.85546875" style="158"/>
  </cols>
  <sheetData>
    <row r="3" spans="1:7">
      <c r="A3" s="161"/>
      <c r="B3" s="162" t="s">
        <v>1544</v>
      </c>
      <c r="C3" s="163" t="s">
        <v>1545</v>
      </c>
      <c r="E3" s="159" t="s">
        <v>1561</v>
      </c>
    </row>
    <row r="4" spans="1:7">
      <c r="A4" s="164" t="s">
        <v>1547</v>
      </c>
      <c r="B4" s="158">
        <v>4</v>
      </c>
      <c r="C4" s="165">
        <v>4.5</v>
      </c>
      <c r="E4" s="158" t="s">
        <v>1548</v>
      </c>
      <c r="F4" s="158">
        <v>300</v>
      </c>
    </row>
    <row r="5" spans="1:7">
      <c r="A5" s="164" t="s">
        <v>701</v>
      </c>
      <c r="B5" s="166">
        <v>3.5</v>
      </c>
      <c r="C5" s="167">
        <v>3.75</v>
      </c>
      <c r="E5" s="158" t="s">
        <v>1501</v>
      </c>
      <c r="F5" s="158">
        <v>120</v>
      </c>
    </row>
    <row r="6" spans="1:7">
      <c r="A6" s="164" t="s">
        <v>858</v>
      </c>
      <c r="B6" s="168">
        <v>0.35</v>
      </c>
      <c r="C6" s="169">
        <v>0.35</v>
      </c>
    </row>
    <row r="7" spans="1:7" ht="15.75">
      <c r="A7" s="164" t="s">
        <v>1096</v>
      </c>
      <c r="B7" s="158">
        <v>100</v>
      </c>
      <c r="C7" s="165">
        <v>100</v>
      </c>
    </row>
    <row r="8" spans="1:7">
      <c r="A8" s="164" t="s">
        <v>671</v>
      </c>
      <c r="B8" s="166">
        <f>B5*B7/60</f>
        <v>5.833333333333333</v>
      </c>
      <c r="C8" s="170">
        <f>C7/60*C5</f>
        <v>6.25</v>
      </c>
    </row>
    <row r="9" spans="1:7">
      <c r="A9" s="164" t="s">
        <v>1550</v>
      </c>
      <c r="B9" s="171">
        <f>$B$4*$B$5*$F$4*$B$6</f>
        <v>1470</v>
      </c>
      <c r="C9" s="172">
        <f>C4*C5*F4*$C$6</f>
        <v>1771.875</v>
      </c>
    </row>
    <row r="10" spans="1:7">
      <c r="A10" s="164"/>
      <c r="C10" s="173"/>
    </row>
    <row r="11" spans="1:7">
      <c r="A11" s="164"/>
      <c r="C11" s="173"/>
    </row>
    <row r="12" spans="1:7">
      <c r="A12" s="174" t="s">
        <v>1551</v>
      </c>
      <c r="D12" s="180"/>
      <c r="E12" s="162" t="s">
        <v>1552</v>
      </c>
      <c r="F12" s="180"/>
      <c r="G12" s="181"/>
    </row>
    <row r="13" spans="1:7">
      <c r="A13" s="164"/>
      <c r="B13" s="171"/>
      <c r="C13" s="171"/>
      <c r="F13" s="171"/>
      <c r="G13" s="182"/>
    </row>
    <row r="14" spans="1:7">
      <c r="A14" s="164" t="s">
        <v>1117</v>
      </c>
      <c r="B14" s="158">
        <v>100</v>
      </c>
      <c r="C14" s="187">
        <f>ROUNDUP(B15/C9,0)</f>
        <v>83</v>
      </c>
      <c r="E14" s="158" t="s">
        <v>1117</v>
      </c>
      <c r="F14" s="158">
        <v>100</v>
      </c>
      <c r="G14" s="182">
        <f>F14</f>
        <v>100</v>
      </c>
    </row>
    <row r="15" spans="1:7">
      <c r="A15" s="164" t="s">
        <v>380</v>
      </c>
      <c r="B15" s="175">
        <f>B14*B9</f>
        <v>147000</v>
      </c>
      <c r="C15" s="175">
        <f>C14*C9</f>
        <v>147065.625</v>
      </c>
      <c r="E15" s="158" t="s">
        <v>380</v>
      </c>
      <c r="F15" s="175">
        <f>F14*B9</f>
        <v>147000</v>
      </c>
      <c r="G15" s="183">
        <f>G14*C9</f>
        <v>177187.5</v>
      </c>
    </row>
    <row r="16" spans="1:7">
      <c r="A16" s="164" t="s">
        <v>1553</v>
      </c>
      <c r="B16" s="176">
        <f>($F$5/60*B7/B4)</f>
        <v>50</v>
      </c>
      <c r="C16" s="176">
        <f>($F$5/60*C7/C4)*B8/C8*(C7/B7)</f>
        <v>41.481481481481481</v>
      </c>
      <c r="E16" s="158" t="s">
        <v>1554</v>
      </c>
      <c r="F16" s="184">
        <v>35.5</v>
      </c>
      <c r="G16" s="185">
        <v>35.5</v>
      </c>
    </row>
    <row r="17" spans="1:7">
      <c r="A17" s="164" t="s">
        <v>1124</v>
      </c>
      <c r="C17" s="188">
        <f>(B16-C16)*C15</f>
        <v>1252781.25</v>
      </c>
      <c r="E17" s="158" t="s">
        <v>1124</v>
      </c>
      <c r="G17" s="177">
        <f>(G15-F15)*G16</f>
        <v>1071656.25</v>
      </c>
    </row>
    <row r="18" spans="1:7">
      <c r="A18" s="178"/>
      <c r="B18" s="179"/>
      <c r="C18" s="189"/>
      <c r="D18" s="179"/>
      <c r="E18" s="179"/>
      <c r="F18" s="179"/>
      <c r="G18" s="186"/>
    </row>
    <row r="21" spans="1:7">
      <c r="A21" s="158" t="s">
        <v>1556</v>
      </c>
      <c r="B21" s="160"/>
      <c r="C21" s="160">
        <f>$F$5*C7/60*C5*$F$4</f>
        <v>225000</v>
      </c>
    </row>
    <row r="22" spans="1:7">
      <c r="A22" s="158" t="s">
        <v>1553</v>
      </c>
      <c r="B22" s="158" t="s">
        <v>1562</v>
      </c>
    </row>
    <row r="24" spans="1:7">
      <c r="A24" s="158" t="s">
        <v>1553</v>
      </c>
      <c r="B24" s="158" t="s">
        <v>1055</v>
      </c>
      <c r="C24" s="158" t="s">
        <v>671</v>
      </c>
    </row>
    <row r="25" spans="1:7">
      <c r="A25" s="158">
        <f>($F$5/60*$C$7/$C$4)*$C$74/C25</f>
        <v>288.06584362140552</v>
      </c>
      <c r="B25" s="158">
        <f>C26/($C$7/60)*$C$4*$F$4*$C$6</f>
        <v>283.49999999999432</v>
      </c>
      <c r="C25" s="158">
        <v>0.89999999999998004</v>
      </c>
    </row>
    <row r="26" spans="1:7">
      <c r="A26" s="158">
        <f>($F$5/60*$C$7/$C$4)*$C$74/C26</f>
        <v>259.25925925926441</v>
      </c>
      <c r="B26" s="158">
        <f>C27/($C$7/60)*$C$4*$F$4*$C$6</f>
        <v>311.84999999999434</v>
      </c>
      <c r="C26" s="158">
        <v>0.99999999999998002</v>
      </c>
    </row>
    <row r="27" spans="1:7">
      <c r="A27" s="158">
        <f>($F$5/60*$C$7/$C$4)*$C$74/C27</f>
        <v>235.69023569023994</v>
      </c>
      <c r="B27" s="158">
        <f>C28/($C$7/60)*$C$4*$F$4*$C$6</f>
        <v>340.1999999999943</v>
      </c>
      <c r="C27" s="158">
        <v>1.0999999999999801</v>
      </c>
    </row>
    <row r="28" spans="1:7">
      <c r="A28" s="158">
        <f>($F$5/60*$C$7/$C$4)*$C$74/C28</f>
        <v>216.04938271605297</v>
      </c>
      <c r="B28" s="158">
        <f>C29/($C$7/60)*$C$4*$F$4*$C$6</f>
        <v>368.54999999999433</v>
      </c>
      <c r="C28" s="158">
        <v>1.19999999999998</v>
      </c>
    </row>
    <row r="29" spans="1:7">
      <c r="A29" s="158">
        <f>($F$5/60*$C$7/$C$4)*$C$74/C29</f>
        <v>199.43019943020246</v>
      </c>
      <c r="B29" s="158">
        <f>C30/($C$7/60)*$C$4*$F$4*$C$6</f>
        <v>396.89999999999424</v>
      </c>
      <c r="C29" s="158">
        <v>1.2999999999999801</v>
      </c>
    </row>
    <row r="30" spans="1:7">
      <c r="A30" s="158">
        <f>($F$5/60*$C$7/$C$4)*$C$74/C30</f>
        <v>185.18518518518783</v>
      </c>
      <c r="B30" s="158">
        <f>C31/($C$7/60)*$C$4*$F$4*$C$6</f>
        <v>425.24999999999426</v>
      </c>
      <c r="C30" s="158">
        <v>1.3999999999999799</v>
      </c>
    </row>
    <row r="31" spans="1:7">
      <c r="A31" s="158">
        <f>($F$5/60*$C$7/$C$4)*$C$74/C31</f>
        <v>172.83950617284179</v>
      </c>
      <c r="B31" s="158">
        <f>C32/($C$7/60)*$C$4*$F$4*$C$6</f>
        <v>453.59999999999434</v>
      </c>
      <c r="C31" s="158">
        <v>1.49999999999998</v>
      </c>
    </row>
    <row r="32" spans="1:7">
      <c r="A32" s="158">
        <f>($F$5/60*$C$7/$C$4)*$C$74/C32</f>
        <v>162.03703703703903</v>
      </c>
      <c r="B32" s="158">
        <f>C33/($C$7/60)*$C$4*$F$4*$C$6</f>
        <v>481.94999999999442</v>
      </c>
      <c r="C32" s="158">
        <v>1.5999999999999801</v>
      </c>
    </row>
    <row r="33" spans="1:3">
      <c r="A33" s="158">
        <f>($F$5/60*$C$7/$C$4)*$C$74/C33</f>
        <v>152.50544662309548</v>
      </c>
      <c r="B33" s="158">
        <f>C34/($C$7/60)*$C$4*$F$4*$C$6</f>
        <v>510.29999999999433</v>
      </c>
      <c r="C33" s="158">
        <v>1.69999999999998</v>
      </c>
    </row>
    <row r="34" spans="1:3">
      <c r="A34" s="158">
        <f>($F$5/60*$C$7/$C$4)*$C$74/C34</f>
        <v>144.03292181070117</v>
      </c>
      <c r="B34" s="158">
        <f>C35/($C$7/60)*$C$4*$F$4*$C$6</f>
        <v>538.64999999999418</v>
      </c>
      <c r="C34" s="158">
        <v>1.7999999999999801</v>
      </c>
    </row>
    <row r="35" spans="1:3">
      <c r="A35" s="158">
        <f>($F$5/60*$C$7/$C$4)*$C$74/C35</f>
        <v>136.45224171540104</v>
      </c>
      <c r="B35" s="158">
        <f>C36/($C$7/60)*$C$4*$F$4*$C$6</f>
        <v>566.99999999999432</v>
      </c>
      <c r="C35" s="158">
        <v>1.8999999999999799</v>
      </c>
    </row>
    <row r="36" spans="1:3">
      <c r="A36" s="158">
        <f>($F$5/60*$C$7/$C$4)*$C$74/C36</f>
        <v>129.62962962963093</v>
      </c>
      <c r="B36" s="158">
        <f>C37/($C$7/60)*$C$4*$F$4*$C$6</f>
        <v>595.34999999999422</v>
      </c>
      <c r="C36" s="158">
        <v>1.99999999999998</v>
      </c>
    </row>
    <row r="37" spans="1:3">
      <c r="A37" s="158">
        <f>($F$5/60*$C$7/$C$4)*$C$74/C37</f>
        <v>123.45679012345795</v>
      </c>
      <c r="B37" s="158">
        <f>C38/($C$7/60)*$C$4*$F$4*$C$6</f>
        <v>623.69999999999436</v>
      </c>
      <c r="C37" s="158">
        <v>2.0999999999999801</v>
      </c>
    </row>
    <row r="38" spans="1:3">
      <c r="A38" s="158">
        <f>($F$5/60*$C$7/$C$4)*$C$74/C38</f>
        <v>117.84511784511889</v>
      </c>
      <c r="B38" s="158">
        <f>C39/($C$7/60)*$C$4*$F$4*$C$6</f>
        <v>652.04999999999427</v>
      </c>
      <c r="C38" s="158">
        <v>2.1999999999999802</v>
      </c>
    </row>
    <row r="39" spans="1:3">
      <c r="A39" s="158">
        <f>($F$5/60*$C$7/$C$4)*$C$74/C39</f>
        <v>112.72141706924414</v>
      </c>
      <c r="B39" s="158">
        <f>C40/($C$7/60)*$C$4*$F$4*$C$6</f>
        <v>680.39999999999418</v>
      </c>
      <c r="C39" s="158">
        <v>2.2999999999999798</v>
      </c>
    </row>
    <row r="40" spans="1:3">
      <c r="A40" s="158">
        <f>($F$5/60*$C$7/$C$4)*$C$74/C40</f>
        <v>108.02469135802559</v>
      </c>
      <c r="B40" s="158">
        <f>C41/($C$7/60)*$C$4*$F$4*$C$6</f>
        <v>708.74999999999432</v>
      </c>
      <c r="C40" s="158">
        <v>2.3999999999999799</v>
      </c>
    </row>
    <row r="41" spans="1:3">
      <c r="A41" s="158">
        <f>($F$5/60*$C$7/$C$4)*$C$74/C41</f>
        <v>103.70370370370452</v>
      </c>
      <c r="B41" s="158">
        <f>C42/($C$7/60)*$C$4*$F$4*$C$6</f>
        <v>737.09999999999434</v>
      </c>
      <c r="C41" s="158">
        <v>2.49999999999998</v>
      </c>
    </row>
    <row r="42" spans="1:3">
      <c r="A42" s="158">
        <f>($F$5/60*$C$7/$C$4)*$C$74/C42</f>
        <v>99.715099715100465</v>
      </c>
      <c r="B42" s="158">
        <f>C43/($C$7/60)*$C$4*$F$4*$C$6</f>
        <v>765.44999999999436</v>
      </c>
      <c r="C42" s="158">
        <v>2.5999999999999801</v>
      </c>
    </row>
    <row r="43" spans="1:3">
      <c r="A43" s="158">
        <f>($F$5/60*$C$7/$C$4)*$C$74/C43</f>
        <v>96.021947873800428</v>
      </c>
      <c r="B43" s="158">
        <f>C44/($C$7/60)*$C$4*$F$4*$C$6</f>
        <v>793.79999999999404</v>
      </c>
      <c r="C43" s="158">
        <v>2.6999999999999802</v>
      </c>
    </row>
    <row r="44" spans="1:3">
      <c r="A44" s="158">
        <f>($F$5/60*$C$7/$C$4)*$C$74/C44</f>
        <v>92.592592592593249</v>
      </c>
      <c r="B44" s="158">
        <f>C45/($C$7/60)*$C$4*$F$4*$C$6</f>
        <v>822.14999999999418</v>
      </c>
      <c r="C44" s="158">
        <v>2.7999999999999798</v>
      </c>
    </row>
    <row r="45" spans="1:3">
      <c r="A45" s="158">
        <f>($F$5/60*$C$7/$C$4)*$C$74/C45</f>
        <v>89.39974457215898</v>
      </c>
      <c r="B45" s="158">
        <f>C46/($C$7/60)*$C$4*$F$4*$C$6</f>
        <v>850.49999999999409</v>
      </c>
      <c r="C45" s="158">
        <v>2.8999999999999799</v>
      </c>
    </row>
    <row r="46" spans="1:3">
      <c r="A46" s="158">
        <f>($F$5/60*$C$7/$C$4)*$C$74/C46</f>
        <v>86.419753086420329</v>
      </c>
      <c r="B46" s="158">
        <f>C47/($C$7/60)*$C$4*$F$4*$C$6</f>
        <v>878.84999999999422</v>
      </c>
      <c r="C46" s="158">
        <v>2.99999999999998</v>
      </c>
    </row>
    <row r="47" spans="1:3">
      <c r="A47" s="158">
        <f>($F$5/60*$C$7/$C$4)*$C$74/C47</f>
        <v>83.632019115890614</v>
      </c>
      <c r="B47" s="158">
        <f>C48/($C$7/60)*$C$4*$F$4*$C$6</f>
        <v>907.19999999999709</v>
      </c>
      <c r="C47" s="158">
        <v>3.0999999999999801</v>
      </c>
    </row>
    <row r="48" spans="1:3">
      <c r="A48" s="158">
        <f>($F$5/60*$C$7/$C$4)*$C$74/C48</f>
        <v>81.018518518518761</v>
      </c>
      <c r="B48" s="158">
        <f>C49/($C$7/60)*$C$4*$F$4*$C$6</f>
        <v>935.54999999999723</v>
      </c>
      <c r="C48" s="158">
        <v>3.19999999999999</v>
      </c>
    </row>
    <row r="49" spans="1:3">
      <c r="A49" s="158">
        <f>($F$5/60*$C$7/$C$4)*$C$74/C49</f>
        <v>78.563411896745464</v>
      </c>
      <c r="B49" s="158">
        <f>C50/($C$7/60)*$C$4*$F$4*$C$6</f>
        <v>963.89999999999691</v>
      </c>
      <c r="C49" s="158">
        <v>3.2999999999999901</v>
      </c>
    </row>
    <row r="50" spans="1:3">
      <c r="A50" s="158">
        <f>($F$5/60*$C$7/$C$4)*$C$74/C50</f>
        <v>76.252723311547058</v>
      </c>
      <c r="B50" s="158">
        <f>C51/($C$7/60)*$C$4*$F$4*$C$6</f>
        <v>992.24999999999704</v>
      </c>
      <c r="C50" s="158">
        <v>3.3999999999999901</v>
      </c>
    </row>
    <row r="51" spans="1:3">
      <c r="A51" s="158">
        <f>($F$5/60*$C$7/$C$4)*$C$74/C51</f>
        <v>74.074074074074289</v>
      </c>
      <c r="B51" s="158">
        <f>C52/($C$7/60)*$C$4*$F$4*$C$6</f>
        <v>1020.5999999999971</v>
      </c>
      <c r="C51" s="158">
        <v>3.4999999999999898</v>
      </c>
    </row>
    <row r="52" spans="1:3">
      <c r="A52" s="158">
        <f>($F$5/60*$C$7/$C$4)*$C$74/C52</f>
        <v>72.016460905349987</v>
      </c>
      <c r="B52" s="158">
        <f>C53/($C$7/60)*$C$4*$F$4*$C$6</f>
        <v>1048.9499999999973</v>
      </c>
      <c r="C52" s="158">
        <v>3.5999999999999899</v>
      </c>
    </row>
    <row r="53" spans="1:3">
      <c r="A53" s="158">
        <f>($F$5/60*$C$7/$C$4)*$C$74/C53</f>
        <v>70.070070070070258</v>
      </c>
      <c r="B53" s="158">
        <f>C54/($C$7/60)*$C$4*$F$4*$C$6</f>
        <v>1077.299999999997</v>
      </c>
      <c r="C53" s="158">
        <v>3.69999999999999</v>
      </c>
    </row>
    <row r="54" spans="1:3">
      <c r="A54" s="158">
        <f>($F$5/60*$C$7/$C$4)*$C$74/C54</f>
        <v>68.226120857699982</v>
      </c>
      <c r="B54" s="158">
        <f>C55/($C$7/60)*$C$4*$F$4*$C$6</f>
        <v>1105.6499999999971</v>
      </c>
      <c r="C54" s="158">
        <v>3.7999999999999901</v>
      </c>
    </row>
    <row r="55" spans="1:3">
      <c r="A55" s="158">
        <f>($F$5/60*$C$7/$C$4)*$C$74/C55</f>
        <v>66.476733143399969</v>
      </c>
      <c r="B55" s="158">
        <f>C56/($C$7/60)*$C$4*$F$4*$C$6</f>
        <v>1133.999999999997</v>
      </c>
      <c r="C55" s="158">
        <v>3.8999999999999901</v>
      </c>
    </row>
    <row r="56" spans="1:3">
      <c r="A56" s="158">
        <f>($F$5/60*$C$7/$C$4)*$C$74/C56</f>
        <v>64.81481481481498</v>
      </c>
      <c r="B56" s="158">
        <f>C57/($C$7/60)*$C$4*$F$4*$C$6</f>
        <v>1162.349999999997</v>
      </c>
      <c r="C56" s="158">
        <v>3.9999999999999898</v>
      </c>
    </row>
    <row r="57" spans="1:3">
      <c r="A57" s="158">
        <f>($F$5/60*$C$7/$C$4)*$C$74/C57</f>
        <v>63.233965672990216</v>
      </c>
      <c r="B57" s="158">
        <f>C58/($C$7/60)*$C$4*$F$4*$C$6</f>
        <v>1190.6999999999973</v>
      </c>
      <c r="C57" s="158">
        <v>4.0999999999999899</v>
      </c>
    </row>
    <row r="58" spans="1:3">
      <c r="A58" s="158">
        <f>($F$5/60*$C$7/$C$4)*$C$74/C58</f>
        <v>61.728395061728534</v>
      </c>
      <c r="B58" s="158">
        <f>C59/($C$7/60)*$C$4*$F$4*$C$6</f>
        <v>1219.049999999997</v>
      </c>
      <c r="C58" s="158">
        <v>4.1999999999999904</v>
      </c>
    </row>
    <row r="59" spans="1:3">
      <c r="A59" s="158">
        <f>($F$5/60*$C$7/$C$4)*$C$74/C59</f>
        <v>60.292850990525544</v>
      </c>
      <c r="B59" s="158">
        <f>C60/($C$7/60)*$C$4*$F$4*$C$6</f>
        <v>1247.3999999999971</v>
      </c>
      <c r="C59" s="158">
        <v>4.2999999999999901</v>
      </c>
    </row>
    <row r="60" spans="1:3">
      <c r="A60" s="158">
        <f>($F$5/60*$C$7/$C$4)*$C$74/C60</f>
        <v>58.922558922559055</v>
      </c>
      <c r="B60" s="158">
        <f>C61/($C$7/60)*$C$4*$F$4*$C$6</f>
        <v>1275.7499999999973</v>
      </c>
      <c r="C60" s="158">
        <v>4.3999999999999897</v>
      </c>
    </row>
    <row r="61" spans="1:3">
      <c r="A61" s="158">
        <f>($F$5/60*$C$7/$C$4)*$C$74/C61</f>
        <v>57.613168724279959</v>
      </c>
      <c r="B61" s="158">
        <f>C62/($C$7/60)*$C$4*$F$4*$C$6</f>
        <v>1304.099999999997</v>
      </c>
      <c r="C61" s="158">
        <v>4.4999999999999902</v>
      </c>
    </row>
    <row r="62" spans="1:3">
      <c r="A62" s="158">
        <f>($F$5/60*$C$7/$C$4)*$C$74/C62</f>
        <v>56.3607085346217</v>
      </c>
      <c r="B62" s="158">
        <f>C63/($C$7/60)*$C$4*$F$4*$C$6</f>
        <v>1332.4499999999971</v>
      </c>
      <c r="C62" s="158">
        <v>4.5999999999999899</v>
      </c>
    </row>
    <row r="63" spans="1:3">
      <c r="A63" s="158">
        <f>($F$5/60*$C$7/$C$4)*$C$74/C63</f>
        <v>55.161544523246761</v>
      </c>
      <c r="B63" s="158">
        <f>C64/($C$7/60)*$C$4*$F$4*$C$6</f>
        <v>1360.7999999999997</v>
      </c>
      <c r="C63" s="158">
        <v>4.6999999999999904</v>
      </c>
    </row>
    <row r="64" spans="1:3">
      <c r="A64" s="158">
        <f>($F$5/60*$C$7/$C$4)*$C$74/C64</f>
        <v>54.012345679012341</v>
      </c>
      <c r="B64" s="158">
        <f>C65/($C$7/60)*$C$4*$F$4*$C$6</f>
        <v>1389.1499999999999</v>
      </c>
      <c r="C64" s="158">
        <v>4.8</v>
      </c>
    </row>
    <row r="65" spans="1:3">
      <c r="A65" s="158">
        <f>($F$5/60*$C$7/$C$4)*$C$74/C65</f>
        <v>52.910052910052904</v>
      </c>
      <c r="B65" s="158">
        <f>C66/($C$7/60)*$C$4*$F$4*$C$6</f>
        <v>1417.5</v>
      </c>
      <c r="C65" s="158">
        <v>4.9000000000000004</v>
      </c>
    </row>
    <row r="66" spans="1:3">
      <c r="A66" s="158">
        <f>($F$5/60*$C$7/$C$4)*$C$74/C66</f>
        <v>51.851851851851848</v>
      </c>
      <c r="B66" s="158">
        <f>C67/($C$7/60)*$C$4*$F$4*$C$6</f>
        <v>1445.8499999999997</v>
      </c>
      <c r="C66" s="158">
        <v>5</v>
      </c>
    </row>
    <row r="67" spans="1:3">
      <c r="A67" s="158">
        <f>($F$5/60*$C$7/$C$4)*$C$74/C67</f>
        <v>50.835148874364563</v>
      </c>
      <c r="B67" s="158">
        <f>C68/($C$7/60)*$C$4*$F$4*$C$6</f>
        <v>1474.1999999999998</v>
      </c>
      <c r="C67" s="158">
        <v>5.0999999999999996</v>
      </c>
    </row>
    <row r="68" spans="1:3">
      <c r="A68" s="158">
        <f>($F$5/60*$C$7/$C$4)*$C$74/C68</f>
        <v>49.857549857549849</v>
      </c>
      <c r="B68" s="158">
        <f>C69/($C$7/60)*$C$4*$F$4*$C$6</f>
        <v>1502.55</v>
      </c>
      <c r="C68" s="158">
        <v>5.2</v>
      </c>
    </row>
    <row r="69" spans="1:3">
      <c r="A69" s="158">
        <f>($F$5/60*$C$7/$C$4)*$C$74/C69</f>
        <v>48.916841369671559</v>
      </c>
      <c r="B69" s="158">
        <f>C70/($C$7/60)*$C$4*$F$4*$C$6</f>
        <v>1530.9000000000003</v>
      </c>
      <c r="C69" s="158">
        <v>5.3</v>
      </c>
    </row>
    <row r="70" spans="1:3">
      <c r="A70" s="158">
        <f>($F$5/60*$C$7/$C$4)*$C$74/C70</f>
        <v>48.010973936899859</v>
      </c>
      <c r="B70" s="158">
        <f>C71/($C$7/60)*$C$4*$F$4*$C$6</f>
        <v>1559.25</v>
      </c>
      <c r="C70" s="158">
        <v>5.4</v>
      </c>
    </row>
    <row r="71" spans="1:3">
      <c r="A71" s="158">
        <f>($F$5/60*$C$7/$C$4)*$C$74/C71</f>
        <v>47.138047138047135</v>
      </c>
      <c r="B71" s="158">
        <f>C72/($C$7/60)*$C$4*$F$4*$C$6</f>
        <v>1587.5999999999997</v>
      </c>
      <c r="C71" s="158">
        <v>5.5</v>
      </c>
    </row>
    <row r="72" spans="1:3">
      <c r="A72" s="158">
        <f>($F$5/60*$C$7/$C$4)*$C$74/C72</f>
        <v>46.296296296296298</v>
      </c>
      <c r="B72" s="158">
        <f>C73/($C$7/60)*$C$4*$F$4*$C$6</f>
        <v>1615.9499999999998</v>
      </c>
      <c r="C72" s="158">
        <v>5.6</v>
      </c>
    </row>
    <row r="73" spans="1:3">
      <c r="A73" s="158">
        <f>($F$5/60*$C$7/$C$4)*$C$74/C73</f>
        <v>45.484080571799865</v>
      </c>
      <c r="B73" s="158">
        <f>C74/($C$7/60)*$C$4*$F$4*$C$6</f>
        <v>1653.7499999999995</v>
      </c>
      <c r="C73" s="158">
        <v>5.7</v>
      </c>
    </row>
    <row r="74" spans="1:3">
      <c r="A74" s="158">
        <f>($F$5/60*B7/B4)</f>
        <v>50</v>
      </c>
      <c r="B74" s="158">
        <v>1470</v>
      </c>
      <c r="C74" s="158">
        <f>B5*B7/60</f>
        <v>5.833333333333333</v>
      </c>
    </row>
    <row r="75" spans="1:3">
      <c r="A75" s="158">
        <f>($F$5/60*$C$7/$C$4)*$C$74/C75</f>
        <v>43.942247332077834</v>
      </c>
      <c r="B75" s="158">
        <f>C75/($C$7/60)*$C$4*$F$4*$C$6</f>
        <v>1672.6499999999999</v>
      </c>
      <c r="C75" s="158">
        <v>5.9</v>
      </c>
    </row>
    <row r="76" spans="1:3">
      <c r="A76" s="158">
        <f>($F$5/60*$C$7/$C$4)*$C$74/C76</f>
        <v>43.209876543209873</v>
      </c>
      <c r="B76" s="158">
        <f>C76/($C$7/60)*$C$4*$F$4*$C$6</f>
        <v>1701</v>
      </c>
      <c r="C76" s="158">
        <v>6</v>
      </c>
    </row>
    <row r="77" spans="1:3">
      <c r="A77" s="158">
        <f>($F$5/60*$C$7/$C$4)*$C$74/C77</f>
        <v>42.501517911353979</v>
      </c>
      <c r="B77" s="158">
        <f>C77/($C$7/60)*$C$4*$F$4*$C$6</f>
        <v>1729.35</v>
      </c>
      <c r="C77" s="158">
        <v>6.1</v>
      </c>
    </row>
    <row r="78" spans="1:3">
      <c r="A78" s="158">
        <f>($F$5/60*$C$7/$C$4)*$C$74/C78</f>
        <v>41.816009557945037</v>
      </c>
      <c r="B78" s="158">
        <f>C78/($C$7/60)*$C$4*$F$4*$C$6</f>
        <v>1757.6999999999996</v>
      </c>
      <c r="C78" s="158">
        <v>6.2</v>
      </c>
    </row>
    <row r="79" spans="1:3">
      <c r="A79" s="158">
        <f>($F$5/60*$C$7/$C$4)*$C$74/C79</f>
        <v>41.152263374485592</v>
      </c>
      <c r="B79" s="158">
        <f>C79/($C$7/60)*$C$4*$F$4*$C$6</f>
        <v>1786.0499999999995</v>
      </c>
      <c r="C79" s="158">
        <v>6.3</v>
      </c>
    </row>
    <row r="80" spans="1:3">
      <c r="A80" s="158">
        <f>($F$5/60*$C$7/$C$4)*$C$74/C80</f>
        <v>40.509259259259252</v>
      </c>
      <c r="B80" s="158">
        <f>C80/($C$7/60)*$C$4*$F$4*$C$6</f>
        <v>1814.3999999999999</v>
      </c>
      <c r="C80" s="158">
        <v>6.4</v>
      </c>
    </row>
    <row r="81" spans="1:3">
      <c r="A81" s="158">
        <f>($F$5/60*$C$7/$C$4)*$C$74/C81</f>
        <v>39.886039886039882</v>
      </c>
      <c r="B81" s="158">
        <f>C81/($C$7/60)*$C$4*$F$4*$C$6</f>
        <v>1842.7499999999998</v>
      </c>
      <c r="C81" s="158">
        <v>6.5</v>
      </c>
    </row>
    <row r="82" spans="1:3">
      <c r="A82" s="158">
        <f>($F$5/60*$C$7/$C$4)*$C$74/C82</f>
        <v>39.281705948372611</v>
      </c>
      <c r="B82" s="158">
        <f>C82/($C$7/60)*$C$4*$F$4*$C$6</f>
        <v>1871.0999999999995</v>
      </c>
      <c r="C82" s="158">
        <v>6.6</v>
      </c>
    </row>
    <row r="83" spans="1:3">
      <c r="A83" s="158">
        <f>($F$5/60*$C$7/$C$4)*$C$74/C83</f>
        <v>38.695411829740181</v>
      </c>
      <c r="B83" s="158">
        <f>C83/($C$7/60)*$C$4*$F$4*$C$6</f>
        <v>1899.4499999999996</v>
      </c>
      <c r="C83" s="158">
        <v>6.7</v>
      </c>
    </row>
    <row r="84" spans="1:3">
      <c r="A84" s="158">
        <f>($F$5/60*$C$7/$C$4)*$C$74/C84</f>
        <v>38.126361655773415</v>
      </c>
      <c r="B84" s="158">
        <f>C84/($C$7/60)*$C$4*$F$4*$C$6</f>
        <v>1927.8</v>
      </c>
      <c r="C84" s="158">
        <v>6.8</v>
      </c>
    </row>
    <row r="85" spans="1:3">
      <c r="A85" s="158">
        <f>($F$5/60*$C$7/$C$4)*$C$74/C85</f>
        <v>37.573805689747715</v>
      </c>
      <c r="B85" s="158">
        <f>C85/($C$7/60)*$C$4*$F$4*$C$6</f>
        <v>1956.1499999999999</v>
      </c>
      <c r="C85" s="158">
        <v>6.9</v>
      </c>
    </row>
    <row r="86" spans="1:3">
      <c r="A86" s="158">
        <f>($F$5/60*$C$7/$C$4)*$C$74/C86</f>
        <v>37.037037037037031</v>
      </c>
      <c r="B86" s="158">
        <f>C86/($C$7/60)*$C$4*$F$4*$C$6</f>
        <v>1984.5000000000002</v>
      </c>
      <c r="C86" s="158">
        <v>7</v>
      </c>
    </row>
    <row r="87" spans="1:3">
      <c r="A87" s="158">
        <f>($F$5/60*$C$7/$C$4)*$C$74/C87</f>
        <v>36.515388628064684</v>
      </c>
      <c r="B87" s="158">
        <f>C87/($C$7/60)*$C$4*$F$4*$C$6</f>
        <v>2012.8499999999995</v>
      </c>
      <c r="C87" s="158">
        <v>7.1</v>
      </c>
    </row>
    <row r="88" spans="1:3">
      <c r="A88" s="158">
        <f>($F$5/60*$C$7/$C$4)*$C$74/C88</f>
        <v>36.008230452674894</v>
      </c>
      <c r="B88" s="158">
        <f>C88/($C$7/60)*$C$4*$F$4*$C$6</f>
        <v>2041.1999999999998</v>
      </c>
      <c r="C88" s="158">
        <v>7.2</v>
      </c>
    </row>
    <row r="89" spans="1:3">
      <c r="A89" s="158">
        <f>($F$5/60*$C$7/$C$4)*$C$74/C89</f>
        <v>35.514967021816332</v>
      </c>
      <c r="B89" s="158">
        <f>C89/($C$7/60)*$C$4*$F$4*$C$6</f>
        <v>2069.5499999999997</v>
      </c>
      <c r="C89" s="158">
        <v>7.3</v>
      </c>
    </row>
    <row r="90" spans="1:3">
      <c r="A90" s="158">
        <f>($F$5/60*$C$7/$C$4)*$C$74/C90</f>
        <v>35.035035035035079</v>
      </c>
      <c r="B90" s="158">
        <f>C90/($C$7/60)*$C$4*$F$4*$C$6</f>
        <v>2097.8999999999969</v>
      </c>
      <c r="C90" s="158">
        <v>7.3999999999999897</v>
      </c>
    </row>
    <row r="91" spans="1:3">
      <c r="A91" s="158">
        <f>($F$5/60*$C$7/$C$4)*$C$74/C91</f>
        <v>34.567901234567941</v>
      </c>
      <c r="B91" s="158">
        <f>C91/($C$7/60)*$C$4*$F$4*$C$6</f>
        <v>2126.2499999999968</v>
      </c>
      <c r="C91" s="158">
        <v>7.4999999999999902</v>
      </c>
    </row>
    <row r="92" spans="1:3">
      <c r="A92" s="158">
        <f>($F$5/60*$C$7/$C$4)*$C$74/C92</f>
        <v>34.113060428849948</v>
      </c>
      <c r="B92" s="158">
        <f>C92/($C$7/60)*$C$4*$F$4*$C$6</f>
        <v>2154.5999999999967</v>
      </c>
      <c r="C92" s="158">
        <v>7.5999999999999899</v>
      </c>
    </row>
    <row r="93" spans="1:3">
      <c r="A93" s="158">
        <f>($F$5/60*$C$7/$C$4)*$C$74/C93</f>
        <v>33.67003367003371</v>
      </c>
      <c r="B93" s="158">
        <f>C93/($C$7/60)*$C$4*$F$4*$C$6</f>
        <v>2182.9499999999966</v>
      </c>
      <c r="C93" s="158">
        <v>7.6999999999999904</v>
      </c>
    </row>
    <row r="94" spans="1:3">
      <c r="A94" s="158">
        <f>($F$5/60*$C$7/$C$4)*$C$74/C94</f>
        <v>33.238366571699942</v>
      </c>
      <c r="B94" s="158">
        <f>C94/($C$7/60)*$C$4*$F$4*$C$6</f>
        <v>2211.2999999999965</v>
      </c>
      <c r="C94" s="158">
        <v>7.7999999999999901</v>
      </c>
    </row>
    <row r="95" spans="1:3">
      <c r="A95" s="158">
        <f>($F$5/60*$C$7/$C$4)*$C$74/C95</f>
        <v>32.817627754336655</v>
      </c>
      <c r="B95" s="158">
        <f>C95/($C$7/60)*$C$4*$F$4*$C$6</f>
        <v>2239.6499999999969</v>
      </c>
      <c r="C95" s="158">
        <v>7.8999999999999897</v>
      </c>
    </row>
    <row r="96" spans="1:3">
      <c r="A96" s="158">
        <f>($F$5/60*$C$7/$C$4)*$C$74/C96</f>
        <v>32.407407407407447</v>
      </c>
      <c r="B96" s="158">
        <f>C96/($C$7/60)*$C$4*$F$4*$C$6</f>
        <v>2267.9999999999968</v>
      </c>
      <c r="C96" s="158">
        <v>7.9999999999999902</v>
      </c>
    </row>
    <row r="97" spans="1:3">
      <c r="A97" s="158">
        <f>($F$5/60*$C$7/$C$4)*$C$74/C97</f>
        <v>32.007315957933272</v>
      </c>
      <c r="B97" s="158">
        <f>C97/($C$7/60)*$C$4*$F$4*$C$6</f>
        <v>2296.3499999999972</v>
      </c>
      <c r="C97" s="158">
        <v>8.0999999999999908</v>
      </c>
    </row>
    <row r="98" spans="1:3">
      <c r="A98" s="158">
        <f>($F$5/60*$C$7/$C$4)*$C$74/C98</f>
        <v>31.616982836495065</v>
      </c>
      <c r="B98" s="158">
        <f>C98/($C$7/60)*$C$4*$F$4*$C$6</f>
        <v>2324.6999999999971</v>
      </c>
      <c r="C98" s="158">
        <v>8.1999999999999904</v>
      </c>
    </row>
    <row r="99" spans="1:3">
      <c r="A99" s="158">
        <f>($F$5/60*$C$7/$C$4)*$C$74/C99</f>
        <v>31.236055332440909</v>
      </c>
      <c r="B99" s="158">
        <f>C99/($C$7/60)*$C$4*$F$4*$C$6</f>
        <v>2353.0499999999975</v>
      </c>
      <c r="C99" s="158">
        <v>8.2999999999999901</v>
      </c>
    </row>
    <row r="100" spans="1:3">
      <c r="A100" s="158">
        <f>($F$5/60*$C$7/$C$4)*$C$74/C100</f>
        <v>30.864197530864232</v>
      </c>
      <c r="B100" s="158">
        <f>C100/($C$7/60)*$C$4*$F$4*$C$6</f>
        <v>2381.3999999999969</v>
      </c>
      <c r="C100" s="158">
        <v>8.3999999999999897</v>
      </c>
    </row>
    <row r="101" spans="1:3">
      <c r="A101" s="158">
        <f>($F$5/60*$C$7/$C$4)*$C$74/C101</f>
        <v>30.501089324618771</v>
      </c>
      <c r="B101" s="158">
        <f>C101/($C$7/60)*$C$4*$F$4*$C$6</f>
        <v>2409.7499999999968</v>
      </c>
      <c r="C101" s="158">
        <v>8.4999999999999893</v>
      </c>
    </row>
    <row r="102" spans="1:3">
      <c r="A102" s="158">
        <f>($F$5/60*$C$7/$C$4)*$C$74/C102</f>
        <v>30.146425495262733</v>
      </c>
      <c r="B102" s="158">
        <f>C102/($C$7/60)*$C$4*$F$4*$C$6</f>
        <v>2438.0999999999972</v>
      </c>
      <c r="C102" s="158">
        <v>8.5999999999999908</v>
      </c>
    </row>
    <row r="103" spans="1:3">
      <c r="A103" s="158">
        <f>($F$5/60*$C$7/$C$4)*$C$74/C103</f>
        <v>29.799914857386153</v>
      </c>
      <c r="B103" s="158">
        <f>C103/($C$7/60)*$C$4*$F$4*$C$6</f>
        <v>2466.4499999999971</v>
      </c>
      <c r="C103" s="158">
        <v>8.6999999999999904</v>
      </c>
    </row>
    <row r="104" spans="1:3">
      <c r="A104" s="158">
        <f>($F$5/60*$C$7/$C$4)*$C$74/C104</f>
        <v>29.461279461279492</v>
      </c>
      <c r="B104" s="158">
        <f>C104/($C$7/60)*$C$4*$F$4*$C$6</f>
        <v>2494.799999999997</v>
      </c>
      <c r="C104" s="158">
        <v>8.7999999999999901</v>
      </c>
    </row>
    <row r="105" spans="1:3">
      <c r="A105" s="158">
        <f>($F$5/60*$C$7/$C$4)*$C$74/C105</f>
        <v>29.130253849355004</v>
      </c>
      <c r="B105" s="158">
        <f>C105/($C$7/60)*$C$4*$F$4*$C$6</f>
        <v>2523.1499999999969</v>
      </c>
      <c r="C105" s="158">
        <v>8.8999999999999897</v>
      </c>
    </row>
    <row r="106" spans="1:3">
      <c r="A106" s="158">
        <f>($F$5/60*$C$7/$C$4)*$C$74/C106</f>
        <v>28.806584362139951</v>
      </c>
      <c r="B106" s="158">
        <f>C106/($C$7/60)*$C$4*$F$4*$C$6</f>
        <v>2551.4999999999968</v>
      </c>
      <c r="C106" s="158">
        <v>8.9999999999999893</v>
      </c>
    </row>
    <row r="107" spans="1:3">
      <c r="A107" s="158">
        <f>($F$5/60*$C$7/$C$4)*$C$74/C107</f>
        <v>28.490028490028518</v>
      </c>
      <c r="B107" s="158">
        <f>C107/($C$7/60)*$C$4*$F$4*$C$6</f>
        <v>2579.8499999999972</v>
      </c>
      <c r="C107" s="158">
        <v>9.0999999999999908</v>
      </c>
    </row>
    <row r="108" spans="1:3">
      <c r="A108" s="158">
        <f>($F$5/60*$C$7/$C$4)*$C$74/C108</f>
        <v>28.180354267310815</v>
      </c>
      <c r="B108" s="158">
        <f>C108/($C$7/60)*$C$4*$F$4*$C$6</f>
        <v>2608.1999999999971</v>
      </c>
      <c r="C108" s="158">
        <v>9.1999999999999904</v>
      </c>
    </row>
    <row r="109" spans="1:3">
      <c r="A109" s="158">
        <f>($F$5/60*$C$7/$C$4)*$C$74/C109</f>
        <v>27.877339705296723</v>
      </c>
      <c r="B109" s="158">
        <f>C109/($C$7/60)*$C$4*$F$4*$C$6</f>
        <v>2636.5499999999965</v>
      </c>
      <c r="C109" s="158">
        <v>9.2999999999999901</v>
      </c>
    </row>
    <row r="110" spans="1:3">
      <c r="A110" s="158">
        <f>($F$5/60*$C$7/$C$4)*$C$74/C110</f>
        <v>27.580772261623352</v>
      </c>
      <c r="B110" s="158">
        <f>C110/($C$7/60)*$C$4*$F$4*$C$6</f>
        <v>2664.8999999999965</v>
      </c>
      <c r="C110" s="158">
        <v>9.3999999999999897</v>
      </c>
    </row>
    <row r="111" spans="1:3">
      <c r="A111" s="158">
        <f>($F$5/60*$C$7/$C$4)*$C$74/C111</f>
        <v>27.290448343079952</v>
      </c>
      <c r="B111" s="158">
        <f>C111/($C$7/60)*$C$4*$F$4*$C$6</f>
        <v>2693.2499999999968</v>
      </c>
      <c r="C111" s="158">
        <v>9.4999999999999893</v>
      </c>
    </row>
    <row r="112" spans="1:3">
      <c r="A112" s="158">
        <f>($F$5/60*$C$7/$C$4)*$C$74/C112</f>
        <v>27.006172839506196</v>
      </c>
      <c r="B112" s="158">
        <f>C112/($C$7/60)*$C$4*$F$4*$C$6</f>
        <v>2721.5999999999972</v>
      </c>
      <c r="C112" s="158">
        <v>9.5999999999999908</v>
      </c>
    </row>
    <row r="113" ht="15.7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11B2-283F-E744-AAD8-B4ED86E80CF9}">
  <sheetPr>
    <tabColor rgb="FF92D050"/>
  </sheetPr>
  <dimension ref="A1:Q103"/>
  <sheetViews>
    <sheetView workbookViewId="0">
      <selection activeCell="I4" sqref="I4"/>
    </sheetView>
  </sheetViews>
  <sheetFormatPr defaultColWidth="8.85546875" defaultRowHeight="14.1"/>
  <cols>
    <col min="1" max="1" width="18.28515625" style="108" customWidth="1"/>
    <col min="2" max="2" width="14.140625" style="108" bestFit="1" customWidth="1"/>
    <col min="3" max="3" width="30.42578125" style="108" customWidth="1"/>
    <col min="4" max="4" width="10.42578125" style="108" customWidth="1"/>
    <col min="5" max="5" width="14.28515625" style="108" customWidth="1"/>
    <col min="6" max="6" width="8.85546875" style="107"/>
    <col min="7" max="7" width="16.42578125" style="108" customWidth="1"/>
    <col min="8" max="8" width="17.7109375" style="108" customWidth="1"/>
    <col min="9" max="9" width="14.28515625" style="108" customWidth="1"/>
    <col min="10" max="10" width="8.85546875" style="108"/>
    <col min="11" max="11" width="12.42578125" style="107" customWidth="1"/>
    <col min="12" max="12" width="8.85546875" style="108"/>
    <col min="13" max="13" width="8.85546875" style="108" customWidth="1"/>
    <col min="14" max="14" width="22.85546875" style="108" customWidth="1"/>
    <col min="15" max="15" width="19.28515625" style="108" customWidth="1"/>
    <col min="16" max="16384" width="8.85546875" style="108"/>
  </cols>
  <sheetData>
    <row r="1" spans="1:17">
      <c r="A1" s="292" t="s">
        <v>1563</v>
      </c>
      <c r="B1" s="292"/>
      <c r="C1" s="292"/>
      <c r="D1" s="292"/>
      <c r="E1" s="293"/>
    </row>
    <row r="2" spans="1:17">
      <c r="A2" s="109" t="s">
        <v>1564</v>
      </c>
      <c r="C2" s="110"/>
      <c r="D2" s="111" t="s">
        <v>1565</v>
      </c>
      <c r="F2" s="112" t="s">
        <v>1566</v>
      </c>
      <c r="I2" s="113" t="s">
        <v>1565</v>
      </c>
      <c r="K2" s="112" t="s">
        <v>1441</v>
      </c>
      <c r="N2" s="113" t="s">
        <v>1567</v>
      </c>
      <c r="O2" s="113" t="s">
        <v>1568</v>
      </c>
    </row>
    <row r="3" spans="1:17">
      <c r="D3" s="111">
        <f>SUM(B5:B100)/((MAX(B5:B100)*COUNT(B5:B100)/2))</f>
        <v>0.90416666666666667</v>
      </c>
      <c r="E3" s="114"/>
      <c r="I3" s="111" t="e" cm="1">
        <f t="array" ref="I3">SUM(G5:G100)/'DSI vs Plant Group DSI'!C6((MAX(G5:G100)*COUNT(G5:G100)/2))</f>
        <v>#REF!</v>
      </c>
      <c r="J3" s="114"/>
      <c r="N3" s="111">
        <f>SUM(L5:L100)/((MAX(L5:L100)*COUNT(L5:L100)/2))</f>
        <v>1.0072916666666667</v>
      </c>
      <c r="O3" s="111" t="e">
        <f>AVERAGE(I3,D3)</f>
        <v>#REF!</v>
      </c>
      <c r="P3" s="114"/>
    </row>
    <row r="4" spans="1:17">
      <c r="A4" s="108" t="s">
        <v>1569</v>
      </c>
      <c r="B4" s="108" t="s">
        <v>1570</v>
      </c>
      <c r="C4" s="108" t="s">
        <v>1571</v>
      </c>
      <c r="D4" s="108" t="s">
        <v>1572</v>
      </c>
      <c r="F4" s="107" t="s">
        <v>1573</v>
      </c>
      <c r="G4" s="108" t="s">
        <v>1570</v>
      </c>
      <c r="H4" s="108" t="s">
        <v>1571</v>
      </c>
      <c r="I4" s="108" t="s">
        <v>1574</v>
      </c>
    </row>
    <row r="5" spans="1:17" ht="15">
      <c r="A5" s="115">
        <v>0</v>
      </c>
      <c r="B5" s="108">
        <v>5</v>
      </c>
      <c r="C5" s="108">
        <f t="shared" ref="C5:C68" si="0">MAX($B$5:$B$100)</f>
        <v>10</v>
      </c>
      <c r="D5" s="116">
        <f>B5/C5</f>
        <v>0.5</v>
      </c>
      <c r="E5" s="108">
        <f>B5*15</f>
        <v>75</v>
      </c>
      <c r="F5" s="117">
        <v>0</v>
      </c>
      <c r="G5" s="108">
        <v>0</v>
      </c>
      <c r="H5" s="108">
        <f t="shared" ref="H5:H68" si="1">MAX($G$5:$G$100)</f>
        <v>13</v>
      </c>
      <c r="I5" s="116">
        <f t="shared" ref="I5:I68" si="2">G5/H5</f>
        <v>0</v>
      </c>
      <c r="J5" s="108">
        <f t="shared" ref="J5:J68" si="3">G5*15</f>
        <v>0</v>
      </c>
      <c r="K5" s="117">
        <f>A5</f>
        <v>0</v>
      </c>
      <c r="L5" s="108">
        <f>B5+G5</f>
        <v>5</v>
      </c>
      <c r="M5" s="108">
        <f>MAX($L$5:$L$100)</f>
        <v>20</v>
      </c>
      <c r="N5" s="116">
        <f>L5/M5</f>
        <v>0.25</v>
      </c>
      <c r="O5" s="108">
        <f>L5*15</f>
        <v>75</v>
      </c>
    </row>
    <row r="6" spans="1:17" ht="15">
      <c r="A6" s="115">
        <v>1.0416666666666666E-2</v>
      </c>
      <c r="B6" s="108">
        <v>5</v>
      </c>
      <c r="C6" s="108">
        <f t="shared" si="0"/>
        <v>10</v>
      </c>
      <c r="D6" s="116">
        <f t="shared" ref="D6:D68" si="4">B6/C6</f>
        <v>0.5</v>
      </c>
      <c r="E6" s="108">
        <f t="shared" ref="E6:E69" si="5">B6*15</f>
        <v>75</v>
      </c>
      <c r="F6" s="117">
        <v>1.0416666666666666E-2</v>
      </c>
      <c r="G6" s="108">
        <v>0</v>
      </c>
      <c r="H6" s="108">
        <f t="shared" si="1"/>
        <v>13</v>
      </c>
      <c r="I6" s="116">
        <f t="shared" si="2"/>
        <v>0</v>
      </c>
      <c r="J6" s="108">
        <f t="shared" si="3"/>
        <v>0</v>
      </c>
      <c r="K6" s="117">
        <f t="shared" ref="K6:K68" si="6">A6</f>
        <v>1.0416666666666666E-2</v>
      </c>
      <c r="L6" s="108">
        <f t="shared" ref="L6:L54" si="7">B6+G6</f>
        <v>5</v>
      </c>
      <c r="M6" s="108">
        <f t="shared" ref="M6:M68" si="8">MAX($L$5:$L$100)</f>
        <v>20</v>
      </c>
      <c r="N6" s="116">
        <f t="shared" ref="N6:N68" si="9">L6/M6</f>
        <v>0.25</v>
      </c>
      <c r="O6" s="108">
        <f t="shared" ref="O6:O69" si="10">L6*15</f>
        <v>75</v>
      </c>
      <c r="Q6" s="108">
        <f>20/(1*4*5)</f>
        <v>1</v>
      </c>
    </row>
    <row r="7" spans="1:17" ht="15">
      <c r="A7" s="115">
        <v>2.0833333333333301E-2</v>
      </c>
      <c r="B7" s="108">
        <v>5</v>
      </c>
      <c r="C7" s="108">
        <f t="shared" si="0"/>
        <v>10</v>
      </c>
      <c r="D7" s="116">
        <f t="shared" si="4"/>
        <v>0.5</v>
      </c>
      <c r="E7" s="108">
        <f t="shared" si="5"/>
        <v>75</v>
      </c>
      <c r="F7" s="117">
        <v>2.0833333333333301E-2</v>
      </c>
      <c r="G7" s="108">
        <v>0</v>
      </c>
      <c r="H7" s="108">
        <f t="shared" si="1"/>
        <v>13</v>
      </c>
      <c r="I7" s="116">
        <f t="shared" si="2"/>
        <v>0</v>
      </c>
      <c r="J7" s="108">
        <f t="shared" si="3"/>
        <v>0</v>
      </c>
      <c r="K7" s="117">
        <f t="shared" si="6"/>
        <v>2.0833333333333301E-2</v>
      </c>
      <c r="L7" s="108">
        <f t="shared" si="7"/>
        <v>5</v>
      </c>
      <c r="M7" s="108">
        <f t="shared" si="8"/>
        <v>20</v>
      </c>
      <c r="N7" s="116">
        <f t="shared" si="9"/>
        <v>0.25</v>
      </c>
      <c r="O7" s="108">
        <f t="shared" si="10"/>
        <v>75</v>
      </c>
    </row>
    <row r="8" spans="1:17" ht="15">
      <c r="A8" s="115">
        <v>3.125E-2</v>
      </c>
      <c r="B8" s="108">
        <v>5</v>
      </c>
      <c r="C8" s="108">
        <f t="shared" si="0"/>
        <v>10</v>
      </c>
      <c r="D8" s="116">
        <f t="shared" si="4"/>
        <v>0.5</v>
      </c>
      <c r="E8" s="108">
        <f t="shared" si="5"/>
        <v>75</v>
      </c>
      <c r="F8" s="117">
        <v>3.125E-2</v>
      </c>
      <c r="G8" s="108">
        <v>0</v>
      </c>
      <c r="H8" s="108">
        <f t="shared" si="1"/>
        <v>13</v>
      </c>
      <c r="I8" s="116">
        <f t="shared" si="2"/>
        <v>0</v>
      </c>
      <c r="J8" s="108">
        <f t="shared" si="3"/>
        <v>0</v>
      </c>
      <c r="K8" s="117">
        <f t="shared" si="6"/>
        <v>3.125E-2</v>
      </c>
      <c r="L8" s="108">
        <f t="shared" si="7"/>
        <v>5</v>
      </c>
      <c r="M8" s="108">
        <f t="shared" si="8"/>
        <v>20</v>
      </c>
      <c r="N8" s="116">
        <f t="shared" si="9"/>
        <v>0.25</v>
      </c>
      <c r="O8" s="108">
        <f t="shared" si="10"/>
        <v>75</v>
      </c>
    </row>
    <row r="9" spans="1:17" ht="15">
      <c r="A9" s="115">
        <v>4.1666666666666699E-2</v>
      </c>
      <c r="B9" s="108">
        <v>5</v>
      </c>
      <c r="C9" s="108">
        <f>MAX($B$5:$B$100)</f>
        <v>10</v>
      </c>
      <c r="D9" s="116">
        <f t="shared" si="4"/>
        <v>0.5</v>
      </c>
      <c r="E9" s="108">
        <f t="shared" si="5"/>
        <v>75</v>
      </c>
      <c r="F9" s="117">
        <v>4.1666666666666699E-2</v>
      </c>
      <c r="G9" s="108">
        <v>0</v>
      </c>
      <c r="H9" s="108">
        <f t="shared" si="1"/>
        <v>13</v>
      </c>
      <c r="I9" s="116">
        <f t="shared" si="2"/>
        <v>0</v>
      </c>
      <c r="J9" s="108">
        <f t="shared" si="3"/>
        <v>0</v>
      </c>
      <c r="K9" s="117">
        <f t="shared" si="6"/>
        <v>4.1666666666666699E-2</v>
      </c>
      <c r="L9" s="108">
        <f t="shared" si="7"/>
        <v>5</v>
      </c>
      <c r="M9" s="108">
        <f t="shared" si="8"/>
        <v>20</v>
      </c>
      <c r="N9" s="116">
        <f t="shared" si="9"/>
        <v>0.25</v>
      </c>
      <c r="O9" s="108">
        <f t="shared" si="10"/>
        <v>75</v>
      </c>
    </row>
    <row r="10" spans="1:17" ht="15">
      <c r="A10" s="115">
        <v>5.2083333333333301E-2</v>
      </c>
      <c r="B10" s="108">
        <v>5</v>
      </c>
      <c r="C10" s="108">
        <f t="shared" si="0"/>
        <v>10</v>
      </c>
      <c r="D10" s="116">
        <f t="shared" si="4"/>
        <v>0.5</v>
      </c>
      <c r="E10" s="108">
        <f t="shared" si="5"/>
        <v>75</v>
      </c>
      <c r="F10" s="117">
        <v>5.2083333333333301E-2</v>
      </c>
      <c r="G10" s="108">
        <v>0</v>
      </c>
      <c r="H10" s="108">
        <f t="shared" si="1"/>
        <v>13</v>
      </c>
      <c r="I10" s="116">
        <f t="shared" si="2"/>
        <v>0</v>
      </c>
      <c r="J10" s="108">
        <f t="shared" si="3"/>
        <v>0</v>
      </c>
      <c r="K10" s="117">
        <f t="shared" si="6"/>
        <v>5.2083333333333301E-2</v>
      </c>
      <c r="L10" s="108">
        <f t="shared" si="7"/>
        <v>5</v>
      </c>
      <c r="M10" s="108">
        <f t="shared" si="8"/>
        <v>20</v>
      </c>
      <c r="N10" s="116">
        <f t="shared" si="9"/>
        <v>0.25</v>
      </c>
      <c r="O10" s="108">
        <f t="shared" si="10"/>
        <v>75</v>
      </c>
    </row>
    <row r="11" spans="1:17" ht="15">
      <c r="A11" s="115">
        <v>6.25E-2</v>
      </c>
      <c r="B11" s="108">
        <v>5</v>
      </c>
      <c r="C11" s="108">
        <f t="shared" si="0"/>
        <v>10</v>
      </c>
      <c r="D11" s="116">
        <f t="shared" si="4"/>
        <v>0.5</v>
      </c>
      <c r="E11" s="108">
        <f t="shared" si="5"/>
        <v>75</v>
      </c>
      <c r="F11" s="117">
        <v>6.25E-2</v>
      </c>
      <c r="G11" s="108">
        <v>0</v>
      </c>
      <c r="H11" s="108">
        <f t="shared" si="1"/>
        <v>13</v>
      </c>
      <c r="I11" s="116">
        <f t="shared" si="2"/>
        <v>0</v>
      </c>
      <c r="J11" s="108">
        <f t="shared" si="3"/>
        <v>0</v>
      </c>
      <c r="K11" s="117">
        <f t="shared" si="6"/>
        <v>6.25E-2</v>
      </c>
      <c r="L11" s="108">
        <f t="shared" si="7"/>
        <v>5</v>
      </c>
      <c r="M11" s="108">
        <f t="shared" si="8"/>
        <v>20</v>
      </c>
      <c r="N11" s="116">
        <f t="shared" si="9"/>
        <v>0.25</v>
      </c>
      <c r="O11" s="108">
        <f t="shared" si="10"/>
        <v>75</v>
      </c>
    </row>
    <row r="12" spans="1:17" ht="15">
      <c r="A12" s="115">
        <v>7.2916666666666699E-2</v>
      </c>
      <c r="B12" s="108">
        <v>5</v>
      </c>
      <c r="C12" s="108">
        <f t="shared" si="0"/>
        <v>10</v>
      </c>
      <c r="D12" s="116">
        <f t="shared" si="4"/>
        <v>0.5</v>
      </c>
      <c r="E12" s="108">
        <f t="shared" si="5"/>
        <v>75</v>
      </c>
      <c r="F12" s="117">
        <v>7.2916666666666699E-2</v>
      </c>
      <c r="G12" s="108">
        <v>0</v>
      </c>
      <c r="H12" s="108">
        <f t="shared" si="1"/>
        <v>13</v>
      </c>
      <c r="I12" s="116">
        <f t="shared" si="2"/>
        <v>0</v>
      </c>
      <c r="J12" s="108">
        <f t="shared" si="3"/>
        <v>0</v>
      </c>
      <c r="K12" s="117">
        <f t="shared" si="6"/>
        <v>7.2916666666666699E-2</v>
      </c>
      <c r="L12" s="108">
        <f t="shared" si="7"/>
        <v>5</v>
      </c>
      <c r="M12" s="108">
        <f t="shared" si="8"/>
        <v>20</v>
      </c>
      <c r="N12" s="116">
        <f t="shared" si="9"/>
        <v>0.25</v>
      </c>
      <c r="O12" s="108">
        <f t="shared" si="10"/>
        <v>75</v>
      </c>
    </row>
    <row r="13" spans="1:17" ht="15">
      <c r="A13" s="115">
        <v>8.3333333333333301E-2</v>
      </c>
      <c r="B13" s="108">
        <v>5</v>
      </c>
      <c r="C13" s="108">
        <f t="shared" si="0"/>
        <v>10</v>
      </c>
      <c r="D13" s="116">
        <f t="shared" si="4"/>
        <v>0.5</v>
      </c>
      <c r="E13" s="108">
        <f t="shared" si="5"/>
        <v>75</v>
      </c>
      <c r="F13" s="117">
        <v>8.3333333333333301E-2</v>
      </c>
      <c r="G13" s="108">
        <v>0</v>
      </c>
      <c r="H13" s="108">
        <f t="shared" si="1"/>
        <v>13</v>
      </c>
      <c r="I13" s="116">
        <f t="shared" si="2"/>
        <v>0</v>
      </c>
      <c r="J13" s="108">
        <f t="shared" si="3"/>
        <v>0</v>
      </c>
      <c r="K13" s="117">
        <f t="shared" si="6"/>
        <v>8.3333333333333301E-2</v>
      </c>
      <c r="L13" s="108">
        <f t="shared" si="7"/>
        <v>5</v>
      </c>
      <c r="M13" s="108">
        <f t="shared" si="8"/>
        <v>20</v>
      </c>
      <c r="N13" s="116">
        <f t="shared" si="9"/>
        <v>0.25</v>
      </c>
      <c r="O13" s="108">
        <f t="shared" si="10"/>
        <v>75</v>
      </c>
    </row>
    <row r="14" spans="1:17" ht="15">
      <c r="A14" s="115">
        <v>9.375E-2</v>
      </c>
      <c r="B14" s="108">
        <v>5</v>
      </c>
      <c r="C14" s="108">
        <f t="shared" si="0"/>
        <v>10</v>
      </c>
      <c r="D14" s="116">
        <f t="shared" si="4"/>
        <v>0.5</v>
      </c>
      <c r="E14" s="108">
        <f t="shared" si="5"/>
        <v>75</v>
      </c>
      <c r="F14" s="117">
        <v>9.375E-2</v>
      </c>
      <c r="G14" s="108">
        <v>3</v>
      </c>
      <c r="H14" s="108">
        <f t="shared" si="1"/>
        <v>13</v>
      </c>
      <c r="I14" s="116">
        <f t="shared" si="2"/>
        <v>0.23076923076923078</v>
      </c>
      <c r="J14" s="108">
        <f t="shared" si="3"/>
        <v>45</v>
      </c>
      <c r="K14" s="117">
        <f t="shared" si="6"/>
        <v>9.375E-2</v>
      </c>
      <c r="L14" s="108">
        <f t="shared" si="7"/>
        <v>8</v>
      </c>
      <c r="M14" s="108">
        <f t="shared" si="8"/>
        <v>20</v>
      </c>
      <c r="N14" s="116">
        <f t="shared" si="9"/>
        <v>0.4</v>
      </c>
      <c r="O14" s="108">
        <f t="shared" si="10"/>
        <v>120</v>
      </c>
    </row>
    <row r="15" spans="1:17" ht="15">
      <c r="A15" s="115">
        <v>0.104166666666667</v>
      </c>
      <c r="B15" s="108">
        <v>5</v>
      </c>
      <c r="C15" s="108">
        <f t="shared" si="0"/>
        <v>10</v>
      </c>
      <c r="D15" s="116">
        <f t="shared" si="4"/>
        <v>0.5</v>
      </c>
      <c r="E15" s="108">
        <f t="shared" si="5"/>
        <v>75</v>
      </c>
      <c r="F15" s="117">
        <v>0.104166666666667</v>
      </c>
      <c r="G15" s="108">
        <v>3</v>
      </c>
      <c r="H15" s="108">
        <f t="shared" si="1"/>
        <v>13</v>
      </c>
      <c r="I15" s="116">
        <f>G15/H15</f>
        <v>0.23076923076923078</v>
      </c>
      <c r="J15" s="108">
        <f t="shared" si="3"/>
        <v>45</v>
      </c>
      <c r="K15" s="117">
        <f t="shared" si="6"/>
        <v>0.104166666666667</v>
      </c>
      <c r="L15" s="108">
        <f t="shared" si="7"/>
        <v>8</v>
      </c>
      <c r="M15" s="108">
        <f t="shared" si="8"/>
        <v>20</v>
      </c>
      <c r="N15" s="116">
        <f t="shared" si="9"/>
        <v>0.4</v>
      </c>
      <c r="O15" s="108">
        <f t="shared" si="10"/>
        <v>120</v>
      </c>
    </row>
    <row r="16" spans="1:17" ht="15">
      <c r="A16" s="115">
        <v>0.114583333333333</v>
      </c>
      <c r="B16" s="108">
        <v>5</v>
      </c>
      <c r="C16" s="108">
        <f t="shared" si="0"/>
        <v>10</v>
      </c>
      <c r="D16" s="116">
        <f t="shared" si="4"/>
        <v>0.5</v>
      </c>
      <c r="E16" s="108">
        <f t="shared" si="5"/>
        <v>75</v>
      </c>
      <c r="F16" s="117">
        <v>0.114583333333333</v>
      </c>
      <c r="G16" s="108">
        <v>3</v>
      </c>
      <c r="H16" s="108">
        <f t="shared" si="1"/>
        <v>13</v>
      </c>
      <c r="I16" s="116">
        <f t="shared" si="2"/>
        <v>0.23076923076923078</v>
      </c>
      <c r="J16" s="108">
        <f t="shared" si="3"/>
        <v>45</v>
      </c>
      <c r="K16" s="117">
        <f t="shared" si="6"/>
        <v>0.114583333333333</v>
      </c>
      <c r="L16" s="108">
        <f t="shared" si="7"/>
        <v>8</v>
      </c>
      <c r="M16" s="108">
        <f t="shared" si="8"/>
        <v>20</v>
      </c>
      <c r="N16" s="116">
        <f t="shared" si="9"/>
        <v>0.4</v>
      </c>
      <c r="O16" s="108">
        <f t="shared" si="10"/>
        <v>120</v>
      </c>
    </row>
    <row r="17" spans="1:15" ht="15">
      <c r="A17" s="115">
        <v>0.125</v>
      </c>
      <c r="B17" s="108">
        <v>5</v>
      </c>
      <c r="C17" s="108">
        <f t="shared" si="0"/>
        <v>10</v>
      </c>
      <c r="D17" s="116">
        <f t="shared" si="4"/>
        <v>0.5</v>
      </c>
      <c r="E17" s="108">
        <f t="shared" si="5"/>
        <v>75</v>
      </c>
      <c r="F17" s="117">
        <v>0.125</v>
      </c>
      <c r="G17" s="108">
        <v>4</v>
      </c>
      <c r="H17" s="108">
        <f t="shared" si="1"/>
        <v>13</v>
      </c>
      <c r="I17" s="116">
        <f t="shared" si="2"/>
        <v>0.30769230769230771</v>
      </c>
      <c r="J17" s="108">
        <f t="shared" si="3"/>
        <v>60</v>
      </c>
      <c r="K17" s="117">
        <f t="shared" si="6"/>
        <v>0.125</v>
      </c>
      <c r="L17" s="108">
        <f t="shared" si="7"/>
        <v>9</v>
      </c>
      <c r="M17" s="108">
        <f t="shared" si="8"/>
        <v>20</v>
      </c>
      <c r="N17" s="116">
        <f t="shared" si="9"/>
        <v>0.45</v>
      </c>
      <c r="O17" s="108">
        <f t="shared" si="10"/>
        <v>135</v>
      </c>
    </row>
    <row r="18" spans="1:15" ht="15">
      <c r="A18" s="115">
        <v>0.13541666666666699</v>
      </c>
      <c r="B18" s="108">
        <v>0</v>
      </c>
      <c r="C18" s="108">
        <f t="shared" si="0"/>
        <v>10</v>
      </c>
      <c r="D18" s="116">
        <f t="shared" si="4"/>
        <v>0</v>
      </c>
      <c r="E18" s="108">
        <f t="shared" si="5"/>
        <v>0</v>
      </c>
      <c r="F18" s="117">
        <v>0.13541666666666699</v>
      </c>
      <c r="G18" s="108">
        <v>4</v>
      </c>
      <c r="H18" s="108">
        <f t="shared" si="1"/>
        <v>13</v>
      </c>
      <c r="I18" s="116">
        <f t="shared" si="2"/>
        <v>0.30769230769230771</v>
      </c>
      <c r="J18" s="108">
        <f t="shared" si="3"/>
        <v>60</v>
      </c>
      <c r="K18" s="117">
        <f t="shared" si="6"/>
        <v>0.13541666666666699</v>
      </c>
      <c r="L18" s="108">
        <f t="shared" si="7"/>
        <v>4</v>
      </c>
      <c r="M18" s="108">
        <f t="shared" si="8"/>
        <v>20</v>
      </c>
      <c r="N18" s="116">
        <f t="shared" si="9"/>
        <v>0.2</v>
      </c>
      <c r="O18" s="108">
        <f t="shared" si="10"/>
        <v>60</v>
      </c>
    </row>
    <row r="19" spans="1:15" ht="15">
      <c r="A19" s="115">
        <v>0.14583333333333301</v>
      </c>
      <c r="B19" s="108">
        <v>0</v>
      </c>
      <c r="C19" s="108">
        <f t="shared" si="0"/>
        <v>10</v>
      </c>
      <c r="D19" s="116">
        <f t="shared" si="4"/>
        <v>0</v>
      </c>
      <c r="E19" s="108">
        <f t="shared" si="5"/>
        <v>0</v>
      </c>
      <c r="F19" s="117">
        <v>0.14583333333333301</v>
      </c>
      <c r="G19" s="108">
        <v>5</v>
      </c>
      <c r="H19" s="108">
        <f t="shared" si="1"/>
        <v>13</v>
      </c>
      <c r="I19" s="116">
        <f t="shared" si="2"/>
        <v>0.38461538461538464</v>
      </c>
      <c r="J19" s="108">
        <f t="shared" si="3"/>
        <v>75</v>
      </c>
      <c r="K19" s="117">
        <f t="shared" si="6"/>
        <v>0.14583333333333301</v>
      </c>
      <c r="L19" s="108">
        <f t="shared" si="7"/>
        <v>5</v>
      </c>
      <c r="M19" s="108">
        <f t="shared" si="8"/>
        <v>20</v>
      </c>
      <c r="N19" s="116">
        <f t="shared" si="9"/>
        <v>0.25</v>
      </c>
      <c r="O19" s="108">
        <f t="shared" si="10"/>
        <v>75</v>
      </c>
    </row>
    <row r="20" spans="1:15" ht="15">
      <c r="A20" s="115">
        <v>0.15625</v>
      </c>
      <c r="B20" s="108">
        <v>0</v>
      </c>
      <c r="C20" s="108">
        <f t="shared" si="0"/>
        <v>10</v>
      </c>
      <c r="D20" s="116">
        <f t="shared" si="4"/>
        <v>0</v>
      </c>
      <c r="E20" s="108">
        <f t="shared" si="5"/>
        <v>0</v>
      </c>
      <c r="F20" s="117">
        <v>0.15625</v>
      </c>
      <c r="G20" s="108">
        <v>5</v>
      </c>
      <c r="H20" s="108">
        <f t="shared" si="1"/>
        <v>13</v>
      </c>
      <c r="I20" s="116">
        <f t="shared" si="2"/>
        <v>0.38461538461538464</v>
      </c>
      <c r="J20" s="108">
        <f t="shared" si="3"/>
        <v>75</v>
      </c>
      <c r="K20" s="117">
        <f t="shared" si="6"/>
        <v>0.15625</v>
      </c>
      <c r="L20" s="108">
        <f t="shared" si="7"/>
        <v>5</v>
      </c>
      <c r="M20" s="108">
        <f t="shared" si="8"/>
        <v>20</v>
      </c>
      <c r="N20" s="116">
        <f t="shared" si="9"/>
        <v>0.25</v>
      </c>
      <c r="O20" s="108">
        <f t="shared" si="10"/>
        <v>75</v>
      </c>
    </row>
    <row r="21" spans="1:15" ht="15">
      <c r="A21" s="115">
        <v>0.16666666666666699</v>
      </c>
      <c r="B21" s="108">
        <v>0</v>
      </c>
      <c r="C21" s="108">
        <f t="shared" si="0"/>
        <v>10</v>
      </c>
      <c r="D21" s="116">
        <f t="shared" si="4"/>
        <v>0</v>
      </c>
      <c r="E21" s="108">
        <f t="shared" si="5"/>
        <v>0</v>
      </c>
      <c r="F21" s="117">
        <v>0.16666666666666699</v>
      </c>
      <c r="G21" s="108">
        <v>5</v>
      </c>
      <c r="H21" s="108">
        <f t="shared" si="1"/>
        <v>13</v>
      </c>
      <c r="I21" s="116">
        <f t="shared" si="2"/>
        <v>0.38461538461538464</v>
      </c>
      <c r="J21" s="108">
        <f t="shared" si="3"/>
        <v>75</v>
      </c>
      <c r="K21" s="117">
        <f t="shared" si="6"/>
        <v>0.16666666666666699</v>
      </c>
      <c r="L21" s="108">
        <f t="shared" si="7"/>
        <v>5</v>
      </c>
      <c r="M21" s="108">
        <f t="shared" si="8"/>
        <v>20</v>
      </c>
      <c r="N21" s="116">
        <f t="shared" si="9"/>
        <v>0.25</v>
      </c>
      <c r="O21" s="108">
        <f t="shared" si="10"/>
        <v>75</v>
      </c>
    </row>
    <row r="22" spans="1:15" ht="15">
      <c r="A22" s="115">
        <v>0.17708333333333301</v>
      </c>
      <c r="B22" s="108">
        <v>0</v>
      </c>
      <c r="C22" s="108">
        <f t="shared" si="0"/>
        <v>10</v>
      </c>
      <c r="D22" s="116">
        <f t="shared" si="4"/>
        <v>0</v>
      </c>
      <c r="E22" s="108">
        <f t="shared" si="5"/>
        <v>0</v>
      </c>
      <c r="F22" s="117">
        <v>0.17708333333333301</v>
      </c>
      <c r="G22" s="108">
        <v>5</v>
      </c>
      <c r="H22" s="108">
        <f t="shared" si="1"/>
        <v>13</v>
      </c>
      <c r="I22" s="116">
        <f t="shared" si="2"/>
        <v>0.38461538461538464</v>
      </c>
      <c r="J22" s="108">
        <f t="shared" si="3"/>
        <v>75</v>
      </c>
      <c r="K22" s="117">
        <f t="shared" si="6"/>
        <v>0.17708333333333301</v>
      </c>
      <c r="L22" s="108">
        <f t="shared" si="7"/>
        <v>5</v>
      </c>
      <c r="M22" s="108">
        <f>MAX($L$5:$L$100)</f>
        <v>20</v>
      </c>
      <c r="N22" s="116">
        <f t="shared" si="9"/>
        <v>0.25</v>
      </c>
      <c r="O22" s="108">
        <f t="shared" si="10"/>
        <v>75</v>
      </c>
    </row>
    <row r="23" spans="1:15" ht="15">
      <c r="A23" s="115">
        <v>0.1875</v>
      </c>
      <c r="B23" s="108">
        <v>0</v>
      </c>
      <c r="C23" s="108">
        <f t="shared" si="0"/>
        <v>10</v>
      </c>
      <c r="D23" s="116">
        <f t="shared" si="4"/>
        <v>0</v>
      </c>
      <c r="E23" s="108">
        <f t="shared" si="5"/>
        <v>0</v>
      </c>
      <c r="F23" s="117">
        <v>0.1875</v>
      </c>
      <c r="G23" s="108">
        <v>5</v>
      </c>
      <c r="H23" s="108">
        <f t="shared" si="1"/>
        <v>13</v>
      </c>
      <c r="I23" s="116">
        <f t="shared" si="2"/>
        <v>0.38461538461538464</v>
      </c>
      <c r="J23" s="108">
        <f t="shared" si="3"/>
        <v>75</v>
      </c>
      <c r="K23" s="117">
        <f t="shared" si="6"/>
        <v>0.1875</v>
      </c>
      <c r="L23" s="108">
        <f t="shared" si="7"/>
        <v>5</v>
      </c>
      <c r="M23" s="108">
        <f t="shared" si="8"/>
        <v>20</v>
      </c>
      <c r="N23" s="116">
        <f t="shared" si="9"/>
        <v>0.25</v>
      </c>
      <c r="O23" s="108">
        <f t="shared" si="10"/>
        <v>75</v>
      </c>
    </row>
    <row r="24" spans="1:15" ht="15">
      <c r="A24" s="115">
        <v>0.19791666666666699</v>
      </c>
      <c r="B24" s="108">
        <v>0</v>
      </c>
      <c r="C24" s="108">
        <f t="shared" si="0"/>
        <v>10</v>
      </c>
      <c r="D24" s="116">
        <f t="shared" si="4"/>
        <v>0</v>
      </c>
      <c r="E24" s="108">
        <f t="shared" si="5"/>
        <v>0</v>
      </c>
      <c r="F24" s="117">
        <v>0.19791666666666699</v>
      </c>
      <c r="G24" s="108">
        <v>5</v>
      </c>
      <c r="H24" s="108">
        <f t="shared" si="1"/>
        <v>13</v>
      </c>
      <c r="I24" s="116">
        <f t="shared" si="2"/>
        <v>0.38461538461538464</v>
      </c>
      <c r="J24" s="108">
        <f t="shared" si="3"/>
        <v>75</v>
      </c>
      <c r="K24" s="117">
        <f t="shared" si="6"/>
        <v>0.19791666666666699</v>
      </c>
      <c r="L24" s="108">
        <f t="shared" si="7"/>
        <v>5</v>
      </c>
      <c r="M24" s="108">
        <f t="shared" si="8"/>
        <v>20</v>
      </c>
      <c r="N24" s="116">
        <f t="shared" si="9"/>
        <v>0.25</v>
      </c>
      <c r="O24" s="108">
        <f t="shared" si="10"/>
        <v>75</v>
      </c>
    </row>
    <row r="25" spans="1:15" ht="15">
      <c r="A25" s="115">
        <v>0.20833333333333301</v>
      </c>
      <c r="B25" s="108">
        <v>0</v>
      </c>
      <c r="C25" s="108">
        <f t="shared" si="0"/>
        <v>10</v>
      </c>
      <c r="D25" s="116">
        <f t="shared" si="4"/>
        <v>0</v>
      </c>
      <c r="E25" s="108">
        <f t="shared" si="5"/>
        <v>0</v>
      </c>
      <c r="F25" s="117">
        <v>0.20833333333333301</v>
      </c>
      <c r="G25" s="108">
        <v>5</v>
      </c>
      <c r="H25" s="108">
        <f t="shared" si="1"/>
        <v>13</v>
      </c>
      <c r="I25" s="116">
        <f t="shared" si="2"/>
        <v>0.38461538461538464</v>
      </c>
      <c r="J25" s="108">
        <f t="shared" si="3"/>
        <v>75</v>
      </c>
      <c r="K25" s="117">
        <f t="shared" si="6"/>
        <v>0.20833333333333301</v>
      </c>
      <c r="L25" s="108">
        <f t="shared" si="7"/>
        <v>5</v>
      </c>
      <c r="M25" s="108">
        <f t="shared" si="8"/>
        <v>20</v>
      </c>
      <c r="N25" s="116">
        <f t="shared" si="9"/>
        <v>0.25</v>
      </c>
      <c r="O25" s="108">
        <f t="shared" si="10"/>
        <v>75</v>
      </c>
    </row>
    <row r="26" spans="1:15" ht="15">
      <c r="A26" s="115">
        <v>0.21875</v>
      </c>
      <c r="B26" s="108">
        <v>0</v>
      </c>
      <c r="C26" s="108">
        <f t="shared" si="0"/>
        <v>10</v>
      </c>
      <c r="D26" s="116">
        <f t="shared" si="4"/>
        <v>0</v>
      </c>
      <c r="E26" s="108">
        <f t="shared" si="5"/>
        <v>0</v>
      </c>
      <c r="F26" s="117">
        <v>0.21875</v>
      </c>
      <c r="G26" s="108">
        <v>5</v>
      </c>
      <c r="H26" s="108">
        <f t="shared" si="1"/>
        <v>13</v>
      </c>
      <c r="I26" s="116">
        <f t="shared" si="2"/>
        <v>0.38461538461538464</v>
      </c>
      <c r="J26" s="108">
        <f t="shared" si="3"/>
        <v>75</v>
      </c>
      <c r="K26" s="117">
        <f t="shared" si="6"/>
        <v>0.21875</v>
      </c>
      <c r="L26" s="108">
        <f t="shared" si="7"/>
        <v>5</v>
      </c>
      <c r="M26" s="108">
        <f t="shared" si="8"/>
        <v>20</v>
      </c>
      <c r="N26" s="116">
        <f t="shared" si="9"/>
        <v>0.25</v>
      </c>
      <c r="O26" s="108">
        <f t="shared" si="10"/>
        <v>75</v>
      </c>
    </row>
    <row r="27" spans="1:15" ht="15">
      <c r="A27" s="115">
        <v>0.22916666666666699</v>
      </c>
      <c r="B27" s="108">
        <v>0</v>
      </c>
      <c r="C27" s="108">
        <f t="shared" si="0"/>
        <v>10</v>
      </c>
      <c r="D27" s="116">
        <f t="shared" si="4"/>
        <v>0</v>
      </c>
      <c r="E27" s="108">
        <f t="shared" si="5"/>
        <v>0</v>
      </c>
      <c r="F27" s="117">
        <v>0.22916666666666699</v>
      </c>
      <c r="G27" s="108">
        <v>4</v>
      </c>
      <c r="H27" s="108">
        <f t="shared" si="1"/>
        <v>13</v>
      </c>
      <c r="I27" s="116">
        <f t="shared" si="2"/>
        <v>0.30769230769230771</v>
      </c>
      <c r="J27" s="108">
        <f t="shared" si="3"/>
        <v>60</v>
      </c>
      <c r="K27" s="117">
        <f t="shared" si="6"/>
        <v>0.22916666666666699</v>
      </c>
      <c r="L27" s="108">
        <f t="shared" si="7"/>
        <v>4</v>
      </c>
      <c r="M27" s="108">
        <f t="shared" si="8"/>
        <v>20</v>
      </c>
      <c r="N27" s="116">
        <f t="shared" si="9"/>
        <v>0.2</v>
      </c>
      <c r="O27" s="108">
        <f t="shared" si="10"/>
        <v>60</v>
      </c>
    </row>
    <row r="28" spans="1:15" ht="15">
      <c r="A28" s="115">
        <v>0.23958333333333301</v>
      </c>
      <c r="B28" s="108">
        <v>0</v>
      </c>
      <c r="C28" s="108">
        <f t="shared" si="0"/>
        <v>10</v>
      </c>
      <c r="D28" s="116">
        <f t="shared" si="4"/>
        <v>0</v>
      </c>
      <c r="E28" s="108">
        <f t="shared" si="5"/>
        <v>0</v>
      </c>
      <c r="F28" s="117">
        <v>0.23958333333333301</v>
      </c>
      <c r="G28" s="108">
        <v>5</v>
      </c>
      <c r="H28" s="108">
        <f t="shared" si="1"/>
        <v>13</v>
      </c>
      <c r="I28" s="116">
        <f t="shared" si="2"/>
        <v>0.38461538461538464</v>
      </c>
      <c r="J28" s="108">
        <f t="shared" si="3"/>
        <v>75</v>
      </c>
      <c r="K28" s="117">
        <f t="shared" si="6"/>
        <v>0.23958333333333301</v>
      </c>
      <c r="L28" s="108">
        <f t="shared" si="7"/>
        <v>5</v>
      </c>
      <c r="M28" s="108">
        <f t="shared" si="8"/>
        <v>20</v>
      </c>
      <c r="N28" s="116">
        <f t="shared" si="9"/>
        <v>0.25</v>
      </c>
      <c r="O28" s="108">
        <f t="shared" si="10"/>
        <v>75</v>
      </c>
    </row>
    <row r="29" spans="1:15" ht="15">
      <c r="A29" s="115">
        <v>0.25</v>
      </c>
      <c r="B29" s="108">
        <v>0</v>
      </c>
      <c r="C29" s="108">
        <f t="shared" si="0"/>
        <v>10</v>
      </c>
      <c r="D29" s="116">
        <f t="shared" si="4"/>
        <v>0</v>
      </c>
      <c r="E29" s="108">
        <f t="shared" si="5"/>
        <v>0</v>
      </c>
      <c r="F29" s="117">
        <v>0.25</v>
      </c>
      <c r="G29" s="108">
        <v>5</v>
      </c>
      <c r="H29" s="108">
        <f t="shared" si="1"/>
        <v>13</v>
      </c>
      <c r="I29" s="116">
        <f t="shared" si="2"/>
        <v>0.38461538461538464</v>
      </c>
      <c r="J29" s="108">
        <f t="shared" si="3"/>
        <v>75</v>
      </c>
      <c r="K29" s="117">
        <f t="shared" si="6"/>
        <v>0.25</v>
      </c>
      <c r="L29" s="108">
        <f t="shared" si="7"/>
        <v>5</v>
      </c>
      <c r="M29" s="108">
        <f t="shared" si="8"/>
        <v>20</v>
      </c>
      <c r="N29" s="116">
        <f t="shared" si="9"/>
        <v>0.25</v>
      </c>
      <c r="O29" s="108">
        <f t="shared" si="10"/>
        <v>75</v>
      </c>
    </row>
    <row r="30" spans="1:15" ht="15">
      <c r="A30" s="115">
        <v>0.26041666666666702</v>
      </c>
      <c r="B30" s="108">
        <v>0</v>
      </c>
      <c r="C30" s="108">
        <f t="shared" si="0"/>
        <v>10</v>
      </c>
      <c r="D30" s="116">
        <f t="shared" si="4"/>
        <v>0</v>
      </c>
      <c r="E30" s="108">
        <f t="shared" si="5"/>
        <v>0</v>
      </c>
      <c r="F30" s="117">
        <v>0.26041666666666702</v>
      </c>
      <c r="G30" s="108">
        <v>5</v>
      </c>
      <c r="H30" s="108">
        <f t="shared" si="1"/>
        <v>13</v>
      </c>
      <c r="I30" s="116">
        <f t="shared" si="2"/>
        <v>0.38461538461538464</v>
      </c>
      <c r="J30" s="108">
        <f t="shared" si="3"/>
        <v>75</v>
      </c>
      <c r="K30" s="117">
        <f t="shared" si="6"/>
        <v>0.26041666666666702</v>
      </c>
      <c r="L30" s="108">
        <f t="shared" si="7"/>
        <v>5</v>
      </c>
      <c r="M30" s="108">
        <f t="shared" si="8"/>
        <v>20</v>
      </c>
      <c r="N30" s="116">
        <f t="shared" si="9"/>
        <v>0.25</v>
      </c>
      <c r="O30" s="108">
        <f t="shared" si="10"/>
        <v>75</v>
      </c>
    </row>
    <row r="31" spans="1:15" ht="15">
      <c r="A31" s="115">
        <v>0.27083333333333298</v>
      </c>
      <c r="B31" s="108">
        <v>0</v>
      </c>
      <c r="C31" s="108">
        <f t="shared" si="0"/>
        <v>10</v>
      </c>
      <c r="D31" s="116">
        <f t="shared" si="4"/>
        <v>0</v>
      </c>
      <c r="E31" s="108">
        <f t="shared" si="5"/>
        <v>0</v>
      </c>
      <c r="F31" s="117">
        <v>0.27083333333333298</v>
      </c>
      <c r="G31" s="108">
        <v>5</v>
      </c>
      <c r="H31" s="108">
        <f t="shared" si="1"/>
        <v>13</v>
      </c>
      <c r="I31" s="116">
        <f t="shared" si="2"/>
        <v>0.38461538461538464</v>
      </c>
      <c r="J31" s="108">
        <f t="shared" si="3"/>
        <v>75</v>
      </c>
      <c r="K31" s="117">
        <f t="shared" si="6"/>
        <v>0.27083333333333298</v>
      </c>
      <c r="L31" s="108">
        <f t="shared" si="7"/>
        <v>5</v>
      </c>
      <c r="M31" s="108">
        <f t="shared" si="8"/>
        <v>20</v>
      </c>
      <c r="N31" s="116">
        <f t="shared" si="9"/>
        <v>0.25</v>
      </c>
      <c r="O31" s="108">
        <f t="shared" si="10"/>
        <v>75</v>
      </c>
    </row>
    <row r="32" spans="1:15" ht="15">
      <c r="A32" s="115">
        <v>0.28125</v>
      </c>
      <c r="B32" s="108">
        <v>0</v>
      </c>
      <c r="C32" s="108">
        <f t="shared" si="0"/>
        <v>10</v>
      </c>
      <c r="D32" s="116">
        <f t="shared" si="4"/>
        <v>0</v>
      </c>
      <c r="E32" s="108">
        <f t="shared" si="5"/>
        <v>0</v>
      </c>
      <c r="F32" s="117">
        <v>0.28125</v>
      </c>
      <c r="G32" s="108">
        <v>5</v>
      </c>
      <c r="H32" s="108">
        <f t="shared" si="1"/>
        <v>13</v>
      </c>
      <c r="I32" s="116">
        <f t="shared" si="2"/>
        <v>0.38461538461538464</v>
      </c>
      <c r="J32" s="108">
        <f t="shared" si="3"/>
        <v>75</v>
      </c>
      <c r="K32" s="117">
        <f t="shared" si="6"/>
        <v>0.28125</v>
      </c>
      <c r="L32" s="108">
        <f t="shared" si="7"/>
        <v>5</v>
      </c>
      <c r="M32" s="108">
        <f t="shared" si="8"/>
        <v>20</v>
      </c>
      <c r="N32" s="116">
        <f t="shared" si="9"/>
        <v>0.25</v>
      </c>
      <c r="O32" s="108">
        <f t="shared" si="10"/>
        <v>75</v>
      </c>
    </row>
    <row r="33" spans="1:15" ht="15">
      <c r="A33" s="115">
        <v>0.29166666666666702</v>
      </c>
      <c r="B33" s="108">
        <v>0</v>
      </c>
      <c r="C33" s="108">
        <f t="shared" si="0"/>
        <v>10</v>
      </c>
      <c r="D33" s="116">
        <f t="shared" si="4"/>
        <v>0</v>
      </c>
      <c r="E33" s="108">
        <f t="shared" si="5"/>
        <v>0</v>
      </c>
      <c r="F33" s="117">
        <v>0.29166666666666702</v>
      </c>
      <c r="G33" s="108">
        <v>5</v>
      </c>
      <c r="H33" s="108">
        <f t="shared" si="1"/>
        <v>13</v>
      </c>
      <c r="I33" s="116">
        <f t="shared" si="2"/>
        <v>0.38461538461538464</v>
      </c>
      <c r="J33" s="108">
        <f t="shared" si="3"/>
        <v>75</v>
      </c>
      <c r="K33" s="117">
        <f t="shared" si="6"/>
        <v>0.29166666666666702</v>
      </c>
      <c r="L33" s="108">
        <f t="shared" si="7"/>
        <v>5</v>
      </c>
      <c r="M33" s="108">
        <f t="shared" si="8"/>
        <v>20</v>
      </c>
      <c r="N33" s="116">
        <f t="shared" si="9"/>
        <v>0.25</v>
      </c>
      <c r="O33" s="108">
        <f t="shared" si="10"/>
        <v>75</v>
      </c>
    </row>
    <row r="34" spans="1:15" ht="15">
      <c r="A34" s="115">
        <v>0.30208333333333298</v>
      </c>
      <c r="B34" s="108">
        <v>0</v>
      </c>
      <c r="C34" s="108">
        <f t="shared" si="0"/>
        <v>10</v>
      </c>
      <c r="D34" s="116">
        <f t="shared" si="4"/>
        <v>0</v>
      </c>
      <c r="E34" s="108">
        <f t="shared" si="5"/>
        <v>0</v>
      </c>
      <c r="F34" s="117">
        <v>0.30208333333333298</v>
      </c>
      <c r="G34" s="108">
        <v>5</v>
      </c>
      <c r="H34" s="108">
        <f t="shared" si="1"/>
        <v>13</v>
      </c>
      <c r="I34" s="116">
        <f t="shared" si="2"/>
        <v>0.38461538461538464</v>
      </c>
      <c r="J34" s="108">
        <f t="shared" si="3"/>
        <v>75</v>
      </c>
      <c r="K34" s="117">
        <f t="shared" si="6"/>
        <v>0.30208333333333298</v>
      </c>
      <c r="L34" s="108">
        <f t="shared" si="7"/>
        <v>5</v>
      </c>
      <c r="M34" s="108">
        <f t="shared" si="8"/>
        <v>20</v>
      </c>
      <c r="N34" s="116">
        <f t="shared" si="9"/>
        <v>0.25</v>
      </c>
      <c r="O34" s="108">
        <f t="shared" si="10"/>
        <v>75</v>
      </c>
    </row>
    <row r="35" spans="1:15" ht="15">
      <c r="A35" s="115">
        <v>0.3125</v>
      </c>
      <c r="B35" s="108">
        <v>0</v>
      </c>
      <c r="C35" s="108">
        <f t="shared" si="0"/>
        <v>10</v>
      </c>
      <c r="D35" s="116">
        <f t="shared" si="4"/>
        <v>0</v>
      </c>
      <c r="E35" s="108">
        <f t="shared" si="5"/>
        <v>0</v>
      </c>
      <c r="F35" s="117">
        <v>0.3125</v>
      </c>
      <c r="G35" s="108">
        <v>5</v>
      </c>
      <c r="H35" s="108">
        <f t="shared" si="1"/>
        <v>13</v>
      </c>
      <c r="I35" s="116">
        <f t="shared" si="2"/>
        <v>0.38461538461538464</v>
      </c>
      <c r="J35" s="108">
        <f t="shared" si="3"/>
        <v>75</v>
      </c>
      <c r="K35" s="117">
        <f t="shared" si="6"/>
        <v>0.3125</v>
      </c>
      <c r="L35" s="108">
        <f t="shared" si="7"/>
        <v>5</v>
      </c>
      <c r="M35" s="108">
        <f t="shared" si="8"/>
        <v>20</v>
      </c>
      <c r="N35" s="116">
        <f t="shared" si="9"/>
        <v>0.25</v>
      </c>
      <c r="O35" s="108">
        <f t="shared" si="10"/>
        <v>75</v>
      </c>
    </row>
    <row r="36" spans="1:15" ht="15">
      <c r="A36" s="115">
        <v>0.32291666666666702</v>
      </c>
      <c r="B36" s="108">
        <v>0</v>
      </c>
      <c r="C36" s="108">
        <f t="shared" si="0"/>
        <v>10</v>
      </c>
      <c r="D36" s="116">
        <f t="shared" si="4"/>
        <v>0</v>
      </c>
      <c r="E36" s="108">
        <f t="shared" si="5"/>
        <v>0</v>
      </c>
      <c r="F36" s="117">
        <v>0.32291666666666702</v>
      </c>
      <c r="G36" s="108">
        <v>5</v>
      </c>
      <c r="H36" s="108">
        <f t="shared" si="1"/>
        <v>13</v>
      </c>
      <c r="I36" s="116">
        <f t="shared" si="2"/>
        <v>0.38461538461538464</v>
      </c>
      <c r="J36" s="108">
        <f t="shared" si="3"/>
        <v>75</v>
      </c>
      <c r="K36" s="117">
        <f t="shared" si="6"/>
        <v>0.32291666666666702</v>
      </c>
      <c r="L36" s="108">
        <f t="shared" si="7"/>
        <v>5</v>
      </c>
      <c r="M36" s="108">
        <f t="shared" si="8"/>
        <v>20</v>
      </c>
      <c r="N36" s="116">
        <f t="shared" si="9"/>
        <v>0.25</v>
      </c>
      <c r="O36" s="108">
        <f t="shared" si="10"/>
        <v>75</v>
      </c>
    </row>
    <row r="37" spans="1:15" ht="15">
      <c r="A37" s="115">
        <v>0.33333333333333298</v>
      </c>
      <c r="B37" s="108">
        <v>0</v>
      </c>
      <c r="C37" s="108">
        <f t="shared" si="0"/>
        <v>10</v>
      </c>
      <c r="D37" s="116">
        <f t="shared" si="4"/>
        <v>0</v>
      </c>
      <c r="E37" s="108">
        <f t="shared" si="5"/>
        <v>0</v>
      </c>
      <c r="F37" s="117">
        <v>0.33333333333333298</v>
      </c>
      <c r="G37" s="108">
        <v>5</v>
      </c>
      <c r="H37" s="108">
        <f t="shared" si="1"/>
        <v>13</v>
      </c>
      <c r="I37" s="116">
        <f t="shared" si="2"/>
        <v>0.38461538461538464</v>
      </c>
      <c r="J37" s="108">
        <f t="shared" si="3"/>
        <v>75</v>
      </c>
      <c r="K37" s="117">
        <f t="shared" si="6"/>
        <v>0.33333333333333298</v>
      </c>
      <c r="L37" s="108">
        <f t="shared" si="7"/>
        <v>5</v>
      </c>
      <c r="M37" s="108">
        <f t="shared" si="8"/>
        <v>20</v>
      </c>
      <c r="N37" s="116">
        <f t="shared" si="9"/>
        <v>0.25</v>
      </c>
      <c r="O37" s="108">
        <f t="shared" si="10"/>
        <v>75</v>
      </c>
    </row>
    <row r="38" spans="1:15" ht="15">
      <c r="A38" s="115">
        <v>0.34375</v>
      </c>
      <c r="B38" s="108">
        <v>0</v>
      </c>
      <c r="C38" s="108">
        <f t="shared" si="0"/>
        <v>10</v>
      </c>
      <c r="D38" s="116">
        <f t="shared" si="4"/>
        <v>0</v>
      </c>
      <c r="E38" s="108">
        <f t="shared" si="5"/>
        <v>0</v>
      </c>
      <c r="F38" s="117">
        <v>0.34375</v>
      </c>
      <c r="G38" s="108">
        <v>5</v>
      </c>
      <c r="H38" s="108">
        <f t="shared" si="1"/>
        <v>13</v>
      </c>
      <c r="I38" s="116">
        <f t="shared" si="2"/>
        <v>0.38461538461538464</v>
      </c>
      <c r="J38" s="108">
        <f t="shared" si="3"/>
        <v>75</v>
      </c>
      <c r="K38" s="117">
        <f t="shared" si="6"/>
        <v>0.34375</v>
      </c>
      <c r="L38" s="108">
        <f t="shared" si="7"/>
        <v>5</v>
      </c>
      <c r="M38" s="108">
        <f t="shared" si="8"/>
        <v>20</v>
      </c>
      <c r="N38" s="116">
        <f t="shared" si="9"/>
        <v>0.25</v>
      </c>
      <c r="O38" s="108">
        <f t="shared" si="10"/>
        <v>75</v>
      </c>
    </row>
    <row r="39" spans="1:15" ht="15">
      <c r="A39" s="115">
        <v>0.35416666666666702</v>
      </c>
      <c r="B39" s="108">
        <v>0</v>
      </c>
      <c r="C39" s="108">
        <f t="shared" si="0"/>
        <v>10</v>
      </c>
      <c r="D39" s="116">
        <f t="shared" si="4"/>
        <v>0</v>
      </c>
      <c r="E39" s="108">
        <f t="shared" si="5"/>
        <v>0</v>
      </c>
      <c r="F39" s="117">
        <v>0.35416666666666702</v>
      </c>
      <c r="G39" s="108">
        <v>5</v>
      </c>
      <c r="H39" s="108">
        <f t="shared" si="1"/>
        <v>13</v>
      </c>
      <c r="I39" s="116">
        <f t="shared" si="2"/>
        <v>0.38461538461538464</v>
      </c>
      <c r="J39" s="108">
        <f t="shared" si="3"/>
        <v>75</v>
      </c>
      <c r="K39" s="117">
        <f t="shared" si="6"/>
        <v>0.35416666666666702</v>
      </c>
      <c r="L39" s="108">
        <f t="shared" si="7"/>
        <v>5</v>
      </c>
      <c r="M39" s="108">
        <f t="shared" si="8"/>
        <v>20</v>
      </c>
      <c r="N39" s="116">
        <f t="shared" si="9"/>
        <v>0.25</v>
      </c>
      <c r="O39" s="108">
        <f t="shared" si="10"/>
        <v>75</v>
      </c>
    </row>
    <row r="40" spans="1:15" ht="15">
      <c r="A40" s="115">
        <v>0.36458333333333298</v>
      </c>
      <c r="B40" s="108">
        <v>0</v>
      </c>
      <c r="C40" s="108">
        <f t="shared" si="0"/>
        <v>10</v>
      </c>
      <c r="D40" s="116">
        <f t="shared" si="4"/>
        <v>0</v>
      </c>
      <c r="E40" s="108">
        <f t="shared" si="5"/>
        <v>0</v>
      </c>
      <c r="F40" s="117">
        <v>0.36458333333333298</v>
      </c>
      <c r="G40" s="108">
        <v>6</v>
      </c>
      <c r="H40" s="108">
        <f t="shared" si="1"/>
        <v>13</v>
      </c>
      <c r="I40" s="116">
        <f t="shared" si="2"/>
        <v>0.46153846153846156</v>
      </c>
      <c r="J40" s="108">
        <f t="shared" si="3"/>
        <v>90</v>
      </c>
      <c r="K40" s="117">
        <f t="shared" si="6"/>
        <v>0.36458333333333298</v>
      </c>
      <c r="L40" s="108">
        <f t="shared" si="7"/>
        <v>6</v>
      </c>
      <c r="M40" s="108">
        <f t="shared" si="8"/>
        <v>20</v>
      </c>
      <c r="N40" s="116">
        <f t="shared" si="9"/>
        <v>0.3</v>
      </c>
      <c r="O40" s="108">
        <f t="shared" si="10"/>
        <v>90</v>
      </c>
    </row>
    <row r="41" spans="1:15" ht="15">
      <c r="A41" s="115">
        <v>0.375</v>
      </c>
      <c r="B41" s="108">
        <v>5</v>
      </c>
      <c r="C41" s="108">
        <f t="shared" si="0"/>
        <v>10</v>
      </c>
      <c r="D41" s="116">
        <f t="shared" si="4"/>
        <v>0.5</v>
      </c>
      <c r="E41" s="108">
        <f t="shared" si="5"/>
        <v>75</v>
      </c>
      <c r="F41" s="117">
        <v>0.375</v>
      </c>
      <c r="G41" s="108">
        <v>5</v>
      </c>
      <c r="H41" s="108">
        <f t="shared" si="1"/>
        <v>13</v>
      </c>
      <c r="I41" s="116">
        <f t="shared" si="2"/>
        <v>0.38461538461538464</v>
      </c>
      <c r="J41" s="108">
        <f t="shared" si="3"/>
        <v>75</v>
      </c>
      <c r="K41" s="117">
        <f t="shared" si="6"/>
        <v>0.375</v>
      </c>
      <c r="L41" s="108">
        <f t="shared" si="7"/>
        <v>10</v>
      </c>
      <c r="M41" s="108">
        <f t="shared" si="8"/>
        <v>20</v>
      </c>
      <c r="N41" s="116">
        <f t="shared" si="9"/>
        <v>0.5</v>
      </c>
      <c r="O41" s="108">
        <f t="shared" si="10"/>
        <v>150</v>
      </c>
    </row>
    <row r="42" spans="1:15" ht="15">
      <c r="A42" s="115">
        <v>0.38541666666666702</v>
      </c>
      <c r="B42" s="108">
        <v>6</v>
      </c>
      <c r="C42" s="108">
        <f t="shared" si="0"/>
        <v>10</v>
      </c>
      <c r="D42" s="116">
        <f t="shared" si="4"/>
        <v>0.6</v>
      </c>
      <c r="E42" s="108">
        <f t="shared" si="5"/>
        <v>90</v>
      </c>
      <c r="F42" s="117">
        <v>0.38541666666666702</v>
      </c>
      <c r="G42" s="108">
        <v>6</v>
      </c>
      <c r="H42" s="108">
        <f t="shared" si="1"/>
        <v>13</v>
      </c>
      <c r="I42" s="116">
        <f t="shared" si="2"/>
        <v>0.46153846153846156</v>
      </c>
      <c r="J42" s="108">
        <f t="shared" si="3"/>
        <v>90</v>
      </c>
      <c r="K42" s="117">
        <f t="shared" si="6"/>
        <v>0.38541666666666702</v>
      </c>
      <c r="L42" s="108">
        <f t="shared" si="7"/>
        <v>12</v>
      </c>
      <c r="M42" s="108">
        <f t="shared" si="8"/>
        <v>20</v>
      </c>
      <c r="N42" s="116">
        <f t="shared" si="9"/>
        <v>0.6</v>
      </c>
      <c r="O42" s="108">
        <f t="shared" si="10"/>
        <v>180</v>
      </c>
    </row>
    <row r="43" spans="1:15" ht="15">
      <c r="A43" s="115">
        <v>0.39583333333333298</v>
      </c>
      <c r="B43" s="108">
        <v>6</v>
      </c>
      <c r="C43" s="108">
        <f t="shared" si="0"/>
        <v>10</v>
      </c>
      <c r="D43" s="116">
        <f t="shared" si="4"/>
        <v>0.6</v>
      </c>
      <c r="E43" s="108">
        <f t="shared" si="5"/>
        <v>90</v>
      </c>
      <c r="F43" s="117">
        <v>0.39583333333333298</v>
      </c>
      <c r="G43" s="108">
        <v>6</v>
      </c>
      <c r="H43" s="108">
        <f t="shared" si="1"/>
        <v>13</v>
      </c>
      <c r="I43" s="116">
        <f t="shared" si="2"/>
        <v>0.46153846153846156</v>
      </c>
      <c r="J43" s="108">
        <f t="shared" si="3"/>
        <v>90</v>
      </c>
      <c r="K43" s="117">
        <f t="shared" si="6"/>
        <v>0.39583333333333298</v>
      </c>
      <c r="L43" s="108">
        <f t="shared" si="7"/>
        <v>12</v>
      </c>
      <c r="M43" s="108">
        <f t="shared" si="8"/>
        <v>20</v>
      </c>
      <c r="N43" s="116">
        <f t="shared" si="9"/>
        <v>0.6</v>
      </c>
      <c r="O43" s="108">
        <f t="shared" si="10"/>
        <v>180</v>
      </c>
    </row>
    <row r="44" spans="1:15" ht="15">
      <c r="A44" s="115">
        <v>0.40625</v>
      </c>
      <c r="B44" s="108">
        <v>6</v>
      </c>
      <c r="C44" s="108">
        <f t="shared" si="0"/>
        <v>10</v>
      </c>
      <c r="D44" s="116">
        <f t="shared" si="4"/>
        <v>0.6</v>
      </c>
      <c r="E44" s="108">
        <f t="shared" si="5"/>
        <v>90</v>
      </c>
      <c r="F44" s="117">
        <v>0.40625</v>
      </c>
      <c r="G44" s="108">
        <v>6</v>
      </c>
      <c r="H44" s="108">
        <f t="shared" si="1"/>
        <v>13</v>
      </c>
      <c r="I44" s="116">
        <f t="shared" si="2"/>
        <v>0.46153846153846156</v>
      </c>
      <c r="J44" s="108">
        <f t="shared" si="3"/>
        <v>90</v>
      </c>
      <c r="K44" s="117">
        <f t="shared" si="6"/>
        <v>0.40625</v>
      </c>
      <c r="L44" s="108">
        <f t="shared" si="7"/>
        <v>12</v>
      </c>
      <c r="M44" s="108">
        <f t="shared" si="8"/>
        <v>20</v>
      </c>
      <c r="N44" s="116">
        <f t="shared" si="9"/>
        <v>0.6</v>
      </c>
      <c r="O44" s="108">
        <f t="shared" si="10"/>
        <v>180</v>
      </c>
    </row>
    <row r="45" spans="1:15" ht="15">
      <c r="A45" s="115">
        <v>0.41666666666666702</v>
      </c>
      <c r="B45" s="108">
        <v>7</v>
      </c>
      <c r="C45" s="108">
        <f t="shared" si="0"/>
        <v>10</v>
      </c>
      <c r="D45" s="116">
        <f t="shared" si="4"/>
        <v>0.7</v>
      </c>
      <c r="E45" s="108">
        <f t="shared" si="5"/>
        <v>105</v>
      </c>
      <c r="F45" s="117">
        <v>0.41666666666666702</v>
      </c>
      <c r="G45" s="108">
        <v>7</v>
      </c>
      <c r="H45" s="108">
        <f t="shared" si="1"/>
        <v>13</v>
      </c>
      <c r="I45" s="116">
        <f t="shared" si="2"/>
        <v>0.53846153846153844</v>
      </c>
      <c r="J45" s="108">
        <f t="shared" si="3"/>
        <v>105</v>
      </c>
      <c r="K45" s="117">
        <f t="shared" si="6"/>
        <v>0.41666666666666702</v>
      </c>
      <c r="L45" s="108">
        <f t="shared" si="7"/>
        <v>14</v>
      </c>
      <c r="M45" s="108">
        <f t="shared" si="8"/>
        <v>20</v>
      </c>
      <c r="N45" s="116">
        <f t="shared" si="9"/>
        <v>0.7</v>
      </c>
      <c r="O45" s="108">
        <f t="shared" si="10"/>
        <v>210</v>
      </c>
    </row>
    <row r="46" spans="1:15" ht="15">
      <c r="A46" s="115">
        <v>0.42708333333333298</v>
      </c>
      <c r="B46" s="108">
        <v>7</v>
      </c>
      <c r="C46" s="108">
        <f t="shared" si="0"/>
        <v>10</v>
      </c>
      <c r="D46" s="116">
        <f t="shared" si="4"/>
        <v>0.7</v>
      </c>
      <c r="E46" s="108">
        <f t="shared" si="5"/>
        <v>105</v>
      </c>
      <c r="F46" s="117">
        <v>0.42708333333333298</v>
      </c>
      <c r="G46" s="108">
        <v>7</v>
      </c>
      <c r="H46" s="108">
        <f t="shared" si="1"/>
        <v>13</v>
      </c>
      <c r="I46" s="116">
        <f t="shared" si="2"/>
        <v>0.53846153846153844</v>
      </c>
      <c r="J46" s="108">
        <f t="shared" si="3"/>
        <v>105</v>
      </c>
      <c r="K46" s="117">
        <f t="shared" si="6"/>
        <v>0.42708333333333298</v>
      </c>
      <c r="L46" s="108">
        <f t="shared" si="7"/>
        <v>14</v>
      </c>
      <c r="M46" s="108">
        <f t="shared" si="8"/>
        <v>20</v>
      </c>
      <c r="N46" s="116">
        <f t="shared" si="9"/>
        <v>0.7</v>
      </c>
      <c r="O46" s="108">
        <f t="shared" si="10"/>
        <v>210</v>
      </c>
    </row>
    <row r="47" spans="1:15" ht="15">
      <c r="A47" s="115">
        <v>0.4375</v>
      </c>
      <c r="B47" s="108">
        <v>7</v>
      </c>
      <c r="C47" s="108">
        <f t="shared" si="0"/>
        <v>10</v>
      </c>
      <c r="D47" s="116">
        <f t="shared" si="4"/>
        <v>0.7</v>
      </c>
      <c r="E47" s="108">
        <f t="shared" si="5"/>
        <v>105</v>
      </c>
      <c r="F47" s="117">
        <v>0.4375</v>
      </c>
      <c r="G47" s="108">
        <v>7</v>
      </c>
      <c r="H47" s="108">
        <f t="shared" si="1"/>
        <v>13</v>
      </c>
      <c r="I47" s="116">
        <f t="shared" si="2"/>
        <v>0.53846153846153844</v>
      </c>
      <c r="J47" s="108">
        <f t="shared" si="3"/>
        <v>105</v>
      </c>
      <c r="K47" s="117">
        <f t="shared" si="6"/>
        <v>0.4375</v>
      </c>
      <c r="L47" s="108">
        <f t="shared" si="7"/>
        <v>14</v>
      </c>
      <c r="M47" s="108">
        <f t="shared" si="8"/>
        <v>20</v>
      </c>
      <c r="N47" s="116">
        <f t="shared" si="9"/>
        <v>0.7</v>
      </c>
      <c r="O47" s="108">
        <f t="shared" si="10"/>
        <v>210</v>
      </c>
    </row>
    <row r="48" spans="1:15" ht="15">
      <c r="A48" s="115">
        <v>0.44791666666666702</v>
      </c>
      <c r="B48" s="108">
        <v>7</v>
      </c>
      <c r="C48" s="108">
        <f t="shared" si="0"/>
        <v>10</v>
      </c>
      <c r="D48" s="116">
        <f t="shared" si="4"/>
        <v>0.7</v>
      </c>
      <c r="E48" s="108">
        <f t="shared" si="5"/>
        <v>105</v>
      </c>
      <c r="F48" s="117">
        <v>0.44791666666666702</v>
      </c>
      <c r="G48" s="108">
        <v>8</v>
      </c>
      <c r="H48" s="108">
        <f t="shared" si="1"/>
        <v>13</v>
      </c>
      <c r="I48" s="116">
        <f t="shared" si="2"/>
        <v>0.61538461538461542</v>
      </c>
      <c r="J48" s="108">
        <f t="shared" si="3"/>
        <v>120</v>
      </c>
      <c r="K48" s="117">
        <f t="shared" si="6"/>
        <v>0.44791666666666702</v>
      </c>
      <c r="L48" s="108">
        <f t="shared" si="7"/>
        <v>15</v>
      </c>
      <c r="M48" s="108">
        <f t="shared" si="8"/>
        <v>20</v>
      </c>
      <c r="N48" s="116">
        <f t="shared" si="9"/>
        <v>0.75</v>
      </c>
      <c r="O48" s="108">
        <f t="shared" si="10"/>
        <v>225</v>
      </c>
    </row>
    <row r="49" spans="1:15" ht="15">
      <c r="A49" s="115">
        <v>0.45833333333333298</v>
      </c>
      <c r="B49" s="108">
        <v>7</v>
      </c>
      <c r="C49" s="108">
        <f t="shared" si="0"/>
        <v>10</v>
      </c>
      <c r="D49" s="116">
        <f t="shared" si="4"/>
        <v>0.7</v>
      </c>
      <c r="E49" s="108">
        <f t="shared" si="5"/>
        <v>105</v>
      </c>
      <c r="F49" s="117">
        <v>0.45833333333333298</v>
      </c>
      <c r="G49" s="108">
        <v>8</v>
      </c>
      <c r="H49" s="108">
        <f t="shared" si="1"/>
        <v>13</v>
      </c>
      <c r="I49" s="116">
        <f t="shared" si="2"/>
        <v>0.61538461538461542</v>
      </c>
      <c r="J49" s="108">
        <f t="shared" si="3"/>
        <v>120</v>
      </c>
      <c r="K49" s="117">
        <f t="shared" si="6"/>
        <v>0.45833333333333298</v>
      </c>
      <c r="L49" s="108">
        <f t="shared" si="7"/>
        <v>15</v>
      </c>
      <c r="M49" s="108">
        <f t="shared" si="8"/>
        <v>20</v>
      </c>
      <c r="N49" s="116">
        <f t="shared" si="9"/>
        <v>0.75</v>
      </c>
      <c r="O49" s="108">
        <f t="shared" si="10"/>
        <v>225</v>
      </c>
    </row>
    <row r="50" spans="1:15" ht="15">
      <c r="A50" s="115">
        <v>0.46875</v>
      </c>
      <c r="B50" s="108">
        <v>6</v>
      </c>
      <c r="C50" s="108">
        <f t="shared" si="0"/>
        <v>10</v>
      </c>
      <c r="D50" s="116">
        <f t="shared" si="4"/>
        <v>0.6</v>
      </c>
      <c r="E50" s="108">
        <f t="shared" si="5"/>
        <v>90</v>
      </c>
      <c r="F50" s="117">
        <v>0.46875</v>
      </c>
      <c r="G50" s="108">
        <v>9</v>
      </c>
      <c r="H50" s="108">
        <f t="shared" si="1"/>
        <v>13</v>
      </c>
      <c r="I50" s="116">
        <f t="shared" si="2"/>
        <v>0.69230769230769229</v>
      </c>
      <c r="J50" s="108">
        <f t="shared" si="3"/>
        <v>135</v>
      </c>
      <c r="K50" s="117">
        <f t="shared" si="6"/>
        <v>0.46875</v>
      </c>
      <c r="L50" s="108">
        <f t="shared" si="7"/>
        <v>15</v>
      </c>
      <c r="M50" s="108">
        <f t="shared" si="8"/>
        <v>20</v>
      </c>
      <c r="N50" s="116">
        <f t="shared" si="9"/>
        <v>0.75</v>
      </c>
      <c r="O50" s="108">
        <f t="shared" si="10"/>
        <v>225</v>
      </c>
    </row>
    <row r="51" spans="1:15" ht="15">
      <c r="A51" s="115">
        <v>0.47916666666666702</v>
      </c>
      <c r="B51" s="108">
        <v>6</v>
      </c>
      <c r="C51" s="108">
        <f t="shared" si="0"/>
        <v>10</v>
      </c>
      <c r="D51" s="116">
        <f t="shared" si="4"/>
        <v>0.6</v>
      </c>
      <c r="E51" s="108">
        <f t="shared" si="5"/>
        <v>90</v>
      </c>
      <c r="F51" s="117">
        <v>0.47916666666666702</v>
      </c>
      <c r="G51" s="108">
        <v>10</v>
      </c>
      <c r="H51" s="108">
        <f t="shared" si="1"/>
        <v>13</v>
      </c>
      <c r="I51" s="116">
        <f t="shared" si="2"/>
        <v>0.76923076923076927</v>
      </c>
      <c r="J51" s="108">
        <f t="shared" si="3"/>
        <v>150</v>
      </c>
      <c r="K51" s="117">
        <f t="shared" si="6"/>
        <v>0.47916666666666702</v>
      </c>
      <c r="L51" s="108">
        <f t="shared" si="7"/>
        <v>16</v>
      </c>
      <c r="M51" s="108">
        <f t="shared" si="8"/>
        <v>20</v>
      </c>
      <c r="N51" s="116">
        <f t="shared" si="9"/>
        <v>0.8</v>
      </c>
      <c r="O51" s="108">
        <f t="shared" si="10"/>
        <v>240</v>
      </c>
    </row>
    <row r="52" spans="1:15" ht="15">
      <c r="A52" s="115">
        <v>0.48958333333333298</v>
      </c>
      <c r="B52" s="108">
        <v>7</v>
      </c>
      <c r="C52" s="108">
        <f t="shared" si="0"/>
        <v>10</v>
      </c>
      <c r="D52" s="116">
        <f t="shared" si="4"/>
        <v>0.7</v>
      </c>
      <c r="E52" s="108">
        <f t="shared" si="5"/>
        <v>105</v>
      </c>
      <c r="F52" s="117">
        <v>0.48958333333333298</v>
      </c>
      <c r="G52" s="108">
        <v>12</v>
      </c>
      <c r="H52" s="108">
        <f t="shared" si="1"/>
        <v>13</v>
      </c>
      <c r="I52" s="116">
        <f t="shared" si="2"/>
        <v>0.92307692307692313</v>
      </c>
      <c r="J52" s="108">
        <f t="shared" si="3"/>
        <v>180</v>
      </c>
      <c r="K52" s="117">
        <f t="shared" si="6"/>
        <v>0.48958333333333298</v>
      </c>
      <c r="L52" s="108">
        <f t="shared" si="7"/>
        <v>19</v>
      </c>
      <c r="M52" s="108">
        <f t="shared" si="8"/>
        <v>20</v>
      </c>
      <c r="N52" s="116">
        <f t="shared" si="9"/>
        <v>0.95</v>
      </c>
      <c r="O52" s="108">
        <f t="shared" si="10"/>
        <v>285</v>
      </c>
    </row>
    <row r="53" spans="1:15" ht="15">
      <c r="A53" s="115">
        <v>0.5</v>
      </c>
      <c r="B53" s="108">
        <v>7</v>
      </c>
      <c r="C53" s="108">
        <f t="shared" si="0"/>
        <v>10</v>
      </c>
      <c r="D53" s="116">
        <f t="shared" si="4"/>
        <v>0.7</v>
      </c>
      <c r="E53" s="108">
        <f t="shared" si="5"/>
        <v>105</v>
      </c>
      <c r="F53" s="117">
        <v>0.5</v>
      </c>
      <c r="G53" s="108">
        <v>12</v>
      </c>
      <c r="H53" s="108">
        <f t="shared" si="1"/>
        <v>13</v>
      </c>
      <c r="I53" s="116">
        <f t="shared" si="2"/>
        <v>0.92307692307692313</v>
      </c>
      <c r="J53" s="108">
        <f t="shared" si="3"/>
        <v>180</v>
      </c>
      <c r="K53" s="117">
        <f t="shared" si="6"/>
        <v>0.5</v>
      </c>
      <c r="L53" s="108">
        <f t="shared" si="7"/>
        <v>19</v>
      </c>
      <c r="M53" s="108">
        <f t="shared" si="8"/>
        <v>20</v>
      </c>
      <c r="N53" s="116">
        <f t="shared" si="9"/>
        <v>0.95</v>
      </c>
      <c r="O53" s="108">
        <f t="shared" si="10"/>
        <v>285</v>
      </c>
    </row>
    <row r="54" spans="1:15" ht="15">
      <c r="A54" s="115">
        <v>0.51041666666666696</v>
      </c>
      <c r="B54" s="108">
        <v>8</v>
      </c>
      <c r="C54" s="108">
        <f t="shared" si="0"/>
        <v>10</v>
      </c>
      <c r="D54" s="116">
        <f t="shared" si="4"/>
        <v>0.8</v>
      </c>
      <c r="E54" s="108">
        <f t="shared" si="5"/>
        <v>120</v>
      </c>
      <c r="F54" s="117">
        <v>0.51041666666666696</v>
      </c>
      <c r="G54" s="108">
        <v>12</v>
      </c>
      <c r="H54" s="108">
        <f t="shared" si="1"/>
        <v>13</v>
      </c>
      <c r="I54" s="116">
        <f t="shared" si="2"/>
        <v>0.92307692307692313</v>
      </c>
      <c r="J54" s="108">
        <f t="shared" si="3"/>
        <v>180</v>
      </c>
      <c r="K54" s="117">
        <f t="shared" si="6"/>
        <v>0.51041666666666696</v>
      </c>
      <c r="L54" s="108">
        <f t="shared" si="7"/>
        <v>20</v>
      </c>
      <c r="M54" s="108">
        <f t="shared" si="8"/>
        <v>20</v>
      </c>
      <c r="N54" s="116">
        <f t="shared" si="9"/>
        <v>1</v>
      </c>
      <c r="O54" s="108">
        <f t="shared" si="10"/>
        <v>300</v>
      </c>
    </row>
    <row r="55" spans="1:15" ht="15">
      <c r="A55" s="115">
        <v>0.52083333333333304</v>
      </c>
      <c r="B55" s="108">
        <v>8</v>
      </c>
      <c r="C55" s="108">
        <f t="shared" si="0"/>
        <v>10</v>
      </c>
      <c r="D55" s="116">
        <f t="shared" si="4"/>
        <v>0.8</v>
      </c>
      <c r="E55" s="108">
        <f t="shared" si="5"/>
        <v>120</v>
      </c>
      <c r="F55" s="117">
        <v>0.52083333333333304</v>
      </c>
      <c r="G55" s="108">
        <v>13</v>
      </c>
      <c r="H55" s="108">
        <f t="shared" si="1"/>
        <v>13</v>
      </c>
      <c r="I55" s="116">
        <f t="shared" si="2"/>
        <v>1</v>
      </c>
      <c r="J55" s="108">
        <f t="shared" si="3"/>
        <v>195</v>
      </c>
      <c r="K55" s="117">
        <f t="shared" si="6"/>
        <v>0.52083333333333304</v>
      </c>
      <c r="L55" s="108">
        <v>20</v>
      </c>
      <c r="M55" s="108">
        <f t="shared" si="8"/>
        <v>20</v>
      </c>
      <c r="N55" s="116">
        <f t="shared" si="9"/>
        <v>1</v>
      </c>
      <c r="O55" s="108">
        <f t="shared" si="10"/>
        <v>300</v>
      </c>
    </row>
    <row r="56" spans="1:15" ht="15">
      <c r="A56" s="115">
        <v>0.53125</v>
      </c>
      <c r="B56" s="108">
        <v>8</v>
      </c>
      <c r="C56" s="108">
        <f t="shared" si="0"/>
        <v>10</v>
      </c>
      <c r="D56" s="116">
        <f t="shared" si="4"/>
        <v>0.8</v>
      </c>
      <c r="E56" s="108">
        <f t="shared" si="5"/>
        <v>120</v>
      </c>
      <c r="F56" s="117">
        <v>0.53125</v>
      </c>
      <c r="G56" s="108">
        <v>12</v>
      </c>
      <c r="H56" s="108">
        <f t="shared" si="1"/>
        <v>13</v>
      </c>
      <c r="I56" s="116">
        <f t="shared" si="2"/>
        <v>0.92307692307692313</v>
      </c>
      <c r="J56" s="108">
        <f t="shared" si="3"/>
        <v>180</v>
      </c>
      <c r="K56" s="117">
        <f t="shared" si="6"/>
        <v>0.53125</v>
      </c>
      <c r="L56" s="108">
        <f t="shared" ref="L56:L100" si="11">B56+G56</f>
        <v>20</v>
      </c>
      <c r="M56" s="108">
        <f t="shared" si="8"/>
        <v>20</v>
      </c>
      <c r="N56" s="116">
        <f t="shared" si="9"/>
        <v>1</v>
      </c>
      <c r="O56" s="108">
        <f t="shared" si="10"/>
        <v>300</v>
      </c>
    </row>
    <row r="57" spans="1:15" ht="15">
      <c r="A57" s="115">
        <v>0.54166666666666696</v>
      </c>
      <c r="B57" s="108">
        <v>8</v>
      </c>
      <c r="C57" s="108">
        <f t="shared" si="0"/>
        <v>10</v>
      </c>
      <c r="D57" s="116">
        <f t="shared" si="4"/>
        <v>0.8</v>
      </c>
      <c r="E57" s="108">
        <f t="shared" si="5"/>
        <v>120</v>
      </c>
      <c r="F57" s="117">
        <v>0.54166666666666696</v>
      </c>
      <c r="G57" s="108">
        <v>12</v>
      </c>
      <c r="H57" s="108">
        <f t="shared" si="1"/>
        <v>13</v>
      </c>
      <c r="I57" s="116">
        <f t="shared" si="2"/>
        <v>0.92307692307692313</v>
      </c>
      <c r="J57" s="108">
        <f t="shared" si="3"/>
        <v>180</v>
      </c>
      <c r="K57" s="117">
        <f t="shared" si="6"/>
        <v>0.54166666666666696</v>
      </c>
      <c r="L57" s="108">
        <f t="shared" si="11"/>
        <v>20</v>
      </c>
      <c r="M57" s="108">
        <f t="shared" si="8"/>
        <v>20</v>
      </c>
      <c r="N57" s="116">
        <f t="shared" si="9"/>
        <v>1</v>
      </c>
      <c r="O57" s="108">
        <f t="shared" si="10"/>
        <v>300</v>
      </c>
    </row>
    <row r="58" spans="1:15" ht="15">
      <c r="A58" s="115">
        <v>0.55208333333333304</v>
      </c>
      <c r="B58" s="108">
        <v>8</v>
      </c>
      <c r="C58" s="108">
        <f t="shared" si="0"/>
        <v>10</v>
      </c>
      <c r="D58" s="116">
        <f t="shared" si="4"/>
        <v>0.8</v>
      </c>
      <c r="E58" s="108">
        <f t="shared" si="5"/>
        <v>120</v>
      </c>
      <c r="F58" s="117">
        <v>0.55208333333333304</v>
      </c>
      <c r="G58" s="108">
        <v>10</v>
      </c>
      <c r="H58" s="108">
        <f t="shared" si="1"/>
        <v>13</v>
      </c>
      <c r="I58" s="116">
        <f t="shared" si="2"/>
        <v>0.76923076923076927</v>
      </c>
      <c r="J58" s="108">
        <f t="shared" si="3"/>
        <v>150</v>
      </c>
      <c r="K58" s="117">
        <f t="shared" si="6"/>
        <v>0.55208333333333304</v>
      </c>
      <c r="L58" s="108">
        <f t="shared" si="11"/>
        <v>18</v>
      </c>
      <c r="M58" s="108">
        <f t="shared" si="8"/>
        <v>20</v>
      </c>
      <c r="N58" s="116">
        <f t="shared" si="9"/>
        <v>0.9</v>
      </c>
      <c r="O58" s="108">
        <f t="shared" si="10"/>
        <v>270</v>
      </c>
    </row>
    <row r="59" spans="1:15" ht="15">
      <c r="A59" s="115">
        <v>0.5625</v>
      </c>
      <c r="B59" s="108">
        <v>8</v>
      </c>
      <c r="C59" s="108">
        <f t="shared" si="0"/>
        <v>10</v>
      </c>
      <c r="D59" s="116">
        <f t="shared" si="4"/>
        <v>0.8</v>
      </c>
      <c r="E59" s="108">
        <f t="shared" si="5"/>
        <v>120</v>
      </c>
      <c r="F59" s="117">
        <v>0.5625</v>
      </c>
      <c r="G59" s="108">
        <v>8</v>
      </c>
      <c r="H59" s="108">
        <f t="shared" si="1"/>
        <v>13</v>
      </c>
      <c r="I59" s="116">
        <f t="shared" si="2"/>
        <v>0.61538461538461542</v>
      </c>
      <c r="J59" s="108">
        <f t="shared" si="3"/>
        <v>120</v>
      </c>
      <c r="K59" s="117">
        <f t="shared" si="6"/>
        <v>0.5625</v>
      </c>
      <c r="L59" s="108">
        <f t="shared" si="11"/>
        <v>16</v>
      </c>
      <c r="M59" s="108">
        <f t="shared" si="8"/>
        <v>20</v>
      </c>
      <c r="N59" s="116">
        <f t="shared" si="9"/>
        <v>0.8</v>
      </c>
      <c r="O59" s="108">
        <f t="shared" si="10"/>
        <v>240</v>
      </c>
    </row>
    <row r="60" spans="1:15" ht="15">
      <c r="A60" s="115">
        <v>0.57291666666666696</v>
      </c>
      <c r="B60" s="108">
        <v>8</v>
      </c>
      <c r="C60" s="108">
        <f t="shared" si="0"/>
        <v>10</v>
      </c>
      <c r="D60" s="116">
        <f t="shared" si="4"/>
        <v>0.8</v>
      </c>
      <c r="E60" s="108">
        <f t="shared" si="5"/>
        <v>120</v>
      </c>
      <c r="F60" s="117">
        <v>0.57291666666666696</v>
      </c>
      <c r="G60" s="108">
        <v>8</v>
      </c>
      <c r="H60" s="108">
        <f t="shared" si="1"/>
        <v>13</v>
      </c>
      <c r="I60" s="116">
        <f t="shared" si="2"/>
        <v>0.61538461538461542</v>
      </c>
      <c r="J60" s="108">
        <f t="shared" si="3"/>
        <v>120</v>
      </c>
      <c r="K60" s="117">
        <f t="shared" si="6"/>
        <v>0.57291666666666696</v>
      </c>
      <c r="L60" s="108">
        <f t="shared" si="11"/>
        <v>16</v>
      </c>
      <c r="M60" s="108">
        <f t="shared" si="8"/>
        <v>20</v>
      </c>
      <c r="N60" s="116">
        <f t="shared" si="9"/>
        <v>0.8</v>
      </c>
      <c r="O60" s="108">
        <f t="shared" si="10"/>
        <v>240</v>
      </c>
    </row>
    <row r="61" spans="1:15" ht="15">
      <c r="A61" s="115">
        <v>0.58333333333333304</v>
      </c>
      <c r="B61" s="108">
        <v>9</v>
      </c>
      <c r="C61" s="108">
        <f t="shared" si="0"/>
        <v>10</v>
      </c>
      <c r="D61" s="116">
        <f t="shared" si="4"/>
        <v>0.9</v>
      </c>
      <c r="E61" s="108">
        <f t="shared" si="5"/>
        <v>135</v>
      </c>
      <c r="F61" s="117">
        <v>0.58333333333333304</v>
      </c>
      <c r="G61" s="108">
        <v>9</v>
      </c>
      <c r="H61" s="108">
        <f t="shared" si="1"/>
        <v>13</v>
      </c>
      <c r="I61" s="116">
        <f t="shared" si="2"/>
        <v>0.69230769230769229</v>
      </c>
      <c r="J61" s="108">
        <f t="shared" si="3"/>
        <v>135</v>
      </c>
      <c r="K61" s="117">
        <f t="shared" si="6"/>
        <v>0.58333333333333304</v>
      </c>
      <c r="L61" s="108">
        <f t="shared" si="11"/>
        <v>18</v>
      </c>
      <c r="M61" s="108">
        <f t="shared" si="8"/>
        <v>20</v>
      </c>
      <c r="N61" s="116">
        <f t="shared" si="9"/>
        <v>0.9</v>
      </c>
      <c r="O61" s="108">
        <f t="shared" si="10"/>
        <v>270</v>
      </c>
    </row>
    <row r="62" spans="1:15" ht="15">
      <c r="A62" s="115">
        <v>0.59375</v>
      </c>
      <c r="B62" s="108">
        <v>8</v>
      </c>
      <c r="C62" s="108">
        <f t="shared" si="0"/>
        <v>10</v>
      </c>
      <c r="D62" s="116">
        <f t="shared" si="4"/>
        <v>0.8</v>
      </c>
      <c r="E62" s="108">
        <f t="shared" si="5"/>
        <v>120</v>
      </c>
      <c r="F62" s="117">
        <v>0.59375</v>
      </c>
      <c r="G62" s="108">
        <v>8</v>
      </c>
      <c r="H62" s="108">
        <f t="shared" si="1"/>
        <v>13</v>
      </c>
      <c r="I62" s="116">
        <f t="shared" si="2"/>
        <v>0.61538461538461542</v>
      </c>
      <c r="J62" s="108">
        <f t="shared" si="3"/>
        <v>120</v>
      </c>
      <c r="K62" s="117">
        <f t="shared" si="6"/>
        <v>0.59375</v>
      </c>
      <c r="L62" s="108">
        <f t="shared" si="11"/>
        <v>16</v>
      </c>
      <c r="M62" s="108">
        <f t="shared" si="8"/>
        <v>20</v>
      </c>
      <c r="N62" s="116">
        <f t="shared" si="9"/>
        <v>0.8</v>
      </c>
      <c r="O62" s="108">
        <f t="shared" si="10"/>
        <v>240</v>
      </c>
    </row>
    <row r="63" spans="1:15" ht="15">
      <c r="A63" s="115">
        <v>0.60416666666666696</v>
      </c>
      <c r="B63" s="108">
        <v>8</v>
      </c>
      <c r="C63" s="108">
        <f t="shared" si="0"/>
        <v>10</v>
      </c>
      <c r="D63" s="116">
        <f t="shared" si="4"/>
        <v>0.8</v>
      </c>
      <c r="E63" s="108">
        <f t="shared" si="5"/>
        <v>120</v>
      </c>
      <c r="F63" s="117">
        <v>0.60416666666666696</v>
      </c>
      <c r="G63" s="108">
        <v>8</v>
      </c>
      <c r="H63" s="108">
        <f t="shared" si="1"/>
        <v>13</v>
      </c>
      <c r="I63" s="116">
        <f t="shared" si="2"/>
        <v>0.61538461538461542</v>
      </c>
      <c r="J63" s="108">
        <f t="shared" si="3"/>
        <v>120</v>
      </c>
      <c r="K63" s="117">
        <f t="shared" si="6"/>
        <v>0.60416666666666696</v>
      </c>
      <c r="L63" s="108">
        <f t="shared" si="11"/>
        <v>16</v>
      </c>
      <c r="M63" s="108">
        <f t="shared" si="8"/>
        <v>20</v>
      </c>
      <c r="N63" s="116">
        <f t="shared" si="9"/>
        <v>0.8</v>
      </c>
      <c r="O63" s="108">
        <f t="shared" si="10"/>
        <v>240</v>
      </c>
    </row>
    <row r="64" spans="1:15" ht="15">
      <c r="A64" s="115">
        <v>0.61458333333333304</v>
      </c>
      <c r="B64" s="108">
        <v>9</v>
      </c>
      <c r="C64" s="108">
        <f t="shared" si="0"/>
        <v>10</v>
      </c>
      <c r="D64" s="116">
        <f t="shared" si="4"/>
        <v>0.9</v>
      </c>
      <c r="E64" s="108">
        <f t="shared" si="5"/>
        <v>135</v>
      </c>
      <c r="F64" s="117">
        <v>0.61458333333333304</v>
      </c>
      <c r="G64" s="108">
        <v>9</v>
      </c>
      <c r="H64" s="108">
        <f t="shared" si="1"/>
        <v>13</v>
      </c>
      <c r="I64" s="116">
        <f t="shared" si="2"/>
        <v>0.69230769230769229</v>
      </c>
      <c r="J64" s="108">
        <f t="shared" si="3"/>
        <v>135</v>
      </c>
      <c r="K64" s="117">
        <f t="shared" si="6"/>
        <v>0.61458333333333304</v>
      </c>
      <c r="L64" s="108">
        <f t="shared" si="11"/>
        <v>18</v>
      </c>
      <c r="M64" s="108">
        <f t="shared" si="8"/>
        <v>20</v>
      </c>
      <c r="N64" s="116">
        <f t="shared" si="9"/>
        <v>0.9</v>
      </c>
      <c r="O64" s="108">
        <f t="shared" si="10"/>
        <v>270</v>
      </c>
    </row>
    <row r="65" spans="1:15" ht="15">
      <c r="A65" s="115">
        <v>0.625</v>
      </c>
      <c r="B65" s="108">
        <v>9</v>
      </c>
      <c r="C65" s="108">
        <f t="shared" si="0"/>
        <v>10</v>
      </c>
      <c r="D65" s="116">
        <f t="shared" si="4"/>
        <v>0.9</v>
      </c>
      <c r="E65" s="108">
        <f t="shared" si="5"/>
        <v>135</v>
      </c>
      <c r="F65" s="117">
        <v>0.625</v>
      </c>
      <c r="G65" s="108">
        <v>9</v>
      </c>
      <c r="H65" s="108">
        <f t="shared" si="1"/>
        <v>13</v>
      </c>
      <c r="I65" s="116">
        <f t="shared" si="2"/>
        <v>0.69230769230769229</v>
      </c>
      <c r="J65" s="108">
        <f t="shared" si="3"/>
        <v>135</v>
      </c>
      <c r="K65" s="117">
        <f t="shared" si="6"/>
        <v>0.625</v>
      </c>
      <c r="L65" s="108">
        <f t="shared" si="11"/>
        <v>18</v>
      </c>
      <c r="M65" s="108">
        <f t="shared" si="8"/>
        <v>20</v>
      </c>
      <c r="N65" s="116">
        <f t="shared" si="9"/>
        <v>0.9</v>
      </c>
      <c r="O65" s="108">
        <f t="shared" si="10"/>
        <v>270</v>
      </c>
    </row>
    <row r="66" spans="1:15" ht="15">
      <c r="A66" s="115">
        <v>0.63541666666666696</v>
      </c>
      <c r="B66" s="108">
        <v>9</v>
      </c>
      <c r="C66" s="108">
        <f t="shared" si="0"/>
        <v>10</v>
      </c>
      <c r="D66" s="116">
        <f t="shared" si="4"/>
        <v>0.9</v>
      </c>
      <c r="E66" s="108">
        <f t="shared" si="5"/>
        <v>135</v>
      </c>
      <c r="F66" s="117">
        <v>0.63541666666666696</v>
      </c>
      <c r="G66" s="108">
        <v>9</v>
      </c>
      <c r="H66" s="108">
        <f t="shared" si="1"/>
        <v>13</v>
      </c>
      <c r="I66" s="116">
        <f t="shared" si="2"/>
        <v>0.69230769230769229</v>
      </c>
      <c r="J66" s="108">
        <f t="shared" si="3"/>
        <v>135</v>
      </c>
      <c r="K66" s="117">
        <f t="shared" si="6"/>
        <v>0.63541666666666696</v>
      </c>
      <c r="L66" s="108">
        <f t="shared" si="11"/>
        <v>18</v>
      </c>
      <c r="M66" s="108">
        <f t="shared" si="8"/>
        <v>20</v>
      </c>
      <c r="N66" s="116">
        <f t="shared" si="9"/>
        <v>0.9</v>
      </c>
      <c r="O66" s="108">
        <f t="shared" si="10"/>
        <v>270</v>
      </c>
    </row>
    <row r="67" spans="1:15" ht="15">
      <c r="A67" s="115">
        <v>0.64583333333333304</v>
      </c>
      <c r="B67" s="108">
        <v>9</v>
      </c>
      <c r="C67" s="108">
        <f t="shared" si="0"/>
        <v>10</v>
      </c>
      <c r="D67" s="116">
        <f t="shared" si="4"/>
        <v>0.9</v>
      </c>
      <c r="E67" s="108">
        <f t="shared" si="5"/>
        <v>135</v>
      </c>
      <c r="F67" s="117">
        <v>0.64583333333333304</v>
      </c>
      <c r="G67" s="108">
        <v>9</v>
      </c>
      <c r="H67" s="108">
        <f t="shared" si="1"/>
        <v>13</v>
      </c>
      <c r="I67" s="116">
        <f t="shared" si="2"/>
        <v>0.69230769230769229</v>
      </c>
      <c r="J67" s="108">
        <f t="shared" si="3"/>
        <v>135</v>
      </c>
      <c r="K67" s="117">
        <f t="shared" si="6"/>
        <v>0.64583333333333304</v>
      </c>
      <c r="L67" s="108">
        <f t="shared" si="11"/>
        <v>18</v>
      </c>
      <c r="M67" s="108">
        <f t="shared" si="8"/>
        <v>20</v>
      </c>
      <c r="N67" s="116">
        <f t="shared" si="9"/>
        <v>0.9</v>
      </c>
      <c r="O67" s="108">
        <f t="shared" si="10"/>
        <v>270</v>
      </c>
    </row>
    <row r="68" spans="1:15" ht="15">
      <c r="A68" s="115">
        <v>0.65625</v>
      </c>
      <c r="B68" s="108">
        <v>9</v>
      </c>
      <c r="C68" s="108">
        <f t="shared" si="0"/>
        <v>10</v>
      </c>
      <c r="D68" s="116">
        <f t="shared" si="4"/>
        <v>0.9</v>
      </c>
      <c r="E68" s="108">
        <f t="shared" si="5"/>
        <v>135</v>
      </c>
      <c r="F68" s="117">
        <v>0.65625</v>
      </c>
      <c r="G68" s="108">
        <v>9</v>
      </c>
      <c r="H68" s="108">
        <f t="shared" si="1"/>
        <v>13</v>
      </c>
      <c r="I68" s="116">
        <f t="shared" si="2"/>
        <v>0.69230769230769229</v>
      </c>
      <c r="J68" s="108">
        <f t="shared" si="3"/>
        <v>135</v>
      </c>
      <c r="K68" s="117">
        <f t="shared" si="6"/>
        <v>0.65625</v>
      </c>
      <c r="L68" s="108">
        <f t="shared" si="11"/>
        <v>18</v>
      </c>
      <c r="M68" s="108">
        <f t="shared" si="8"/>
        <v>20</v>
      </c>
      <c r="N68" s="116">
        <f t="shared" si="9"/>
        <v>0.9</v>
      </c>
      <c r="O68" s="108">
        <f t="shared" si="10"/>
        <v>270</v>
      </c>
    </row>
    <row r="69" spans="1:15" ht="15">
      <c r="A69" s="115">
        <v>0.66666666666666696</v>
      </c>
      <c r="B69" s="108">
        <v>10</v>
      </c>
      <c r="C69" s="108">
        <f t="shared" ref="C69:C100" si="12">MAX($B$5:$B$100)</f>
        <v>10</v>
      </c>
      <c r="D69" s="116">
        <f t="shared" ref="D69:D100" si="13">B69/C69</f>
        <v>1</v>
      </c>
      <c r="E69" s="108">
        <f t="shared" si="5"/>
        <v>150</v>
      </c>
      <c r="F69" s="117">
        <v>0.66666666666666696</v>
      </c>
      <c r="G69" s="108">
        <v>10</v>
      </c>
      <c r="H69" s="108">
        <f t="shared" ref="H69:H100" si="14">MAX($G$5:$G$100)</f>
        <v>13</v>
      </c>
      <c r="I69" s="116">
        <f t="shared" ref="I69:I100" si="15">G69/H69</f>
        <v>0.76923076923076927</v>
      </c>
      <c r="J69" s="108">
        <f t="shared" ref="J69:J100" si="16">G69*15</f>
        <v>150</v>
      </c>
      <c r="K69" s="117">
        <f t="shared" ref="K69:K100" si="17">A69</f>
        <v>0.66666666666666696</v>
      </c>
      <c r="L69" s="108">
        <f t="shared" si="11"/>
        <v>20</v>
      </c>
      <c r="M69" s="108">
        <f t="shared" ref="M69:M100" si="18">MAX($L$5:$L$100)</f>
        <v>20</v>
      </c>
      <c r="N69" s="116">
        <f t="shared" ref="N69:N100" si="19">L69/M69</f>
        <v>1</v>
      </c>
      <c r="O69" s="108">
        <f t="shared" si="10"/>
        <v>300</v>
      </c>
    </row>
    <row r="70" spans="1:15" ht="15">
      <c r="A70" s="115">
        <v>0.67708333333333304</v>
      </c>
      <c r="B70" s="108">
        <v>9</v>
      </c>
      <c r="C70" s="108">
        <f t="shared" si="12"/>
        <v>10</v>
      </c>
      <c r="D70" s="116">
        <f t="shared" si="13"/>
        <v>0.9</v>
      </c>
      <c r="E70" s="108">
        <f t="shared" ref="E70:E100" si="20">B70*15</f>
        <v>135</v>
      </c>
      <c r="F70" s="117">
        <v>0.67708333333333304</v>
      </c>
      <c r="G70" s="108">
        <v>9</v>
      </c>
      <c r="H70" s="108">
        <f t="shared" si="14"/>
        <v>13</v>
      </c>
      <c r="I70" s="116">
        <f t="shared" si="15"/>
        <v>0.69230769230769229</v>
      </c>
      <c r="J70" s="108">
        <f t="shared" si="16"/>
        <v>135</v>
      </c>
      <c r="K70" s="117">
        <f t="shared" si="17"/>
        <v>0.67708333333333304</v>
      </c>
      <c r="L70" s="108">
        <f t="shared" si="11"/>
        <v>18</v>
      </c>
      <c r="M70" s="108">
        <f t="shared" si="18"/>
        <v>20</v>
      </c>
      <c r="N70" s="116">
        <f t="shared" si="19"/>
        <v>0.9</v>
      </c>
      <c r="O70" s="108">
        <f t="shared" ref="O70:O100" si="21">L70*15</f>
        <v>270</v>
      </c>
    </row>
    <row r="71" spans="1:15" ht="15">
      <c r="A71" s="115">
        <v>0.6875</v>
      </c>
      <c r="B71" s="108">
        <v>9</v>
      </c>
      <c r="C71" s="108">
        <f t="shared" si="12"/>
        <v>10</v>
      </c>
      <c r="D71" s="116">
        <f t="shared" si="13"/>
        <v>0.9</v>
      </c>
      <c r="E71" s="108">
        <f t="shared" si="20"/>
        <v>135</v>
      </c>
      <c r="F71" s="117">
        <v>0.6875</v>
      </c>
      <c r="G71" s="108">
        <v>9</v>
      </c>
      <c r="H71" s="108">
        <f t="shared" si="14"/>
        <v>13</v>
      </c>
      <c r="I71" s="116">
        <f t="shared" si="15"/>
        <v>0.69230769230769229</v>
      </c>
      <c r="J71" s="108">
        <f t="shared" si="16"/>
        <v>135</v>
      </c>
      <c r="K71" s="117">
        <f t="shared" si="17"/>
        <v>0.6875</v>
      </c>
      <c r="L71" s="108">
        <f t="shared" si="11"/>
        <v>18</v>
      </c>
      <c r="M71" s="108">
        <f t="shared" si="18"/>
        <v>20</v>
      </c>
      <c r="N71" s="116">
        <f t="shared" si="19"/>
        <v>0.9</v>
      </c>
      <c r="O71" s="108">
        <f t="shared" si="21"/>
        <v>270</v>
      </c>
    </row>
    <row r="72" spans="1:15" ht="15">
      <c r="A72" s="115">
        <v>0.69791666666666696</v>
      </c>
      <c r="B72" s="108">
        <v>8</v>
      </c>
      <c r="C72" s="108">
        <f t="shared" si="12"/>
        <v>10</v>
      </c>
      <c r="D72" s="116">
        <f t="shared" si="13"/>
        <v>0.8</v>
      </c>
      <c r="E72" s="108">
        <f t="shared" si="20"/>
        <v>120</v>
      </c>
      <c r="F72" s="117">
        <v>0.69791666666666696</v>
      </c>
      <c r="G72" s="108">
        <v>8</v>
      </c>
      <c r="H72" s="108">
        <f t="shared" si="14"/>
        <v>13</v>
      </c>
      <c r="I72" s="116">
        <f t="shared" si="15"/>
        <v>0.61538461538461542</v>
      </c>
      <c r="J72" s="108">
        <f t="shared" si="16"/>
        <v>120</v>
      </c>
      <c r="K72" s="117">
        <f t="shared" si="17"/>
        <v>0.69791666666666696</v>
      </c>
      <c r="L72" s="108">
        <f t="shared" si="11"/>
        <v>16</v>
      </c>
      <c r="M72" s="108">
        <f t="shared" si="18"/>
        <v>20</v>
      </c>
      <c r="N72" s="116">
        <f t="shared" si="19"/>
        <v>0.8</v>
      </c>
      <c r="O72" s="108">
        <f t="shared" si="21"/>
        <v>240</v>
      </c>
    </row>
    <row r="73" spans="1:15" ht="15">
      <c r="A73" s="115">
        <v>0.70833333333333304</v>
      </c>
      <c r="B73" s="108">
        <v>8</v>
      </c>
      <c r="C73" s="108">
        <f t="shared" si="12"/>
        <v>10</v>
      </c>
      <c r="D73" s="116">
        <f t="shared" si="13"/>
        <v>0.8</v>
      </c>
      <c r="E73" s="108">
        <f t="shared" si="20"/>
        <v>120</v>
      </c>
      <c r="F73" s="117">
        <v>0.70833333333333304</v>
      </c>
      <c r="G73" s="108">
        <v>8</v>
      </c>
      <c r="H73" s="108">
        <f t="shared" si="14"/>
        <v>13</v>
      </c>
      <c r="I73" s="116">
        <f t="shared" si="15"/>
        <v>0.61538461538461542</v>
      </c>
      <c r="J73" s="108">
        <f t="shared" si="16"/>
        <v>120</v>
      </c>
      <c r="K73" s="117">
        <f t="shared" si="17"/>
        <v>0.70833333333333304</v>
      </c>
      <c r="L73" s="108">
        <f t="shared" si="11"/>
        <v>16</v>
      </c>
      <c r="M73" s="108">
        <f t="shared" si="18"/>
        <v>20</v>
      </c>
      <c r="N73" s="116">
        <f t="shared" si="19"/>
        <v>0.8</v>
      </c>
      <c r="O73" s="108">
        <f t="shared" si="21"/>
        <v>240</v>
      </c>
    </row>
    <row r="74" spans="1:15" ht="15">
      <c r="A74" s="115">
        <v>0.71875</v>
      </c>
      <c r="B74" s="108">
        <v>7</v>
      </c>
      <c r="C74" s="108">
        <f t="shared" si="12"/>
        <v>10</v>
      </c>
      <c r="D74" s="116">
        <f t="shared" si="13"/>
        <v>0.7</v>
      </c>
      <c r="E74" s="108">
        <f t="shared" si="20"/>
        <v>105</v>
      </c>
      <c r="F74" s="117">
        <v>0.71875</v>
      </c>
      <c r="G74" s="108">
        <v>7</v>
      </c>
      <c r="H74" s="108">
        <f t="shared" si="14"/>
        <v>13</v>
      </c>
      <c r="I74" s="116">
        <f t="shared" si="15"/>
        <v>0.53846153846153844</v>
      </c>
      <c r="J74" s="108">
        <f t="shared" si="16"/>
        <v>105</v>
      </c>
      <c r="K74" s="117">
        <f t="shared" si="17"/>
        <v>0.71875</v>
      </c>
      <c r="L74" s="108">
        <f t="shared" si="11"/>
        <v>14</v>
      </c>
      <c r="M74" s="108">
        <f t="shared" si="18"/>
        <v>20</v>
      </c>
      <c r="N74" s="116">
        <f t="shared" si="19"/>
        <v>0.7</v>
      </c>
      <c r="O74" s="108">
        <f t="shared" si="21"/>
        <v>210</v>
      </c>
    </row>
    <row r="75" spans="1:15" ht="15">
      <c r="A75" s="115">
        <v>0.72916666666666696</v>
      </c>
      <c r="B75" s="108">
        <v>8</v>
      </c>
      <c r="C75" s="108">
        <f t="shared" si="12"/>
        <v>10</v>
      </c>
      <c r="D75" s="116">
        <f t="shared" si="13"/>
        <v>0.8</v>
      </c>
      <c r="E75" s="108">
        <f t="shared" si="20"/>
        <v>120</v>
      </c>
      <c r="F75" s="117">
        <v>0.72916666666666696</v>
      </c>
      <c r="G75" s="108">
        <v>8</v>
      </c>
      <c r="H75" s="108">
        <f t="shared" si="14"/>
        <v>13</v>
      </c>
      <c r="I75" s="116">
        <f t="shared" si="15"/>
        <v>0.61538461538461542</v>
      </c>
      <c r="J75" s="108">
        <f t="shared" si="16"/>
        <v>120</v>
      </c>
      <c r="K75" s="117">
        <f t="shared" si="17"/>
        <v>0.72916666666666696</v>
      </c>
      <c r="L75" s="108">
        <f t="shared" si="11"/>
        <v>16</v>
      </c>
      <c r="M75" s="108">
        <f t="shared" si="18"/>
        <v>20</v>
      </c>
      <c r="N75" s="116">
        <f t="shared" si="19"/>
        <v>0.8</v>
      </c>
      <c r="O75" s="108">
        <f t="shared" si="21"/>
        <v>240</v>
      </c>
    </row>
    <row r="76" spans="1:15" ht="15">
      <c r="A76" s="115">
        <v>0.73958333333333304</v>
      </c>
      <c r="B76" s="108">
        <v>7</v>
      </c>
      <c r="C76" s="108">
        <f t="shared" si="12"/>
        <v>10</v>
      </c>
      <c r="D76" s="116">
        <f t="shared" si="13"/>
        <v>0.7</v>
      </c>
      <c r="E76" s="108">
        <f t="shared" si="20"/>
        <v>105</v>
      </c>
      <c r="F76" s="117">
        <v>0.73958333333333304</v>
      </c>
      <c r="G76" s="108">
        <v>7</v>
      </c>
      <c r="H76" s="108">
        <f t="shared" si="14"/>
        <v>13</v>
      </c>
      <c r="I76" s="116">
        <f t="shared" si="15"/>
        <v>0.53846153846153844</v>
      </c>
      <c r="J76" s="108">
        <f t="shared" si="16"/>
        <v>105</v>
      </c>
      <c r="K76" s="117">
        <f t="shared" si="17"/>
        <v>0.73958333333333304</v>
      </c>
      <c r="L76" s="108">
        <f t="shared" si="11"/>
        <v>14</v>
      </c>
      <c r="M76" s="108">
        <f t="shared" si="18"/>
        <v>20</v>
      </c>
      <c r="N76" s="116">
        <f t="shared" si="19"/>
        <v>0.7</v>
      </c>
      <c r="O76" s="108">
        <f t="shared" si="21"/>
        <v>210</v>
      </c>
    </row>
    <row r="77" spans="1:15" ht="15">
      <c r="A77" s="115">
        <v>0.75</v>
      </c>
      <c r="B77" s="108">
        <v>7</v>
      </c>
      <c r="C77" s="108">
        <f t="shared" si="12"/>
        <v>10</v>
      </c>
      <c r="D77" s="116">
        <f t="shared" si="13"/>
        <v>0.7</v>
      </c>
      <c r="E77" s="108">
        <f t="shared" si="20"/>
        <v>105</v>
      </c>
      <c r="F77" s="117">
        <v>0.75</v>
      </c>
      <c r="G77" s="108">
        <v>7</v>
      </c>
      <c r="H77" s="108">
        <f t="shared" si="14"/>
        <v>13</v>
      </c>
      <c r="I77" s="116">
        <f t="shared" si="15"/>
        <v>0.53846153846153844</v>
      </c>
      <c r="J77" s="108">
        <f t="shared" si="16"/>
        <v>105</v>
      </c>
      <c r="K77" s="117">
        <f t="shared" si="17"/>
        <v>0.75</v>
      </c>
      <c r="L77" s="108">
        <f t="shared" si="11"/>
        <v>14</v>
      </c>
      <c r="M77" s="108">
        <f t="shared" si="18"/>
        <v>20</v>
      </c>
      <c r="N77" s="116">
        <f t="shared" si="19"/>
        <v>0.7</v>
      </c>
      <c r="O77" s="108">
        <f t="shared" si="21"/>
        <v>210</v>
      </c>
    </row>
    <row r="78" spans="1:15" ht="15">
      <c r="A78" s="115">
        <v>0.76041666666666696</v>
      </c>
      <c r="B78" s="108">
        <v>7</v>
      </c>
      <c r="C78" s="108">
        <f t="shared" si="12"/>
        <v>10</v>
      </c>
      <c r="D78" s="116">
        <f t="shared" si="13"/>
        <v>0.7</v>
      </c>
      <c r="E78" s="108">
        <f t="shared" si="20"/>
        <v>105</v>
      </c>
      <c r="F78" s="117">
        <v>0.76041666666666696</v>
      </c>
      <c r="G78" s="108">
        <v>7</v>
      </c>
      <c r="H78" s="108">
        <f t="shared" si="14"/>
        <v>13</v>
      </c>
      <c r="I78" s="116">
        <f t="shared" si="15"/>
        <v>0.53846153846153844</v>
      </c>
      <c r="J78" s="108">
        <f t="shared" si="16"/>
        <v>105</v>
      </c>
      <c r="K78" s="117">
        <f t="shared" si="17"/>
        <v>0.76041666666666696</v>
      </c>
      <c r="L78" s="108">
        <f t="shared" si="11"/>
        <v>14</v>
      </c>
      <c r="M78" s="108">
        <f t="shared" si="18"/>
        <v>20</v>
      </c>
      <c r="N78" s="116">
        <f t="shared" si="19"/>
        <v>0.7</v>
      </c>
      <c r="O78" s="108">
        <f t="shared" si="21"/>
        <v>210</v>
      </c>
    </row>
    <row r="79" spans="1:15" ht="15">
      <c r="A79" s="115">
        <v>0.77083333333333304</v>
      </c>
      <c r="B79" s="108">
        <v>7</v>
      </c>
      <c r="C79" s="108">
        <f t="shared" si="12"/>
        <v>10</v>
      </c>
      <c r="D79" s="116">
        <f t="shared" si="13"/>
        <v>0.7</v>
      </c>
      <c r="E79" s="108">
        <f t="shared" si="20"/>
        <v>105</v>
      </c>
      <c r="F79" s="117">
        <v>0.77083333333333304</v>
      </c>
      <c r="G79" s="108">
        <v>7</v>
      </c>
      <c r="H79" s="108">
        <f t="shared" si="14"/>
        <v>13</v>
      </c>
      <c r="I79" s="116">
        <f t="shared" si="15"/>
        <v>0.53846153846153844</v>
      </c>
      <c r="J79" s="108">
        <f t="shared" si="16"/>
        <v>105</v>
      </c>
      <c r="K79" s="117">
        <f t="shared" si="17"/>
        <v>0.77083333333333304</v>
      </c>
      <c r="L79" s="108">
        <f t="shared" si="11"/>
        <v>14</v>
      </c>
      <c r="M79" s="108">
        <f t="shared" si="18"/>
        <v>20</v>
      </c>
      <c r="N79" s="116">
        <f t="shared" si="19"/>
        <v>0.7</v>
      </c>
      <c r="O79" s="108">
        <f t="shared" si="21"/>
        <v>210</v>
      </c>
    </row>
    <row r="80" spans="1:15" ht="15">
      <c r="A80" s="115">
        <v>0.78125</v>
      </c>
      <c r="B80" s="108">
        <v>8</v>
      </c>
      <c r="C80" s="108">
        <f t="shared" si="12"/>
        <v>10</v>
      </c>
      <c r="D80" s="116">
        <f t="shared" si="13"/>
        <v>0.8</v>
      </c>
      <c r="E80" s="108">
        <f t="shared" si="20"/>
        <v>120</v>
      </c>
      <c r="F80" s="117">
        <v>0.78125</v>
      </c>
      <c r="G80" s="108">
        <v>8</v>
      </c>
      <c r="H80" s="108">
        <f t="shared" si="14"/>
        <v>13</v>
      </c>
      <c r="I80" s="116">
        <f t="shared" si="15"/>
        <v>0.61538461538461542</v>
      </c>
      <c r="J80" s="108">
        <f t="shared" si="16"/>
        <v>120</v>
      </c>
      <c r="K80" s="117">
        <f t="shared" si="17"/>
        <v>0.78125</v>
      </c>
      <c r="L80" s="108">
        <f t="shared" si="11"/>
        <v>16</v>
      </c>
      <c r="M80" s="108">
        <f t="shared" si="18"/>
        <v>20</v>
      </c>
      <c r="N80" s="116">
        <f t="shared" si="19"/>
        <v>0.8</v>
      </c>
      <c r="O80" s="108">
        <f t="shared" si="21"/>
        <v>240</v>
      </c>
    </row>
    <row r="81" spans="1:15" ht="15">
      <c r="A81" s="115">
        <v>0.79166666666666696</v>
      </c>
      <c r="B81" s="108">
        <v>8</v>
      </c>
      <c r="C81" s="108">
        <f t="shared" si="12"/>
        <v>10</v>
      </c>
      <c r="D81" s="116">
        <f t="shared" si="13"/>
        <v>0.8</v>
      </c>
      <c r="E81" s="108">
        <f t="shared" si="20"/>
        <v>120</v>
      </c>
      <c r="F81" s="117">
        <v>0.79166666666666696</v>
      </c>
      <c r="G81" s="108">
        <v>8</v>
      </c>
      <c r="H81" s="108">
        <f t="shared" si="14"/>
        <v>13</v>
      </c>
      <c r="I81" s="116">
        <f t="shared" si="15"/>
        <v>0.61538461538461542</v>
      </c>
      <c r="J81" s="108">
        <f t="shared" si="16"/>
        <v>120</v>
      </c>
      <c r="K81" s="117">
        <f t="shared" si="17"/>
        <v>0.79166666666666696</v>
      </c>
      <c r="L81" s="108">
        <f t="shared" si="11"/>
        <v>16</v>
      </c>
      <c r="M81" s="108">
        <f t="shared" si="18"/>
        <v>20</v>
      </c>
      <c r="N81" s="116">
        <f t="shared" si="19"/>
        <v>0.8</v>
      </c>
      <c r="O81" s="108">
        <f t="shared" si="21"/>
        <v>240</v>
      </c>
    </row>
    <row r="82" spans="1:15" ht="15">
      <c r="A82" s="115">
        <v>0.80208333333333304</v>
      </c>
      <c r="B82" s="108">
        <v>7</v>
      </c>
      <c r="C82" s="108">
        <f t="shared" si="12"/>
        <v>10</v>
      </c>
      <c r="D82" s="116">
        <f t="shared" si="13"/>
        <v>0.7</v>
      </c>
      <c r="E82" s="108">
        <f t="shared" si="20"/>
        <v>105</v>
      </c>
      <c r="F82" s="117">
        <v>0.80208333333333304</v>
      </c>
      <c r="G82" s="108">
        <v>7</v>
      </c>
      <c r="H82" s="108">
        <f t="shared" si="14"/>
        <v>13</v>
      </c>
      <c r="I82" s="116">
        <f t="shared" si="15"/>
        <v>0.53846153846153844</v>
      </c>
      <c r="J82" s="108">
        <f t="shared" si="16"/>
        <v>105</v>
      </c>
      <c r="K82" s="117">
        <f t="shared" si="17"/>
        <v>0.80208333333333304</v>
      </c>
      <c r="L82" s="108">
        <f t="shared" si="11"/>
        <v>14</v>
      </c>
      <c r="M82" s="108">
        <f t="shared" si="18"/>
        <v>20</v>
      </c>
      <c r="N82" s="116">
        <f t="shared" si="19"/>
        <v>0.7</v>
      </c>
      <c r="O82" s="108">
        <f t="shared" si="21"/>
        <v>210</v>
      </c>
    </row>
    <row r="83" spans="1:15" ht="15">
      <c r="A83" s="115">
        <v>0.8125</v>
      </c>
      <c r="B83" s="108">
        <v>6</v>
      </c>
      <c r="C83" s="108">
        <f t="shared" si="12"/>
        <v>10</v>
      </c>
      <c r="D83" s="116">
        <f t="shared" si="13"/>
        <v>0.6</v>
      </c>
      <c r="E83" s="108">
        <f t="shared" si="20"/>
        <v>90</v>
      </c>
      <c r="F83" s="117">
        <v>0.8125</v>
      </c>
      <c r="G83" s="108">
        <v>6</v>
      </c>
      <c r="H83" s="108">
        <f t="shared" si="14"/>
        <v>13</v>
      </c>
      <c r="I83" s="116">
        <f t="shared" si="15"/>
        <v>0.46153846153846156</v>
      </c>
      <c r="J83" s="108">
        <f t="shared" si="16"/>
        <v>90</v>
      </c>
      <c r="K83" s="117">
        <f t="shared" si="17"/>
        <v>0.8125</v>
      </c>
      <c r="L83" s="108">
        <f t="shared" si="11"/>
        <v>12</v>
      </c>
      <c r="M83" s="108">
        <f t="shared" si="18"/>
        <v>20</v>
      </c>
      <c r="N83" s="116">
        <f t="shared" si="19"/>
        <v>0.6</v>
      </c>
      <c r="O83" s="108">
        <f t="shared" si="21"/>
        <v>180</v>
      </c>
    </row>
    <row r="84" spans="1:15" ht="15">
      <c r="A84" s="115">
        <v>0.82291666666666696</v>
      </c>
      <c r="B84" s="108">
        <v>6</v>
      </c>
      <c r="C84" s="108">
        <f t="shared" si="12"/>
        <v>10</v>
      </c>
      <c r="D84" s="116">
        <f t="shared" si="13"/>
        <v>0.6</v>
      </c>
      <c r="E84" s="108">
        <f t="shared" si="20"/>
        <v>90</v>
      </c>
      <c r="F84" s="117">
        <v>0.82291666666666696</v>
      </c>
      <c r="G84" s="108">
        <v>6</v>
      </c>
      <c r="H84" s="108">
        <f t="shared" si="14"/>
        <v>13</v>
      </c>
      <c r="I84" s="116">
        <f t="shared" si="15"/>
        <v>0.46153846153846156</v>
      </c>
      <c r="J84" s="108">
        <f t="shared" si="16"/>
        <v>90</v>
      </c>
      <c r="K84" s="117">
        <f t="shared" si="17"/>
        <v>0.82291666666666696</v>
      </c>
      <c r="L84" s="108">
        <f t="shared" si="11"/>
        <v>12</v>
      </c>
      <c r="M84" s="108">
        <f t="shared" si="18"/>
        <v>20</v>
      </c>
      <c r="N84" s="116">
        <f t="shared" si="19"/>
        <v>0.6</v>
      </c>
      <c r="O84" s="108">
        <f t="shared" si="21"/>
        <v>180</v>
      </c>
    </row>
    <row r="85" spans="1:15" ht="15">
      <c r="A85" s="115">
        <v>0.83333333333333304</v>
      </c>
      <c r="B85" s="108">
        <v>5</v>
      </c>
      <c r="C85" s="108">
        <f t="shared" si="12"/>
        <v>10</v>
      </c>
      <c r="D85" s="116">
        <f t="shared" si="13"/>
        <v>0.5</v>
      </c>
      <c r="E85" s="108">
        <f t="shared" si="20"/>
        <v>75</v>
      </c>
      <c r="F85" s="117">
        <v>0.83333333333333304</v>
      </c>
      <c r="G85" s="108">
        <v>5</v>
      </c>
      <c r="H85" s="108">
        <f t="shared" si="14"/>
        <v>13</v>
      </c>
      <c r="I85" s="116">
        <f t="shared" si="15"/>
        <v>0.38461538461538464</v>
      </c>
      <c r="J85" s="108">
        <f t="shared" si="16"/>
        <v>75</v>
      </c>
      <c r="K85" s="117">
        <f t="shared" si="17"/>
        <v>0.83333333333333304</v>
      </c>
      <c r="L85" s="108">
        <f t="shared" si="11"/>
        <v>10</v>
      </c>
      <c r="M85" s="108">
        <f t="shared" si="18"/>
        <v>20</v>
      </c>
      <c r="N85" s="116">
        <f t="shared" si="19"/>
        <v>0.5</v>
      </c>
      <c r="O85" s="108">
        <f t="shared" si="21"/>
        <v>150</v>
      </c>
    </row>
    <row r="86" spans="1:15" ht="15">
      <c r="A86" s="115">
        <v>0.84375</v>
      </c>
      <c r="B86" s="108">
        <v>5</v>
      </c>
      <c r="C86" s="108">
        <f t="shared" si="12"/>
        <v>10</v>
      </c>
      <c r="D86" s="116">
        <f t="shared" si="13"/>
        <v>0.5</v>
      </c>
      <c r="E86" s="108">
        <f t="shared" si="20"/>
        <v>75</v>
      </c>
      <c r="F86" s="117">
        <v>0.84375</v>
      </c>
      <c r="G86" s="108">
        <v>5</v>
      </c>
      <c r="H86" s="108">
        <f t="shared" si="14"/>
        <v>13</v>
      </c>
      <c r="I86" s="116">
        <f t="shared" si="15"/>
        <v>0.38461538461538464</v>
      </c>
      <c r="J86" s="108">
        <f t="shared" si="16"/>
        <v>75</v>
      </c>
      <c r="K86" s="117">
        <f t="shared" si="17"/>
        <v>0.84375</v>
      </c>
      <c r="L86" s="108">
        <f t="shared" si="11"/>
        <v>10</v>
      </c>
      <c r="M86" s="108">
        <f t="shared" si="18"/>
        <v>20</v>
      </c>
      <c r="N86" s="116">
        <f t="shared" si="19"/>
        <v>0.5</v>
      </c>
      <c r="O86" s="108">
        <f t="shared" si="21"/>
        <v>150</v>
      </c>
    </row>
    <row r="87" spans="1:15" ht="15">
      <c r="A87" s="115">
        <v>0.85416666666666696</v>
      </c>
      <c r="B87" s="108">
        <v>4</v>
      </c>
      <c r="C87" s="108">
        <f t="shared" si="12"/>
        <v>10</v>
      </c>
      <c r="D87" s="116">
        <f t="shared" si="13"/>
        <v>0.4</v>
      </c>
      <c r="E87" s="108">
        <f t="shared" si="20"/>
        <v>60</v>
      </c>
      <c r="F87" s="117">
        <v>0.85416666666666696</v>
      </c>
      <c r="G87" s="108">
        <v>4</v>
      </c>
      <c r="H87" s="108">
        <f t="shared" si="14"/>
        <v>13</v>
      </c>
      <c r="I87" s="116">
        <f t="shared" si="15"/>
        <v>0.30769230769230771</v>
      </c>
      <c r="J87" s="108">
        <f t="shared" si="16"/>
        <v>60</v>
      </c>
      <c r="K87" s="117">
        <f t="shared" si="17"/>
        <v>0.85416666666666696</v>
      </c>
      <c r="L87" s="108">
        <f t="shared" si="11"/>
        <v>8</v>
      </c>
      <c r="M87" s="108">
        <f t="shared" si="18"/>
        <v>20</v>
      </c>
      <c r="N87" s="116">
        <f t="shared" si="19"/>
        <v>0.4</v>
      </c>
      <c r="O87" s="108">
        <f t="shared" si="21"/>
        <v>120</v>
      </c>
    </row>
    <row r="88" spans="1:15" ht="15">
      <c r="A88" s="115">
        <v>0.86458333333333304</v>
      </c>
      <c r="B88" s="108">
        <v>4</v>
      </c>
      <c r="C88" s="108">
        <f t="shared" si="12"/>
        <v>10</v>
      </c>
      <c r="D88" s="116">
        <f t="shared" si="13"/>
        <v>0.4</v>
      </c>
      <c r="E88" s="108">
        <f t="shared" si="20"/>
        <v>60</v>
      </c>
      <c r="F88" s="117">
        <v>0.86458333333333304</v>
      </c>
      <c r="G88" s="108">
        <v>4</v>
      </c>
      <c r="H88" s="108">
        <f t="shared" si="14"/>
        <v>13</v>
      </c>
      <c r="I88" s="116">
        <f t="shared" si="15"/>
        <v>0.30769230769230771</v>
      </c>
      <c r="J88" s="108">
        <f t="shared" si="16"/>
        <v>60</v>
      </c>
      <c r="K88" s="117">
        <f t="shared" si="17"/>
        <v>0.86458333333333304</v>
      </c>
      <c r="L88" s="108">
        <f t="shared" si="11"/>
        <v>8</v>
      </c>
      <c r="M88" s="108">
        <f t="shared" si="18"/>
        <v>20</v>
      </c>
      <c r="N88" s="116">
        <f t="shared" si="19"/>
        <v>0.4</v>
      </c>
      <c r="O88" s="108">
        <f t="shared" si="21"/>
        <v>120</v>
      </c>
    </row>
    <row r="89" spans="1:15" ht="15">
      <c r="A89" s="115">
        <v>0.875</v>
      </c>
      <c r="B89" s="108">
        <v>4</v>
      </c>
      <c r="C89" s="108">
        <f t="shared" si="12"/>
        <v>10</v>
      </c>
      <c r="D89" s="116">
        <f t="shared" si="13"/>
        <v>0.4</v>
      </c>
      <c r="E89" s="108">
        <f t="shared" si="20"/>
        <v>60</v>
      </c>
      <c r="F89" s="117">
        <v>0.875</v>
      </c>
      <c r="G89" s="108">
        <v>4</v>
      </c>
      <c r="H89" s="108">
        <f t="shared" si="14"/>
        <v>13</v>
      </c>
      <c r="I89" s="116">
        <f t="shared" si="15"/>
        <v>0.30769230769230771</v>
      </c>
      <c r="J89" s="108">
        <f t="shared" si="16"/>
        <v>60</v>
      </c>
      <c r="K89" s="117">
        <f t="shared" si="17"/>
        <v>0.875</v>
      </c>
      <c r="L89" s="108">
        <f t="shared" si="11"/>
        <v>8</v>
      </c>
      <c r="M89" s="108">
        <f t="shared" si="18"/>
        <v>20</v>
      </c>
      <c r="N89" s="116">
        <f t="shared" si="19"/>
        <v>0.4</v>
      </c>
      <c r="O89" s="108">
        <f t="shared" si="21"/>
        <v>120</v>
      </c>
    </row>
    <row r="90" spans="1:15" ht="15">
      <c r="A90" s="115">
        <v>0.88541666666666696</v>
      </c>
      <c r="B90" s="108">
        <v>3</v>
      </c>
      <c r="C90" s="108">
        <f t="shared" si="12"/>
        <v>10</v>
      </c>
      <c r="D90" s="116">
        <f t="shared" si="13"/>
        <v>0.3</v>
      </c>
      <c r="E90" s="108">
        <f t="shared" si="20"/>
        <v>45</v>
      </c>
      <c r="F90" s="117">
        <v>0.88541666666666696</v>
      </c>
      <c r="G90" s="108">
        <v>3</v>
      </c>
      <c r="H90" s="108">
        <f t="shared" si="14"/>
        <v>13</v>
      </c>
      <c r="I90" s="116">
        <f t="shared" si="15"/>
        <v>0.23076923076923078</v>
      </c>
      <c r="J90" s="108">
        <f t="shared" si="16"/>
        <v>45</v>
      </c>
      <c r="K90" s="117">
        <f t="shared" si="17"/>
        <v>0.88541666666666696</v>
      </c>
      <c r="L90" s="108">
        <f t="shared" si="11"/>
        <v>6</v>
      </c>
      <c r="M90" s="108">
        <f t="shared" si="18"/>
        <v>20</v>
      </c>
      <c r="N90" s="116">
        <f t="shared" si="19"/>
        <v>0.3</v>
      </c>
      <c r="O90" s="108">
        <f t="shared" si="21"/>
        <v>90</v>
      </c>
    </row>
    <row r="91" spans="1:15" ht="15">
      <c r="A91" s="115">
        <v>0.89583333333333304</v>
      </c>
      <c r="B91" s="108">
        <v>3</v>
      </c>
      <c r="C91" s="108">
        <f t="shared" si="12"/>
        <v>10</v>
      </c>
      <c r="D91" s="116">
        <f t="shared" si="13"/>
        <v>0.3</v>
      </c>
      <c r="E91" s="108">
        <f t="shared" si="20"/>
        <v>45</v>
      </c>
      <c r="F91" s="117">
        <v>0.89583333333333304</v>
      </c>
      <c r="G91" s="108">
        <v>3</v>
      </c>
      <c r="H91" s="108">
        <f t="shared" si="14"/>
        <v>13</v>
      </c>
      <c r="I91" s="116">
        <f t="shared" si="15"/>
        <v>0.23076923076923078</v>
      </c>
      <c r="J91" s="108">
        <f t="shared" si="16"/>
        <v>45</v>
      </c>
      <c r="K91" s="117">
        <f t="shared" si="17"/>
        <v>0.89583333333333304</v>
      </c>
      <c r="L91" s="108">
        <f t="shared" si="11"/>
        <v>6</v>
      </c>
      <c r="M91" s="108">
        <f t="shared" si="18"/>
        <v>20</v>
      </c>
      <c r="N91" s="116">
        <f t="shared" si="19"/>
        <v>0.3</v>
      </c>
      <c r="O91" s="108">
        <f t="shared" si="21"/>
        <v>90</v>
      </c>
    </row>
    <row r="92" spans="1:15" ht="15">
      <c r="A92" s="115">
        <v>0.90625</v>
      </c>
      <c r="B92" s="108">
        <v>3</v>
      </c>
      <c r="C92" s="108">
        <f t="shared" si="12"/>
        <v>10</v>
      </c>
      <c r="D92" s="116">
        <f t="shared" si="13"/>
        <v>0.3</v>
      </c>
      <c r="E92" s="108">
        <f t="shared" si="20"/>
        <v>45</v>
      </c>
      <c r="F92" s="117">
        <v>0.90625</v>
      </c>
      <c r="G92" s="108">
        <v>3</v>
      </c>
      <c r="H92" s="108">
        <f t="shared" si="14"/>
        <v>13</v>
      </c>
      <c r="I92" s="116">
        <f t="shared" si="15"/>
        <v>0.23076923076923078</v>
      </c>
      <c r="J92" s="108">
        <f t="shared" si="16"/>
        <v>45</v>
      </c>
      <c r="K92" s="117">
        <f t="shared" si="17"/>
        <v>0.90625</v>
      </c>
      <c r="L92" s="108">
        <f t="shared" si="11"/>
        <v>6</v>
      </c>
      <c r="M92" s="108">
        <f t="shared" si="18"/>
        <v>20</v>
      </c>
      <c r="N92" s="116">
        <f t="shared" si="19"/>
        <v>0.3</v>
      </c>
      <c r="O92" s="108">
        <f t="shared" si="21"/>
        <v>90</v>
      </c>
    </row>
    <row r="93" spans="1:15" ht="15">
      <c r="A93" s="115">
        <v>0.91666666666666696</v>
      </c>
      <c r="B93" s="108">
        <v>2</v>
      </c>
      <c r="C93" s="108">
        <f t="shared" si="12"/>
        <v>10</v>
      </c>
      <c r="D93" s="116">
        <f t="shared" si="13"/>
        <v>0.2</v>
      </c>
      <c r="E93" s="108">
        <f t="shared" si="20"/>
        <v>30</v>
      </c>
      <c r="F93" s="117">
        <v>0.91666666666666696</v>
      </c>
      <c r="G93" s="108">
        <v>2</v>
      </c>
      <c r="H93" s="108">
        <f t="shared" si="14"/>
        <v>13</v>
      </c>
      <c r="I93" s="116">
        <f t="shared" si="15"/>
        <v>0.15384615384615385</v>
      </c>
      <c r="J93" s="108">
        <f t="shared" si="16"/>
        <v>30</v>
      </c>
      <c r="K93" s="117">
        <f t="shared" si="17"/>
        <v>0.91666666666666696</v>
      </c>
      <c r="L93" s="108">
        <f t="shared" si="11"/>
        <v>4</v>
      </c>
      <c r="M93" s="108">
        <f t="shared" si="18"/>
        <v>20</v>
      </c>
      <c r="N93" s="116">
        <f t="shared" si="19"/>
        <v>0.2</v>
      </c>
      <c r="O93" s="108">
        <f t="shared" si="21"/>
        <v>60</v>
      </c>
    </row>
    <row r="94" spans="1:15" ht="15">
      <c r="A94" s="115">
        <v>0.92708333333333304</v>
      </c>
      <c r="B94" s="108">
        <v>2</v>
      </c>
      <c r="C94" s="108">
        <f t="shared" si="12"/>
        <v>10</v>
      </c>
      <c r="D94" s="116">
        <f t="shared" si="13"/>
        <v>0.2</v>
      </c>
      <c r="E94" s="108">
        <f t="shared" si="20"/>
        <v>30</v>
      </c>
      <c r="F94" s="117">
        <v>0.92708333333333304</v>
      </c>
      <c r="G94" s="108">
        <v>2</v>
      </c>
      <c r="H94" s="108">
        <f t="shared" si="14"/>
        <v>13</v>
      </c>
      <c r="I94" s="116">
        <f t="shared" si="15"/>
        <v>0.15384615384615385</v>
      </c>
      <c r="J94" s="108">
        <f t="shared" si="16"/>
        <v>30</v>
      </c>
      <c r="K94" s="117">
        <f t="shared" si="17"/>
        <v>0.92708333333333304</v>
      </c>
      <c r="L94" s="108">
        <f>B94+G94</f>
        <v>4</v>
      </c>
      <c r="M94" s="108">
        <f t="shared" si="18"/>
        <v>20</v>
      </c>
      <c r="N94" s="116">
        <f t="shared" si="19"/>
        <v>0.2</v>
      </c>
      <c r="O94" s="108">
        <f t="shared" si="21"/>
        <v>60</v>
      </c>
    </row>
    <row r="95" spans="1:15" ht="15">
      <c r="A95" s="115">
        <v>0.9375</v>
      </c>
      <c r="B95" s="108">
        <v>2</v>
      </c>
      <c r="C95" s="108">
        <f t="shared" si="12"/>
        <v>10</v>
      </c>
      <c r="D95" s="116">
        <f t="shared" si="13"/>
        <v>0.2</v>
      </c>
      <c r="E95" s="108">
        <f t="shared" si="20"/>
        <v>30</v>
      </c>
      <c r="F95" s="117">
        <v>0.9375</v>
      </c>
      <c r="G95" s="108">
        <v>2</v>
      </c>
      <c r="H95" s="108">
        <f t="shared" si="14"/>
        <v>13</v>
      </c>
      <c r="I95" s="116">
        <f t="shared" si="15"/>
        <v>0.15384615384615385</v>
      </c>
      <c r="J95" s="108">
        <f t="shared" si="16"/>
        <v>30</v>
      </c>
      <c r="K95" s="117">
        <f t="shared" si="17"/>
        <v>0.9375</v>
      </c>
      <c r="L95" s="108">
        <f>B95+G95</f>
        <v>4</v>
      </c>
      <c r="M95" s="108">
        <f t="shared" si="18"/>
        <v>20</v>
      </c>
      <c r="N95" s="116">
        <f t="shared" si="19"/>
        <v>0.2</v>
      </c>
      <c r="O95" s="108">
        <f t="shared" si="21"/>
        <v>60</v>
      </c>
    </row>
    <row r="96" spans="1:15" ht="15">
      <c r="A96" s="115">
        <v>0.94791666666666696</v>
      </c>
      <c r="B96" s="108">
        <v>0</v>
      </c>
      <c r="C96" s="108">
        <f t="shared" si="12"/>
        <v>10</v>
      </c>
      <c r="D96" s="116">
        <f t="shared" si="13"/>
        <v>0</v>
      </c>
      <c r="E96" s="108">
        <f t="shared" si="20"/>
        <v>0</v>
      </c>
      <c r="F96" s="117">
        <v>0.94791666666666696</v>
      </c>
      <c r="G96" s="108">
        <v>0</v>
      </c>
      <c r="H96" s="108">
        <f t="shared" si="14"/>
        <v>13</v>
      </c>
      <c r="I96" s="116">
        <f t="shared" si="15"/>
        <v>0</v>
      </c>
      <c r="J96" s="108">
        <f t="shared" si="16"/>
        <v>0</v>
      </c>
      <c r="K96" s="117">
        <f t="shared" si="17"/>
        <v>0.94791666666666696</v>
      </c>
      <c r="L96" s="108">
        <f t="shared" si="11"/>
        <v>0</v>
      </c>
      <c r="M96" s="108">
        <f t="shared" si="18"/>
        <v>20</v>
      </c>
      <c r="N96" s="116">
        <f t="shared" si="19"/>
        <v>0</v>
      </c>
      <c r="O96" s="108">
        <f t="shared" si="21"/>
        <v>0</v>
      </c>
    </row>
    <row r="97" spans="1:15" ht="15">
      <c r="A97" s="115">
        <v>0.95833333333333304</v>
      </c>
      <c r="B97" s="108">
        <v>0</v>
      </c>
      <c r="C97" s="108">
        <f t="shared" si="12"/>
        <v>10</v>
      </c>
      <c r="D97" s="116">
        <f t="shared" si="13"/>
        <v>0</v>
      </c>
      <c r="E97" s="108">
        <f t="shared" si="20"/>
        <v>0</v>
      </c>
      <c r="F97" s="117">
        <v>0.95833333333333304</v>
      </c>
      <c r="G97" s="108">
        <v>0</v>
      </c>
      <c r="H97" s="108">
        <f t="shared" si="14"/>
        <v>13</v>
      </c>
      <c r="I97" s="116">
        <f t="shared" si="15"/>
        <v>0</v>
      </c>
      <c r="J97" s="108">
        <f t="shared" si="16"/>
        <v>0</v>
      </c>
      <c r="K97" s="117">
        <f t="shared" si="17"/>
        <v>0.95833333333333304</v>
      </c>
      <c r="L97" s="108">
        <f t="shared" si="11"/>
        <v>0</v>
      </c>
      <c r="M97" s="108">
        <f t="shared" si="18"/>
        <v>20</v>
      </c>
      <c r="N97" s="116">
        <f t="shared" si="19"/>
        <v>0</v>
      </c>
      <c r="O97" s="108">
        <f t="shared" si="21"/>
        <v>0</v>
      </c>
    </row>
    <row r="98" spans="1:15" ht="15">
      <c r="A98" s="115">
        <v>0.96875</v>
      </c>
      <c r="B98" s="108">
        <v>0</v>
      </c>
      <c r="C98" s="108">
        <f t="shared" si="12"/>
        <v>10</v>
      </c>
      <c r="D98" s="116">
        <f t="shared" si="13"/>
        <v>0</v>
      </c>
      <c r="E98" s="108">
        <f t="shared" si="20"/>
        <v>0</v>
      </c>
      <c r="F98" s="117">
        <v>0.96875</v>
      </c>
      <c r="G98" s="108">
        <v>0</v>
      </c>
      <c r="H98" s="108">
        <f t="shared" si="14"/>
        <v>13</v>
      </c>
      <c r="I98" s="116">
        <f t="shared" si="15"/>
        <v>0</v>
      </c>
      <c r="J98" s="108">
        <f t="shared" si="16"/>
        <v>0</v>
      </c>
      <c r="K98" s="117">
        <f t="shared" si="17"/>
        <v>0.96875</v>
      </c>
      <c r="L98" s="108">
        <f t="shared" si="11"/>
        <v>0</v>
      </c>
      <c r="M98" s="108">
        <f t="shared" si="18"/>
        <v>20</v>
      </c>
      <c r="N98" s="116">
        <f t="shared" si="19"/>
        <v>0</v>
      </c>
      <c r="O98" s="108">
        <f t="shared" si="21"/>
        <v>0</v>
      </c>
    </row>
    <row r="99" spans="1:15" ht="15">
      <c r="A99" s="115">
        <v>0.97916666666666696</v>
      </c>
      <c r="B99" s="108">
        <v>0</v>
      </c>
      <c r="C99" s="108">
        <f t="shared" si="12"/>
        <v>10</v>
      </c>
      <c r="D99" s="116">
        <f t="shared" si="13"/>
        <v>0</v>
      </c>
      <c r="E99" s="108">
        <f t="shared" si="20"/>
        <v>0</v>
      </c>
      <c r="F99" s="117">
        <v>0.97916666666666696</v>
      </c>
      <c r="G99" s="108">
        <v>0</v>
      </c>
      <c r="H99" s="108">
        <f t="shared" si="14"/>
        <v>13</v>
      </c>
      <c r="I99" s="116">
        <f t="shared" si="15"/>
        <v>0</v>
      </c>
      <c r="J99" s="108">
        <f t="shared" si="16"/>
        <v>0</v>
      </c>
      <c r="K99" s="117">
        <f t="shared" si="17"/>
        <v>0.97916666666666696</v>
      </c>
      <c r="L99" s="108">
        <f t="shared" si="11"/>
        <v>0</v>
      </c>
      <c r="M99" s="108">
        <f t="shared" si="18"/>
        <v>20</v>
      </c>
      <c r="N99" s="116">
        <f t="shared" si="19"/>
        <v>0</v>
      </c>
      <c r="O99" s="108">
        <f t="shared" si="21"/>
        <v>0</v>
      </c>
    </row>
    <row r="100" spans="1:15" ht="15">
      <c r="A100" s="115">
        <v>0.98958333333333304</v>
      </c>
      <c r="B100" s="108">
        <v>0</v>
      </c>
      <c r="C100" s="108">
        <f t="shared" si="12"/>
        <v>10</v>
      </c>
      <c r="D100" s="116">
        <f t="shared" si="13"/>
        <v>0</v>
      </c>
      <c r="E100" s="108">
        <f t="shared" si="20"/>
        <v>0</v>
      </c>
      <c r="F100" s="117">
        <v>0.98958333333333304</v>
      </c>
      <c r="G100" s="108">
        <v>0</v>
      </c>
      <c r="H100" s="108">
        <f t="shared" si="14"/>
        <v>13</v>
      </c>
      <c r="I100" s="116">
        <f t="shared" si="15"/>
        <v>0</v>
      </c>
      <c r="J100" s="108">
        <f t="shared" si="16"/>
        <v>0</v>
      </c>
      <c r="K100" s="117">
        <f t="shared" si="17"/>
        <v>0.98958333333333304</v>
      </c>
      <c r="L100" s="108">
        <f t="shared" si="11"/>
        <v>0</v>
      </c>
      <c r="M100" s="108">
        <f t="shared" si="18"/>
        <v>20</v>
      </c>
      <c r="N100" s="116">
        <f t="shared" si="19"/>
        <v>0</v>
      </c>
      <c r="O100" s="108">
        <f t="shared" si="21"/>
        <v>0</v>
      </c>
    </row>
    <row r="101" spans="1:15">
      <c r="E101" s="108">
        <f>SUM(E5:E100)</f>
        <v>6510</v>
      </c>
      <c r="J101" s="108">
        <f>SUM(J5:J100)</f>
        <v>8010</v>
      </c>
      <c r="O101" s="108">
        <f>SUM(O5:O100)</f>
        <v>14505</v>
      </c>
    </row>
    <row r="102" spans="1:15">
      <c r="E102" s="108">
        <f>12*60*10</f>
        <v>7200</v>
      </c>
      <c r="J102" s="108">
        <f>12*60*13</f>
        <v>9360</v>
      </c>
      <c r="O102" s="108">
        <f>12*60*20</f>
        <v>14400</v>
      </c>
    </row>
    <row r="103" spans="1:15">
      <c r="E103" s="114">
        <f>E101/E102</f>
        <v>0.90416666666666667</v>
      </c>
      <c r="J103" s="114">
        <f>J101/J102</f>
        <v>0.85576923076923073</v>
      </c>
      <c r="O103" s="114">
        <f>O101/O102</f>
        <v>1.0072916666666667</v>
      </c>
    </row>
  </sheetData>
  <mergeCells count="1">
    <mergeCell ref="A1:E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6C1C-9478-174C-8651-A6FC954D08C4}">
  <sheetPr codeName="Sheet8">
    <tabColor theme="9" tint="0.59999389629810485"/>
  </sheetPr>
  <dimension ref="A1:I90"/>
  <sheetViews>
    <sheetView topLeftCell="B1" workbookViewId="0">
      <selection activeCell="B7" sqref="B7"/>
    </sheetView>
  </sheetViews>
  <sheetFormatPr defaultColWidth="9" defaultRowHeight="14.1"/>
  <cols>
    <col min="1" max="1" width="26.7109375" style="135" customWidth="1"/>
    <col min="2" max="5" width="14.140625" style="135" customWidth="1"/>
    <col min="6" max="6" width="13.7109375" style="135" bestFit="1" customWidth="1"/>
    <col min="7" max="7" width="46.28515625" style="135" customWidth="1"/>
    <col min="8" max="8" width="9.140625" style="135" bestFit="1" customWidth="1"/>
    <col min="9" max="16384" width="9" style="135"/>
  </cols>
  <sheetData>
    <row r="1" spans="1:9" ht="27" customHeight="1">
      <c r="A1" s="294" t="s">
        <v>1237</v>
      </c>
      <c r="B1" s="294"/>
      <c r="C1" s="294"/>
      <c r="D1" s="294"/>
      <c r="E1" s="294"/>
      <c r="G1" s="135">
        <f>6.07*1.30795</f>
        <v>7.9392564999999999</v>
      </c>
    </row>
    <row r="2" spans="1:9" ht="12.75" customHeight="1">
      <c r="A2" s="136"/>
      <c r="B2" s="136"/>
      <c r="C2" s="136"/>
      <c r="D2" s="136"/>
      <c r="E2" s="136"/>
      <c r="G2" s="135" t="s">
        <v>1575</v>
      </c>
    </row>
    <row r="3" spans="1:9">
      <c r="B3" s="135" t="s">
        <v>1576</v>
      </c>
      <c r="C3" s="135" t="s">
        <v>1544</v>
      </c>
      <c r="D3" s="135" t="s">
        <v>1577</v>
      </c>
      <c r="E3" s="135" t="s">
        <v>1578</v>
      </c>
      <c r="G3" s="135" t="s">
        <v>1579</v>
      </c>
      <c r="H3" s="137">
        <v>200</v>
      </c>
    </row>
    <row r="4" spans="1:9" ht="19.5" customHeight="1">
      <c r="A4" s="135" t="s">
        <v>1580</v>
      </c>
      <c r="B4" s="138">
        <f>C4</f>
        <v>0.67</v>
      </c>
      <c r="C4" s="157">
        <v>0.67</v>
      </c>
      <c r="D4" s="138">
        <f>B4 + 1%</f>
        <v>0.68</v>
      </c>
      <c r="E4" s="139">
        <v>0.69</v>
      </c>
      <c r="G4" s="135" t="s">
        <v>1581</v>
      </c>
      <c r="H4" s="137">
        <v>300</v>
      </c>
    </row>
    <row r="5" spans="1:9" ht="19.5" customHeight="1">
      <c r="A5" s="135" t="s">
        <v>671</v>
      </c>
      <c r="B5" s="140">
        <f>C5</f>
        <v>8.0400000000000009</v>
      </c>
      <c r="C5" s="140">
        <f>C4*12</f>
        <v>8.0400000000000009</v>
      </c>
      <c r="D5" s="141">
        <f>D4*12</f>
        <v>8.16</v>
      </c>
      <c r="E5" s="141">
        <f>E4*12</f>
        <v>8.2799999999999994</v>
      </c>
      <c r="G5" s="135" t="s">
        <v>1582</v>
      </c>
      <c r="H5" s="137">
        <v>30</v>
      </c>
    </row>
    <row r="6" spans="1:9" ht="19.5" customHeight="1">
      <c r="A6" s="135" t="s">
        <v>667</v>
      </c>
      <c r="B6" s="137">
        <v>110.2479</v>
      </c>
      <c r="C6" s="135">
        <f t="shared" ref="C6:D8" si="0">B6</f>
        <v>110.2479</v>
      </c>
      <c r="D6" s="135">
        <f t="shared" si="0"/>
        <v>110.2479</v>
      </c>
      <c r="E6" s="135">
        <f>B6</f>
        <v>110.2479</v>
      </c>
    </row>
    <row r="7" spans="1:9" ht="19.5" customHeight="1">
      <c r="A7" s="135" t="s">
        <v>1583</v>
      </c>
      <c r="B7" s="194">
        <v>8.2405173802</v>
      </c>
      <c r="C7" s="140">
        <f>B7</f>
        <v>8.2405173802</v>
      </c>
      <c r="D7" s="140">
        <f t="shared" si="0"/>
        <v>8.2405173802</v>
      </c>
      <c r="E7" s="135">
        <f>B7</f>
        <v>8.2405173802</v>
      </c>
    </row>
    <row r="8" spans="1:9" ht="19.5" customHeight="1">
      <c r="A8" s="135" t="s">
        <v>969</v>
      </c>
      <c r="B8" s="143">
        <v>0.42</v>
      </c>
      <c r="C8" s="144">
        <f t="shared" si="0"/>
        <v>0.42</v>
      </c>
      <c r="D8" s="144">
        <f t="shared" si="0"/>
        <v>0.42</v>
      </c>
      <c r="E8" s="144">
        <f>B8</f>
        <v>0.42</v>
      </c>
    </row>
    <row r="9" spans="1:9" ht="19.5" customHeight="1">
      <c r="A9" s="135" t="s">
        <v>865</v>
      </c>
      <c r="B9" s="145">
        <f>B8*B5*60*B7/B6*$H$4</f>
        <v>4543.2014905523693</v>
      </c>
      <c r="C9" s="145">
        <f>B9</f>
        <v>4543.2014905523693</v>
      </c>
      <c r="D9" s="145">
        <f>D8*D5*60*D7/D6*$H$4</f>
        <v>4611.0104680232998</v>
      </c>
      <c r="E9" s="145">
        <f>E8*E5*60*E7/E6*$H$4</f>
        <v>4678.8194454942295</v>
      </c>
    </row>
    <row r="10" spans="1:9" ht="19.5" customHeight="1">
      <c r="A10" s="135" t="s">
        <v>1584</v>
      </c>
      <c r="B10" s="140">
        <f>$H$3/60*B6/B7</f>
        <v>44.595864925058969</v>
      </c>
      <c r="C10" s="152">
        <f>$H$3/60*C6/C7</f>
        <v>44.595864925058969</v>
      </c>
      <c r="D10" s="140">
        <f>$H$3/60*D6/D7*$C$5/D5</f>
        <v>43.940043382043399</v>
      </c>
      <c r="E10" s="152">
        <f>$H$3/60*E6/E7*$C$5/E5</f>
        <v>43.303231159115235</v>
      </c>
    </row>
    <row r="11" spans="1:9" ht="15" thickBot="1">
      <c r="G11" s="135">
        <f>0.3/0.32</f>
        <v>0.9375</v>
      </c>
    </row>
    <row r="12" spans="1:9" ht="18.75" customHeight="1" thickTop="1">
      <c r="A12" s="146" t="s">
        <v>1585</v>
      </c>
      <c r="B12" s="147">
        <v>5982.6149999999998</v>
      </c>
      <c r="C12" s="146"/>
      <c r="D12" s="148">
        <f>B12</f>
        <v>5982.6149999999998</v>
      </c>
      <c r="E12" s="148">
        <f>B12</f>
        <v>5982.6149999999998</v>
      </c>
    </row>
    <row r="13" spans="1:9" ht="18.75" customHeight="1">
      <c r="A13" s="135" t="s">
        <v>869</v>
      </c>
      <c r="D13" s="140">
        <f>$C$10-D10</f>
        <v>0.65582154301556983</v>
      </c>
      <c r="E13" s="152">
        <f>$C$10-E10</f>
        <v>1.2926337659437337</v>
      </c>
    </row>
    <row r="14" spans="1:9" ht="18.75" customHeight="1" thickBot="1">
      <c r="A14" s="149" t="s">
        <v>1586</v>
      </c>
      <c r="B14" s="149"/>
      <c r="C14" s="149"/>
      <c r="D14" s="150">
        <f>D12*D13</f>
        <v>3923.527800568093</v>
      </c>
      <c r="E14" s="150">
        <f>E12*E13*365/H5</f>
        <v>94088.850251304539</v>
      </c>
      <c r="F14" s="151"/>
    </row>
    <row r="15" spans="1:9" ht="15" thickTop="1">
      <c r="E15" s="135" t="s">
        <v>840</v>
      </c>
    </row>
    <row r="16" spans="1:9">
      <c r="D16" s="152"/>
      <c r="E16" s="152">
        <v>168</v>
      </c>
      <c r="G16" s="135">
        <f>E13*1.30795</f>
        <v>1.6907003341661064</v>
      </c>
      <c r="I16" s="135">
        <f>1441*1.30795</f>
        <v>1884.75595</v>
      </c>
    </row>
    <row r="17" spans="2:9">
      <c r="E17" s="153">
        <f>2.44*B12</f>
        <v>14597.580599999999</v>
      </c>
      <c r="I17" s="135">
        <f>B10*1.30795</f>
        <v>58.329161528730879</v>
      </c>
    </row>
    <row r="19" spans="2:9">
      <c r="B19" s="135" t="s">
        <v>840</v>
      </c>
      <c r="C19" s="135" t="s">
        <v>1587</v>
      </c>
    </row>
    <row r="20" spans="2:9">
      <c r="B20" s="135" t="s">
        <v>1588</v>
      </c>
      <c r="C20" s="135" t="s">
        <v>1589</v>
      </c>
    </row>
    <row r="21" spans="2:9">
      <c r="C21" s="135">
        <f>H3/60*C6/C7*(1-(C4/E4))</f>
        <v>1.2926337659437341</v>
      </c>
    </row>
    <row r="25" spans="2:9">
      <c r="C25" s="154" t="s">
        <v>1590</v>
      </c>
    </row>
    <row r="26" spans="2:9">
      <c r="C26" s="135" t="s">
        <v>1591</v>
      </c>
    </row>
    <row r="33" spans="1:7" ht="14.25"/>
    <row r="34" spans="1:7" ht="18">
      <c r="A34" s="294" t="s">
        <v>1237</v>
      </c>
      <c r="B34" s="294"/>
      <c r="C34" s="294"/>
      <c r="D34" s="294"/>
      <c r="E34" s="294"/>
    </row>
    <row r="35" spans="1:7" ht="18">
      <c r="A35" s="136"/>
      <c r="B35" s="136"/>
      <c r="C35" s="136"/>
      <c r="D35" s="136"/>
      <c r="E35" s="136"/>
    </row>
    <row r="36" spans="1:7" ht="15">
      <c r="B36" s="135" t="s">
        <v>1576</v>
      </c>
      <c r="C36" s="135" t="s">
        <v>1544</v>
      </c>
      <c r="D36" s="135" t="s">
        <v>1577</v>
      </c>
      <c r="E36" s="135" t="s">
        <v>1578</v>
      </c>
      <c r="G36" s="58"/>
    </row>
    <row r="37" spans="1:7" ht="15">
      <c r="A37" s="135" t="s">
        <v>1580</v>
      </c>
      <c r="B37" s="138">
        <f>C37</f>
        <v>0.05</v>
      </c>
      <c r="C37" s="157">
        <v>0.05</v>
      </c>
      <c r="D37" s="138">
        <f>B37 + 1%</f>
        <v>6.0000000000000005E-2</v>
      </c>
      <c r="E37" s="139">
        <v>0.1</v>
      </c>
      <c r="G37" s="58"/>
    </row>
    <row r="38" spans="1:7" ht="15">
      <c r="A38" s="135" t="s">
        <v>671</v>
      </c>
      <c r="B38" s="140">
        <f>C38</f>
        <v>0.60000000000000009</v>
      </c>
      <c r="C38" s="140">
        <f>C37*12</f>
        <v>0.60000000000000009</v>
      </c>
      <c r="D38" s="141">
        <f>D37*12</f>
        <v>0.72000000000000008</v>
      </c>
      <c r="E38" s="141">
        <f>E37*12</f>
        <v>1.2000000000000002</v>
      </c>
      <c r="G38" s="58"/>
    </row>
    <row r="39" spans="1:7" ht="15">
      <c r="A39" s="135" t="s">
        <v>667</v>
      </c>
      <c r="B39" s="137">
        <v>109</v>
      </c>
      <c r="C39" s="135">
        <f t="shared" ref="C39:C41" si="1">B39</f>
        <v>109</v>
      </c>
      <c r="D39" s="135">
        <f t="shared" ref="D39:D41" si="2">C39</f>
        <v>109</v>
      </c>
      <c r="E39" s="135">
        <f>B39</f>
        <v>109</v>
      </c>
      <c r="G39" s="58"/>
    </row>
    <row r="40" spans="1:7" ht="14.25">
      <c r="A40" s="135" t="s">
        <v>1583</v>
      </c>
      <c r="B40" s="142">
        <f>8</f>
        <v>8</v>
      </c>
      <c r="C40" s="140">
        <f t="shared" si="1"/>
        <v>8</v>
      </c>
      <c r="D40" s="140">
        <f t="shared" si="2"/>
        <v>8</v>
      </c>
      <c r="E40" s="135">
        <f>B40</f>
        <v>8</v>
      </c>
    </row>
    <row r="41" spans="1:7" ht="15">
      <c r="A41" s="135" t="s">
        <v>969</v>
      </c>
      <c r="B41" s="143">
        <v>0.7</v>
      </c>
      <c r="C41" s="144">
        <f t="shared" si="1"/>
        <v>0.7</v>
      </c>
      <c r="D41" s="144">
        <f t="shared" si="2"/>
        <v>0.7</v>
      </c>
      <c r="E41" s="144">
        <f>B41</f>
        <v>0.7</v>
      </c>
    </row>
    <row r="42" spans="1:7" ht="14.25">
      <c r="A42" s="135" t="s">
        <v>865</v>
      </c>
      <c r="B42" s="145">
        <f>B41*B38*60*B40/B39*$H$4</f>
        <v>554.86238532110099</v>
      </c>
      <c r="C42" s="145">
        <f>B42</f>
        <v>554.86238532110099</v>
      </c>
      <c r="D42" s="145">
        <f>D41*D38*60*D40/D39*$H$4</f>
        <v>665.83486238532123</v>
      </c>
      <c r="E42" s="145">
        <f>E41*E38*60*E40/E39*$H$4</f>
        <v>1109.724770642202</v>
      </c>
    </row>
    <row r="43" spans="1:7" ht="14.25">
      <c r="A43" s="135" t="s">
        <v>1584</v>
      </c>
      <c r="B43" s="140">
        <f>$H$3/60*B39/B40</f>
        <v>45.416666666666671</v>
      </c>
      <c r="C43" s="140">
        <f>$H$3/60*C39/C40</f>
        <v>45.416666666666671</v>
      </c>
      <c r="D43" s="140">
        <f>$H$3/60*D39/D40*$C$5/D38</f>
        <v>507.15277777777783</v>
      </c>
      <c r="E43" s="140">
        <f>$H$3/60*E39/E40*$C$5/E38</f>
        <v>304.29166666666669</v>
      </c>
    </row>
    <row r="44" spans="1:7" ht="14.25"/>
    <row r="45" spans="1:7" ht="15">
      <c r="A45" s="146" t="s">
        <v>867</v>
      </c>
      <c r="B45" s="147">
        <v>18778</v>
      </c>
      <c r="C45" s="146"/>
      <c r="D45" s="148">
        <f>B45</f>
        <v>18778</v>
      </c>
      <c r="E45" s="148">
        <f>B45</f>
        <v>18778</v>
      </c>
    </row>
    <row r="46" spans="1:7" ht="14.25">
      <c r="A46" s="135" t="s">
        <v>869</v>
      </c>
      <c r="D46" s="140">
        <f>$C$10-D43</f>
        <v>-462.55691285271888</v>
      </c>
      <c r="E46" s="140">
        <f>$C$10-E43</f>
        <v>-259.69580174160774</v>
      </c>
    </row>
    <row r="47" spans="1:7" ht="14.25">
      <c r="A47" s="149" t="s">
        <v>1586</v>
      </c>
      <c r="B47" s="149"/>
      <c r="C47" s="149"/>
      <c r="D47" s="150">
        <f>D45*D46</f>
        <v>-8685893.709548356</v>
      </c>
      <c r="E47" s="150">
        <f>E45*E46</f>
        <v>-4876567.7651039101</v>
      </c>
    </row>
    <row r="48" spans="1:7" ht="14.25">
      <c r="E48" s="135" t="s">
        <v>840</v>
      </c>
    </row>
    <row r="49" spans="4:7" ht="14.25">
      <c r="D49" s="152"/>
      <c r="E49" s="152">
        <v>168</v>
      </c>
    </row>
    <row r="50" spans="4:7" ht="14.25">
      <c r="E50" s="153">
        <f>2.44*B45</f>
        <v>45818.32</v>
      </c>
    </row>
    <row r="51" spans="4:7" ht="14.25"/>
    <row r="56" spans="4:7" ht="14.25"/>
    <row r="57" spans="4:7" ht="14.25">
      <c r="E57" s="192">
        <v>0.01</v>
      </c>
      <c r="F57" s="191">
        <f>$H$3/60*$E$39/$E$40*$C$5/(E57*12)</f>
        <v>3042.9166666666674</v>
      </c>
      <c r="G57" s="191"/>
    </row>
    <row r="58" spans="4:7" ht="14.25">
      <c r="E58" s="192">
        <v>0.02</v>
      </c>
      <c r="F58" s="191">
        <f t="shared" ref="F58:F89" si="3">$H$3/60*$E$39/$E$40*$C$5/(E58*12)</f>
        <v>1521.4583333333337</v>
      </c>
    </row>
    <row r="59" spans="4:7" ht="14.25">
      <c r="E59" s="192">
        <v>0.03</v>
      </c>
      <c r="F59" s="191">
        <f t="shared" si="3"/>
        <v>1014.3055555555559</v>
      </c>
    </row>
    <row r="60" spans="4:7" ht="14.25">
      <c r="E60" s="192">
        <v>0.04</v>
      </c>
      <c r="F60" s="191">
        <f t="shared" si="3"/>
        <v>760.72916666666686</v>
      </c>
    </row>
    <row r="61" spans="4:7" ht="14.25">
      <c r="E61" s="192">
        <v>0.05</v>
      </c>
      <c r="F61" s="191">
        <f t="shared" si="3"/>
        <v>608.58333333333337</v>
      </c>
    </row>
    <row r="62" spans="4:7" ht="14.25">
      <c r="E62" s="192">
        <v>0.06</v>
      </c>
      <c r="F62" s="191">
        <f t="shared" si="3"/>
        <v>507.15277777777794</v>
      </c>
    </row>
    <row r="63" spans="4:7" ht="14.25">
      <c r="E63" s="192">
        <v>7.0000000000000007E-2</v>
      </c>
      <c r="F63" s="191">
        <f t="shared" si="3"/>
        <v>434.70238095238102</v>
      </c>
    </row>
    <row r="64" spans="4:7" ht="14.25">
      <c r="E64" s="192">
        <v>0.08</v>
      </c>
      <c r="F64" s="191">
        <f t="shared" si="3"/>
        <v>380.36458333333343</v>
      </c>
    </row>
    <row r="65" spans="5:6" ht="14.25">
      <c r="E65" s="192">
        <v>0.09</v>
      </c>
      <c r="F65" s="191">
        <f t="shared" si="3"/>
        <v>338.1018518518519</v>
      </c>
    </row>
    <row r="66" spans="5:6" ht="14.25">
      <c r="E66" s="192">
        <v>0.1</v>
      </c>
      <c r="F66" s="191">
        <f t="shared" si="3"/>
        <v>304.29166666666669</v>
      </c>
    </row>
    <row r="67" spans="5:6" ht="14.25">
      <c r="E67" s="192">
        <v>0.11</v>
      </c>
      <c r="F67" s="191">
        <f t="shared" si="3"/>
        <v>276.62878787878793</v>
      </c>
    </row>
    <row r="68" spans="5:6" ht="14.25">
      <c r="E68" s="192">
        <v>0.12</v>
      </c>
      <c r="F68" s="191">
        <f t="shared" si="3"/>
        <v>253.57638888888897</v>
      </c>
    </row>
    <row r="69" spans="5:6" ht="14.25">
      <c r="E69" s="192">
        <v>0.13</v>
      </c>
      <c r="F69" s="191">
        <f t="shared" si="3"/>
        <v>234.07051282051287</v>
      </c>
    </row>
    <row r="70" spans="5:6" ht="14.25">
      <c r="E70" s="192">
        <v>0.14000000000000001</v>
      </c>
      <c r="F70" s="191">
        <f t="shared" si="3"/>
        <v>217.35119047619051</v>
      </c>
    </row>
    <row r="71" spans="5:6" ht="14.25">
      <c r="E71" s="192">
        <v>0.15</v>
      </c>
      <c r="F71" s="191">
        <f t="shared" si="3"/>
        <v>202.86111111111117</v>
      </c>
    </row>
    <row r="72" spans="5:6" ht="14.25">
      <c r="E72" s="192">
        <v>0.16</v>
      </c>
      <c r="F72" s="191">
        <f t="shared" si="3"/>
        <v>190.18229166666671</v>
      </c>
    </row>
    <row r="73" spans="5:6" ht="14.25">
      <c r="E73" s="192">
        <v>0.17</v>
      </c>
      <c r="F73" s="191">
        <f t="shared" si="3"/>
        <v>178.99509803921572</v>
      </c>
    </row>
    <row r="74" spans="5:6" ht="14.25">
      <c r="E74" s="192">
        <v>0.18</v>
      </c>
      <c r="F74" s="191">
        <f t="shared" si="3"/>
        <v>169.05092592592595</v>
      </c>
    </row>
    <row r="75" spans="5:6" ht="14.25">
      <c r="E75" s="192">
        <v>0.19</v>
      </c>
      <c r="F75" s="191">
        <f t="shared" si="3"/>
        <v>160.15350877192984</v>
      </c>
    </row>
    <row r="76" spans="5:6" ht="14.25">
      <c r="E76" s="192">
        <v>0.2</v>
      </c>
      <c r="F76" s="191">
        <f t="shared" si="3"/>
        <v>152.14583333333334</v>
      </c>
    </row>
    <row r="77" spans="5:6" ht="14.25">
      <c r="E77" s="192">
        <v>0.21</v>
      </c>
      <c r="F77" s="191">
        <f t="shared" si="3"/>
        <v>144.90079365079367</v>
      </c>
    </row>
    <row r="78" spans="5:6" ht="14.25">
      <c r="E78" s="192">
        <v>0.22</v>
      </c>
      <c r="F78" s="191">
        <f t="shared" si="3"/>
        <v>138.31439393939397</v>
      </c>
    </row>
    <row r="79" spans="5:6" ht="14.25">
      <c r="E79" s="192">
        <v>0.23</v>
      </c>
      <c r="F79" s="191">
        <f t="shared" si="3"/>
        <v>132.30072463768118</v>
      </c>
    </row>
    <row r="80" spans="5:6" ht="14.25">
      <c r="E80" s="192">
        <v>0.24</v>
      </c>
      <c r="F80" s="191">
        <f t="shared" si="3"/>
        <v>126.78819444444449</v>
      </c>
    </row>
    <row r="81" spans="5:6" ht="14.25">
      <c r="E81" s="192">
        <v>0.25</v>
      </c>
      <c r="F81" s="191">
        <f t="shared" si="3"/>
        <v>121.7166666666667</v>
      </c>
    </row>
    <row r="82" spans="5:6" ht="14.25">
      <c r="E82" s="192">
        <v>0.26</v>
      </c>
      <c r="F82" s="191">
        <f t="shared" si="3"/>
        <v>117.03525641025644</v>
      </c>
    </row>
    <row r="83" spans="5:6" ht="14.25">
      <c r="E83" s="192">
        <v>0.27</v>
      </c>
      <c r="F83" s="191">
        <f t="shared" si="3"/>
        <v>112.70061728395063</v>
      </c>
    </row>
    <row r="84" spans="5:6" ht="14.25">
      <c r="E84" s="192">
        <v>0.28000000000000003</v>
      </c>
      <c r="F84" s="191">
        <f t="shared" si="3"/>
        <v>108.67559523809526</v>
      </c>
    </row>
    <row r="85" spans="5:6" ht="14.25">
      <c r="E85" s="192">
        <v>0.28999999999999998</v>
      </c>
      <c r="F85" s="191">
        <f t="shared" si="3"/>
        <v>104.92816091954028</v>
      </c>
    </row>
    <row r="86" spans="5:6" ht="14.25">
      <c r="E86" s="192">
        <v>0.3</v>
      </c>
      <c r="F86" s="191">
        <f t="shared" si="3"/>
        <v>101.43055555555559</v>
      </c>
    </row>
    <row r="87" spans="5:6" ht="14.25">
      <c r="E87" s="192">
        <v>0.31</v>
      </c>
      <c r="F87" s="191">
        <f t="shared" si="3"/>
        <v>98.158602150537661</v>
      </c>
    </row>
    <row r="88" spans="5:6" ht="14.25">
      <c r="E88" s="192">
        <v>0.32</v>
      </c>
      <c r="F88" s="191">
        <f t="shared" si="3"/>
        <v>95.091145833333357</v>
      </c>
    </row>
    <row r="89" spans="5:6" ht="14.25">
      <c r="E89" s="192">
        <v>0.33</v>
      </c>
      <c r="F89" s="191">
        <f t="shared" si="3"/>
        <v>92.209595959595987</v>
      </c>
    </row>
    <row r="90" spans="5:6" ht="14.25"/>
  </sheetData>
  <mergeCells count="2">
    <mergeCell ref="A1:E1"/>
    <mergeCell ref="A34:E34"/>
  </mergeCells>
  <pageMargins left="0.7" right="0.7" top="0.75" bottom="0.75" header="0.3" footer="0.3"/>
  <pageSetup paperSize="9" orientation="portrait"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BDC4-BAF9-154D-BB90-7BF9BE53215C}">
  <dimension ref="A1:AD2210"/>
  <sheetViews>
    <sheetView workbookViewId="0">
      <pane ySplit="2" topLeftCell="A17" activePane="bottomLeft" state="frozen"/>
      <selection pane="bottomLeft" activeCell="X31" sqref="X31"/>
    </sheetView>
  </sheetViews>
  <sheetFormatPr defaultColWidth="8.85546875" defaultRowHeight="15"/>
  <cols>
    <col min="1" max="1" width="14.85546875" customWidth="1"/>
    <col min="2" max="2" width="22.7109375" customWidth="1"/>
    <col min="3" max="3" width="19" bestFit="1" customWidth="1"/>
    <col min="4" max="4" width="25.140625" customWidth="1"/>
    <col min="5" max="5" width="9.28515625" bestFit="1" customWidth="1"/>
    <col min="8" max="8" width="10.7109375" bestFit="1" customWidth="1"/>
    <col min="9" max="9" width="13.85546875" bestFit="1" customWidth="1"/>
    <col min="10" max="10" width="20.28515625" bestFit="1" customWidth="1"/>
    <col min="15" max="15" width="15" customWidth="1"/>
    <col min="17" max="17" width="13.42578125" customWidth="1"/>
    <col min="24" max="24" width="34.42578125" customWidth="1"/>
    <col min="25" max="25" width="25.85546875" customWidth="1"/>
    <col min="26" max="26" width="20.140625" customWidth="1"/>
    <col min="27" max="27" width="11" customWidth="1"/>
    <col min="29" max="29" width="15.28515625" customWidth="1"/>
    <col min="30" max="30" width="13.140625" customWidth="1"/>
  </cols>
  <sheetData>
    <row r="1" spans="1:30" ht="26.25" customHeight="1">
      <c r="A1" t="s">
        <v>1592</v>
      </c>
      <c r="B1" s="118">
        <v>37135</v>
      </c>
      <c r="C1" s="119">
        <f>SUM(C3:C2210)/((MAX(C3:C2210)*COUNT(C3:C2210)/2))</f>
        <v>0.671875</v>
      </c>
      <c r="E1" s="102"/>
      <c r="H1" t="s">
        <v>1592</v>
      </c>
      <c r="I1" t="s">
        <v>1593</v>
      </c>
      <c r="J1" s="119">
        <f>SUM(J3:J2210)/((MAX(J3:J2210)*COUNT(J3:J2210)/2))</f>
        <v>0.90277777777777779</v>
      </c>
      <c r="L1" s="102"/>
      <c r="O1" t="s">
        <v>1592</v>
      </c>
      <c r="P1" t="s">
        <v>1594</v>
      </c>
      <c r="Q1" s="119">
        <f>SUM(Q3:Q2210)/((MAX(Q3:Q2210)*COUNT(Q3:Q2210)/2))</f>
        <v>0.88541666666666663</v>
      </c>
      <c r="S1" s="102" t="s">
        <v>1595</v>
      </c>
      <c r="T1" s="120">
        <f>AVERAGE(C1,Q1,J1)</f>
        <v>0.82002314814814803</v>
      </c>
      <c r="V1" t="s">
        <v>1596</v>
      </c>
      <c r="X1" s="121">
        <f>SUM(X3:X2210)/((MAX(X3:X2210)*COUNT(X3:X2210)/2))</f>
        <v>1.075</v>
      </c>
      <c r="Z1" t="s">
        <v>1597</v>
      </c>
    </row>
    <row r="2" spans="1:30">
      <c r="A2" s="122" t="s">
        <v>60</v>
      </c>
      <c r="B2" s="122" t="s">
        <v>1598</v>
      </c>
      <c r="C2" s="122" t="s">
        <v>1599</v>
      </c>
      <c r="D2" s="122" t="s">
        <v>1600</v>
      </c>
      <c r="E2" s="122" t="s">
        <v>1601</v>
      </c>
      <c r="H2" s="122" t="s">
        <v>60</v>
      </c>
      <c r="I2" s="122" t="s">
        <v>1598</v>
      </c>
      <c r="J2" s="122" t="s">
        <v>1599</v>
      </c>
      <c r="K2" s="122" t="s">
        <v>1600</v>
      </c>
      <c r="L2" s="122" t="s">
        <v>1601</v>
      </c>
      <c r="O2" s="122" t="s">
        <v>60</v>
      </c>
      <c r="P2" s="122" t="s">
        <v>1598</v>
      </c>
      <c r="Q2" s="122" t="s">
        <v>1599</v>
      </c>
      <c r="R2" s="122" t="s">
        <v>1600</v>
      </c>
      <c r="S2" s="122" t="s">
        <v>1601</v>
      </c>
      <c r="V2" s="122" t="s">
        <v>1602</v>
      </c>
      <c r="W2" s="122" t="s">
        <v>1598</v>
      </c>
      <c r="X2" s="122" t="s">
        <v>1603</v>
      </c>
      <c r="Y2" s="122" t="s">
        <v>1600</v>
      </c>
      <c r="Z2" s="122" t="s">
        <v>1601</v>
      </c>
      <c r="AA2" t="s">
        <v>1604</v>
      </c>
    </row>
    <row r="3" spans="1:30" ht="15.95">
      <c r="A3" s="122" t="s">
        <v>1605</v>
      </c>
      <c r="B3" s="123">
        <v>0</v>
      </c>
      <c r="C3" s="124">
        <v>1</v>
      </c>
      <c r="D3" s="125">
        <f>MAX($C$3:$C$98)</f>
        <v>4</v>
      </c>
      <c r="E3" s="126">
        <f>C3/D3</f>
        <v>0.25</v>
      </c>
      <c r="H3" s="122" t="s">
        <v>1606</v>
      </c>
      <c r="I3" s="123">
        <v>0</v>
      </c>
      <c r="J3" s="124">
        <v>3</v>
      </c>
      <c r="K3" s="125">
        <f t="shared" ref="K3:K66" si="0">MAX($J$3:$J$98)</f>
        <v>9</v>
      </c>
      <c r="L3" s="126">
        <f t="shared" ref="L3:L66" si="1">J3/K3</f>
        <v>0.33333333333333331</v>
      </c>
      <c r="O3" s="122" t="s">
        <v>1607</v>
      </c>
      <c r="P3" s="123">
        <v>0</v>
      </c>
      <c r="Q3" s="123">
        <v>0</v>
      </c>
      <c r="R3" s="125">
        <f t="shared" ref="R3:R66" si="2">MAX($Q$3:$Q$98)</f>
        <v>6</v>
      </c>
      <c r="S3" s="126">
        <f t="shared" ref="S3:S66" si="3">Q3/R3</f>
        <v>0</v>
      </c>
      <c r="U3">
        <f>MAX(C3,J3,Q3)</f>
        <v>3</v>
      </c>
      <c r="W3" s="123">
        <v>0</v>
      </c>
      <c r="X3" s="127">
        <f>SUM(C3,J3,Q3)</f>
        <v>4</v>
      </c>
      <c r="Y3">
        <f t="shared" ref="Y3:Y66" si="4">MAX($X$3:$X$98)</f>
        <v>15</v>
      </c>
      <c r="AA3" t="s">
        <v>1608</v>
      </c>
      <c r="AB3">
        <f>SUM(X3:X98)</f>
        <v>774</v>
      </c>
    </row>
    <row r="4" spans="1:30" ht="15.95">
      <c r="A4" s="122" t="s">
        <v>1605</v>
      </c>
      <c r="B4" s="128">
        <v>1</v>
      </c>
      <c r="C4" s="129">
        <v>1</v>
      </c>
      <c r="D4" s="125">
        <f t="shared" ref="D4:D67" si="5">MAX($C$3:$C$98)</f>
        <v>4</v>
      </c>
      <c r="E4" s="126">
        <f t="shared" ref="E4:E67" si="6">C4/D4</f>
        <v>0.25</v>
      </c>
      <c r="H4" s="122" t="s">
        <v>1606</v>
      </c>
      <c r="I4" s="128">
        <v>1</v>
      </c>
      <c r="J4" s="129">
        <v>4</v>
      </c>
      <c r="K4" s="125">
        <f t="shared" si="0"/>
        <v>9</v>
      </c>
      <c r="L4" s="126">
        <f t="shared" si="1"/>
        <v>0.44444444444444442</v>
      </c>
      <c r="O4" s="122" t="s">
        <v>1607</v>
      </c>
      <c r="P4" s="128">
        <v>1</v>
      </c>
      <c r="Q4" s="123">
        <v>0</v>
      </c>
      <c r="R4" s="125">
        <f t="shared" si="2"/>
        <v>6</v>
      </c>
      <c r="S4" s="126">
        <f t="shared" si="3"/>
        <v>0</v>
      </c>
      <c r="U4">
        <f t="shared" ref="U4:U67" si="7">MAX(C4,J4,Q4)</f>
        <v>4</v>
      </c>
      <c r="W4" s="128">
        <v>1</v>
      </c>
      <c r="X4" s="127">
        <f t="shared" ref="X4:X67" si="8">SUM(C4,J4,Q4)</f>
        <v>5</v>
      </c>
      <c r="Y4">
        <f t="shared" si="4"/>
        <v>15</v>
      </c>
      <c r="AA4" t="s">
        <v>1609</v>
      </c>
      <c r="AB4">
        <f>(MAX(X3:X98)*48)</f>
        <v>720</v>
      </c>
      <c r="AC4" s="130" t="s">
        <v>1610</v>
      </c>
      <c r="AD4" s="131" t="s">
        <v>1611</v>
      </c>
    </row>
    <row r="5" spans="1:30" ht="15.95">
      <c r="A5" s="122" t="s">
        <v>1605</v>
      </c>
      <c r="B5" s="123">
        <v>2</v>
      </c>
      <c r="C5" s="124">
        <v>1</v>
      </c>
      <c r="D5" s="125">
        <f t="shared" si="5"/>
        <v>4</v>
      </c>
      <c r="E5" s="126">
        <f t="shared" si="6"/>
        <v>0.25</v>
      </c>
      <c r="H5" s="122" t="s">
        <v>1606</v>
      </c>
      <c r="I5" s="123">
        <v>2</v>
      </c>
      <c r="J5" s="124">
        <v>4</v>
      </c>
      <c r="K5" s="125">
        <f t="shared" si="0"/>
        <v>9</v>
      </c>
      <c r="L5" s="126">
        <f t="shared" si="1"/>
        <v>0.44444444444444442</v>
      </c>
      <c r="O5" s="122" t="s">
        <v>1607</v>
      </c>
      <c r="P5" s="123">
        <v>2</v>
      </c>
      <c r="Q5" s="123">
        <v>0</v>
      </c>
      <c r="R5" s="125">
        <f t="shared" si="2"/>
        <v>6</v>
      </c>
      <c r="S5" s="126">
        <f t="shared" si="3"/>
        <v>0</v>
      </c>
      <c r="U5">
        <f t="shared" si="7"/>
        <v>4</v>
      </c>
      <c r="W5" s="123">
        <v>2</v>
      </c>
      <c r="X5" s="127">
        <f t="shared" si="8"/>
        <v>5</v>
      </c>
      <c r="Y5">
        <f t="shared" si="4"/>
        <v>15</v>
      </c>
      <c r="AA5" t="s">
        <v>1612</v>
      </c>
      <c r="AB5">
        <f>AB3/AB4</f>
        <v>1.075</v>
      </c>
    </row>
    <row r="6" spans="1:30" ht="15.95">
      <c r="A6" s="122" t="s">
        <v>1605</v>
      </c>
      <c r="B6" s="128">
        <v>3</v>
      </c>
      <c r="C6" s="129">
        <v>1</v>
      </c>
      <c r="D6" s="125">
        <f t="shared" si="5"/>
        <v>4</v>
      </c>
      <c r="E6" s="126">
        <f t="shared" si="6"/>
        <v>0.25</v>
      </c>
      <c r="H6" s="122" t="s">
        <v>1606</v>
      </c>
      <c r="I6" s="128">
        <v>3</v>
      </c>
      <c r="J6" s="129">
        <v>5</v>
      </c>
      <c r="K6" s="125">
        <f t="shared" si="0"/>
        <v>9</v>
      </c>
      <c r="L6" s="126">
        <f t="shared" si="1"/>
        <v>0.55555555555555558</v>
      </c>
      <c r="O6" s="122" t="s">
        <v>1607</v>
      </c>
      <c r="P6" s="128">
        <v>3</v>
      </c>
      <c r="Q6" s="123">
        <v>0</v>
      </c>
      <c r="R6" s="125">
        <f t="shared" si="2"/>
        <v>6</v>
      </c>
      <c r="S6" s="126">
        <f t="shared" si="3"/>
        <v>0</v>
      </c>
      <c r="U6">
        <f t="shared" si="7"/>
        <v>5</v>
      </c>
      <c r="W6" s="128">
        <v>3</v>
      </c>
      <c r="X6" s="127">
        <f t="shared" si="8"/>
        <v>6</v>
      </c>
      <c r="Y6">
        <f t="shared" si="4"/>
        <v>15</v>
      </c>
    </row>
    <row r="7" spans="1:30" ht="15.95">
      <c r="A7" s="122" t="s">
        <v>1605</v>
      </c>
      <c r="B7" s="123">
        <v>4</v>
      </c>
      <c r="C7" s="124">
        <v>1</v>
      </c>
      <c r="D7" s="125">
        <f t="shared" si="5"/>
        <v>4</v>
      </c>
      <c r="E7" s="126">
        <f t="shared" si="6"/>
        <v>0.25</v>
      </c>
      <c r="H7" s="122" t="s">
        <v>1606</v>
      </c>
      <c r="I7" s="123">
        <v>4</v>
      </c>
      <c r="J7" s="124">
        <v>5</v>
      </c>
      <c r="K7" s="125">
        <f t="shared" si="0"/>
        <v>9</v>
      </c>
      <c r="L7" s="126">
        <f t="shared" si="1"/>
        <v>0.55555555555555558</v>
      </c>
      <c r="O7" s="122" t="s">
        <v>1607</v>
      </c>
      <c r="P7" s="123">
        <v>4</v>
      </c>
      <c r="Q7" s="123">
        <v>0</v>
      </c>
      <c r="R7" s="125">
        <f t="shared" si="2"/>
        <v>6</v>
      </c>
      <c r="S7" s="126">
        <f t="shared" si="3"/>
        <v>0</v>
      </c>
      <c r="U7">
        <f t="shared" si="7"/>
        <v>5</v>
      </c>
      <c r="W7" s="123">
        <v>4</v>
      </c>
      <c r="X7" s="127">
        <f t="shared" si="8"/>
        <v>6</v>
      </c>
      <c r="Y7">
        <f t="shared" si="4"/>
        <v>15</v>
      </c>
    </row>
    <row r="8" spans="1:30" ht="15.95">
      <c r="A8" s="122" t="s">
        <v>1605</v>
      </c>
      <c r="B8" s="128">
        <v>5</v>
      </c>
      <c r="C8" s="129">
        <v>0</v>
      </c>
      <c r="D8" s="125">
        <f t="shared" si="5"/>
        <v>4</v>
      </c>
      <c r="E8" s="126">
        <f t="shared" si="6"/>
        <v>0</v>
      </c>
      <c r="H8" s="122" t="s">
        <v>1606</v>
      </c>
      <c r="I8" s="128">
        <v>5</v>
      </c>
      <c r="J8" s="129">
        <v>4</v>
      </c>
      <c r="K8" s="125">
        <f t="shared" si="0"/>
        <v>9</v>
      </c>
      <c r="L8" s="126">
        <f t="shared" si="1"/>
        <v>0.44444444444444442</v>
      </c>
      <c r="O8" s="122" t="s">
        <v>1607</v>
      </c>
      <c r="P8" s="128">
        <v>5</v>
      </c>
      <c r="Q8" s="123">
        <v>0</v>
      </c>
      <c r="R8" s="125">
        <f t="shared" si="2"/>
        <v>6</v>
      </c>
      <c r="S8" s="126">
        <f t="shared" si="3"/>
        <v>0</v>
      </c>
      <c r="U8">
        <f t="shared" si="7"/>
        <v>4</v>
      </c>
      <c r="W8" s="128">
        <v>5</v>
      </c>
      <c r="X8" s="127">
        <f t="shared" si="8"/>
        <v>4</v>
      </c>
      <c r="Y8">
        <f t="shared" si="4"/>
        <v>15</v>
      </c>
    </row>
    <row r="9" spans="1:30" ht="15.95">
      <c r="A9" s="122" t="s">
        <v>1605</v>
      </c>
      <c r="B9" s="123">
        <v>6</v>
      </c>
      <c r="C9" s="124">
        <v>0</v>
      </c>
      <c r="D9" s="125">
        <f t="shared" si="5"/>
        <v>4</v>
      </c>
      <c r="E9" s="126">
        <f t="shared" si="6"/>
        <v>0</v>
      </c>
      <c r="H9" s="122" t="s">
        <v>1606</v>
      </c>
      <c r="I9" s="123">
        <v>6</v>
      </c>
      <c r="J9" s="124">
        <v>4</v>
      </c>
      <c r="K9" s="125">
        <f t="shared" si="0"/>
        <v>9</v>
      </c>
      <c r="L9" s="126">
        <f t="shared" si="1"/>
        <v>0.44444444444444442</v>
      </c>
      <c r="O9" s="122" t="s">
        <v>1607</v>
      </c>
      <c r="P9" s="123">
        <v>6</v>
      </c>
      <c r="Q9" s="123">
        <v>0</v>
      </c>
      <c r="R9" s="125">
        <f t="shared" si="2"/>
        <v>6</v>
      </c>
      <c r="S9" s="126">
        <f t="shared" si="3"/>
        <v>0</v>
      </c>
      <c r="U9">
        <f t="shared" si="7"/>
        <v>4</v>
      </c>
      <c r="W9" s="123">
        <v>6</v>
      </c>
      <c r="X9" s="127">
        <f t="shared" si="8"/>
        <v>4</v>
      </c>
      <c r="Y9">
        <f t="shared" si="4"/>
        <v>15</v>
      </c>
    </row>
    <row r="10" spans="1:30" ht="15.95">
      <c r="A10" s="122" t="s">
        <v>1605</v>
      </c>
      <c r="B10" s="128">
        <v>7</v>
      </c>
      <c r="C10" s="129">
        <v>0</v>
      </c>
      <c r="D10" s="125">
        <f t="shared" si="5"/>
        <v>4</v>
      </c>
      <c r="E10" s="126">
        <f t="shared" si="6"/>
        <v>0</v>
      </c>
      <c r="H10" s="122" t="s">
        <v>1606</v>
      </c>
      <c r="I10" s="128">
        <v>7</v>
      </c>
      <c r="J10" s="129">
        <v>5</v>
      </c>
      <c r="K10" s="125">
        <f t="shared" si="0"/>
        <v>9</v>
      </c>
      <c r="L10" s="126">
        <f t="shared" si="1"/>
        <v>0.55555555555555558</v>
      </c>
      <c r="O10" s="122" t="s">
        <v>1607</v>
      </c>
      <c r="P10" s="128">
        <v>7</v>
      </c>
      <c r="Q10" s="123">
        <v>0</v>
      </c>
      <c r="R10" s="125">
        <f t="shared" si="2"/>
        <v>6</v>
      </c>
      <c r="S10" s="126">
        <f t="shared" si="3"/>
        <v>0</v>
      </c>
      <c r="U10">
        <f t="shared" si="7"/>
        <v>5</v>
      </c>
      <c r="W10" s="128">
        <v>7</v>
      </c>
      <c r="X10" s="127">
        <f t="shared" si="8"/>
        <v>5</v>
      </c>
      <c r="Y10">
        <f t="shared" si="4"/>
        <v>15</v>
      </c>
    </row>
    <row r="11" spans="1:30" ht="15.95">
      <c r="A11" s="122" t="s">
        <v>1605</v>
      </c>
      <c r="B11" s="123">
        <v>8</v>
      </c>
      <c r="C11" s="124">
        <v>0</v>
      </c>
      <c r="D11" s="125">
        <f t="shared" si="5"/>
        <v>4</v>
      </c>
      <c r="E11" s="126">
        <f t="shared" si="6"/>
        <v>0</v>
      </c>
      <c r="H11" s="122" t="s">
        <v>1606</v>
      </c>
      <c r="I11" s="123">
        <v>8</v>
      </c>
      <c r="J11" s="124">
        <v>4</v>
      </c>
      <c r="K11" s="125">
        <f t="shared" si="0"/>
        <v>9</v>
      </c>
      <c r="L11" s="126">
        <f t="shared" si="1"/>
        <v>0.44444444444444442</v>
      </c>
      <c r="O11" s="122" t="s">
        <v>1607</v>
      </c>
      <c r="P11" s="123">
        <v>8</v>
      </c>
      <c r="Q11" s="123">
        <v>0</v>
      </c>
      <c r="R11" s="125">
        <f t="shared" si="2"/>
        <v>6</v>
      </c>
      <c r="S11" s="126">
        <f t="shared" si="3"/>
        <v>0</v>
      </c>
      <c r="U11">
        <f t="shared" si="7"/>
        <v>4</v>
      </c>
      <c r="W11" s="123">
        <v>8</v>
      </c>
      <c r="X11" s="127">
        <f t="shared" si="8"/>
        <v>4</v>
      </c>
      <c r="Y11">
        <f t="shared" si="4"/>
        <v>15</v>
      </c>
    </row>
    <row r="12" spans="1:30" ht="15.95">
      <c r="A12" s="122" t="s">
        <v>1605</v>
      </c>
      <c r="B12" s="128">
        <v>9</v>
      </c>
      <c r="C12" s="129">
        <v>0</v>
      </c>
      <c r="D12" s="125">
        <f t="shared" si="5"/>
        <v>4</v>
      </c>
      <c r="E12" s="126">
        <f t="shared" si="6"/>
        <v>0</v>
      </c>
      <c r="H12" s="122" t="s">
        <v>1606</v>
      </c>
      <c r="I12" s="128">
        <v>9</v>
      </c>
      <c r="J12" s="129">
        <v>3</v>
      </c>
      <c r="K12" s="125">
        <f t="shared" si="0"/>
        <v>9</v>
      </c>
      <c r="L12" s="126">
        <f t="shared" si="1"/>
        <v>0.33333333333333331</v>
      </c>
      <c r="O12" s="122" t="s">
        <v>1607</v>
      </c>
      <c r="P12" s="128">
        <v>9</v>
      </c>
      <c r="Q12" s="123">
        <v>0</v>
      </c>
      <c r="R12" s="125">
        <f t="shared" si="2"/>
        <v>6</v>
      </c>
      <c r="S12" s="126">
        <f t="shared" si="3"/>
        <v>0</v>
      </c>
      <c r="U12">
        <f t="shared" si="7"/>
        <v>3</v>
      </c>
      <c r="W12" s="128">
        <v>9</v>
      </c>
      <c r="X12" s="127">
        <f t="shared" si="8"/>
        <v>3</v>
      </c>
      <c r="Y12">
        <f t="shared" si="4"/>
        <v>15</v>
      </c>
    </row>
    <row r="13" spans="1:30" ht="15.95">
      <c r="A13" s="122" t="s">
        <v>1605</v>
      </c>
      <c r="B13" s="123">
        <v>10</v>
      </c>
      <c r="C13" s="124">
        <v>0</v>
      </c>
      <c r="D13" s="125">
        <f t="shared" si="5"/>
        <v>4</v>
      </c>
      <c r="E13" s="126">
        <f t="shared" si="6"/>
        <v>0</v>
      </c>
      <c r="H13" s="122" t="s">
        <v>1606</v>
      </c>
      <c r="I13" s="123">
        <v>10</v>
      </c>
      <c r="J13" s="124">
        <v>3</v>
      </c>
      <c r="K13" s="125">
        <f t="shared" si="0"/>
        <v>9</v>
      </c>
      <c r="L13" s="126">
        <f t="shared" si="1"/>
        <v>0.33333333333333331</v>
      </c>
      <c r="O13" s="122" t="s">
        <v>1607</v>
      </c>
      <c r="P13" s="123">
        <v>10</v>
      </c>
      <c r="Q13" s="123">
        <v>0</v>
      </c>
      <c r="R13" s="125">
        <f t="shared" si="2"/>
        <v>6</v>
      </c>
      <c r="S13" s="126">
        <f t="shared" si="3"/>
        <v>0</v>
      </c>
      <c r="U13">
        <f t="shared" si="7"/>
        <v>3</v>
      </c>
      <c r="W13" s="123">
        <v>10</v>
      </c>
      <c r="X13" s="127">
        <f t="shared" si="8"/>
        <v>3</v>
      </c>
      <c r="Y13">
        <f t="shared" si="4"/>
        <v>15</v>
      </c>
    </row>
    <row r="14" spans="1:30" ht="15.95">
      <c r="A14" s="122" t="s">
        <v>1605</v>
      </c>
      <c r="B14" s="128">
        <v>11</v>
      </c>
      <c r="C14" s="129">
        <v>0</v>
      </c>
      <c r="D14" s="125">
        <f t="shared" si="5"/>
        <v>4</v>
      </c>
      <c r="E14" s="126">
        <f t="shared" si="6"/>
        <v>0</v>
      </c>
      <c r="H14" s="122" t="s">
        <v>1606</v>
      </c>
      <c r="I14" s="128">
        <v>11</v>
      </c>
      <c r="J14" s="129">
        <v>3</v>
      </c>
      <c r="K14" s="125">
        <f t="shared" si="0"/>
        <v>9</v>
      </c>
      <c r="L14" s="126">
        <f t="shared" si="1"/>
        <v>0.33333333333333331</v>
      </c>
      <c r="O14" s="122" t="s">
        <v>1607</v>
      </c>
      <c r="P14" s="128">
        <v>11</v>
      </c>
      <c r="Q14" s="123">
        <v>0</v>
      </c>
      <c r="R14" s="125">
        <f t="shared" si="2"/>
        <v>6</v>
      </c>
      <c r="S14" s="126">
        <f t="shared" si="3"/>
        <v>0</v>
      </c>
      <c r="U14">
        <f t="shared" si="7"/>
        <v>3</v>
      </c>
      <c r="W14" s="128">
        <v>11</v>
      </c>
      <c r="X14" s="127">
        <f t="shared" si="8"/>
        <v>3</v>
      </c>
      <c r="Y14">
        <f t="shared" si="4"/>
        <v>15</v>
      </c>
    </row>
    <row r="15" spans="1:30" ht="15.95">
      <c r="A15" s="122" t="s">
        <v>1605</v>
      </c>
      <c r="B15" s="123">
        <v>12</v>
      </c>
      <c r="C15" s="124">
        <v>0</v>
      </c>
      <c r="D15" s="125">
        <f t="shared" si="5"/>
        <v>4</v>
      </c>
      <c r="E15" s="126">
        <f t="shared" si="6"/>
        <v>0</v>
      </c>
      <c r="H15" s="122" t="s">
        <v>1606</v>
      </c>
      <c r="I15" s="123">
        <v>12</v>
      </c>
      <c r="J15" s="124">
        <v>2</v>
      </c>
      <c r="K15" s="125">
        <f t="shared" si="0"/>
        <v>9</v>
      </c>
      <c r="L15" s="126">
        <f t="shared" si="1"/>
        <v>0.22222222222222221</v>
      </c>
      <c r="O15" s="122" t="s">
        <v>1607</v>
      </c>
      <c r="P15" s="123">
        <v>12</v>
      </c>
      <c r="Q15" s="123">
        <v>0</v>
      </c>
      <c r="R15" s="125">
        <f t="shared" si="2"/>
        <v>6</v>
      </c>
      <c r="S15" s="126">
        <f t="shared" si="3"/>
        <v>0</v>
      </c>
      <c r="U15">
        <f>MAX(C15,J15,Q15)</f>
        <v>2</v>
      </c>
      <c r="W15" s="123">
        <v>12</v>
      </c>
      <c r="X15" s="127">
        <f t="shared" si="8"/>
        <v>2</v>
      </c>
      <c r="Y15">
        <f t="shared" si="4"/>
        <v>15</v>
      </c>
    </row>
    <row r="16" spans="1:30" ht="15.95">
      <c r="A16" s="122" t="s">
        <v>1605</v>
      </c>
      <c r="B16" s="128">
        <v>13</v>
      </c>
      <c r="C16" s="129">
        <v>0</v>
      </c>
      <c r="D16" s="125">
        <f t="shared" si="5"/>
        <v>4</v>
      </c>
      <c r="E16" s="126">
        <f t="shared" si="6"/>
        <v>0</v>
      </c>
      <c r="H16" s="122" t="s">
        <v>1606</v>
      </c>
      <c r="I16" s="128">
        <v>13</v>
      </c>
      <c r="J16" s="129">
        <v>1</v>
      </c>
      <c r="K16" s="125">
        <f t="shared" si="0"/>
        <v>9</v>
      </c>
      <c r="L16" s="126">
        <f t="shared" si="1"/>
        <v>0.1111111111111111</v>
      </c>
      <c r="O16" s="122" t="s">
        <v>1607</v>
      </c>
      <c r="P16" s="128">
        <v>13</v>
      </c>
      <c r="Q16" s="123">
        <v>0</v>
      </c>
      <c r="R16" s="125">
        <f t="shared" si="2"/>
        <v>6</v>
      </c>
      <c r="S16" s="126">
        <f t="shared" si="3"/>
        <v>0</v>
      </c>
      <c r="U16">
        <f t="shared" si="7"/>
        <v>1</v>
      </c>
      <c r="W16" s="128">
        <v>13</v>
      </c>
      <c r="X16" s="127">
        <f t="shared" si="8"/>
        <v>1</v>
      </c>
      <c r="Y16">
        <f t="shared" si="4"/>
        <v>15</v>
      </c>
    </row>
    <row r="17" spans="1:27" ht="15.95">
      <c r="A17" s="122" t="s">
        <v>1605</v>
      </c>
      <c r="B17" s="123">
        <v>14</v>
      </c>
      <c r="C17" s="124">
        <v>0</v>
      </c>
      <c r="D17" s="125">
        <f t="shared" si="5"/>
        <v>4</v>
      </c>
      <c r="E17" s="126">
        <f t="shared" si="6"/>
        <v>0</v>
      </c>
      <c r="H17" s="122" t="s">
        <v>1606</v>
      </c>
      <c r="I17" s="123">
        <v>14</v>
      </c>
      <c r="J17" s="124">
        <v>1</v>
      </c>
      <c r="K17" s="125">
        <f t="shared" si="0"/>
        <v>9</v>
      </c>
      <c r="L17" s="126">
        <f t="shared" si="1"/>
        <v>0.1111111111111111</v>
      </c>
      <c r="O17" s="122" t="s">
        <v>1607</v>
      </c>
      <c r="P17" s="123">
        <v>14</v>
      </c>
      <c r="Q17" s="123">
        <v>0</v>
      </c>
      <c r="R17" s="125">
        <f t="shared" si="2"/>
        <v>6</v>
      </c>
      <c r="S17" s="126">
        <f t="shared" si="3"/>
        <v>0</v>
      </c>
      <c r="U17">
        <f t="shared" si="7"/>
        <v>1</v>
      </c>
      <c r="W17" s="123">
        <v>14</v>
      </c>
      <c r="X17" s="127">
        <f t="shared" si="8"/>
        <v>1</v>
      </c>
      <c r="Y17">
        <f t="shared" si="4"/>
        <v>15</v>
      </c>
    </row>
    <row r="18" spans="1:27" ht="15.95">
      <c r="A18" s="122" t="s">
        <v>1605</v>
      </c>
      <c r="B18" s="128">
        <v>15</v>
      </c>
      <c r="C18" s="129">
        <v>0</v>
      </c>
      <c r="D18" s="125">
        <f t="shared" si="5"/>
        <v>4</v>
      </c>
      <c r="E18" s="126">
        <f t="shared" si="6"/>
        <v>0</v>
      </c>
      <c r="H18" s="122" t="s">
        <v>1606</v>
      </c>
      <c r="I18" s="128">
        <v>15</v>
      </c>
      <c r="J18" s="129">
        <v>1</v>
      </c>
      <c r="K18" s="125">
        <f t="shared" si="0"/>
        <v>9</v>
      </c>
      <c r="L18" s="126">
        <f t="shared" si="1"/>
        <v>0.1111111111111111</v>
      </c>
      <c r="O18" s="122" t="s">
        <v>1607</v>
      </c>
      <c r="P18" s="128">
        <v>15</v>
      </c>
      <c r="Q18" s="123">
        <v>0</v>
      </c>
      <c r="R18" s="125">
        <f t="shared" si="2"/>
        <v>6</v>
      </c>
      <c r="S18" s="126">
        <f t="shared" si="3"/>
        <v>0</v>
      </c>
      <c r="U18">
        <f t="shared" si="7"/>
        <v>1</v>
      </c>
      <c r="W18" s="128">
        <v>15</v>
      </c>
      <c r="X18" s="127">
        <f t="shared" si="8"/>
        <v>1</v>
      </c>
      <c r="Y18">
        <f t="shared" si="4"/>
        <v>15</v>
      </c>
    </row>
    <row r="19" spans="1:27" ht="15.95">
      <c r="A19" s="122" t="s">
        <v>1605</v>
      </c>
      <c r="B19" s="123">
        <v>16</v>
      </c>
      <c r="C19" s="124">
        <v>0</v>
      </c>
      <c r="D19" s="125">
        <f t="shared" si="5"/>
        <v>4</v>
      </c>
      <c r="E19" s="126">
        <f t="shared" si="6"/>
        <v>0</v>
      </c>
      <c r="H19" s="122" t="s">
        <v>1606</v>
      </c>
      <c r="I19" s="123">
        <v>16</v>
      </c>
      <c r="J19" s="124">
        <v>1</v>
      </c>
      <c r="K19" s="125">
        <f t="shared" si="0"/>
        <v>9</v>
      </c>
      <c r="L19" s="126">
        <f t="shared" si="1"/>
        <v>0.1111111111111111</v>
      </c>
      <c r="O19" s="122" t="s">
        <v>1607</v>
      </c>
      <c r="P19" s="123">
        <v>16</v>
      </c>
      <c r="Q19" s="123">
        <v>0</v>
      </c>
      <c r="R19" s="125">
        <f t="shared" si="2"/>
        <v>6</v>
      </c>
      <c r="S19" s="126">
        <f t="shared" si="3"/>
        <v>0</v>
      </c>
      <c r="U19">
        <f t="shared" si="7"/>
        <v>1</v>
      </c>
      <c r="W19" s="123">
        <v>16</v>
      </c>
      <c r="X19" s="127">
        <f t="shared" si="8"/>
        <v>1</v>
      </c>
      <c r="Y19">
        <f t="shared" si="4"/>
        <v>15</v>
      </c>
    </row>
    <row r="20" spans="1:27" ht="15.95">
      <c r="A20" s="122" t="s">
        <v>1605</v>
      </c>
      <c r="B20" s="128">
        <v>17</v>
      </c>
      <c r="C20" s="129">
        <v>0</v>
      </c>
      <c r="D20" s="125">
        <f t="shared" si="5"/>
        <v>4</v>
      </c>
      <c r="E20" s="126">
        <f t="shared" si="6"/>
        <v>0</v>
      </c>
      <c r="H20" s="122" t="s">
        <v>1606</v>
      </c>
      <c r="I20" s="128">
        <v>17</v>
      </c>
      <c r="J20" s="129">
        <v>0</v>
      </c>
      <c r="K20" s="125">
        <f t="shared" si="0"/>
        <v>9</v>
      </c>
      <c r="L20" s="126">
        <f t="shared" si="1"/>
        <v>0</v>
      </c>
      <c r="O20" s="122" t="s">
        <v>1607</v>
      </c>
      <c r="P20" s="128">
        <v>17</v>
      </c>
      <c r="Q20" s="123">
        <v>0</v>
      </c>
      <c r="R20" s="125">
        <f t="shared" si="2"/>
        <v>6</v>
      </c>
      <c r="S20" s="126">
        <f t="shared" si="3"/>
        <v>0</v>
      </c>
      <c r="U20">
        <f t="shared" si="7"/>
        <v>0</v>
      </c>
      <c r="W20" s="128">
        <v>17</v>
      </c>
      <c r="X20" s="127">
        <f t="shared" si="8"/>
        <v>0</v>
      </c>
      <c r="Y20">
        <f t="shared" si="4"/>
        <v>15</v>
      </c>
    </row>
    <row r="21" spans="1:27" ht="15.95">
      <c r="A21" s="122" t="s">
        <v>1605</v>
      </c>
      <c r="B21" s="123">
        <v>18</v>
      </c>
      <c r="C21" s="124">
        <v>0</v>
      </c>
      <c r="D21" s="125">
        <f t="shared" si="5"/>
        <v>4</v>
      </c>
      <c r="E21" s="126">
        <f t="shared" si="6"/>
        <v>0</v>
      </c>
      <c r="H21" s="122" t="s">
        <v>1606</v>
      </c>
      <c r="I21" s="123">
        <v>18</v>
      </c>
      <c r="J21" s="124">
        <v>0</v>
      </c>
      <c r="K21" s="125">
        <f t="shared" si="0"/>
        <v>9</v>
      </c>
      <c r="L21" s="126">
        <f t="shared" si="1"/>
        <v>0</v>
      </c>
      <c r="O21" s="122" t="s">
        <v>1607</v>
      </c>
      <c r="P21" s="123">
        <v>18</v>
      </c>
      <c r="Q21" s="123">
        <v>0</v>
      </c>
      <c r="R21" s="125">
        <f t="shared" si="2"/>
        <v>6</v>
      </c>
      <c r="S21" s="126">
        <f t="shared" si="3"/>
        <v>0</v>
      </c>
      <c r="U21">
        <f t="shared" si="7"/>
        <v>0</v>
      </c>
      <c r="W21" s="123">
        <v>18</v>
      </c>
      <c r="X21" s="127">
        <f t="shared" si="8"/>
        <v>0</v>
      </c>
      <c r="Y21">
        <f t="shared" si="4"/>
        <v>15</v>
      </c>
    </row>
    <row r="22" spans="1:27" ht="15.95">
      <c r="A22" s="122" t="s">
        <v>1605</v>
      </c>
      <c r="B22" s="128">
        <v>19</v>
      </c>
      <c r="C22" s="129">
        <v>0</v>
      </c>
      <c r="D22" s="125">
        <f t="shared" si="5"/>
        <v>4</v>
      </c>
      <c r="E22" s="126">
        <f t="shared" si="6"/>
        <v>0</v>
      </c>
      <c r="H22" s="122" t="s">
        <v>1606</v>
      </c>
      <c r="I22" s="128">
        <v>19</v>
      </c>
      <c r="J22" s="129">
        <v>0</v>
      </c>
      <c r="K22" s="125">
        <f t="shared" si="0"/>
        <v>9</v>
      </c>
      <c r="L22" s="126">
        <f t="shared" si="1"/>
        <v>0</v>
      </c>
      <c r="O22" s="122" t="s">
        <v>1607</v>
      </c>
      <c r="P22" s="128">
        <v>19</v>
      </c>
      <c r="Q22" s="123">
        <v>0</v>
      </c>
      <c r="R22" s="125">
        <f t="shared" si="2"/>
        <v>6</v>
      </c>
      <c r="S22" s="126">
        <f t="shared" si="3"/>
        <v>0</v>
      </c>
      <c r="U22">
        <f t="shared" si="7"/>
        <v>0</v>
      </c>
      <c r="W22" s="128">
        <v>19</v>
      </c>
      <c r="X22" s="127">
        <f t="shared" si="8"/>
        <v>0</v>
      </c>
      <c r="Y22">
        <f t="shared" si="4"/>
        <v>15</v>
      </c>
    </row>
    <row r="23" spans="1:27" ht="15.95">
      <c r="A23" s="122" t="s">
        <v>1605</v>
      </c>
      <c r="B23" s="123">
        <v>20</v>
      </c>
      <c r="C23" s="124">
        <v>0</v>
      </c>
      <c r="D23" s="125">
        <f t="shared" si="5"/>
        <v>4</v>
      </c>
      <c r="E23" s="126">
        <f t="shared" si="6"/>
        <v>0</v>
      </c>
      <c r="H23" s="122" t="s">
        <v>1606</v>
      </c>
      <c r="I23" s="123">
        <v>20</v>
      </c>
      <c r="J23" s="124">
        <v>0</v>
      </c>
      <c r="K23" s="125">
        <f t="shared" si="0"/>
        <v>9</v>
      </c>
      <c r="L23" s="126">
        <f t="shared" si="1"/>
        <v>0</v>
      </c>
      <c r="O23" s="122" t="s">
        <v>1607</v>
      </c>
      <c r="P23" s="123">
        <v>20</v>
      </c>
      <c r="Q23" s="123">
        <v>0</v>
      </c>
      <c r="R23" s="125">
        <f t="shared" si="2"/>
        <v>6</v>
      </c>
      <c r="S23" s="126">
        <f t="shared" si="3"/>
        <v>0</v>
      </c>
      <c r="U23">
        <f t="shared" si="7"/>
        <v>0</v>
      </c>
      <c r="W23" s="123">
        <v>20</v>
      </c>
      <c r="X23" s="127">
        <f t="shared" si="8"/>
        <v>0</v>
      </c>
      <c r="Y23">
        <f t="shared" si="4"/>
        <v>15</v>
      </c>
    </row>
    <row r="24" spans="1:27" ht="15.95">
      <c r="A24" s="122" t="s">
        <v>1605</v>
      </c>
      <c r="B24" s="128">
        <v>21</v>
      </c>
      <c r="C24" s="129">
        <v>0</v>
      </c>
      <c r="D24" s="125">
        <f t="shared" si="5"/>
        <v>4</v>
      </c>
      <c r="E24" s="126">
        <f t="shared" si="6"/>
        <v>0</v>
      </c>
      <c r="H24" s="122" t="s">
        <v>1606</v>
      </c>
      <c r="I24" s="128">
        <v>21</v>
      </c>
      <c r="J24" s="129">
        <v>0</v>
      </c>
      <c r="K24" s="125">
        <f t="shared" si="0"/>
        <v>9</v>
      </c>
      <c r="L24" s="126">
        <f t="shared" si="1"/>
        <v>0</v>
      </c>
      <c r="O24" s="122" t="s">
        <v>1607</v>
      </c>
      <c r="P24" s="128">
        <v>21</v>
      </c>
      <c r="Q24" s="123">
        <v>0</v>
      </c>
      <c r="R24" s="125">
        <f t="shared" si="2"/>
        <v>6</v>
      </c>
      <c r="S24" s="126">
        <f t="shared" si="3"/>
        <v>0</v>
      </c>
      <c r="U24">
        <f t="shared" si="7"/>
        <v>0</v>
      </c>
      <c r="W24" s="128">
        <v>21</v>
      </c>
      <c r="X24" s="127">
        <f t="shared" si="8"/>
        <v>0</v>
      </c>
      <c r="Y24">
        <f t="shared" si="4"/>
        <v>15</v>
      </c>
    </row>
    <row r="25" spans="1:27" ht="15.95">
      <c r="A25" s="122" t="s">
        <v>1605</v>
      </c>
      <c r="B25" s="123">
        <v>22</v>
      </c>
      <c r="C25" s="124">
        <v>0</v>
      </c>
      <c r="D25" s="125">
        <f t="shared" si="5"/>
        <v>4</v>
      </c>
      <c r="E25" s="126">
        <f t="shared" si="6"/>
        <v>0</v>
      </c>
      <c r="H25" s="122" t="s">
        <v>1606</v>
      </c>
      <c r="I25" s="123">
        <v>22</v>
      </c>
      <c r="J25" s="124">
        <v>0</v>
      </c>
      <c r="K25" s="125">
        <f t="shared" si="0"/>
        <v>9</v>
      </c>
      <c r="L25" s="126">
        <f t="shared" si="1"/>
        <v>0</v>
      </c>
      <c r="O25" s="122" t="s">
        <v>1607</v>
      </c>
      <c r="P25" s="123">
        <v>22</v>
      </c>
      <c r="Q25" s="123">
        <v>0</v>
      </c>
      <c r="R25" s="125">
        <f t="shared" si="2"/>
        <v>6</v>
      </c>
      <c r="S25" s="126">
        <f t="shared" si="3"/>
        <v>0</v>
      </c>
      <c r="U25">
        <f t="shared" si="7"/>
        <v>0</v>
      </c>
      <c r="W25" s="123">
        <v>22</v>
      </c>
      <c r="X25" s="127">
        <f t="shared" si="8"/>
        <v>0</v>
      </c>
      <c r="Y25">
        <f t="shared" si="4"/>
        <v>15</v>
      </c>
    </row>
    <row r="26" spans="1:27" ht="15.95">
      <c r="A26" s="122" t="s">
        <v>1605</v>
      </c>
      <c r="B26" s="128">
        <v>23</v>
      </c>
      <c r="C26" s="129">
        <v>0</v>
      </c>
      <c r="D26" s="125">
        <f t="shared" si="5"/>
        <v>4</v>
      </c>
      <c r="E26" s="126">
        <f t="shared" si="6"/>
        <v>0</v>
      </c>
      <c r="H26" s="122" t="s">
        <v>1606</v>
      </c>
      <c r="I26" s="128">
        <v>23</v>
      </c>
      <c r="J26" s="129">
        <v>0</v>
      </c>
      <c r="K26" s="125">
        <f t="shared" si="0"/>
        <v>9</v>
      </c>
      <c r="L26" s="126">
        <f t="shared" si="1"/>
        <v>0</v>
      </c>
      <c r="O26" s="122" t="s">
        <v>1607</v>
      </c>
      <c r="P26" s="128">
        <v>23</v>
      </c>
      <c r="Q26" s="123">
        <v>0</v>
      </c>
      <c r="R26" s="125">
        <f t="shared" si="2"/>
        <v>6</v>
      </c>
      <c r="S26" s="126">
        <f t="shared" si="3"/>
        <v>0</v>
      </c>
      <c r="U26">
        <f t="shared" si="7"/>
        <v>0</v>
      </c>
      <c r="W26" s="128">
        <v>23</v>
      </c>
      <c r="X26" s="127">
        <f t="shared" si="8"/>
        <v>0</v>
      </c>
      <c r="Y26">
        <f t="shared" si="4"/>
        <v>15</v>
      </c>
    </row>
    <row r="27" spans="1:27" ht="15.95">
      <c r="A27" s="122" t="s">
        <v>1605</v>
      </c>
      <c r="B27" s="123">
        <v>24</v>
      </c>
      <c r="C27" s="124">
        <v>0</v>
      </c>
      <c r="D27" s="125">
        <f t="shared" si="5"/>
        <v>4</v>
      </c>
      <c r="E27" s="126">
        <f t="shared" si="6"/>
        <v>0</v>
      </c>
      <c r="H27" s="122" t="s">
        <v>1606</v>
      </c>
      <c r="I27" s="123">
        <v>24</v>
      </c>
      <c r="J27" s="124">
        <v>0</v>
      </c>
      <c r="K27" s="125">
        <f t="shared" si="0"/>
        <v>9</v>
      </c>
      <c r="L27" s="126">
        <f t="shared" si="1"/>
        <v>0</v>
      </c>
      <c r="O27" s="122" t="s">
        <v>1607</v>
      </c>
      <c r="P27" s="123">
        <v>24</v>
      </c>
      <c r="Q27" s="123">
        <v>0</v>
      </c>
      <c r="R27" s="125">
        <f t="shared" si="2"/>
        <v>6</v>
      </c>
      <c r="S27" s="126">
        <f t="shared" si="3"/>
        <v>0</v>
      </c>
      <c r="U27">
        <f t="shared" si="7"/>
        <v>0</v>
      </c>
      <c r="W27" s="123">
        <v>24</v>
      </c>
      <c r="X27" s="127">
        <f t="shared" si="8"/>
        <v>0</v>
      </c>
      <c r="Y27">
        <f t="shared" si="4"/>
        <v>15</v>
      </c>
    </row>
    <row r="28" spans="1:27" ht="15.95">
      <c r="A28" s="122" t="s">
        <v>1605</v>
      </c>
      <c r="B28" s="128">
        <v>25</v>
      </c>
      <c r="C28" s="129">
        <v>0</v>
      </c>
      <c r="D28" s="125">
        <f t="shared" si="5"/>
        <v>4</v>
      </c>
      <c r="E28" s="126">
        <f t="shared" si="6"/>
        <v>0</v>
      </c>
      <c r="H28" s="122" t="s">
        <v>1606</v>
      </c>
      <c r="I28" s="128">
        <v>25</v>
      </c>
      <c r="J28" s="129">
        <v>0</v>
      </c>
      <c r="K28" s="125">
        <f t="shared" si="0"/>
        <v>9</v>
      </c>
      <c r="L28" s="126">
        <f t="shared" si="1"/>
        <v>0</v>
      </c>
      <c r="O28" s="122" t="s">
        <v>1607</v>
      </c>
      <c r="P28" s="128">
        <v>25</v>
      </c>
      <c r="Q28" s="123">
        <v>0</v>
      </c>
      <c r="R28" s="125">
        <f t="shared" si="2"/>
        <v>6</v>
      </c>
      <c r="S28" s="126">
        <f t="shared" si="3"/>
        <v>0</v>
      </c>
      <c r="U28">
        <f t="shared" si="7"/>
        <v>0</v>
      </c>
      <c r="W28" s="128">
        <v>25</v>
      </c>
      <c r="X28" s="127">
        <f t="shared" si="8"/>
        <v>0</v>
      </c>
      <c r="Y28">
        <f t="shared" si="4"/>
        <v>15</v>
      </c>
    </row>
    <row r="29" spans="1:27" ht="15.95">
      <c r="A29" s="122" t="s">
        <v>1605</v>
      </c>
      <c r="B29" s="123">
        <v>26</v>
      </c>
      <c r="C29" s="124">
        <v>0</v>
      </c>
      <c r="D29" s="125">
        <f t="shared" si="5"/>
        <v>4</v>
      </c>
      <c r="E29" s="126">
        <f t="shared" si="6"/>
        <v>0</v>
      </c>
      <c r="H29" s="122" t="s">
        <v>1606</v>
      </c>
      <c r="I29" s="123">
        <v>26</v>
      </c>
      <c r="J29" s="124">
        <v>0</v>
      </c>
      <c r="K29" s="125">
        <f t="shared" si="0"/>
        <v>9</v>
      </c>
      <c r="L29" s="126">
        <f t="shared" si="1"/>
        <v>0</v>
      </c>
      <c r="O29" s="122" t="s">
        <v>1607</v>
      </c>
      <c r="P29" s="123">
        <v>26</v>
      </c>
      <c r="Q29" s="123">
        <v>0</v>
      </c>
      <c r="R29" s="125">
        <f t="shared" si="2"/>
        <v>6</v>
      </c>
      <c r="S29" s="126">
        <f t="shared" si="3"/>
        <v>0</v>
      </c>
      <c r="U29">
        <f t="shared" si="7"/>
        <v>0</v>
      </c>
      <c r="W29" s="123">
        <v>26</v>
      </c>
      <c r="X29" s="127">
        <f t="shared" si="8"/>
        <v>0</v>
      </c>
      <c r="Y29">
        <f t="shared" si="4"/>
        <v>15</v>
      </c>
      <c r="AA29">
        <f>665/624</f>
        <v>1.0657051282051282</v>
      </c>
    </row>
    <row r="30" spans="1:27" ht="15.95">
      <c r="A30" s="122" t="s">
        <v>1605</v>
      </c>
      <c r="B30" s="128">
        <v>27</v>
      </c>
      <c r="C30" s="129">
        <v>0</v>
      </c>
      <c r="D30" s="125">
        <f t="shared" si="5"/>
        <v>4</v>
      </c>
      <c r="E30" s="126">
        <f t="shared" si="6"/>
        <v>0</v>
      </c>
      <c r="H30" s="122" t="s">
        <v>1606</v>
      </c>
      <c r="I30" s="128">
        <v>27</v>
      </c>
      <c r="J30" s="129">
        <v>0</v>
      </c>
      <c r="K30" s="125">
        <f t="shared" si="0"/>
        <v>9</v>
      </c>
      <c r="L30" s="126">
        <f t="shared" si="1"/>
        <v>0</v>
      </c>
      <c r="O30" s="122" t="s">
        <v>1607</v>
      </c>
      <c r="P30" s="128">
        <v>27</v>
      </c>
      <c r="Q30" s="123">
        <v>0</v>
      </c>
      <c r="R30" s="125">
        <f t="shared" si="2"/>
        <v>6</v>
      </c>
      <c r="S30" s="126">
        <f t="shared" si="3"/>
        <v>0</v>
      </c>
      <c r="U30">
        <f t="shared" si="7"/>
        <v>0</v>
      </c>
      <c r="W30" s="128">
        <v>27</v>
      </c>
      <c r="X30" s="127">
        <f t="shared" si="8"/>
        <v>0</v>
      </c>
      <c r="Y30">
        <f t="shared" si="4"/>
        <v>15</v>
      </c>
    </row>
    <row r="31" spans="1:27" ht="15.95">
      <c r="A31" s="122" t="s">
        <v>1605</v>
      </c>
      <c r="B31" s="123">
        <v>28</v>
      </c>
      <c r="C31" s="124">
        <v>0</v>
      </c>
      <c r="D31" s="125">
        <f t="shared" si="5"/>
        <v>4</v>
      </c>
      <c r="E31" s="126">
        <f t="shared" si="6"/>
        <v>0</v>
      </c>
      <c r="H31" s="122" t="s">
        <v>1606</v>
      </c>
      <c r="I31" s="123">
        <v>28</v>
      </c>
      <c r="J31" s="124">
        <v>1</v>
      </c>
      <c r="K31" s="125">
        <f t="shared" si="0"/>
        <v>9</v>
      </c>
      <c r="L31" s="126">
        <f t="shared" si="1"/>
        <v>0.1111111111111111</v>
      </c>
      <c r="O31" s="122" t="s">
        <v>1607</v>
      </c>
      <c r="P31" s="123">
        <v>28</v>
      </c>
      <c r="Q31" s="123">
        <v>2</v>
      </c>
      <c r="R31" s="125">
        <f t="shared" si="2"/>
        <v>6</v>
      </c>
      <c r="S31" s="126">
        <f t="shared" si="3"/>
        <v>0.33333333333333331</v>
      </c>
      <c r="U31">
        <f t="shared" si="7"/>
        <v>2</v>
      </c>
      <c r="W31" s="123">
        <v>28</v>
      </c>
      <c r="X31" s="127">
        <f t="shared" si="8"/>
        <v>3</v>
      </c>
      <c r="Y31">
        <f t="shared" si="4"/>
        <v>15</v>
      </c>
    </row>
    <row r="32" spans="1:27" ht="15.95">
      <c r="A32" s="122" t="s">
        <v>1605</v>
      </c>
      <c r="B32" s="128">
        <v>29</v>
      </c>
      <c r="C32" s="129">
        <v>0</v>
      </c>
      <c r="D32" s="125">
        <f t="shared" si="5"/>
        <v>4</v>
      </c>
      <c r="E32" s="126">
        <f t="shared" si="6"/>
        <v>0</v>
      </c>
      <c r="H32" s="122" t="s">
        <v>1606</v>
      </c>
      <c r="I32" s="128">
        <v>29</v>
      </c>
      <c r="J32" s="129">
        <v>1</v>
      </c>
      <c r="K32" s="125">
        <f t="shared" si="0"/>
        <v>9</v>
      </c>
      <c r="L32" s="126">
        <f t="shared" si="1"/>
        <v>0.1111111111111111</v>
      </c>
      <c r="O32" s="122" t="s">
        <v>1607</v>
      </c>
      <c r="P32" s="128">
        <v>29</v>
      </c>
      <c r="Q32" s="123">
        <v>2</v>
      </c>
      <c r="R32" s="125">
        <f t="shared" si="2"/>
        <v>6</v>
      </c>
      <c r="S32" s="126">
        <f t="shared" si="3"/>
        <v>0.33333333333333331</v>
      </c>
      <c r="U32">
        <f t="shared" si="7"/>
        <v>2</v>
      </c>
      <c r="W32" s="128">
        <v>29</v>
      </c>
      <c r="X32" s="127">
        <f t="shared" si="8"/>
        <v>3</v>
      </c>
      <c r="Y32">
        <f t="shared" si="4"/>
        <v>15</v>
      </c>
    </row>
    <row r="33" spans="1:25" ht="15.95">
      <c r="A33" s="122" t="s">
        <v>1605</v>
      </c>
      <c r="B33" s="123">
        <v>30</v>
      </c>
      <c r="C33" s="124">
        <v>0</v>
      </c>
      <c r="D33" s="125">
        <f t="shared" si="5"/>
        <v>4</v>
      </c>
      <c r="E33" s="126">
        <f t="shared" si="6"/>
        <v>0</v>
      </c>
      <c r="H33" s="122" t="s">
        <v>1606</v>
      </c>
      <c r="I33" s="123">
        <v>30</v>
      </c>
      <c r="J33" s="124">
        <v>1</v>
      </c>
      <c r="K33" s="125">
        <f t="shared" si="0"/>
        <v>9</v>
      </c>
      <c r="L33" s="126">
        <f t="shared" si="1"/>
        <v>0.1111111111111111</v>
      </c>
      <c r="O33" s="122" t="s">
        <v>1607</v>
      </c>
      <c r="P33" s="123">
        <v>30</v>
      </c>
      <c r="Q33" s="123">
        <v>2</v>
      </c>
      <c r="R33" s="125">
        <f t="shared" si="2"/>
        <v>6</v>
      </c>
      <c r="S33" s="126">
        <f t="shared" si="3"/>
        <v>0.33333333333333331</v>
      </c>
      <c r="U33">
        <f t="shared" si="7"/>
        <v>2</v>
      </c>
      <c r="W33" s="123">
        <v>30</v>
      </c>
      <c r="X33" s="127">
        <f t="shared" si="8"/>
        <v>3</v>
      </c>
      <c r="Y33">
        <f t="shared" si="4"/>
        <v>15</v>
      </c>
    </row>
    <row r="34" spans="1:25" ht="15.95">
      <c r="A34" s="122" t="s">
        <v>1605</v>
      </c>
      <c r="B34" s="128">
        <v>31</v>
      </c>
      <c r="C34" s="129">
        <v>0</v>
      </c>
      <c r="D34" s="125">
        <f t="shared" si="5"/>
        <v>4</v>
      </c>
      <c r="E34" s="126">
        <f t="shared" si="6"/>
        <v>0</v>
      </c>
      <c r="H34" s="122" t="s">
        <v>1606</v>
      </c>
      <c r="I34" s="128">
        <v>31</v>
      </c>
      <c r="J34" s="129">
        <v>1</v>
      </c>
      <c r="K34" s="125">
        <f t="shared" si="0"/>
        <v>9</v>
      </c>
      <c r="L34" s="126">
        <f t="shared" si="1"/>
        <v>0.1111111111111111</v>
      </c>
      <c r="O34" s="122" t="s">
        <v>1607</v>
      </c>
      <c r="P34" s="128">
        <v>31</v>
      </c>
      <c r="Q34" s="123">
        <v>2</v>
      </c>
      <c r="R34" s="125">
        <f t="shared" si="2"/>
        <v>6</v>
      </c>
      <c r="S34" s="126">
        <f t="shared" si="3"/>
        <v>0.33333333333333331</v>
      </c>
      <c r="U34">
        <f t="shared" si="7"/>
        <v>2</v>
      </c>
      <c r="W34" s="128">
        <v>31</v>
      </c>
      <c r="X34" s="127">
        <f t="shared" si="8"/>
        <v>3</v>
      </c>
      <c r="Y34">
        <f t="shared" si="4"/>
        <v>15</v>
      </c>
    </row>
    <row r="35" spans="1:25" ht="15.95">
      <c r="A35" s="122" t="s">
        <v>1605</v>
      </c>
      <c r="B35" s="123">
        <v>32</v>
      </c>
      <c r="C35" s="124">
        <v>1</v>
      </c>
      <c r="D35" s="125">
        <f t="shared" si="5"/>
        <v>4</v>
      </c>
      <c r="E35" s="126">
        <f t="shared" si="6"/>
        <v>0.25</v>
      </c>
      <c r="H35" s="122" t="s">
        <v>1606</v>
      </c>
      <c r="I35" s="123">
        <v>32</v>
      </c>
      <c r="J35" s="124">
        <v>2</v>
      </c>
      <c r="K35" s="125">
        <f t="shared" si="0"/>
        <v>9</v>
      </c>
      <c r="L35" s="126">
        <f t="shared" si="1"/>
        <v>0.22222222222222221</v>
      </c>
      <c r="O35" s="122" t="s">
        <v>1607</v>
      </c>
      <c r="P35" s="123">
        <v>32</v>
      </c>
      <c r="Q35" s="123">
        <v>3</v>
      </c>
      <c r="R35" s="125">
        <f t="shared" si="2"/>
        <v>6</v>
      </c>
      <c r="S35" s="126">
        <f t="shared" si="3"/>
        <v>0.5</v>
      </c>
      <c r="U35">
        <f t="shared" si="7"/>
        <v>3</v>
      </c>
      <c r="W35" s="123">
        <v>32</v>
      </c>
      <c r="X35" s="127">
        <f t="shared" si="8"/>
        <v>6</v>
      </c>
      <c r="Y35">
        <f t="shared" si="4"/>
        <v>15</v>
      </c>
    </row>
    <row r="36" spans="1:25" ht="15.95">
      <c r="A36" s="122" t="s">
        <v>1605</v>
      </c>
      <c r="B36" s="128">
        <v>33</v>
      </c>
      <c r="C36" s="129">
        <v>1</v>
      </c>
      <c r="D36" s="125">
        <f t="shared" si="5"/>
        <v>4</v>
      </c>
      <c r="E36" s="126">
        <f t="shared" si="6"/>
        <v>0.25</v>
      </c>
      <c r="H36" s="122" t="s">
        <v>1606</v>
      </c>
      <c r="I36" s="128">
        <v>33</v>
      </c>
      <c r="J36" s="129">
        <v>3</v>
      </c>
      <c r="K36" s="125">
        <f t="shared" si="0"/>
        <v>9</v>
      </c>
      <c r="L36" s="126">
        <f t="shared" si="1"/>
        <v>0.33333333333333331</v>
      </c>
      <c r="O36" s="122" t="s">
        <v>1607</v>
      </c>
      <c r="P36" s="128">
        <v>33</v>
      </c>
      <c r="Q36" s="123">
        <v>4</v>
      </c>
      <c r="R36" s="125">
        <f t="shared" si="2"/>
        <v>6</v>
      </c>
      <c r="S36" s="126">
        <f t="shared" si="3"/>
        <v>0.66666666666666663</v>
      </c>
      <c r="U36">
        <f t="shared" si="7"/>
        <v>4</v>
      </c>
      <c r="W36" s="128">
        <v>33</v>
      </c>
      <c r="X36" s="127">
        <f t="shared" si="8"/>
        <v>8</v>
      </c>
      <c r="Y36">
        <f t="shared" si="4"/>
        <v>15</v>
      </c>
    </row>
    <row r="37" spans="1:25" ht="15.95">
      <c r="A37" s="122" t="s">
        <v>1605</v>
      </c>
      <c r="B37" s="123">
        <v>34</v>
      </c>
      <c r="C37" s="124">
        <v>1</v>
      </c>
      <c r="D37" s="125">
        <f t="shared" si="5"/>
        <v>4</v>
      </c>
      <c r="E37" s="126">
        <f t="shared" si="6"/>
        <v>0.25</v>
      </c>
      <c r="H37" s="122" t="s">
        <v>1606</v>
      </c>
      <c r="I37" s="123">
        <v>34</v>
      </c>
      <c r="J37" s="124">
        <v>3</v>
      </c>
      <c r="K37" s="125">
        <f t="shared" si="0"/>
        <v>9</v>
      </c>
      <c r="L37" s="126">
        <f t="shared" si="1"/>
        <v>0.33333333333333331</v>
      </c>
      <c r="O37" s="122" t="s">
        <v>1607</v>
      </c>
      <c r="P37" s="123">
        <v>34</v>
      </c>
      <c r="Q37" s="123">
        <v>4</v>
      </c>
      <c r="R37" s="125">
        <f t="shared" si="2"/>
        <v>6</v>
      </c>
      <c r="S37" s="126">
        <f t="shared" si="3"/>
        <v>0.66666666666666663</v>
      </c>
      <c r="U37">
        <f t="shared" si="7"/>
        <v>4</v>
      </c>
      <c r="W37" s="123">
        <v>34</v>
      </c>
      <c r="X37" s="127">
        <f t="shared" si="8"/>
        <v>8</v>
      </c>
      <c r="Y37">
        <f t="shared" si="4"/>
        <v>15</v>
      </c>
    </row>
    <row r="38" spans="1:25" ht="15.95">
      <c r="A38" s="122" t="s">
        <v>1605</v>
      </c>
      <c r="B38" s="128">
        <v>35</v>
      </c>
      <c r="C38" s="129">
        <v>1</v>
      </c>
      <c r="D38" s="125">
        <f t="shared" si="5"/>
        <v>4</v>
      </c>
      <c r="E38" s="126">
        <f t="shared" si="6"/>
        <v>0.25</v>
      </c>
      <c r="H38" s="122" t="s">
        <v>1606</v>
      </c>
      <c r="I38" s="128">
        <v>35</v>
      </c>
      <c r="J38" s="129">
        <v>3</v>
      </c>
      <c r="K38" s="125">
        <f t="shared" si="0"/>
        <v>9</v>
      </c>
      <c r="L38" s="126">
        <f t="shared" si="1"/>
        <v>0.33333333333333331</v>
      </c>
      <c r="O38" s="122" t="s">
        <v>1607</v>
      </c>
      <c r="P38" s="128">
        <v>35</v>
      </c>
      <c r="Q38" s="123">
        <v>4</v>
      </c>
      <c r="R38" s="125">
        <f t="shared" si="2"/>
        <v>6</v>
      </c>
      <c r="S38" s="126">
        <f t="shared" si="3"/>
        <v>0.66666666666666663</v>
      </c>
      <c r="U38">
        <f t="shared" si="7"/>
        <v>4</v>
      </c>
      <c r="W38" s="128">
        <v>35</v>
      </c>
      <c r="X38" s="127">
        <f t="shared" si="8"/>
        <v>8</v>
      </c>
      <c r="Y38">
        <f t="shared" si="4"/>
        <v>15</v>
      </c>
    </row>
    <row r="39" spans="1:25" ht="15.95">
      <c r="A39" s="122" t="s">
        <v>1605</v>
      </c>
      <c r="B39" s="123">
        <v>36</v>
      </c>
      <c r="C39" s="124">
        <v>2</v>
      </c>
      <c r="D39" s="125">
        <f t="shared" si="5"/>
        <v>4</v>
      </c>
      <c r="E39" s="126">
        <f t="shared" si="6"/>
        <v>0.5</v>
      </c>
      <c r="H39" s="122" t="s">
        <v>1606</v>
      </c>
      <c r="I39" s="123">
        <v>36</v>
      </c>
      <c r="J39" s="124">
        <v>4</v>
      </c>
      <c r="K39" s="125">
        <f t="shared" si="0"/>
        <v>9</v>
      </c>
      <c r="L39" s="126">
        <f t="shared" si="1"/>
        <v>0.44444444444444442</v>
      </c>
      <c r="O39" s="122" t="s">
        <v>1607</v>
      </c>
      <c r="P39" s="123">
        <v>36</v>
      </c>
      <c r="Q39" s="123">
        <v>4</v>
      </c>
      <c r="R39" s="125">
        <f t="shared" si="2"/>
        <v>6</v>
      </c>
      <c r="S39" s="126">
        <f t="shared" si="3"/>
        <v>0.66666666666666663</v>
      </c>
      <c r="U39">
        <f t="shared" si="7"/>
        <v>4</v>
      </c>
      <c r="W39" s="123">
        <v>36</v>
      </c>
      <c r="X39" s="127">
        <f t="shared" si="8"/>
        <v>10</v>
      </c>
      <c r="Y39">
        <f t="shared" si="4"/>
        <v>15</v>
      </c>
    </row>
    <row r="40" spans="1:25" ht="15.95">
      <c r="A40" s="122" t="s">
        <v>1605</v>
      </c>
      <c r="B40" s="128">
        <v>37</v>
      </c>
      <c r="C40" s="129">
        <v>2</v>
      </c>
      <c r="D40" s="125">
        <f t="shared" si="5"/>
        <v>4</v>
      </c>
      <c r="E40" s="126">
        <f t="shared" si="6"/>
        <v>0.5</v>
      </c>
      <c r="H40" s="122" t="s">
        <v>1606</v>
      </c>
      <c r="I40" s="128">
        <v>37</v>
      </c>
      <c r="J40" s="129">
        <v>4</v>
      </c>
      <c r="K40" s="125">
        <f t="shared" si="0"/>
        <v>9</v>
      </c>
      <c r="L40" s="126">
        <f t="shared" si="1"/>
        <v>0.44444444444444442</v>
      </c>
      <c r="O40" s="122" t="s">
        <v>1607</v>
      </c>
      <c r="P40" s="128">
        <v>37</v>
      </c>
      <c r="Q40" s="123">
        <v>4</v>
      </c>
      <c r="R40" s="125">
        <f t="shared" si="2"/>
        <v>6</v>
      </c>
      <c r="S40" s="126">
        <f t="shared" si="3"/>
        <v>0.66666666666666663</v>
      </c>
      <c r="U40">
        <f t="shared" si="7"/>
        <v>4</v>
      </c>
      <c r="W40" s="128">
        <v>37</v>
      </c>
      <c r="X40" s="127">
        <f t="shared" si="8"/>
        <v>10</v>
      </c>
      <c r="Y40">
        <f t="shared" si="4"/>
        <v>15</v>
      </c>
    </row>
    <row r="41" spans="1:25" ht="15.95">
      <c r="A41" s="122" t="s">
        <v>1605</v>
      </c>
      <c r="B41" s="123">
        <v>38</v>
      </c>
      <c r="C41" s="124">
        <v>3</v>
      </c>
      <c r="D41" s="125">
        <f t="shared" si="5"/>
        <v>4</v>
      </c>
      <c r="E41" s="126">
        <f t="shared" si="6"/>
        <v>0.75</v>
      </c>
      <c r="H41" s="122" t="s">
        <v>1606</v>
      </c>
      <c r="I41" s="123">
        <v>38</v>
      </c>
      <c r="J41" s="124">
        <v>3</v>
      </c>
      <c r="K41" s="125">
        <f t="shared" si="0"/>
        <v>9</v>
      </c>
      <c r="L41" s="126">
        <f t="shared" si="1"/>
        <v>0.33333333333333331</v>
      </c>
      <c r="O41" s="122" t="s">
        <v>1607</v>
      </c>
      <c r="P41" s="123">
        <v>38</v>
      </c>
      <c r="Q41" s="123">
        <v>4</v>
      </c>
      <c r="R41" s="125">
        <f t="shared" si="2"/>
        <v>6</v>
      </c>
      <c r="S41" s="126">
        <f t="shared" si="3"/>
        <v>0.66666666666666663</v>
      </c>
      <c r="U41">
        <f t="shared" si="7"/>
        <v>4</v>
      </c>
      <c r="W41" s="123">
        <v>38</v>
      </c>
      <c r="X41" s="127">
        <f t="shared" si="8"/>
        <v>10</v>
      </c>
      <c r="Y41">
        <f t="shared" si="4"/>
        <v>15</v>
      </c>
    </row>
    <row r="42" spans="1:25" ht="15.95">
      <c r="A42" s="122" t="s">
        <v>1605</v>
      </c>
      <c r="B42" s="128">
        <v>39</v>
      </c>
      <c r="C42" s="129">
        <v>4</v>
      </c>
      <c r="D42" s="125">
        <f t="shared" si="5"/>
        <v>4</v>
      </c>
      <c r="E42" s="126">
        <f t="shared" si="6"/>
        <v>1</v>
      </c>
      <c r="H42" s="122" t="s">
        <v>1606</v>
      </c>
      <c r="I42" s="128">
        <v>39</v>
      </c>
      <c r="J42" s="129">
        <v>3</v>
      </c>
      <c r="K42" s="125">
        <f t="shared" si="0"/>
        <v>9</v>
      </c>
      <c r="L42" s="126">
        <f t="shared" si="1"/>
        <v>0.33333333333333331</v>
      </c>
      <c r="O42" s="122" t="s">
        <v>1607</v>
      </c>
      <c r="P42" s="128">
        <v>39</v>
      </c>
      <c r="Q42" s="123">
        <v>4</v>
      </c>
      <c r="R42" s="125">
        <f t="shared" si="2"/>
        <v>6</v>
      </c>
      <c r="S42" s="126">
        <f t="shared" si="3"/>
        <v>0.66666666666666663</v>
      </c>
      <c r="U42">
        <f t="shared" si="7"/>
        <v>4</v>
      </c>
      <c r="W42" s="128">
        <v>39</v>
      </c>
      <c r="X42" s="127">
        <f t="shared" si="8"/>
        <v>11</v>
      </c>
      <c r="Y42">
        <f t="shared" si="4"/>
        <v>15</v>
      </c>
    </row>
    <row r="43" spans="1:25" ht="15.95">
      <c r="A43" s="122" t="s">
        <v>1605</v>
      </c>
      <c r="B43" s="123">
        <v>40</v>
      </c>
      <c r="C43" s="124">
        <v>4</v>
      </c>
      <c r="D43" s="125">
        <f t="shared" si="5"/>
        <v>4</v>
      </c>
      <c r="E43" s="126">
        <f t="shared" si="6"/>
        <v>1</v>
      </c>
      <c r="H43" s="122" t="s">
        <v>1606</v>
      </c>
      <c r="I43" s="123">
        <v>40</v>
      </c>
      <c r="J43" s="124">
        <v>5</v>
      </c>
      <c r="K43" s="125">
        <f t="shared" si="0"/>
        <v>9</v>
      </c>
      <c r="L43" s="126">
        <f t="shared" si="1"/>
        <v>0.55555555555555558</v>
      </c>
      <c r="O43" s="122" t="s">
        <v>1607</v>
      </c>
      <c r="P43" s="123">
        <v>40</v>
      </c>
      <c r="Q43" s="123">
        <v>4</v>
      </c>
      <c r="R43" s="125">
        <f t="shared" si="2"/>
        <v>6</v>
      </c>
      <c r="S43" s="126">
        <f t="shared" si="3"/>
        <v>0.66666666666666663</v>
      </c>
      <c r="U43">
        <f t="shared" si="7"/>
        <v>5</v>
      </c>
      <c r="W43" s="123">
        <v>40</v>
      </c>
      <c r="X43" s="127">
        <f t="shared" si="8"/>
        <v>13</v>
      </c>
      <c r="Y43">
        <f t="shared" si="4"/>
        <v>15</v>
      </c>
    </row>
    <row r="44" spans="1:25" ht="15.95">
      <c r="A44" s="122" t="s">
        <v>1605</v>
      </c>
      <c r="B44" s="128">
        <v>41</v>
      </c>
      <c r="C44" s="129">
        <v>3</v>
      </c>
      <c r="D44" s="125">
        <f t="shared" si="5"/>
        <v>4</v>
      </c>
      <c r="E44" s="126">
        <f t="shared" si="6"/>
        <v>0.75</v>
      </c>
      <c r="H44" s="122" t="s">
        <v>1606</v>
      </c>
      <c r="I44" s="128">
        <v>41</v>
      </c>
      <c r="J44" s="129">
        <v>6</v>
      </c>
      <c r="K44" s="125">
        <f t="shared" si="0"/>
        <v>9</v>
      </c>
      <c r="L44" s="126">
        <f t="shared" si="1"/>
        <v>0.66666666666666663</v>
      </c>
      <c r="O44" s="122" t="s">
        <v>1607</v>
      </c>
      <c r="P44" s="128">
        <v>41</v>
      </c>
      <c r="Q44" s="123">
        <v>5</v>
      </c>
      <c r="R44" s="125">
        <f t="shared" si="2"/>
        <v>6</v>
      </c>
      <c r="S44" s="126">
        <f t="shared" si="3"/>
        <v>0.83333333333333337</v>
      </c>
      <c r="U44">
        <f t="shared" si="7"/>
        <v>6</v>
      </c>
      <c r="W44" s="128">
        <v>41</v>
      </c>
      <c r="X44" s="127">
        <f t="shared" si="8"/>
        <v>14</v>
      </c>
      <c r="Y44">
        <f t="shared" si="4"/>
        <v>15</v>
      </c>
    </row>
    <row r="45" spans="1:25" ht="15.95">
      <c r="A45" s="122" t="s">
        <v>1605</v>
      </c>
      <c r="B45" s="123">
        <v>42</v>
      </c>
      <c r="C45" s="124">
        <v>3</v>
      </c>
      <c r="D45" s="125">
        <f t="shared" si="5"/>
        <v>4</v>
      </c>
      <c r="E45" s="126">
        <f t="shared" si="6"/>
        <v>0.75</v>
      </c>
      <c r="H45" s="122" t="s">
        <v>1606</v>
      </c>
      <c r="I45" s="123">
        <v>42</v>
      </c>
      <c r="J45" s="124">
        <v>6</v>
      </c>
      <c r="K45" s="125">
        <f t="shared" si="0"/>
        <v>9</v>
      </c>
      <c r="L45" s="126">
        <f t="shared" si="1"/>
        <v>0.66666666666666663</v>
      </c>
      <c r="O45" s="122" t="s">
        <v>1607</v>
      </c>
      <c r="P45" s="123">
        <v>42</v>
      </c>
      <c r="Q45" s="123">
        <v>4</v>
      </c>
      <c r="R45" s="125">
        <f t="shared" si="2"/>
        <v>6</v>
      </c>
      <c r="S45" s="126">
        <f t="shared" si="3"/>
        <v>0.66666666666666663</v>
      </c>
      <c r="U45">
        <f t="shared" si="7"/>
        <v>6</v>
      </c>
      <c r="W45" s="123">
        <v>42</v>
      </c>
      <c r="X45" s="127">
        <f t="shared" si="8"/>
        <v>13</v>
      </c>
      <c r="Y45">
        <f t="shared" si="4"/>
        <v>15</v>
      </c>
    </row>
    <row r="46" spans="1:25" ht="15.95">
      <c r="A46" s="122" t="s">
        <v>1605</v>
      </c>
      <c r="B46" s="128">
        <v>43</v>
      </c>
      <c r="C46" s="129">
        <v>3</v>
      </c>
      <c r="D46" s="125">
        <f t="shared" si="5"/>
        <v>4</v>
      </c>
      <c r="E46" s="126">
        <f t="shared" si="6"/>
        <v>0.75</v>
      </c>
      <c r="H46" s="122" t="s">
        <v>1606</v>
      </c>
      <c r="I46" s="128">
        <v>43</v>
      </c>
      <c r="J46" s="129">
        <v>5</v>
      </c>
      <c r="K46" s="125">
        <f t="shared" si="0"/>
        <v>9</v>
      </c>
      <c r="L46" s="126">
        <f t="shared" si="1"/>
        <v>0.55555555555555558</v>
      </c>
      <c r="O46" s="122" t="s">
        <v>1607</v>
      </c>
      <c r="P46" s="128">
        <v>43</v>
      </c>
      <c r="Q46" s="123">
        <v>4</v>
      </c>
      <c r="R46" s="125">
        <f t="shared" si="2"/>
        <v>6</v>
      </c>
      <c r="S46" s="126">
        <f t="shared" si="3"/>
        <v>0.66666666666666663</v>
      </c>
      <c r="U46">
        <f t="shared" si="7"/>
        <v>5</v>
      </c>
      <c r="W46" s="128">
        <v>43</v>
      </c>
      <c r="X46" s="127">
        <f t="shared" si="8"/>
        <v>12</v>
      </c>
      <c r="Y46">
        <f t="shared" si="4"/>
        <v>15</v>
      </c>
    </row>
    <row r="47" spans="1:25" ht="15.95">
      <c r="A47" s="122" t="s">
        <v>1605</v>
      </c>
      <c r="B47" s="123">
        <v>44</v>
      </c>
      <c r="C47" s="124">
        <v>3</v>
      </c>
      <c r="D47" s="125">
        <f t="shared" si="5"/>
        <v>4</v>
      </c>
      <c r="E47" s="126">
        <f t="shared" si="6"/>
        <v>0.75</v>
      </c>
      <c r="H47" s="122" t="s">
        <v>1606</v>
      </c>
      <c r="I47" s="123">
        <v>44</v>
      </c>
      <c r="J47" s="124">
        <v>4</v>
      </c>
      <c r="K47" s="125">
        <f t="shared" si="0"/>
        <v>9</v>
      </c>
      <c r="L47" s="126">
        <f t="shared" si="1"/>
        <v>0.44444444444444442</v>
      </c>
      <c r="O47" s="122" t="s">
        <v>1607</v>
      </c>
      <c r="P47" s="123">
        <v>44</v>
      </c>
      <c r="Q47" s="123">
        <v>4</v>
      </c>
      <c r="R47" s="125">
        <f t="shared" si="2"/>
        <v>6</v>
      </c>
      <c r="S47" s="126">
        <f t="shared" si="3"/>
        <v>0.66666666666666663</v>
      </c>
      <c r="U47">
        <f t="shared" si="7"/>
        <v>4</v>
      </c>
      <c r="W47" s="123">
        <v>44</v>
      </c>
      <c r="X47" s="127">
        <f t="shared" si="8"/>
        <v>11</v>
      </c>
      <c r="Y47">
        <f t="shared" si="4"/>
        <v>15</v>
      </c>
    </row>
    <row r="48" spans="1:25" ht="15.95">
      <c r="A48" s="122" t="s">
        <v>1605</v>
      </c>
      <c r="B48" s="128">
        <v>45</v>
      </c>
      <c r="C48" s="129">
        <v>2</v>
      </c>
      <c r="D48" s="125">
        <f t="shared" si="5"/>
        <v>4</v>
      </c>
      <c r="E48" s="126">
        <f t="shared" si="6"/>
        <v>0.5</v>
      </c>
      <c r="H48" s="122" t="s">
        <v>1606</v>
      </c>
      <c r="I48" s="128">
        <v>45</v>
      </c>
      <c r="J48" s="129">
        <v>4</v>
      </c>
      <c r="K48" s="125">
        <f t="shared" si="0"/>
        <v>9</v>
      </c>
      <c r="L48" s="126">
        <f t="shared" si="1"/>
        <v>0.44444444444444442</v>
      </c>
      <c r="O48" s="122" t="s">
        <v>1607</v>
      </c>
      <c r="P48" s="128">
        <v>45</v>
      </c>
      <c r="Q48" s="123">
        <v>3</v>
      </c>
      <c r="R48" s="125">
        <f t="shared" si="2"/>
        <v>6</v>
      </c>
      <c r="S48" s="126">
        <f t="shared" si="3"/>
        <v>0.5</v>
      </c>
      <c r="U48">
        <f t="shared" si="7"/>
        <v>4</v>
      </c>
      <c r="W48" s="128">
        <v>45</v>
      </c>
      <c r="X48" s="127">
        <f t="shared" si="8"/>
        <v>9</v>
      </c>
      <c r="Y48">
        <f t="shared" si="4"/>
        <v>15</v>
      </c>
    </row>
    <row r="49" spans="1:25" ht="15.95">
      <c r="A49" s="122" t="s">
        <v>1605</v>
      </c>
      <c r="B49" s="123">
        <v>46</v>
      </c>
      <c r="C49" s="124">
        <v>2</v>
      </c>
      <c r="D49" s="125">
        <f t="shared" si="5"/>
        <v>4</v>
      </c>
      <c r="E49" s="126">
        <f t="shared" si="6"/>
        <v>0.5</v>
      </c>
      <c r="H49" s="122" t="s">
        <v>1606</v>
      </c>
      <c r="I49" s="123">
        <v>46</v>
      </c>
      <c r="J49" s="124">
        <v>4</v>
      </c>
      <c r="K49" s="125">
        <f t="shared" si="0"/>
        <v>9</v>
      </c>
      <c r="L49" s="126">
        <f t="shared" si="1"/>
        <v>0.44444444444444442</v>
      </c>
      <c r="O49" s="122" t="s">
        <v>1607</v>
      </c>
      <c r="P49" s="123">
        <v>46</v>
      </c>
      <c r="Q49" s="123">
        <v>2</v>
      </c>
      <c r="R49" s="125">
        <f t="shared" si="2"/>
        <v>6</v>
      </c>
      <c r="S49" s="126">
        <f t="shared" si="3"/>
        <v>0.33333333333333331</v>
      </c>
      <c r="U49">
        <f t="shared" si="7"/>
        <v>4</v>
      </c>
      <c r="W49" s="123">
        <v>46</v>
      </c>
      <c r="X49" s="127">
        <f t="shared" si="8"/>
        <v>8</v>
      </c>
      <c r="Y49">
        <f t="shared" si="4"/>
        <v>15</v>
      </c>
    </row>
    <row r="50" spans="1:25" ht="15.95">
      <c r="A50" s="122" t="s">
        <v>1605</v>
      </c>
      <c r="B50" s="128">
        <v>47</v>
      </c>
      <c r="C50" s="129">
        <v>2</v>
      </c>
      <c r="D50" s="125">
        <f t="shared" si="5"/>
        <v>4</v>
      </c>
      <c r="E50" s="126">
        <f t="shared" si="6"/>
        <v>0.5</v>
      </c>
      <c r="H50" s="122" t="s">
        <v>1606</v>
      </c>
      <c r="I50" s="128">
        <v>47</v>
      </c>
      <c r="J50" s="129">
        <v>3</v>
      </c>
      <c r="K50" s="125">
        <f t="shared" si="0"/>
        <v>9</v>
      </c>
      <c r="L50" s="126">
        <f t="shared" si="1"/>
        <v>0.33333333333333331</v>
      </c>
      <c r="O50" s="122" t="s">
        <v>1607</v>
      </c>
      <c r="P50" s="128">
        <v>47</v>
      </c>
      <c r="Q50" s="123">
        <v>2</v>
      </c>
      <c r="R50" s="125">
        <f t="shared" si="2"/>
        <v>6</v>
      </c>
      <c r="S50" s="126">
        <f t="shared" si="3"/>
        <v>0.33333333333333331</v>
      </c>
      <c r="U50">
        <f t="shared" si="7"/>
        <v>3</v>
      </c>
      <c r="W50" s="128">
        <v>47</v>
      </c>
      <c r="X50" s="127">
        <f t="shared" si="8"/>
        <v>7</v>
      </c>
      <c r="Y50">
        <f t="shared" si="4"/>
        <v>15</v>
      </c>
    </row>
    <row r="51" spans="1:25" ht="15.95">
      <c r="A51" s="122" t="s">
        <v>1605</v>
      </c>
      <c r="B51" s="123">
        <v>48</v>
      </c>
      <c r="C51" s="124">
        <v>3</v>
      </c>
      <c r="D51" s="125">
        <f t="shared" si="5"/>
        <v>4</v>
      </c>
      <c r="E51" s="126">
        <f t="shared" si="6"/>
        <v>0.75</v>
      </c>
      <c r="H51" s="122" t="s">
        <v>1606</v>
      </c>
      <c r="I51" s="123">
        <v>48</v>
      </c>
      <c r="J51" s="124">
        <v>6</v>
      </c>
      <c r="K51" s="125">
        <f t="shared" si="0"/>
        <v>9</v>
      </c>
      <c r="L51" s="126">
        <f t="shared" si="1"/>
        <v>0.66666666666666663</v>
      </c>
      <c r="O51" s="122" t="s">
        <v>1607</v>
      </c>
      <c r="P51" s="123">
        <v>48</v>
      </c>
      <c r="Q51" s="123">
        <v>2</v>
      </c>
      <c r="R51" s="125">
        <f t="shared" si="2"/>
        <v>6</v>
      </c>
      <c r="S51" s="126">
        <f t="shared" si="3"/>
        <v>0.33333333333333331</v>
      </c>
      <c r="U51">
        <f t="shared" si="7"/>
        <v>6</v>
      </c>
      <c r="W51" s="123">
        <v>48</v>
      </c>
      <c r="X51" s="127">
        <f t="shared" si="8"/>
        <v>11</v>
      </c>
      <c r="Y51">
        <f t="shared" si="4"/>
        <v>15</v>
      </c>
    </row>
    <row r="52" spans="1:25" ht="15.95">
      <c r="A52" s="122" t="s">
        <v>1605</v>
      </c>
      <c r="B52" s="128">
        <v>49</v>
      </c>
      <c r="C52" s="129">
        <v>3</v>
      </c>
      <c r="D52" s="125">
        <f t="shared" si="5"/>
        <v>4</v>
      </c>
      <c r="E52" s="126">
        <f t="shared" si="6"/>
        <v>0.75</v>
      </c>
      <c r="H52" s="122" t="s">
        <v>1606</v>
      </c>
      <c r="I52" s="128">
        <v>49</v>
      </c>
      <c r="J52" s="129">
        <v>7</v>
      </c>
      <c r="K52" s="125">
        <f t="shared" si="0"/>
        <v>9</v>
      </c>
      <c r="L52" s="126">
        <f t="shared" si="1"/>
        <v>0.77777777777777779</v>
      </c>
      <c r="O52" s="122" t="s">
        <v>1607</v>
      </c>
      <c r="P52" s="128">
        <v>49</v>
      </c>
      <c r="Q52" s="123">
        <v>1</v>
      </c>
      <c r="R52" s="125">
        <f t="shared" si="2"/>
        <v>6</v>
      </c>
      <c r="S52" s="126">
        <f t="shared" si="3"/>
        <v>0.16666666666666666</v>
      </c>
      <c r="U52">
        <f t="shared" si="7"/>
        <v>7</v>
      </c>
      <c r="W52" s="128">
        <v>49</v>
      </c>
      <c r="X52" s="127">
        <f t="shared" si="8"/>
        <v>11</v>
      </c>
      <c r="Y52">
        <f t="shared" si="4"/>
        <v>15</v>
      </c>
    </row>
    <row r="53" spans="1:25" ht="15.95">
      <c r="A53" s="122" t="s">
        <v>1605</v>
      </c>
      <c r="B53" s="123">
        <v>50</v>
      </c>
      <c r="C53" s="124">
        <v>3</v>
      </c>
      <c r="D53" s="125">
        <f t="shared" si="5"/>
        <v>4</v>
      </c>
      <c r="E53" s="126">
        <f t="shared" si="6"/>
        <v>0.75</v>
      </c>
      <c r="H53" s="122" t="s">
        <v>1606</v>
      </c>
      <c r="I53" s="123">
        <v>50</v>
      </c>
      <c r="J53" s="124">
        <v>7</v>
      </c>
      <c r="K53" s="125">
        <f t="shared" si="0"/>
        <v>9</v>
      </c>
      <c r="L53" s="126">
        <f t="shared" si="1"/>
        <v>0.77777777777777779</v>
      </c>
      <c r="O53" s="122" t="s">
        <v>1607</v>
      </c>
      <c r="P53" s="123">
        <v>50</v>
      </c>
      <c r="Q53" s="123">
        <v>2</v>
      </c>
      <c r="R53" s="125">
        <f t="shared" si="2"/>
        <v>6</v>
      </c>
      <c r="S53" s="126">
        <f t="shared" si="3"/>
        <v>0.33333333333333331</v>
      </c>
      <c r="U53">
        <f t="shared" si="7"/>
        <v>7</v>
      </c>
      <c r="W53" s="123">
        <v>50</v>
      </c>
      <c r="X53" s="127">
        <f t="shared" si="8"/>
        <v>12</v>
      </c>
      <c r="Y53">
        <f t="shared" si="4"/>
        <v>15</v>
      </c>
    </row>
    <row r="54" spans="1:25" ht="15.95">
      <c r="A54" s="122" t="s">
        <v>1605</v>
      </c>
      <c r="B54" s="128">
        <v>51</v>
      </c>
      <c r="C54" s="129">
        <v>3</v>
      </c>
      <c r="D54" s="125">
        <f t="shared" si="5"/>
        <v>4</v>
      </c>
      <c r="E54" s="126">
        <f t="shared" si="6"/>
        <v>0.75</v>
      </c>
      <c r="H54" s="122" t="s">
        <v>1606</v>
      </c>
      <c r="I54" s="128">
        <v>51</v>
      </c>
      <c r="J54" s="129">
        <v>6</v>
      </c>
      <c r="K54" s="125">
        <f t="shared" si="0"/>
        <v>9</v>
      </c>
      <c r="L54" s="126">
        <f t="shared" si="1"/>
        <v>0.66666666666666663</v>
      </c>
      <c r="O54" s="122" t="s">
        <v>1607</v>
      </c>
      <c r="P54" s="128">
        <v>51</v>
      </c>
      <c r="Q54" s="123">
        <v>2</v>
      </c>
      <c r="R54" s="125">
        <f t="shared" si="2"/>
        <v>6</v>
      </c>
      <c r="S54" s="126">
        <f t="shared" si="3"/>
        <v>0.33333333333333331</v>
      </c>
      <c r="U54">
        <f t="shared" si="7"/>
        <v>6</v>
      </c>
      <c r="W54" s="128">
        <v>51</v>
      </c>
      <c r="X54" s="127">
        <f t="shared" si="8"/>
        <v>11</v>
      </c>
      <c r="Y54">
        <f t="shared" si="4"/>
        <v>15</v>
      </c>
    </row>
    <row r="55" spans="1:25" ht="15.95">
      <c r="A55" s="122" t="s">
        <v>1605</v>
      </c>
      <c r="B55" s="123">
        <v>52</v>
      </c>
      <c r="C55" s="124">
        <v>3</v>
      </c>
      <c r="D55" s="125">
        <f t="shared" si="5"/>
        <v>4</v>
      </c>
      <c r="E55" s="126">
        <f t="shared" si="6"/>
        <v>0.75</v>
      </c>
      <c r="H55" s="122" t="s">
        <v>1606</v>
      </c>
      <c r="I55" s="123">
        <v>52</v>
      </c>
      <c r="J55" s="124">
        <v>7</v>
      </c>
      <c r="K55" s="125">
        <f t="shared" si="0"/>
        <v>9</v>
      </c>
      <c r="L55" s="126">
        <f t="shared" si="1"/>
        <v>0.77777777777777779</v>
      </c>
      <c r="O55" s="122" t="s">
        <v>1607</v>
      </c>
      <c r="P55" s="123">
        <v>52</v>
      </c>
      <c r="Q55" s="123">
        <v>2</v>
      </c>
      <c r="R55" s="125">
        <f t="shared" si="2"/>
        <v>6</v>
      </c>
      <c r="S55" s="126">
        <f t="shared" si="3"/>
        <v>0.33333333333333331</v>
      </c>
      <c r="U55">
        <f t="shared" si="7"/>
        <v>7</v>
      </c>
      <c r="W55" s="123">
        <v>52</v>
      </c>
      <c r="X55" s="127">
        <f t="shared" si="8"/>
        <v>12</v>
      </c>
      <c r="Y55">
        <f t="shared" si="4"/>
        <v>15</v>
      </c>
    </row>
    <row r="56" spans="1:25" ht="15.95">
      <c r="A56" s="122" t="s">
        <v>1605</v>
      </c>
      <c r="B56" s="128">
        <v>53</v>
      </c>
      <c r="C56" s="129">
        <v>3</v>
      </c>
      <c r="D56" s="125">
        <f t="shared" si="5"/>
        <v>4</v>
      </c>
      <c r="E56" s="126">
        <f t="shared" si="6"/>
        <v>0.75</v>
      </c>
      <c r="H56" s="122" t="s">
        <v>1606</v>
      </c>
      <c r="I56" s="128">
        <v>53</v>
      </c>
      <c r="J56" s="129">
        <v>8</v>
      </c>
      <c r="K56" s="125">
        <f t="shared" si="0"/>
        <v>9</v>
      </c>
      <c r="L56" s="126">
        <f t="shared" si="1"/>
        <v>0.88888888888888884</v>
      </c>
      <c r="O56" s="122" t="s">
        <v>1607</v>
      </c>
      <c r="P56" s="128">
        <v>53</v>
      </c>
      <c r="Q56" s="123">
        <v>2</v>
      </c>
      <c r="R56" s="125">
        <f t="shared" si="2"/>
        <v>6</v>
      </c>
      <c r="S56" s="126">
        <f t="shared" si="3"/>
        <v>0.33333333333333331</v>
      </c>
      <c r="U56">
        <f t="shared" si="7"/>
        <v>8</v>
      </c>
      <c r="W56" s="128">
        <v>53</v>
      </c>
      <c r="X56" s="127">
        <f t="shared" si="8"/>
        <v>13</v>
      </c>
      <c r="Y56">
        <f t="shared" si="4"/>
        <v>15</v>
      </c>
    </row>
    <row r="57" spans="1:25" ht="15.95">
      <c r="A57" s="122" t="s">
        <v>1605</v>
      </c>
      <c r="B57" s="123">
        <v>54</v>
      </c>
      <c r="C57" s="124">
        <v>3</v>
      </c>
      <c r="D57" s="125">
        <f t="shared" si="5"/>
        <v>4</v>
      </c>
      <c r="E57" s="126">
        <f t="shared" si="6"/>
        <v>0.75</v>
      </c>
      <c r="H57" s="122" t="s">
        <v>1606</v>
      </c>
      <c r="I57" s="123">
        <v>54</v>
      </c>
      <c r="J57" s="124">
        <v>8</v>
      </c>
      <c r="K57" s="125">
        <f t="shared" si="0"/>
        <v>9</v>
      </c>
      <c r="L57" s="126">
        <f t="shared" si="1"/>
        <v>0.88888888888888884</v>
      </c>
      <c r="O57" s="122" t="s">
        <v>1607</v>
      </c>
      <c r="P57" s="123">
        <v>54</v>
      </c>
      <c r="Q57" s="123">
        <v>2</v>
      </c>
      <c r="R57" s="125">
        <f t="shared" si="2"/>
        <v>6</v>
      </c>
      <c r="S57" s="126">
        <f t="shared" si="3"/>
        <v>0.33333333333333331</v>
      </c>
      <c r="U57">
        <f t="shared" si="7"/>
        <v>8</v>
      </c>
      <c r="W57" s="123">
        <v>54</v>
      </c>
      <c r="X57" s="127">
        <f t="shared" si="8"/>
        <v>13</v>
      </c>
      <c r="Y57">
        <f t="shared" si="4"/>
        <v>15</v>
      </c>
    </row>
    <row r="58" spans="1:25" ht="15.95">
      <c r="A58" s="122" t="s">
        <v>1605</v>
      </c>
      <c r="B58" s="128">
        <v>55</v>
      </c>
      <c r="C58" s="129">
        <v>3</v>
      </c>
      <c r="D58" s="125">
        <f t="shared" si="5"/>
        <v>4</v>
      </c>
      <c r="E58" s="126">
        <f t="shared" si="6"/>
        <v>0.75</v>
      </c>
      <c r="H58" s="122" t="s">
        <v>1606</v>
      </c>
      <c r="I58" s="128">
        <v>55</v>
      </c>
      <c r="J58" s="129">
        <v>8</v>
      </c>
      <c r="K58" s="125">
        <f t="shared" si="0"/>
        <v>9</v>
      </c>
      <c r="L58" s="126">
        <f t="shared" si="1"/>
        <v>0.88888888888888884</v>
      </c>
      <c r="O58" s="122" t="s">
        <v>1607</v>
      </c>
      <c r="P58" s="128">
        <v>55</v>
      </c>
      <c r="Q58" s="123">
        <v>3</v>
      </c>
      <c r="R58" s="125">
        <f t="shared" si="2"/>
        <v>6</v>
      </c>
      <c r="S58" s="126">
        <f t="shared" si="3"/>
        <v>0.5</v>
      </c>
      <c r="U58">
        <f t="shared" si="7"/>
        <v>8</v>
      </c>
      <c r="W58" s="128">
        <v>55</v>
      </c>
      <c r="X58" s="127">
        <f t="shared" si="8"/>
        <v>14</v>
      </c>
      <c r="Y58">
        <f t="shared" si="4"/>
        <v>15</v>
      </c>
    </row>
    <row r="59" spans="1:25" ht="15.95">
      <c r="A59" s="122" t="s">
        <v>1605</v>
      </c>
      <c r="B59" s="123">
        <v>56</v>
      </c>
      <c r="C59" s="124">
        <v>2</v>
      </c>
      <c r="D59" s="125">
        <f t="shared" si="5"/>
        <v>4</v>
      </c>
      <c r="E59" s="126">
        <f t="shared" si="6"/>
        <v>0.5</v>
      </c>
      <c r="H59" s="122" t="s">
        <v>1606</v>
      </c>
      <c r="I59" s="123">
        <v>56</v>
      </c>
      <c r="J59" s="124">
        <v>7</v>
      </c>
      <c r="K59" s="125">
        <f t="shared" si="0"/>
        <v>9</v>
      </c>
      <c r="L59" s="126">
        <f t="shared" si="1"/>
        <v>0.77777777777777779</v>
      </c>
      <c r="O59" s="122" t="s">
        <v>1607</v>
      </c>
      <c r="P59" s="123">
        <v>56</v>
      </c>
      <c r="Q59" s="123">
        <v>4</v>
      </c>
      <c r="R59" s="125">
        <f t="shared" si="2"/>
        <v>6</v>
      </c>
      <c r="S59" s="126">
        <f t="shared" si="3"/>
        <v>0.66666666666666663</v>
      </c>
      <c r="U59">
        <f t="shared" si="7"/>
        <v>7</v>
      </c>
      <c r="W59" s="123">
        <v>56</v>
      </c>
      <c r="X59" s="127">
        <f t="shared" si="8"/>
        <v>13</v>
      </c>
      <c r="Y59">
        <f t="shared" si="4"/>
        <v>15</v>
      </c>
    </row>
    <row r="60" spans="1:25" ht="15.95">
      <c r="A60" s="122" t="s">
        <v>1605</v>
      </c>
      <c r="B60" s="128">
        <v>57</v>
      </c>
      <c r="C60" s="129">
        <v>2</v>
      </c>
      <c r="D60" s="125">
        <f t="shared" si="5"/>
        <v>4</v>
      </c>
      <c r="E60" s="126">
        <f t="shared" si="6"/>
        <v>0.5</v>
      </c>
      <c r="H60" s="122" t="s">
        <v>1606</v>
      </c>
      <c r="I60" s="128">
        <v>57</v>
      </c>
      <c r="J60" s="129">
        <v>7</v>
      </c>
      <c r="K60" s="125">
        <f t="shared" si="0"/>
        <v>9</v>
      </c>
      <c r="L60" s="126">
        <f t="shared" si="1"/>
        <v>0.77777777777777779</v>
      </c>
      <c r="O60" s="122" t="s">
        <v>1607</v>
      </c>
      <c r="P60" s="128">
        <v>57</v>
      </c>
      <c r="Q60" s="123">
        <v>4</v>
      </c>
      <c r="R60" s="125">
        <f t="shared" si="2"/>
        <v>6</v>
      </c>
      <c r="S60" s="126">
        <f t="shared" si="3"/>
        <v>0.66666666666666663</v>
      </c>
      <c r="U60">
        <f t="shared" si="7"/>
        <v>7</v>
      </c>
      <c r="W60" s="128">
        <v>57</v>
      </c>
      <c r="X60" s="127">
        <f t="shared" si="8"/>
        <v>13</v>
      </c>
      <c r="Y60">
        <f t="shared" si="4"/>
        <v>15</v>
      </c>
    </row>
    <row r="61" spans="1:25" ht="15.95">
      <c r="A61" s="122" t="s">
        <v>1605</v>
      </c>
      <c r="B61" s="123">
        <v>58</v>
      </c>
      <c r="C61" s="124">
        <v>1</v>
      </c>
      <c r="D61" s="125">
        <f t="shared" si="5"/>
        <v>4</v>
      </c>
      <c r="E61" s="126">
        <f t="shared" si="6"/>
        <v>0.25</v>
      </c>
      <c r="H61" s="122" t="s">
        <v>1606</v>
      </c>
      <c r="I61" s="123">
        <v>58</v>
      </c>
      <c r="J61" s="124">
        <v>6</v>
      </c>
      <c r="K61" s="125">
        <f t="shared" si="0"/>
        <v>9</v>
      </c>
      <c r="L61" s="126">
        <f t="shared" si="1"/>
        <v>0.66666666666666663</v>
      </c>
      <c r="O61" s="122" t="s">
        <v>1607</v>
      </c>
      <c r="P61" s="123">
        <v>58</v>
      </c>
      <c r="Q61" s="123">
        <v>4</v>
      </c>
      <c r="R61" s="125">
        <f t="shared" si="2"/>
        <v>6</v>
      </c>
      <c r="S61" s="126">
        <f t="shared" si="3"/>
        <v>0.66666666666666663</v>
      </c>
      <c r="U61">
        <f t="shared" si="7"/>
        <v>6</v>
      </c>
      <c r="W61" s="123">
        <v>58</v>
      </c>
      <c r="X61" s="127">
        <f t="shared" si="8"/>
        <v>11</v>
      </c>
      <c r="Y61">
        <f t="shared" si="4"/>
        <v>15</v>
      </c>
    </row>
    <row r="62" spans="1:25" ht="15.95">
      <c r="A62" s="122" t="s">
        <v>1605</v>
      </c>
      <c r="B62" s="128">
        <v>59</v>
      </c>
      <c r="C62" s="129">
        <v>1</v>
      </c>
      <c r="D62" s="125">
        <f t="shared" si="5"/>
        <v>4</v>
      </c>
      <c r="E62" s="126">
        <f t="shared" si="6"/>
        <v>0.25</v>
      </c>
      <c r="H62" s="122" t="s">
        <v>1606</v>
      </c>
      <c r="I62" s="128">
        <v>59</v>
      </c>
      <c r="J62" s="129">
        <v>6</v>
      </c>
      <c r="K62" s="125">
        <f t="shared" si="0"/>
        <v>9</v>
      </c>
      <c r="L62" s="126">
        <f t="shared" si="1"/>
        <v>0.66666666666666663</v>
      </c>
      <c r="O62" s="122" t="s">
        <v>1607</v>
      </c>
      <c r="P62" s="128">
        <v>59</v>
      </c>
      <c r="Q62" s="123">
        <v>4</v>
      </c>
      <c r="R62" s="125">
        <f t="shared" si="2"/>
        <v>6</v>
      </c>
      <c r="S62" s="126">
        <f t="shared" si="3"/>
        <v>0.66666666666666663</v>
      </c>
      <c r="U62">
        <f t="shared" si="7"/>
        <v>6</v>
      </c>
      <c r="W62" s="128">
        <v>59</v>
      </c>
      <c r="X62" s="127">
        <f t="shared" si="8"/>
        <v>11</v>
      </c>
      <c r="Y62">
        <f t="shared" si="4"/>
        <v>15</v>
      </c>
    </row>
    <row r="63" spans="1:25" ht="15.95">
      <c r="A63" s="122" t="s">
        <v>1605</v>
      </c>
      <c r="B63" s="123">
        <v>60</v>
      </c>
      <c r="C63" s="124">
        <v>0</v>
      </c>
      <c r="D63" s="125">
        <f t="shared" si="5"/>
        <v>4</v>
      </c>
      <c r="E63" s="126">
        <f t="shared" si="6"/>
        <v>0</v>
      </c>
      <c r="H63" s="122" t="s">
        <v>1606</v>
      </c>
      <c r="I63" s="123">
        <v>60</v>
      </c>
      <c r="J63" s="124">
        <v>6</v>
      </c>
      <c r="K63" s="125">
        <f t="shared" si="0"/>
        <v>9</v>
      </c>
      <c r="L63" s="126">
        <f t="shared" si="1"/>
        <v>0.66666666666666663</v>
      </c>
      <c r="O63" s="122" t="s">
        <v>1607</v>
      </c>
      <c r="P63" s="123">
        <v>60</v>
      </c>
      <c r="Q63" s="123">
        <v>4</v>
      </c>
      <c r="R63" s="125">
        <f t="shared" si="2"/>
        <v>6</v>
      </c>
      <c r="S63" s="126">
        <f t="shared" si="3"/>
        <v>0.66666666666666663</v>
      </c>
      <c r="U63">
        <f t="shared" si="7"/>
        <v>6</v>
      </c>
      <c r="W63" s="123">
        <v>60</v>
      </c>
      <c r="X63" s="127">
        <f t="shared" si="8"/>
        <v>10</v>
      </c>
      <c r="Y63">
        <f t="shared" si="4"/>
        <v>15</v>
      </c>
    </row>
    <row r="64" spans="1:25" ht="15.95">
      <c r="A64" s="122" t="s">
        <v>1605</v>
      </c>
      <c r="B64" s="128">
        <v>61</v>
      </c>
      <c r="C64" s="129">
        <v>0</v>
      </c>
      <c r="D64" s="125">
        <f t="shared" si="5"/>
        <v>4</v>
      </c>
      <c r="E64" s="126">
        <f t="shared" si="6"/>
        <v>0</v>
      </c>
      <c r="H64" s="122" t="s">
        <v>1606</v>
      </c>
      <c r="I64" s="128">
        <v>61</v>
      </c>
      <c r="J64" s="129">
        <v>6</v>
      </c>
      <c r="K64" s="125">
        <f t="shared" si="0"/>
        <v>9</v>
      </c>
      <c r="L64" s="126">
        <f t="shared" si="1"/>
        <v>0.66666666666666663</v>
      </c>
      <c r="O64" s="122" t="s">
        <v>1607</v>
      </c>
      <c r="P64" s="128">
        <v>61</v>
      </c>
      <c r="Q64" s="123">
        <v>4</v>
      </c>
      <c r="R64" s="125">
        <f t="shared" si="2"/>
        <v>6</v>
      </c>
      <c r="S64" s="126">
        <f t="shared" si="3"/>
        <v>0.66666666666666663</v>
      </c>
      <c r="U64">
        <f t="shared" si="7"/>
        <v>6</v>
      </c>
      <c r="W64" s="128">
        <v>61</v>
      </c>
      <c r="X64" s="127">
        <f t="shared" si="8"/>
        <v>10</v>
      </c>
      <c r="Y64">
        <f t="shared" si="4"/>
        <v>15</v>
      </c>
    </row>
    <row r="65" spans="1:25" ht="15.95">
      <c r="A65" s="122" t="s">
        <v>1605</v>
      </c>
      <c r="B65" s="123">
        <v>62</v>
      </c>
      <c r="C65" s="124">
        <v>0</v>
      </c>
      <c r="D65" s="125">
        <f t="shared" si="5"/>
        <v>4</v>
      </c>
      <c r="E65" s="126">
        <f t="shared" si="6"/>
        <v>0</v>
      </c>
      <c r="H65" s="122" t="s">
        <v>1606</v>
      </c>
      <c r="I65" s="123">
        <v>62</v>
      </c>
      <c r="J65" s="124">
        <v>6</v>
      </c>
      <c r="K65" s="125">
        <f t="shared" si="0"/>
        <v>9</v>
      </c>
      <c r="L65" s="126">
        <f t="shared" si="1"/>
        <v>0.66666666666666663</v>
      </c>
      <c r="O65" s="122" t="s">
        <v>1607</v>
      </c>
      <c r="P65" s="123">
        <v>62</v>
      </c>
      <c r="Q65" s="123">
        <v>4</v>
      </c>
      <c r="R65" s="125">
        <f t="shared" si="2"/>
        <v>6</v>
      </c>
      <c r="S65" s="126">
        <f t="shared" si="3"/>
        <v>0.66666666666666663</v>
      </c>
      <c r="U65">
        <f t="shared" si="7"/>
        <v>6</v>
      </c>
      <c r="W65" s="123">
        <v>62</v>
      </c>
      <c r="X65" s="127">
        <f t="shared" si="8"/>
        <v>10</v>
      </c>
      <c r="Y65">
        <f t="shared" si="4"/>
        <v>15</v>
      </c>
    </row>
    <row r="66" spans="1:25" ht="15.95">
      <c r="A66" s="122" t="s">
        <v>1605</v>
      </c>
      <c r="B66" s="128">
        <v>63</v>
      </c>
      <c r="C66" s="129">
        <v>0</v>
      </c>
      <c r="D66" s="125">
        <f t="shared" si="5"/>
        <v>4</v>
      </c>
      <c r="E66" s="126">
        <f t="shared" si="6"/>
        <v>0</v>
      </c>
      <c r="H66" s="122" t="s">
        <v>1606</v>
      </c>
      <c r="I66" s="128">
        <v>63</v>
      </c>
      <c r="J66" s="129">
        <v>7</v>
      </c>
      <c r="K66" s="125">
        <f t="shared" si="0"/>
        <v>9</v>
      </c>
      <c r="L66" s="126">
        <f t="shared" si="1"/>
        <v>0.77777777777777779</v>
      </c>
      <c r="O66" s="122" t="s">
        <v>1607</v>
      </c>
      <c r="P66" s="128">
        <v>63</v>
      </c>
      <c r="Q66" s="123">
        <v>3</v>
      </c>
      <c r="R66" s="125">
        <f t="shared" si="2"/>
        <v>6</v>
      </c>
      <c r="S66" s="126">
        <f t="shared" si="3"/>
        <v>0.5</v>
      </c>
      <c r="U66">
        <f t="shared" si="7"/>
        <v>7</v>
      </c>
      <c r="W66" s="128">
        <v>63</v>
      </c>
      <c r="X66" s="127">
        <f t="shared" si="8"/>
        <v>10</v>
      </c>
      <c r="Y66">
        <f t="shared" si="4"/>
        <v>15</v>
      </c>
    </row>
    <row r="67" spans="1:25" ht="15.95">
      <c r="A67" s="122" t="s">
        <v>1605</v>
      </c>
      <c r="B67" s="123">
        <v>64</v>
      </c>
      <c r="C67" s="124">
        <v>1</v>
      </c>
      <c r="D67" s="125">
        <f t="shared" si="5"/>
        <v>4</v>
      </c>
      <c r="E67" s="126">
        <f t="shared" si="6"/>
        <v>0.25</v>
      </c>
      <c r="H67" s="122" t="s">
        <v>1606</v>
      </c>
      <c r="I67" s="123">
        <v>64</v>
      </c>
      <c r="J67" s="124">
        <v>6</v>
      </c>
      <c r="K67" s="125">
        <f t="shared" ref="K67:K98" si="9">MAX($J$3:$J$98)</f>
        <v>9</v>
      </c>
      <c r="L67" s="126">
        <f t="shared" ref="L67:L98" si="10">J67/K67</f>
        <v>0.66666666666666663</v>
      </c>
      <c r="O67" s="122" t="s">
        <v>1607</v>
      </c>
      <c r="P67" s="123">
        <v>64</v>
      </c>
      <c r="Q67" s="123">
        <v>4</v>
      </c>
      <c r="R67" s="125">
        <f t="shared" ref="R67:R98" si="11">MAX($Q$3:$Q$98)</f>
        <v>6</v>
      </c>
      <c r="S67" s="126">
        <f t="shared" ref="S67:S98" si="12">Q67/R67</f>
        <v>0.66666666666666663</v>
      </c>
      <c r="U67">
        <f t="shared" si="7"/>
        <v>6</v>
      </c>
      <c r="W67" s="123">
        <v>64</v>
      </c>
      <c r="X67" s="127">
        <f t="shared" si="8"/>
        <v>11</v>
      </c>
      <c r="Y67">
        <f t="shared" ref="Y67:Y98" si="13">MAX($X$3:$X$98)</f>
        <v>15</v>
      </c>
    </row>
    <row r="68" spans="1:25" ht="15.95">
      <c r="A68" s="122" t="s">
        <v>1605</v>
      </c>
      <c r="B68" s="128">
        <v>65</v>
      </c>
      <c r="C68" s="129">
        <v>1</v>
      </c>
      <c r="D68" s="125">
        <f t="shared" ref="D68:D98" si="14">MAX($C$3:$C$98)</f>
        <v>4</v>
      </c>
      <c r="E68" s="126">
        <f t="shared" ref="E68:E98" si="15">C68/D68</f>
        <v>0.25</v>
      </c>
      <c r="H68" s="122" t="s">
        <v>1606</v>
      </c>
      <c r="I68" s="128">
        <v>65</v>
      </c>
      <c r="J68" s="129">
        <v>6</v>
      </c>
      <c r="K68" s="125">
        <f t="shared" si="9"/>
        <v>9</v>
      </c>
      <c r="L68" s="126">
        <f t="shared" si="10"/>
        <v>0.66666666666666663</v>
      </c>
      <c r="O68" s="122" t="s">
        <v>1607</v>
      </c>
      <c r="P68" s="128">
        <v>65</v>
      </c>
      <c r="Q68" s="123">
        <v>5</v>
      </c>
      <c r="R68" s="125">
        <f t="shared" si="11"/>
        <v>6</v>
      </c>
      <c r="S68" s="126">
        <f t="shared" si="12"/>
        <v>0.83333333333333337</v>
      </c>
      <c r="U68">
        <f t="shared" ref="U68:U98" si="16">MAX(C68,J68,Q68)</f>
        <v>6</v>
      </c>
      <c r="W68" s="128">
        <v>65</v>
      </c>
      <c r="X68" s="127">
        <f t="shared" ref="X68:X98" si="17">SUM(C68,J68,Q68)</f>
        <v>12</v>
      </c>
      <c r="Y68">
        <f t="shared" si="13"/>
        <v>15</v>
      </c>
    </row>
    <row r="69" spans="1:25" ht="15.95">
      <c r="A69" s="122" t="s">
        <v>1605</v>
      </c>
      <c r="B69" s="123">
        <v>66</v>
      </c>
      <c r="C69" s="124">
        <v>1</v>
      </c>
      <c r="D69" s="125">
        <f t="shared" si="14"/>
        <v>4</v>
      </c>
      <c r="E69" s="126">
        <f t="shared" si="15"/>
        <v>0.25</v>
      </c>
      <c r="H69" s="122" t="s">
        <v>1606</v>
      </c>
      <c r="I69" s="123">
        <v>66</v>
      </c>
      <c r="J69" s="124">
        <v>6</v>
      </c>
      <c r="K69" s="125">
        <f t="shared" si="9"/>
        <v>9</v>
      </c>
      <c r="L69" s="126">
        <f t="shared" si="10"/>
        <v>0.66666666666666663</v>
      </c>
      <c r="O69" s="122" t="s">
        <v>1607</v>
      </c>
      <c r="P69" s="123">
        <v>66</v>
      </c>
      <c r="Q69" s="123">
        <v>5</v>
      </c>
      <c r="R69" s="125">
        <f t="shared" si="11"/>
        <v>6</v>
      </c>
      <c r="S69" s="126">
        <f t="shared" si="12"/>
        <v>0.83333333333333337</v>
      </c>
      <c r="U69">
        <f t="shared" si="16"/>
        <v>6</v>
      </c>
      <c r="W69" s="123">
        <v>66</v>
      </c>
      <c r="X69" s="127">
        <f t="shared" si="17"/>
        <v>12</v>
      </c>
      <c r="Y69">
        <f t="shared" si="13"/>
        <v>15</v>
      </c>
    </row>
    <row r="70" spans="1:25" ht="15.95">
      <c r="A70" s="122" t="s">
        <v>1605</v>
      </c>
      <c r="B70" s="128">
        <v>67</v>
      </c>
      <c r="C70" s="129">
        <v>1</v>
      </c>
      <c r="D70" s="125">
        <f t="shared" si="14"/>
        <v>4</v>
      </c>
      <c r="E70" s="126">
        <f t="shared" si="15"/>
        <v>0.25</v>
      </c>
      <c r="H70" s="122" t="s">
        <v>1606</v>
      </c>
      <c r="I70" s="128">
        <v>67</v>
      </c>
      <c r="J70" s="129">
        <v>7</v>
      </c>
      <c r="K70" s="125">
        <f t="shared" si="9"/>
        <v>9</v>
      </c>
      <c r="L70" s="126">
        <f t="shared" si="10"/>
        <v>0.77777777777777779</v>
      </c>
      <c r="O70" s="122" t="s">
        <v>1607</v>
      </c>
      <c r="P70" s="128">
        <v>67</v>
      </c>
      <c r="Q70" s="123">
        <v>5</v>
      </c>
      <c r="R70" s="125">
        <f t="shared" si="11"/>
        <v>6</v>
      </c>
      <c r="S70" s="126">
        <f t="shared" si="12"/>
        <v>0.83333333333333337</v>
      </c>
      <c r="U70">
        <f t="shared" si="16"/>
        <v>7</v>
      </c>
      <c r="W70" s="128">
        <v>67</v>
      </c>
      <c r="X70" s="127">
        <f t="shared" si="17"/>
        <v>13</v>
      </c>
      <c r="Y70">
        <f t="shared" si="13"/>
        <v>15</v>
      </c>
    </row>
    <row r="71" spans="1:25" ht="15.95">
      <c r="A71" s="122" t="s">
        <v>1605</v>
      </c>
      <c r="B71" s="123">
        <v>68</v>
      </c>
      <c r="C71" s="124">
        <v>1</v>
      </c>
      <c r="D71" s="125">
        <f t="shared" si="14"/>
        <v>4</v>
      </c>
      <c r="E71" s="126">
        <f t="shared" si="15"/>
        <v>0.25</v>
      </c>
      <c r="H71" s="122" t="s">
        <v>1606</v>
      </c>
      <c r="I71" s="123">
        <v>68</v>
      </c>
      <c r="J71" s="124">
        <v>8</v>
      </c>
      <c r="K71" s="125">
        <f t="shared" si="9"/>
        <v>9</v>
      </c>
      <c r="L71" s="126">
        <f t="shared" si="10"/>
        <v>0.88888888888888884</v>
      </c>
      <c r="O71" s="122" t="s">
        <v>1607</v>
      </c>
      <c r="P71" s="123">
        <v>68</v>
      </c>
      <c r="Q71" s="123">
        <v>5</v>
      </c>
      <c r="R71" s="125">
        <f t="shared" si="11"/>
        <v>6</v>
      </c>
      <c r="S71" s="126">
        <f t="shared" si="12"/>
        <v>0.83333333333333337</v>
      </c>
      <c r="U71">
        <f t="shared" si="16"/>
        <v>8</v>
      </c>
      <c r="W71" s="123">
        <v>68</v>
      </c>
      <c r="X71" s="127">
        <f t="shared" si="17"/>
        <v>14</v>
      </c>
      <c r="Y71">
        <f t="shared" si="13"/>
        <v>15</v>
      </c>
    </row>
    <row r="72" spans="1:25" ht="15.95">
      <c r="A72" s="122" t="s">
        <v>1605</v>
      </c>
      <c r="B72" s="128">
        <v>69</v>
      </c>
      <c r="C72" s="129">
        <v>1</v>
      </c>
      <c r="D72" s="125">
        <f t="shared" si="14"/>
        <v>4</v>
      </c>
      <c r="E72" s="126">
        <f t="shared" si="15"/>
        <v>0.25</v>
      </c>
      <c r="H72" s="122" t="s">
        <v>1606</v>
      </c>
      <c r="I72" s="128">
        <v>69</v>
      </c>
      <c r="J72" s="129">
        <v>9</v>
      </c>
      <c r="K72" s="125">
        <f t="shared" si="9"/>
        <v>9</v>
      </c>
      <c r="L72" s="126">
        <f t="shared" si="10"/>
        <v>1</v>
      </c>
      <c r="O72" s="122" t="s">
        <v>1607</v>
      </c>
      <c r="P72" s="128">
        <v>69</v>
      </c>
      <c r="Q72" s="123">
        <v>4</v>
      </c>
      <c r="R72" s="125">
        <f t="shared" si="11"/>
        <v>6</v>
      </c>
      <c r="S72" s="126">
        <f t="shared" si="12"/>
        <v>0.66666666666666663</v>
      </c>
      <c r="U72">
        <f t="shared" si="16"/>
        <v>9</v>
      </c>
      <c r="W72" s="128">
        <v>69</v>
      </c>
      <c r="X72" s="127">
        <f t="shared" si="17"/>
        <v>14</v>
      </c>
      <c r="Y72">
        <f t="shared" si="13"/>
        <v>15</v>
      </c>
    </row>
    <row r="73" spans="1:25" ht="15.95">
      <c r="A73" s="122" t="s">
        <v>1605</v>
      </c>
      <c r="B73" s="123">
        <v>70</v>
      </c>
      <c r="C73" s="124">
        <v>2</v>
      </c>
      <c r="D73" s="125">
        <f t="shared" si="14"/>
        <v>4</v>
      </c>
      <c r="E73" s="126">
        <f t="shared" si="15"/>
        <v>0.5</v>
      </c>
      <c r="H73" s="122" t="s">
        <v>1606</v>
      </c>
      <c r="I73" s="123">
        <v>70</v>
      </c>
      <c r="J73" s="124">
        <v>8</v>
      </c>
      <c r="K73" s="125">
        <f t="shared" si="9"/>
        <v>9</v>
      </c>
      <c r="L73" s="126">
        <f t="shared" si="10"/>
        <v>0.88888888888888884</v>
      </c>
      <c r="O73" s="122" t="s">
        <v>1607</v>
      </c>
      <c r="P73" s="123">
        <v>70</v>
      </c>
      <c r="Q73" s="123">
        <v>5</v>
      </c>
      <c r="R73" s="125">
        <f t="shared" si="11"/>
        <v>6</v>
      </c>
      <c r="S73" s="126">
        <f t="shared" si="12"/>
        <v>0.83333333333333337</v>
      </c>
      <c r="U73">
        <f t="shared" si="16"/>
        <v>8</v>
      </c>
      <c r="W73" s="123">
        <v>70</v>
      </c>
      <c r="X73" s="127">
        <f t="shared" si="17"/>
        <v>15</v>
      </c>
      <c r="Y73">
        <f t="shared" si="13"/>
        <v>15</v>
      </c>
    </row>
    <row r="74" spans="1:25" ht="15.95">
      <c r="A74" s="122" t="s">
        <v>1605</v>
      </c>
      <c r="B74" s="128">
        <v>71</v>
      </c>
      <c r="C74" s="129">
        <v>2</v>
      </c>
      <c r="D74" s="125">
        <f t="shared" si="14"/>
        <v>4</v>
      </c>
      <c r="E74" s="126">
        <f t="shared" si="15"/>
        <v>0.5</v>
      </c>
      <c r="H74" s="122" t="s">
        <v>1606</v>
      </c>
      <c r="I74" s="128">
        <v>71</v>
      </c>
      <c r="J74" s="129">
        <v>8</v>
      </c>
      <c r="K74" s="125">
        <f t="shared" si="9"/>
        <v>9</v>
      </c>
      <c r="L74" s="126">
        <f t="shared" si="10"/>
        <v>0.88888888888888884</v>
      </c>
      <c r="O74" s="122" t="s">
        <v>1607</v>
      </c>
      <c r="P74" s="128">
        <v>71</v>
      </c>
      <c r="Q74" s="123">
        <v>5</v>
      </c>
      <c r="R74" s="125">
        <f t="shared" si="11"/>
        <v>6</v>
      </c>
      <c r="S74" s="126">
        <f t="shared" si="12"/>
        <v>0.83333333333333337</v>
      </c>
      <c r="U74">
        <f t="shared" si="16"/>
        <v>8</v>
      </c>
      <c r="W74" s="128">
        <v>71</v>
      </c>
      <c r="X74" s="127">
        <f t="shared" si="17"/>
        <v>15</v>
      </c>
      <c r="Y74">
        <f t="shared" si="13"/>
        <v>15</v>
      </c>
    </row>
    <row r="75" spans="1:25" ht="15.95">
      <c r="A75" s="122" t="s">
        <v>1605</v>
      </c>
      <c r="B75" s="123">
        <v>72</v>
      </c>
      <c r="C75" s="124">
        <v>2</v>
      </c>
      <c r="D75" s="125">
        <f t="shared" si="14"/>
        <v>4</v>
      </c>
      <c r="E75" s="126">
        <f t="shared" si="15"/>
        <v>0.5</v>
      </c>
      <c r="H75" s="122" t="s">
        <v>1606</v>
      </c>
      <c r="I75" s="123">
        <v>72</v>
      </c>
      <c r="J75" s="124">
        <v>8</v>
      </c>
      <c r="K75" s="125">
        <f t="shared" si="9"/>
        <v>9</v>
      </c>
      <c r="L75" s="126">
        <f t="shared" si="10"/>
        <v>0.88888888888888884</v>
      </c>
      <c r="O75" s="122" t="s">
        <v>1607</v>
      </c>
      <c r="P75" s="123">
        <v>72</v>
      </c>
      <c r="Q75" s="123">
        <v>4</v>
      </c>
      <c r="R75" s="125">
        <f t="shared" si="11"/>
        <v>6</v>
      </c>
      <c r="S75" s="126">
        <f t="shared" si="12"/>
        <v>0.66666666666666663</v>
      </c>
      <c r="U75">
        <f t="shared" si="16"/>
        <v>8</v>
      </c>
      <c r="W75" s="123">
        <v>72</v>
      </c>
      <c r="X75" s="127">
        <f t="shared" si="17"/>
        <v>14</v>
      </c>
      <c r="Y75">
        <f t="shared" si="13"/>
        <v>15</v>
      </c>
    </row>
    <row r="76" spans="1:25" ht="15.95">
      <c r="A76" s="122" t="s">
        <v>1605</v>
      </c>
      <c r="B76" s="128">
        <v>73</v>
      </c>
      <c r="C76" s="129">
        <v>2</v>
      </c>
      <c r="D76" s="125">
        <f t="shared" si="14"/>
        <v>4</v>
      </c>
      <c r="E76" s="126">
        <f t="shared" si="15"/>
        <v>0.5</v>
      </c>
      <c r="H76" s="122" t="s">
        <v>1606</v>
      </c>
      <c r="I76" s="128">
        <v>73</v>
      </c>
      <c r="J76" s="129">
        <v>8</v>
      </c>
      <c r="K76" s="125">
        <f t="shared" si="9"/>
        <v>9</v>
      </c>
      <c r="L76" s="126">
        <f t="shared" si="10"/>
        <v>0.88888888888888884</v>
      </c>
      <c r="O76" s="122" t="s">
        <v>1607</v>
      </c>
      <c r="P76" s="128">
        <v>73</v>
      </c>
      <c r="Q76" s="123">
        <v>4</v>
      </c>
      <c r="R76" s="125">
        <f t="shared" si="11"/>
        <v>6</v>
      </c>
      <c r="S76" s="126">
        <f t="shared" si="12"/>
        <v>0.66666666666666663</v>
      </c>
      <c r="U76">
        <f t="shared" si="16"/>
        <v>8</v>
      </c>
      <c r="W76" s="128">
        <v>73</v>
      </c>
      <c r="X76" s="127">
        <f t="shared" si="17"/>
        <v>14</v>
      </c>
      <c r="Y76">
        <f t="shared" si="13"/>
        <v>15</v>
      </c>
    </row>
    <row r="77" spans="1:25" ht="15.95">
      <c r="A77" s="122" t="s">
        <v>1605</v>
      </c>
      <c r="B77" s="123">
        <v>74</v>
      </c>
      <c r="C77" s="124">
        <v>2</v>
      </c>
      <c r="D77" s="125">
        <f t="shared" si="14"/>
        <v>4</v>
      </c>
      <c r="E77" s="126">
        <f t="shared" si="15"/>
        <v>0.5</v>
      </c>
      <c r="H77" s="122" t="s">
        <v>1606</v>
      </c>
      <c r="I77" s="123">
        <v>74</v>
      </c>
      <c r="J77" s="124">
        <v>8</v>
      </c>
      <c r="K77" s="125">
        <f t="shared" si="9"/>
        <v>9</v>
      </c>
      <c r="L77" s="126">
        <f t="shared" si="10"/>
        <v>0.88888888888888884</v>
      </c>
      <c r="O77" s="122" t="s">
        <v>1607</v>
      </c>
      <c r="P77" s="123">
        <v>74</v>
      </c>
      <c r="Q77" s="123">
        <v>4</v>
      </c>
      <c r="R77" s="125">
        <f t="shared" si="11"/>
        <v>6</v>
      </c>
      <c r="S77" s="126">
        <f t="shared" si="12"/>
        <v>0.66666666666666663</v>
      </c>
      <c r="U77">
        <f t="shared" si="16"/>
        <v>8</v>
      </c>
      <c r="W77" s="123">
        <v>74</v>
      </c>
      <c r="X77" s="127">
        <f t="shared" si="17"/>
        <v>14</v>
      </c>
      <c r="Y77">
        <f t="shared" si="13"/>
        <v>15</v>
      </c>
    </row>
    <row r="78" spans="1:25" ht="15.95">
      <c r="A78" s="122" t="s">
        <v>1605</v>
      </c>
      <c r="B78" s="128">
        <v>75</v>
      </c>
      <c r="C78" s="129">
        <v>2</v>
      </c>
      <c r="D78" s="125">
        <f t="shared" si="14"/>
        <v>4</v>
      </c>
      <c r="E78" s="126">
        <f t="shared" si="15"/>
        <v>0.5</v>
      </c>
      <c r="H78" s="122" t="s">
        <v>1606</v>
      </c>
      <c r="I78" s="128">
        <v>75</v>
      </c>
      <c r="J78" s="129">
        <v>8</v>
      </c>
      <c r="K78" s="125">
        <f t="shared" si="9"/>
        <v>9</v>
      </c>
      <c r="L78" s="126">
        <f t="shared" si="10"/>
        <v>0.88888888888888884</v>
      </c>
      <c r="O78" s="122" t="s">
        <v>1607</v>
      </c>
      <c r="P78" s="128">
        <v>75</v>
      </c>
      <c r="Q78" s="123">
        <v>3</v>
      </c>
      <c r="R78" s="125">
        <f t="shared" si="11"/>
        <v>6</v>
      </c>
      <c r="S78" s="126">
        <f t="shared" si="12"/>
        <v>0.5</v>
      </c>
      <c r="U78">
        <f t="shared" si="16"/>
        <v>8</v>
      </c>
      <c r="W78" s="128">
        <v>75</v>
      </c>
      <c r="X78" s="127">
        <f t="shared" si="17"/>
        <v>13</v>
      </c>
      <c r="Y78">
        <f t="shared" si="13"/>
        <v>15</v>
      </c>
    </row>
    <row r="79" spans="1:25" ht="15.95">
      <c r="A79" s="122" t="s">
        <v>1605</v>
      </c>
      <c r="B79" s="123">
        <v>76</v>
      </c>
      <c r="C79" s="124">
        <v>2</v>
      </c>
      <c r="D79" s="125">
        <f t="shared" si="14"/>
        <v>4</v>
      </c>
      <c r="E79" s="126">
        <f t="shared" si="15"/>
        <v>0.5</v>
      </c>
      <c r="H79" s="122" t="s">
        <v>1606</v>
      </c>
      <c r="I79" s="123">
        <v>76</v>
      </c>
      <c r="J79" s="124">
        <v>7</v>
      </c>
      <c r="K79" s="125">
        <f t="shared" si="9"/>
        <v>9</v>
      </c>
      <c r="L79" s="126">
        <f t="shared" si="10"/>
        <v>0.77777777777777779</v>
      </c>
      <c r="O79" s="122" t="s">
        <v>1607</v>
      </c>
      <c r="P79" s="123">
        <v>76</v>
      </c>
      <c r="Q79" s="123">
        <v>5</v>
      </c>
      <c r="R79" s="125">
        <f t="shared" si="11"/>
        <v>6</v>
      </c>
      <c r="S79" s="126">
        <f t="shared" si="12"/>
        <v>0.83333333333333337</v>
      </c>
      <c r="U79">
        <f t="shared" si="16"/>
        <v>7</v>
      </c>
      <c r="W79" s="123">
        <v>76</v>
      </c>
      <c r="X79" s="127">
        <f t="shared" si="17"/>
        <v>14</v>
      </c>
      <c r="Y79">
        <f t="shared" si="13"/>
        <v>15</v>
      </c>
    </row>
    <row r="80" spans="1:25" ht="15.95">
      <c r="A80" s="122" t="s">
        <v>1605</v>
      </c>
      <c r="B80" s="128">
        <v>77</v>
      </c>
      <c r="C80" s="129">
        <v>2</v>
      </c>
      <c r="D80" s="125">
        <f t="shared" si="14"/>
        <v>4</v>
      </c>
      <c r="E80" s="126">
        <f t="shared" si="15"/>
        <v>0.5</v>
      </c>
      <c r="H80" s="122" t="s">
        <v>1606</v>
      </c>
      <c r="I80" s="128">
        <v>77</v>
      </c>
      <c r="J80" s="129">
        <v>6</v>
      </c>
      <c r="K80" s="125">
        <f t="shared" si="9"/>
        <v>9</v>
      </c>
      <c r="L80" s="126">
        <f t="shared" si="10"/>
        <v>0.66666666666666663</v>
      </c>
      <c r="O80" s="122" t="s">
        <v>1607</v>
      </c>
      <c r="P80" s="128">
        <v>77</v>
      </c>
      <c r="Q80" s="123">
        <v>4</v>
      </c>
      <c r="R80" s="125">
        <f t="shared" si="11"/>
        <v>6</v>
      </c>
      <c r="S80" s="126">
        <f t="shared" si="12"/>
        <v>0.66666666666666663</v>
      </c>
      <c r="U80">
        <f t="shared" si="16"/>
        <v>6</v>
      </c>
      <c r="W80" s="128">
        <v>77</v>
      </c>
      <c r="X80" s="127">
        <f t="shared" si="17"/>
        <v>12</v>
      </c>
      <c r="Y80">
        <f t="shared" si="13"/>
        <v>15</v>
      </c>
    </row>
    <row r="81" spans="1:25" ht="15.95">
      <c r="A81" s="122" t="s">
        <v>1605</v>
      </c>
      <c r="B81" s="123">
        <v>78</v>
      </c>
      <c r="C81" s="124">
        <v>2</v>
      </c>
      <c r="D81" s="125">
        <f t="shared" si="14"/>
        <v>4</v>
      </c>
      <c r="E81" s="126">
        <f t="shared" si="15"/>
        <v>0.5</v>
      </c>
      <c r="H81" s="122" t="s">
        <v>1606</v>
      </c>
      <c r="I81" s="123">
        <v>78</v>
      </c>
      <c r="J81" s="124">
        <v>7</v>
      </c>
      <c r="K81" s="125">
        <f t="shared" si="9"/>
        <v>9</v>
      </c>
      <c r="L81" s="126">
        <f t="shared" si="10"/>
        <v>0.77777777777777779</v>
      </c>
      <c r="O81" s="122" t="s">
        <v>1607</v>
      </c>
      <c r="P81" s="123">
        <v>78</v>
      </c>
      <c r="Q81" s="123">
        <v>3</v>
      </c>
      <c r="R81" s="125">
        <f t="shared" si="11"/>
        <v>6</v>
      </c>
      <c r="S81" s="126">
        <f t="shared" si="12"/>
        <v>0.5</v>
      </c>
      <c r="U81">
        <f t="shared" si="16"/>
        <v>7</v>
      </c>
      <c r="W81" s="123">
        <v>78</v>
      </c>
      <c r="X81" s="127">
        <f t="shared" si="17"/>
        <v>12</v>
      </c>
      <c r="Y81">
        <f t="shared" si="13"/>
        <v>15</v>
      </c>
    </row>
    <row r="82" spans="1:25" ht="15.95">
      <c r="A82" s="122" t="s">
        <v>1605</v>
      </c>
      <c r="B82" s="128">
        <v>79</v>
      </c>
      <c r="C82" s="129">
        <v>2</v>
      </c>
      <c r="D82" s="125">
        <f t="shared" si="14"/>
        <v>4</v>
      </c>
      <c r="E82" s="126">
        <f t="shared" si="15"/>
        <v>0.5</v>
      </c>
      <c r="H82" s="122" t="s">
        <v>1606</v>
      </c>
      <c r="I82" s="128">
        <v>79</v>
      </c>
      <c r="J82" s="129">
        <v>7</v>
      </c>
      <c r="K82" s="125">
        <f t="shared" si="9"/>
        <v>9</v>
      </c>
      <c r="L82" s="126">
        <f t="shared" si="10"/>
        <v>0.77777777777777779</v>
      </c>
      <c r="O82" s="122" t="s">
        <v>1607</v>
      </c>
      <c r="P82" s="128">
        <v>79</v>
      </c>
      <c r="Q82" s="123">
        <v>3</v>
      </c>
      <c r="R82" s="125">
        <f t="shared" si="11"/>
        <v>6</v>
      </c>
      <c r="S82" s="126">
        <f t="shared" si="12"/>
        <v>0.5</v>
      </c>
      <c r="U82">
        <f t="shared" si="16"/>
        <v>7</v>
      </c>
      <c r="W82" s="128">
        <v>79</v>
      </c>
      <c r="X82" s="127">
        <f t="shared" si="17"/>
        <v>12</v>
      </c>
      <c r="Y82">
        <f t="shared" si="13"/>
        <v>15</v>
      </c>
    </row>
    <row r="83" spans="1:25" ht="15.95">
      <c r="A83" s="122" t="s">
        <v>1605</v>
      </c>
      <c r="B83" s="123">
        <v>80</v>
      </c>
      <c r="C83" s="124">
        <v>2</v>
      </c>
      <c r="D83" s="125">
        <f t="shared" si="14"/>
        <v>4</v>
      </c>
      <c r="E83" s="126">
        <f t="shared" si="15"/>
        <v>0.5</v>
      </c>
      <c r="H83" s="122" t="s">
        <v>1606</v>
      </c>
      <c r="I83" s="123">
        <v>80</v>
      </c>
      <c r="J83" s="124">
        <v>5</v>
      </c>
      <c r="K83" s="125">
        <f t="shared" si="9"/>
        <v>9</v>
      </c>
      <c r="L83" s="126">
        <f t="shared" si="10"/>
        <v>0.55555555555555558</v>
      </c>
      <c r="O83" s="122" t="s">
        <v>1607</v>
      </c>
      <c r="P83" s="123">
        <v>80</v>
      </c>
      <c r="Q83" s="123">
        <v>5</v>
      </c>
      <c r="R83" s="125">
        <f t="shared" si="11"/>
        <v>6</v>
      </c>
      <c r="S83" s="126">
        <f t="shared" si="12"/>
        <v>0.83333333333333337</v>
      </c>
      <c r="U83">
        <f t="shared" si="16"/>
        <v>5</v>
      </c>
      <c r="W83" s="123">
        <v>80</v>
      </c>
      <c r="X83" s="127">
        <f t="shared" si="17"/>
        <v>12</v>
      </c>
      <c r="Y83">
        <f t="shared" si="13"/>
        <v>15</v>
      </c>
    </row>
    <row r="84" spans="1:25" ht="15.95">
      <c r="A84" s="122" t="s">
        <v>1605</v>
      </c>
      <c r="B84" s="128">
        <v>81</v>
      </c>
      <c r="C84" s="129">
        <v>2</v>
      </c>
      <c r="D84" s="125">
        <f t="shared" si="14"/>
        <v>4</v>
      </c>
      <c r="E84" s="126">
        <f t="shared" si="15"/>
        <v>0.5</v>
      </c>
      <c r="H84" s="122" t="s">
        <v>1606</v>
      </c>
      <c r="I84" s="128">
        <v>81</v>
      </c>
      <c r="J84" s="129">
        <v>4</v>
      </c>
      <c r="K84" s="125">
        <f t="shared" si="9"/>
        <v>9</v>
      </c>
      <c r="L84" s="126">
        <f t="shared" si="10"/>
        <v>0.44444444444444442</v>
      </c>
      <c r="O84" s="122" t="s">
        <v>1607</v>
      </c>
      <c r="P84" s="128">
        <v>81</v>
      </c>
      <c r="Q84" s="123">
        <v>5</v>
      </c>
      <c r="R84" s="125">
        <f t="shared" si="11"/>
        <v>6</v>
      </c>
      <c r="S84" s="126">
        <f t="shared" si="12"/>
        <v>0.83333333333333337</v>
      </c>
      <c r="U84">
        <f t="shared" si="16"/>
        <v>5</v>
      </c>
      <c r="W84" s="128">
        <v>81</v>
      </c>
      <c r="X84" s="127">
        <f t="shared" si="17"/>
        <v>11</v>
      </c>
      <c r="Y84">
        <f t="shared" si="13"/>
        <v>15</v>
      </c>
    </row>
    <row r="85" spans="1:25" ht="15.95">
      <c r="A85" s="122" t="s">
        <v>1605</v>
      </c>
      <c r="B85" s="123">
        <v>82</v>
      </c>
      <c r="C85" s="124">
        <v>2</v>
      </c>
      <c r="D85" s="125">
        <f t="shared" si="14"/>
        <v>4</v>
      </c>
      <c r="E85" s="126">
        <f t="shared" si="15"/>
        <v>0.5</v>
      </c>
      <c r="H85" s="122" t="s">
        <v>1606</v>
      </c>
      <c r="I85" s="123">
        <v>82</v>
      </c>
      <c r="J85" s="124">
        <v>4</v>
      </c>
      <c r="K85" s="125">
        <f t="shared" si="9"/>
        <v>9</v>
      </c>
      <c r="L85" s="126">
        <f t="shared" si="10"/>
        <v>0.44444444444444442</v>
      </c>
      <c r="O85" s="122" t="s">
        <v>1607</v>
      </c>
      <c r="P85" s="123">
        <v>82</v>
      </c>
      <c r="Q85" s="123">
        <v>4</v>
      </c>
      <c r="R85" s="125">
        <f t="shared" si="11"/>
        <v>6</v>
      </c>
      <c r="S85" s="126">
        <f t="shared" si="12"/>
        <v>0.66666666666666663</v>
      </c>
      <c r="U85">
        <f t="shared" si="16"/>
        <v>4</v>
      </c>
      <c r="W85" s="123">
        <v>82</v>
      </c>
      <c r="X85" s="127">
        <f t="shared" si="17"/>
        <v>10</v>
      </c>
      <c r="Y85">
        <f t="shared" si="13"/>
        <v>15</v>
      </c>
    </row>
    <row r="86" spans="1:25" ht="15.95">
      <c r="A86" s="122" t="s">
        <v>1605</v>
      </c>
      <c r="B86" s="128">
        <v>83</v>
      </c>
      <c r="C86" s="129">
        <v>2</v>
      </c>
      <c r="D86" s="125">
        <f t="shared" si="14"/>
        <v>4</v>
      </c>
      <c r="E86" s="126">
        <f t="shared" si="15"/>
        <v>0.5</v>
      </c>
      <c r="H86" s="122" t="s">
        <v>1606</v>
      </c>
      <c r="I86" s="128">
        <v>83</v>
      </c>
      <c r="J86" s="129">
        <v>5</v>
      </c>
      <c r="K86" s="125">
        <f t="shared" si="9"/>
        <v>9</v>
      </c>
      <c r="L86" s="126">
        <f t="shared" si="10"/>
        <v>0.55555555555555558</v>
      </c>
      <c r="O86" s="122" t="s">
        <v>1607</v>
      </c>
      <c r="P86" s="128">
        <v>83</v>
      </c>
      <c r="Q86" s="123">
        <v>4</v>
      </c>
      <c r="R86" s="125">
        <f t="shared" si="11"/>
        <v>6</v>
      </c>
      <c r="S86" s="126">
        <f t="shared" si="12"/>
        <v>0.66666666666666663</v>
      </c>
      <c r="U86">
        <f t="shared" si="16"/>
        <v>5</v>
      </c>
      <c r="W86" s="128">
        <v>83</v>
      </c>
      <c r="X86" s="127">
        <f t="shared" si="17"/>
        <v>11</v>
      </c>
      <c r="Y86">
        <f t="shared" si="13"/>
        <v>15</v>
      </c>
    </row>
    <row r="87" spans="1:25" ht="15.95">
      <c r="A87" s="122" t="s">
        <v>1605</v>
      </c>
      <c r="B87" s="123">
        <v>84</v>
      </c>
      <c r="C87" s="124">
        <v>2</v>
      </c>
      <c r="D87" s="125">
        <f t="shared" si="14"/>
        <v>4</v>
      </c>
      <c r="E87" s="126">
        <f t="shared" si="15"/>
        <v>0.5</v>
      </c>
      <c r="H87" s="122" t="s">
        <v>1606</v>
      </c>
      <c r="I87" s="123">
        <v>84</v>
      </c>
      <c r="J87" s="124">
        <v>4</v>
      </c>
      <c r="K87" s="125">
        <f t="shared" si="9"/>
        <v>9</v>
      </c>
      <c r="L87" s="126">
        <f t="shared" si="10"/>
        <v>0.44444444444444442</v>
      </c>
      <c r="O87" s="122" t="s">
        <v>1607</v>
      </c>
      <c r="P87" s="123">
        <v>84</v>
      </c>
      <c r="Q87" s="123">
        <v>4</v>
      </c>
      <c r="R87" s="125">
        <f t="shared" si="11"/>
        <v>6</v>
      </c>
      <c r="S87" s="126">
        <f t="shared" si="12"/>
        <v>0.66666666666666663</v>
      </c>
      <c r="U87">
        <f t="shared" si="16"/>
        <v>4</v>
      </c>
      <c r="W87" s="123">
        <v>84</v>
      </c>
      <c r="X87" s="127">
        <f t="shared" si="17"/>
        <v>10</v>
      </c>
      <c r="Y87">
        <f t="shared" si="13"/>
        <v>15</v>
      </c>
    </row>
    <row r="88" spans="1:25" ht="15.95">
      <c r="A88" s="122" t="s">
        <v>1605</v>
      </c>
      <c r="B88" s="128">
        <v>85</v>
      </c>
      <c r="C88" s="129">
        <v>2</v>
      </c>
      <c r="D88" s="125">
        <f t="shared" si="14"/>
        <v>4</v>
      </c>
      <c r="E88" s="126">
        <f t="shared" si="15"/>
        <v>0.5</v>
      </c>
      <c r="H88" s="122" t="s">
        <v>1606</v>
      </c>
      <c r="I88" s="128">
        <v>85</v>
      </c>
      <c r="J88" s="129">
        <v>3</v>
      </c>
      <c r="K88" s="125">
        <f t="shared" si="9"/>
        <v>9</v>
      </c>
      <c r="L88" s="126">
        <f t="shared" si="10"/>
        <v>0.33333333333333331</v>
      </c>
      <c r="O88" s="122" t="s">
        <v>1607</v>
      </c>
      <c r="P88" s="128">
        <v>85</v>
      </c>
      <c r="Q88" s="123">
        <v>4</v>
      </c>
      <c r="R88" s="125">
        <f t="shared" si="11"/>
        <v>6</v>
      </c>
      <c r="S88" s="126">
        <f t="shared" si="12"/>
        <v>0.66666666666666663</v>
      </c>
      <c r="U88">
        <f t="shared" si="16"/>
        <v>4</v>
      </c>
      <c r="W88" s="128">
        <v>85</v>
      </c>
      <c r="X88" s="127">
        <f t="shared" si="17"/>
        <v>9</v>
      </c>
      <c r="Y88">
        <f t="shared" si="13"/>
        <v>15</v>
      </c>
    </row>
    <row r="89" spans="1:25" ht="15.95">
      <c r="A89" s="122" t="s">
        <v>1605</v>
      </c>
      <c r="B89" s="123">
        <v>86</v>
      </c>
      <c r="C89" s="124">
        <v>1</v>
      </c>
      <c r="D89" s="125">
        <f t="shared" si="14"/>
        <v>4</v>
      </c>
      <c r="E89" s="126">
        <f t="shared" si="15"/>
        <v>0.25</v>
      </c>
      <c r="H89" s="122" t="s">
        <v>1606</v>
      </c>
      <c r="I89" s="123">
        <v>86</v>
      </c>
      <c r="J89" s="124">
        <v>3</v>
      </c>
      <c r="K89" s="125">
        <f t="shared" si="9"/>
        <v>9</v>
      </c>
      <c r="L89" s="126">
        <f t="shared" si="10"/>
        <v>0.33333333333333331</v>
      </c>
      <c r="O89" s="122" t="s">
        <v>1607</v>
      </c>
      <c r="P89" s="123">
        <v>86</v>
      </c>
      <c r="Q89" s="123">
        <v>4</v>
      </c>
      <c r="R89" s="125">
        <f t="shared" si="11"/>
        <v>6</v>
      </c>
      <c r="S89" s="126">
        <f t="shared" si="12"/>
        <v>0.66666666666666663</v>
      </c>
      <c r="U89">
        <f t="shared" si="16"/>
        <v>4</v>
      </c>
      <c r="W89" s="123">
        <v>86</v>
      </c>
      <c r="X89" s="127">
        <f t="shared" si="17"/>
        <v>8</v>
      </c>
      <c r="Y89">
        <f t="shared" si="13"/>
        <v>15</v>
      </c>
    </row>
    <row r="90" spans="1:25" ht="15.95">
      <c r="A90" s="122" t="s">
        <v>1605</v>
      </c>
      <c r="B90" s="128">
        <v>87</v>
      </c>
      <c r="C90" s="129">
        <v>2</v>
      </c>
      <c r="D90" s="125">
        <f t="shared" si="14"/>
        <v>4</v>
      </c>
      <c r="E90" s="126">
        <f t="shared" si="15"/>
        <v>0.5</v>
      </c>
      <c r="H90" s="122" t="s">
        <v>1606</v>
      </c>
      <c r="I90" s="128">
        <v>87</v>
      </c>
      <c r="J90" s="129">
        <v>3</v>
      </c>
      <c r="K90" s="125">
        <f t="shared" si="9"/>
        <v>9</v>
      </c>
      <c r="L90" s="126">
        <f t="shared" si="10"/>
        <v>0.33333333333333331</v>
      </c>
      <c r="O90" s="122" t="s">
        <v>1607</v>
      </c>
      <c r="P90" s="128">
        <v>87</v>
      </c>
      <c r="Q90" s="123">
        <v>4</v>
      </c>
      <c r="R90" s="125">
        <f t="shared" si="11"/>
        <v>6</v>
      </c>
      <c r="S90" s="126">
        <f t="shared" si="12"/>
        <v>0.66666666666666663</v>
      </c>
      <c r="U90">
        <f t="shared" si="16"/>
        <v>4</v>
      </c>
      <c r="W90" s="128">
        <v>87</v>
      </c>
      <c r="X90" s="127">
        <f t="shared" si="17"/>
        <v>9</v>
      </c>
      <c r="Y90">
        <f t="shared" si="13"/>
        <v>15</v>
      </c>
    </row>
    <row r="91" spans="1:25" ht="15.95">
      <c r="A91" s="122" t="s">
        <v>1605</v>
      </c>
      <c r="B91" s="123">
        <v>88</v>
      </c>
      <c r="C91" s="124">
        <v>2</v>
      </c>
      <c r="D91" s="125">
        <f t="shared" si="14"/>
        <v>4</v>
      </c>
      <c r="E91" s="126">
        <f t="shared" si="15"/>
        <v>0.5</v>
      </c>
      <c r="H91" s="122" t="s">
        <v>1606</v>
      </c>
      <c r="I91" s="123">
        <v>88</v>
      </c>
      <c r="J91" s="124">
        <v>3</v>
      </c>
      <c r="K91" s="125">
        <f t="shared" si="9"/>
        <v>9</v>
      </c>
      <c r="L91" s="126">
        <f t="shared" si="10"/>
        <v>0.33333333333333331</v>
      </c>
      <c r="O91" s="122" t="s">
        <v>1607</v>
      </c>
      <c r="P91" s="123">
        <v>88</v>
      </c>
      <c r="Q91" s="123">
        <v>5</v>
      </c>
      <c r="R91" s="125">
        <f t="shared" si="11"/>
        <v>6</v>
      </c>
      <c r="S91" s="126">
        <f t="shared" si="12"/>
        <v>0.83333333333333337</v>
      </c>
      <c r="U91">
        <f t="shared" si="16"/>
        <v>5</v>
      </c>
      <c r="W91" s="123">
        <v>88</v>
      </c>
      <c r="X91" s="127">
        <f t="shared" si="17"/>
        <v>10</v>
      </c>
      <c r="Y91">
        <f t="shared" si="13"/>
        <v>15</v>
      </c>
    </row>
    <row r="92" spans="1:25" ht="15.95">
      <c r="A92" s="122" t="s">
        <v>1605</v>
      </c>
      <c r="B92" s="128">
        <v>89</v>
      </c>
      <c r="C92" s="129">
        <v>2</v>
      </c>
      <c r="D92" s="125">
        <f t="shared" si="14"/>
        <v>4</v>
      </c>
      <c r="E92" s="126">
        <f t="shared" si="15"/>
        <v>0.5</v>
      </c>
      <c r="H92" s="122" t="s">
        <v>1606</v>
      </c>
      <c r="I92" s="128">
        <v>89</v>
      </c>
      <c r="J92" s="129">
        <v>2</v>
      </c>
      <c r="K92" s="125">
        <f t="shared" si="9"/>
        <v>9</v>
      </c>
      <c r="L92" s="126">
        <f t="shared" si="10"/>
        <v>0.22222222222222221</v>
      </c>
      <c r="O92" s="122" t="s">
        <v>1607</v>
      </c>
      <c r="P92" s="128">
        <v>89</v>
      </c>
      <c r="Q92" s="123">
        <v>6</v>
      </c>
      <c r="R92" s="125">
        <f t="shared" si="11"/>
        <v>6</v>
      </c>
      <c r="S92" s="126">
        <f t="shared" si="12"/>
        <v>1</v>
      </c>
      <c r="U92">
        <f t="shared" si="16"/>
        <v>6</v>
      </c>
      <c r="W92" s="128">
        <v>89</v>
      </c>
      <c r="X92" s="127">
        <f t="shared" si="17"/>
        <v>10</v>
      </c>
      <c r="Y92">
        <f t="shared" si="13"/>
        <v>15</v>
      </c>
    </row>
    <row r="93" spans="1:25" ht="15.95">
      <c r="A93" s="122" t="s">
        <v>1605</v>
      </c>
      <c r="B93" s="123">
        <v>90</v>
      </c>
      <c r="C93" s="124">
        <v>2</v>
      </c>
      <c r="D93" s="125">
        <f t="shared" si="14"/>
        <v>4</v>
      </c>
      <c r="E93" s="126">
        <f t="shared" si="15"/>
        <v>0.5</v>
      </c>
      <c r="H93" s="122" t="s">
        <v>1606</v>
      </c>
      <c r="I93" s="123">
        <v>90</v>
      </c>
      <c r="J93" s="124">
        <v>2</v>
      </c>
      <c r="K93" s="125">
        <f t="shared" si="9"/>
        <v>9</v>
      </c>
      <c r="L93" s="126">
        <f t="shared" si="10"/>
        <v>0.22222222222222221</v>
      </c>
      <c r="O93" s="122" t="s">
        <v>1607</v>
      </c>
      <c r="P93" s="123">
        <v>90</v>
      </c>
      <c r="Q93" s="123">
        <v>4</v>
      </c>
      <c r="R93" s="125">
        <f t="shared" si="11"/>
        <v>6</v>
      </c>
      <c r="S93" s="126">
        <f t="shared" si="12"/>
        <v>0.66666666666666663</v>
      </c>
      <c r="U93">
        <f t="shared" si="16"/>
        <v>4</v>
      </c>
      <c r="W93" s="123">
        <v>90</v>
      </c>
      <c r="X93" s="127">
        <f t="shared" si="17"/>
        <v>8</v>
      </c>
      <c r="Y93">
        <f t="shared" si="13"/>
        <v>15</v>
      </c>
    </row>
    <row r="94" spans="1:25" ht="15.95">
      <c r="A94" s="122" t="s">
        <v>1605</v>
      </c>
      <c r="B94" s="128">
        <v>91</v>
      </c>
      <c r="C94" s="129">
        <v>2</v>
      </c>
      <c r="D94" s="125">
        <f t="shared" si="14"/>
        <v>4</v>
      </c>
      <c r="E94" s="126">
        <f t="shared" si="15"/>
        <v>0.5</v>
      </c>
      <c r="H94" s="122" t="s">
        <v>1606</v>
      </c>
      <c r="I94" s="128">
        <v>91</v>
      </c>
      <c r="J94" s="129">
        <v>2</v>
      </c>
      <c r="K94" s="125">
        <f t="shared" si="9"/>
        <v>9</v>
      </c>
      <c r="L94" s="126">
        <f t="shared" si="10"/>
        <v>0.22222222222222221</v>
      </c>
      <c r="O94" s="122" t="s">
        <v>1607</v>
      </c>
      <c r="P94" s="128">
        <v>91</v>
      </c>
      <c r="Q94" s="123">
        <v>4</v>
      </c>
      <c r="R94" s="125">
        <f t="shared" si="11"/>
        <v>6</v>
      </c>
      <c r="S94" s="126">
        <f t="shared" si="12"/>
        <v>0.66666666666666663</v>
      </c>
      <c r="U94">
        <f t="shared" si="16"/>
        <v>4</v>
      </c>
      <c r="W94" s="128">
        <v>91</v>
      </c>
      <c r="X94" s="127">
        <f t="shared" si="17"/>
        <v>8</v>
      </c>
      <c r="Y94">
        <f t="shared" si="13"/>
        <v>15</v>
      </c>
    </row>
    <row r="95" spans="1:25" ht="15.95">
      <c r="A95" s="122" t="s">
        <v>1605</v>
      </c>
      <c r="B95" s="123">
        <v>92</v>
      </c>
      <c r="C95" s="124">
        <v>2</v>
      </c>
      <c r="D95" s="125">
        <f t="shared" si="14"/>
        <v>4</v>
      </c>
      <c r="E95" s="126">
        <f t="shared" si="15"/>
        <v>0.5</v>
      </c>
      <c r="H95" s="122" t="s">
        <v>1606</v>
      </c>
      <c r="I95" s="123">
        <v>92</v>
      </c>
      <c r="J95" s="124">
        <v>2</v>
      </c>
      <c r="K95" s="125">
        <f t="shared" si="9"/>
        <v>9</v>
      </c>
      <c r="L95" s="126">
        <f t="shared" si="10"/>
        <v>0.22222222222222221</v>
      </c>
      <c r="O95" s="122" t="s">
        <v>1607</v>
      </c>
      <c r="P95" s="123">
        <v>92</v>
      </c>
      <c r="Q95" s="123">
        <v>4</v>
      </c>
      <c r="R95" s="125">
        <f t="shared" si="11"/>
        <v>6</v>
      </c>
      <c r="S95" s="126">
        <f t="shared" si="12"/>
        <v>0.66666666666666663</v>
      </c>
      <c r="U95">
        <f t="shared" si="16"/>
        <v>4</v>
      </c>
      <c r="W95" s="123">
        <v>92</v>
      </c>
      <c r="X95" s="127">
        <f t="shared" si="17"/>
        <v>8</v>
      </c>
      <c r="Y95">
        <f t="shared" si="13"/>
        <v>15</v>
      </c>
    </row>
    <row r="96" spans="1:25" ht="15.95">
      <c r="A96" s="122" t="s">
        <v>1605</v>
      </c>
      <c r="B96" s="128">
        <v>93</v>
      </c>
      <c r="C96" s="129">
        <v>2</v>
      </c>
      <c r="D96" s="125">
        <f t="shared" si="14"/>
        <v>4</v>
      </c>
      <c r="E96" s="126">
        <f t="shared" si="15"/>
        <v>0.5</v>
      </c>
      <c r="H96" s="122" t="s">
        <v>1606</v>
      </c>
      <c r="I96" s="128">
        <v>93</v>
      </c>
      <c r="J96" s="129">
        <v>2</v>
      </c>
      <c r="K96" s="125">
        <f t="shared" si="9"/>
        <v>9</v>
      </c>
      <c r="L96" s="126">
        <f t="shared" si="10"/>
        <v>0.22222222222222221</v>
      </c>
      <c r="O96" s="122" t="s">
        <v>1607</v>
      </c>
      <c r="P96" s="128">
        <v>93</v>
      </c>
      <c r="Q96" s="123">
        <v>5</v>
      </c>
      <c r="R96" s="125">
        <f t="shared" si="11"/>
        <v>6</v>
      </c>
      <c r="S96" s="126">
        <f t="shared" si="12"/>
        <v>0.83333333333333337</v>
      </c>
      <c r="U96">
        <f t="shared" si="16"/>
        <v>5</v>
      </c>
      <c r="W96" s="128">
        <v>93</v>
      </c>
      <c r="X96" s="127">
        <f t="shared" si="17"/>
        <v>9</v>
      </c>
      <c r="Y96">
        <f t="shared" si="13"/>
        <v>15</v>
      </c>
    </row>
    <row r="97" spans="1:25" ht="15.95">
      <c r="A97" s="122" t="s">
        <v>1605</v>
      </c>
      <c r="B97" s="123">
        <v>94</v>
      </c>
      <c r="C97" s="124">
        <v>2</v>
      </c>
      <c r="D97" s="125">
        <f t="shared" si="14"/>
        <v>4</v>
      </c>
      <c r="E97" s="126">
        <f t="shared" si="15"/>
        <v>0.5</v>
      </c>
      <c r="H97" s="122" t="s">
        <v>1606</v>
      </c>
      <c r="I97" s="123">
        <v>94</v>
      </c>
      <c r="J97" s="124">
        <v>1</v>
      </c>
      <c r="K97" s="125">
        <f t="shared" si="9"/>
        <v>9</v>
      </c>
      <c r="L97" s="126">
        <f t="shared" si="10"/>
        <v>0.1111111111111111</v>
      </c>
      <c r="O97" s="122" t="s">
        <v>1607</v>
      </c>
      <c r="P97" s="123">
        <v>94</v>
      </c>
      <c r="Q97" s="123">
        <v>6</v>
      </c>
      <c r="R97" s="125">
        <f t="shared" si="11"/>
        <v>6</v>
      </c>
      <c r="S97" s="126">
        <f t="shared" si="12"/>
        <v>1</v>
      </c>
      <c r="U97">
        <f t="shared" si="16"/>
        <v>6</v>
      </c>
      <c r="W97" s="123">
        <v>94</v>
      </c>
      <c r="X97" s="127">
        <f t="shared" si="17"/>
        <v>9</v>
      </c>
      <c r="Y97">
        <f t="shared" si="13"/>
        <v>15</v>
      </c>
    </row>
    <row r="98" spans="1:25" ht="15.95">
      <c r="A98" s="122" t="s">
        <v>1605</v>
      </c>
      <c r="B98" s="128">
        <v>95</v>
      </c>
      <c r="C98" s="129">
        <v>2</v>
      </c>
      <c r="D98" s="125">
        <f t="shared" si="14"/>
        <v>4</v>
      </c>
      <c r="E98" s="126">
        <f t="shared" si="15"/>
        <v>0.5</v>
      </c>
      <c r="H98" s="122" t="s">
        <v>1606</v>
      </c>
      <c r="I98" s="128">
        <v>95</v>
      </c>
      <c r="J98" s="129">
        <v>1</v>
      </c>
      <c r="K98" s="125">
        <f t="shared" si="9"/>
        <v>9</v>
      </c>
      <c r="L98" s="126">
        <f t="shared" si="10"/>
        <v>0.1111111111111111</v>
      </c>
      <c r="O98" s="122" t="s">
        <v>1607</v>
      </c>
      <c r="P98" s="128">
        <v>95</v>
      </c>
      <c r="Q98" s="123">
        <v>5</v>
      </c>
      <c r="R98" s="125">
        <f t="shared" si="11"/>
        <v>6</v>
      </c>
      <c r="S98" s="126">
        <f t="shared" si="12"/>
        <v>0.83333333333333337</v>
      </c>
      <c r="U98">
        <f t="shared" si="16"/>
        <v>5</v>
      </c>
      <c r="W98" s="128">
        <v>95</v>
      </c>
      <c r="X98" s="127">
        <f t="shared" si="17"/>
        <v>8</v>
      </c>
      <c r="Y98">
        <f t="shared" si="13"/>
        <v>15</v>
      </c>
    </row>
    <row r="99" spans="1:25">
      <c r="A99" s="122"/>
      <c r="B99" s="125"/>
      <c r="C99" s="125"/>
      <c r="D99" s="132"/>
      <c r="E99" s="132"/>
    </row>
    <row r="100" spans="1:25">
      <c r="A100" s="122"/>
      <c r="B100" s="125"/>
      <c r="C100" s="125"/>
      <c r="D100" s="132"/>
      <c r="E100" s="132"/>
    </row>
    <row r="101" spans="1:25">
      <c r="A101" s="122"/>
      <c r="B101" s="125"/>
      <c r="C101" s="125"/>
      <c r="D101" s="132"/>
      <c r="E101" s="132"/>
    </row>
    <row r="102" spans="1:25">
      <c r="A102" s="122"/>
      <c r="B102" s="125"/>
      <c r="C102" s="125"/>
      <c r="D102" s="132"/>
      <c r="E102" s="132"/>
    </row>
    <row r="103" spans="1:25">
      <c r="A103" s="122"/>
      <c r="B103" s="125"/>
      <c r="C103" s="125"/>
      <c r="D103" s="132"/>
      <c r="E103" s="132"/>
    </row>
    <row r="104" spans="1:25">
      <c r="A104" s="122"/>
      <c r="B104" s="125"/>
      <c r="C104" s="125"/>
      <c r="D104" s="132"/>
      <c r="E104" s="132"/>
    </row>
    <row r="105" spans="1:25">
      <c r="A105" s="122"/>
      <c r="B105" s="125"/>
      <c r="C105" s="125"/>
      <c r="D105" s="132"/>
      <c r="E105" s="132"/>
    </row>
    <row r="106" spans="1:25">
      <c r="A106" s="122"/>
      <c r="B106" s="125"/>
      <c r="C106" s="125"/>
      <c r="D106" s="132"/>
      <c r="E106" s="132"/>
    </row>
    <row r="107" spans="1:25">
      <c r="A107" s="122"/>
      <c r="B107" s="125"/>
      <c r="C107" s="125"/>
      <c r="D107" s="132"/>
      <c r="E107" s="132"/>
    </row>
    <row r="108" spans="1:25">
      <c r="A108" s="122"/>
      <c r="B108" s="125"/>
      <c r="C108" s="125"/>
      <c r="D108" s="132"/>
      <c r="E108" s="132"/>
    </row>
    <row r="109" spans="1:25">
      <c r="A109" s="122"/>
      <c r="B109" s="125"/>
      <c r="C109" s="125"/>
      <c r="D109" s="132"/>
      <c r="E109" s="132"/>
    </row>
    <row r="110" spans="1:25">
      <c r="A110" s="122"/>
      <c r="B110" s="125"/>
      <c r="C110" s="125"/>
      <c r="D110" s="132"/>
      <c r="E110" s="132"/>
    </row>
    <row r="111" spans="1:25">
      <c r="A111" s="122"/>
      <c r="B111" s="125"/>
      <c r="C111" s="125"/>
      <c r="D111" s="132"/>
      <c r="E111" s="132"/>
    </row>
    <row r="112" spans="1:25">
      <c r="A112" s="122"/>
      <c r="B112" s="125"/>
      <c r="C112" s="125"/>
      <c r="D112" s="132"/>
      <c r="E112" s="132"/>
    </row>
    <row r="113" spans="1:5">
      <c r="A113" s="122"/>
      <c r="B113" s="125"/>
      <c r="C113" s="125"/>
      <c r="D113" s="132"/>
      <c r="E113" s="132"/>
    </row>
    <row r="114" spans="1:5">
      <c r="A114" s="122"/>
      <c r="B114" s="125"/>
      <c r="C114" s="125"/>
      <c r="D114" s="132"/>
      <c r="E114" s="132"/>
    </row>
    <row r="115" spans="1:5">
      <c r="A115" s="122"/>
      <c r="B115" s="125"/>
      <c r="C115" s="125"/>
      <c r="D115" s="132"/>
      <c r="E115" s="132"/>
    </row>
    <row r="116" spans="1:5">
      <c r="A116" s="122"/>
      <c r="B116" s="125"/>
      <c r="C116" s="125"/>
      <c r="D116" s="132"/>
      <c r="E116" s="132"/>
    </row>
    <row r="117" spans="1:5">
      <c r="A117" s="122"/>
      <c r="B117" s="125"/>
      <c r="C117" s="125"/>
      <c r="D117" s="132"/>
      <c r="E117" s="132"/>
    </row>
    <row r="118" spans="1:5">
      <c r="A118" s="122"/>
      <c r="B118" s="125"/>
      <c r="C118" s="125"/>
      <c r="D118" s="132"/>
      <c r="E118" s="132"/>
    </row>
    <row r="119" spans="1:5">
      <c r="A119" s="122"/>
      <c r="B119" s="125"/>
      <c r="C119" s="125"/>
      <c r="D119" s="132"/>
      <c r="E119" s="132"/>
    </row>
    <row r="120" spans="1:5">
      <c r="A120" s="122"/>
      <c r="B120" s="125"/>
      <c r="C120" s="125"/>
      <c r="D120" s="132"/>
      <c r="E120" s="132"/>
    </row>
    <row r="121" spans="1:5">
      <c r="A121" s="122"/>
      <c r="B121" s="125"/>
      <c r="C121" s="125"/>
      <c r="D121" s="132"/>
      <c r="E121" s="132"/>
    </row>
    <row r="122" spans="1:5">
      <c r="A122" s="122"/>
      <c r="B122" s="125"/>
      <c r="C122" s="125"/>
      <c r="D122" s="132"/>
      <c r="E122" s="132"/>
    </row>
    <row r="123" spans="1:5">
      <c r="A123" s="122"/>
      <c r="B123" s="125"/>
      <c r="C123" s="125"/>
      <c r="D123" s="132"/>
      <c r="E123" s="132"/>
    </row>
    <row r="124" spans="1:5">
      <c r="A124" s="122"/>
      <c r="B124" s="125"/>
      <c r="C124" s="125"/>
      <c r="D124" s="132"/>
      <c r="E124" s="132"/>
    </row>
    <row r="125" spans="1:5">
      <c r="A125" s="122"/>
      <c r="B125" s="125"/>
      <c r="C125" s="125"/>
      <c r="D125" s="132"/>
      <c r="E125" s="132"/>
    </row>
    <row r="126" spans="1:5">
      <c r="A126" s="122"/>
      <c r="B126" s="125"/>
      <c r="C126" s="125"/>
      <c r="D126" s="132"/>
      <c r="E126" s="132"/>
    </row>
    <row r="127" spans="1:5">
      <c r="A127" s="122"/>
      <c r="B127" s="125"/>
      <c r="C127" s="125"/>
      <c r="D127" s="132"/>
      <c r="E127" s="132"/>
    </row>
    <row r="128" spans="1:5">
      <c r="A128" s="122"/>
      <c r="B128" s="125"/>
      <c r="C128" s="125"/>
      <c r="D128" s="132"/>
      <c r="E128" s="132"/>
    </row>
    <row r="129" spans="1:5">
      <c r="A129" s="122"/>
      <c r="B129" s="125"/>
      <c r="C129" s="125"/>
      <c r="D129" s="132"/>
      <c r="E129" s="132"/>
    </row>
    <row r="130" spans="1:5">
      <c r="A130" s="122"/>
      <c r="B130" s="125"/>
      <c r="C130" s="125"/>
      <c r="D130" s="132"/>
      <c r="E130" s="132"/>
    </row>
    <row r="131" spans="1:5">
      <c r="A131" s="122"/>
      <c r="B131" s="125"/>
      <c r="C131" s="125"/>
      <c r="D131" s="132"/>
      <c r="E131" s="132"/>
    </row>
    <row r="132" spans="1:5">
      <c r="A132" s="122"/>
      <c r="B132" s="125"/>
      <c r="C132" s="125"/>
      <c r="D132" s="132"/>
      <c r="E132" s="132"/>
    </row>
    <row r="133" spans="1:5">
      <c r="A133" s="122"/>
      <c r="B133" s="125"/>
      <c r="C133" s="125"/>
      <c r="D133" s="132"/>
      <c r="E133" s="132"/>
    </row>
    <row r="134" spans="1:5">
      <c r="A134" s="122"/>
      <c r="B134" s="125"/>
      <c r="C134" s="125"/>
      <c r="D134" s="132"/>
      <c r="E134" s="132"/>
    </row>
    <row r="135" spans="1:5">
      <c r="A135" s="122"/>
      <c r="B135" s="125"/>
      <c r="C135" s="125"/>
      <c r="D135" s="132"/>
      <c r="E135" s="132"/>
    </row>
    <row r="136" spans="1:5">
      <c r="A136" s="122"/>
      <c r="B136" s="125"/>
      <c r="C136" s="125"/>
      <c r="D136" s="132"/>
      <c r="E136" s="132"/>
    </row>
    <row r="137" spans="1:5">
      <c r="A137" s="122"/>
      <c r="B137" s="125"/>
      <c r="C137" s="125"/>
      <c r="D137" s="132"/>
      <c r="E137" s="132"/>
    </row>
    <row r="138" spans="1:5">
      <c r="A138" s="122"/>
      <c r="B138" s="125"/>
      <c r="C138" s="125"/>
      <c r="D138" s="132"/>
      <c r="E138" s="132"/>
    </row>
    <row r="139" spans="1:5">
      <c r="A139" s="122"/>
      <c r="B139" s="125"/>
      <c r="C139" s="125"/>
      <c r="D139" s="132"/>
      <c r="E139" s="132"/>
    </row>
    <row r="140" spans="1:5">
      <c r="A140" s="122"/>
      <c r="B140" s="125"/>
      <c r="C140" s="125"/>
      <c r="D140" s="132"/>
      <c r="E140" s="132"/>
    </row>
    <row r="141" spans="1:5">
      <c r="A141" s="122"/>
      <c r="B141" s="125"/>
      <c r="C141" s="125"/>
      <c r="D141" s="132"/>
      <c r="E141" s="132"/>
    </row>
    <row r="142" spans="1:5">
      <c r="A142" s="122"/>
      <c r="B142" s="125"/>
      <c r="C142" s="125"/>
      <c r="D142" s="132"/>
      <c r="E142" s="132"/>
    </row>
    <row r="143" spans="1:5">
      <c r="A143" s="122"/>
      <c r="B143" s="125"/>
      <c r="C143" s="125"/>
      <c r="D143" s="132"/>
      <c r="E143" s="132"/>
    </row>
    <row r="144" spans="1:5">
      <c r="A144" s="122"/>
      <c r="B144" s="125"/>
      <c r="C144" s="125"/>
      <c r="D144" s="132"/>
      <c r="E144" s="132"/>
    </row>
    <row r="145" spans="1:5">
      <c r="A145" s="122"/>
      <c r="B145" s="125"/>
      <c r="C145" s="125"/>
      <c r="D145" s="132"/>
      <c r="E145" s="132"/>
    </row>
    <row r="146" spans="1:5">
      <c r="A146" s="122"/>
      <c r="B146" s="125"/>
      <c r="C146" s="125"/>
      <c r="D146" s="132"/>
      <c r="E146" s="132"/>
    </row>
    <row r="147" spans="1:5">
      <c r="A147" s="122"/>
      <c r="B147" s="125"/>
      <c r="C147" s="125"/>
      <c r="D147" s="132"/>
      <c r="E147" s="132"/>
    </row>
    <row r="148" spans="1:5">
      <c r="A148" s="122"/>
      <c r="B148" s="125"/>
      <c r="C148" s="125"/>
      <c r="D148" s="132"/>
      <c r="E148" s="132"/>
    </row>
    <row r="149" spans="1:5">
      <c r="A149" s="122"/>
      <c r="B149" s="125"/>
      <c r="C149" s="125"/>
      <c r="D149" s="132"/>
      <c r="E149" s="132"/>
    </row>
    <row r="150" spans="1:5">
      <c r="A150" s="122"/>
      <c r="B150" s="125"/>
      <c r="C150" s="125"/>
      <c r="D150" s="132"/>
      <c r="E150" s="132"/>
    </row>
    <row r="151" spans="1:5">
      <c r="A151" s="122"/>
      <c r="B151" s="125"/>
      <c r="C151" s="125"/>
      <c r="D151" s="132"/>
      <c r="E151" s="132"/>
    </row>
    <row r="152" spans="1:5">
      <c r="A152" s="122"/>
      <c r="B152" s="125"/>
      <c r="C152" s="125"/>
      <c r="D152" s="132"/>
      <c r="E152" s="132"/>
    </row>
    <row r="153" spans="1:5">
      <c r="A153" s="122"/>
      <c r="B153" s="125"/>
      <c r="C153" s="125"/>
      <c r="D153" s="132"/>
      <c r="E153" s="132"/>
    </row>
    <row r="154" spans="1:5">
      <c r="A154" s="122"/>
      <c r="B154" s="125"/>
      <c r="C154" s="125"/>
      <c r="D154" s="132"/>
      <c r="E154" s="132"/>
    </row>
    <row r="155" spans="1:5">
      <c r="A155" s="122"/>
      <c r="B155" s="125"/>
      <c r="C155" s="125"/>
      <c r="D155" s="132"/>
      <c r="E155" s="132"/>
    </row>
    <row r="156" spans="1:5">
      <c r="A156" s="122"/>
      <c r="B156" s="125"/>
      <c r="C156" s="125"/>
      <c r="D156" s="132"/>
      <c r="E156" s="132"/>
    </row>
    <row r="157" spans="1:5">
      <c r="A157" s="122"/>
      <c r="B157" s="125"/>
      <c r="C157" s="125"/>
      <c r="D157" s="132"/>
      <c r="E157" s="132"/>
    </row>
    <row r="158" spans="1:5">
      <c r="A158" s="122"/>
      <c r="B158" s="125"/>
      <c r="C158" s="125"/>
      <c r="D158" s="132"/>
      <c r="E158" s="132"/>
    </row>
    <row r="159" spans="1:5">
      <c r="A159" s="122"/>
      <c r="B159" s="125"/>
      <c r="C159" s="125"/>
      <c r="D159" s="132"/>
      <c r="E159" s="132"/>
    </row>
    <row r="160" spans="1:5">
      <c r="A160" s="122"/>
      <c r="B160" s="125"/>
      <c r="C160" s="125"/>
      <c r="D160" s="132"/>
      <c r="E160" s="132"/>
    </row>
    <row r="161" spans="1:5">
      <c r="A161" s="122"/>
      <c r="B161" s="125"/>
      <c r="C161" s="125"/>
      <c r="D161" s="132"/>
      <c r="E161" s="132"/>
    </row>
    <row r="162" spans="1:5">
      <c r="A162" s="122"/>
      <c r="B162" s="125"/>
      <c r="C162" s="125"/>
      <c r="D162" s="132"/>
      <c r="E162" s="132"/>
    </row>
    <row r="163" spans="1:5">
      <c r="A163" s="122"/>
      <c r="B163" s="125"/>
      <c r="C163" s="125"/>
      <c r="D163" s="132"/>
      <c r="E163" s="132"/>
    </row>
    <row r="164" spans="1:5">
      <c r="A164" s="122"/>
      <c r="B164" s="125"/>
      <c r="C164" s="125"/>
      <c r="D164" s="132"/>
      <c r="E164" s="132"/>
    </row>
    <row r="165" spans="1:5">
      <c r="A165" s="122"/>
      <c r="B165" s="125"/>
      <c r="C165" s="125"/>
      <c r="D165" s="132"/>
      <c r="E165" s="132"/>
    </row>
    <row r="166" spans="1:5">
      <c r="A166" s="122"/>
      <c r="B166" s="125"/>
      <c r="C166" s="125"/>
      <c r="D166" s="132"/>
      <c r="E166" s="132"/>
    </row>
    <row r="167" spans="1:5">
      <c r="A167" s="122"/>
      <c r="B167" s="125"/>
      <c r="C167" s="125"/>
      <c r="D167" s="132"/>
      <c r="E167" s="132"/>
    </row>
    <row r="168" spans="1:5">
      <c r="A168" s="122"/>
      <c r="B168" s="125"/>
      <c r="C168" s="125"/>
      <c r="D168" s="132"/>
      <c r="E168" s="132"/>
    </row>
    <row r="169" spans="1:5">
      <c r="A169" s="122"/>
      <c r="B169" s="125"/>
      <c r="C169" s="125"/>
      <c r="D169" s="132"/>
      <c r="E169" s="132"/>
    </row>
    <row r="170" spans="1:5">
      <c r="A170" s="122"/>
      <c r="B170" s="125"/>
      <c r="C170" s="125"/>
      <c r="D170" s="132"/>
      <c r="E170" s="132"/>
    </row>
    <row r="171" spans="1:5">
      <c r="A171" s="122"/>
      <c r="B171" s="125"/>
      <c r="C171" s="125"/>
      <c r="D171" s="132"/>
      <c r="E171" s="132"/>
    </row>
    <row r="172" spans="1:5">
      <c r="A172" s="122"/>
      <c r="B172" s="125"/>
      <c r="C172" s="125"/>
      <c r="D172" s="132"/>
      <c r="E172" s="132"/>
    </row>
    <row r="173" spans="1:5">
      <c r="A173" s="122"/>
      <c r="B173" s="125"/>
      <c r="C173" s="125"/>
      <c r="D173" s="132"/>
      <c r="E173" s="132"/>
    </row>
    <row r="174" spans="1:5">
      <c r="A174" s="122"/>
      <c r="B174" s="125"/>
      <c r="C174" s="125"/>
      <c r="D174" s="132"/>
      <c r="E174" s="132"/>
    </row>
    <row r="175" spans="1:5">
      <c r="A175" s="122"/>
      <c r="B175" s="125"/>
      <c r="C175" s="125"/>
      <c r="D175" s="132"/>
      <c r="E175" s="132"/>
    </row>
    <row r="176" spans="1:5">
      <c r="A176" s="122"/>
      <c r="B176" s="125"/>
      <c r="C176" s="125"/>
      <c r="D176" s="132"/>
      <c r="E176" s="132"/>
    </row>
    <row r="177" spans="1:5">
      <c r="A177" s="122"/>
      <c r="B177" s="125"/>
      <c r="C177" s="125"/>
      <c r="D177" s="132"/>
      <c r="E177" s="132"/>
    </row>
    <row r="178" spans="1:5">
      <c r="A178" s="122"/>
      <c r="B178" s="125"/>
      <c r="C178" s="125"/>
      <c r="D178" s="132"/>
      <c r="E178" s="132"/>
    </row>
    <row r="179" spans="1:5">
      <c r="A179" s="122"/>
      <c r="B179" s="125"/>
      <c r="C179" s="125"/>
      <c r="D179" s="132"/>
      <c r="E179" s="132"/>
    </row>
    <row r="180" spans="1:5">
      <c r="A180" s="122"/>
      <c r="B180" s="125"/>
      <c r="C180" s="125"/>
      <c r="D180" s="132"/>
      <c r="E180" s="132"/>
    </row>
    <row r="181" spans="1:5">
      <c r="A181" s="122"/>
      <c r="B181" s="125"/>
      <c r="C181" s="125"/>
      <c r="D181" s="132"/>
      <c r="E181" s="132"/>
    </row>
    <row r="182" spans="1:5">
      <c r="A182" s="122"/>
      <c r="B182" s="125"/>
      <c r="C182" s="125"/>
      <c r="D182" s="132"/>
      <c r="E182" s="132"/>
    </row>
    <row r="183" spans="1:5">
      <c r="A183" s="122"/>
      <c r="B183" s="125"/>
      <c r="C183" s="125"/>
      <c r="D183" s="132"/>
      <c r="E183" s="132"/>
    </row>
    <row r="184" spans="1:5">
      <c r="A184" s="122"/>
      <c r="B184" s="125"/>
      <c r="C184" s="125"/>
      <c r="D184" s="132"/>
      <c r="E184" s="132"/>
    </row>
    <row r="185" spans="1:5">
      <c r="A185" s="122"/>
      <c r="B185" s="125"/>
      <c r="C185" s="125"/>
      <c r="D185" s="132"/>
      <c r="E185" s="132"/>
    </row>
    <row r="186" spans="1:5">
      <c r="A186" s="122"/>
      <c r="B186" s="125"/>
      <c r="C186" s="125"/>
      <c r="D186" s="132"/>
      <c r="E186" s="132"/>
    </row>
    <row r="187" spans="1:5">
      <c r="A187" s="122"/>
      <c r="B187" s="125"/>
      <c r="C187" s="125"/>
      <c r="D187" s="132"/>
      <c r="E187" s="132"/>
    </row>
    <row r="188" spans="1:5">
      <c r="A188" s="122"/>
      <c r="B188" s="125"/>
      <c r="C188" s="125"/>
      <c r="D188" s="132"/>
      <c r="E188" s="132"/>
    </row>
    <row r="189" spans="1:5">
      <c r="A189" s="122"/>
      <c r="B189" s="125"/>
      <c r="C189" s="125"/>
      <c r="D189" s="132"/>
      <c r="E189" s="132"/>
    </row>
    <row r="190" spans="1:5">
      <c r="A190" s="122"/>
      <c r="B190" s="125"/>
      <c r="C190" s="125"/>
      <c r="D190" s="132"/>
      <c r="E190" s="132"/>
    </row>
    <row r="191" spans="1:5">
      <c r="A191" s="122"/>
      <c r="B191" s="125"/>
      <c r="C191" s="125"/>
      <c r="D191" s="132"/>
      <c r="E191" s="132"/>
    </row>
    <row r="192" spans="1:5">
      <c r="A192" s="122"/>
      <c r="B192" s="125"/>
      <c r="C192" s="125"/>
      <c r="D192" s="132"/>
      <c r="E192" s="132"/>
    </row>
    <row r="193" spans="1:5">
      <c r="A193" s="122"/>
      <c r="B193" s="125"/>
      <c r="C193" s="125"/>
      <c r="D193" s="132"/>
      <c r="E193" s="132"/>
    </row>
    <row r="194" spans="1:5">
      <c r="A194" s="122"/>
      <c r="B194" s="125"/>
      <c r="C194" s="125"/>
      <c r="D194" s="132"/>
      <c r="E194" s="132"/>
    </row>
    <row r="195" spans="1:5">
      <c r="A195" s="122"/>
      <c r="B195" s="125"/>
      <c r="C195" s="125"/>
      <c r="D195" s="132"/>
      <c r="E195" s="132"/>
    </row>
    <row r="196" spans="1:5">
      <c r="A196" s="122"/>
      <c r="B196" s="125"/>
      <c r="C196" s="125"/>
      <c r="D196" s="132"/>
      <c r="E196" s="132"/>
    </row>
    <row r="197" spans="1:5">
      <c r="A197" s="122"/>
      <c r="B197" s="125"/>
      <c r="C197" s="125"/>
      <c r="D197" s="132"/>
      <c r="E197" s="132"/>
    </row>
    <row r="198" spans="1:5">
      <c r="A198" s="122"/>
      <c r="B198" s="125"/>
      <c r="C198" s="125"/>
      <c r="D198" s="132"/>
      <c r="E198" s="132"/>
    </row>
    <row r="199" spans="1:5">
      <c r="A199" s="122"/>
      <c r="B199" s="125"/>
      <c r="C199" s="125"/>
      <c r="D199" s="132"/>
      <c r="E199" s="132"/>
    </row>
    <row r="200" spans="1:5">
      <c r="A200" s="122"/>
      <c r="B200" s="125"/>
      <c r="C200" s="125"/>
      <c r="D200" s="132"/>
      <c r="E200" s="132"/>
    </row>
    <row r="201" spans="1:5">
      <c r="A201" s="122"/>
      <c r="B201" s="125"/>
      <c r="C201" s="125"/>
      <c r="D201" s="132"/>
      <c r="E201" s="132"/>
    </row>
    <row r="202" spans="1:5">
      <c r="A202" s="122"/>
      <c r="B202" s="125"/>
      <c r="C202" s="125"/>
      <c r="D202" s="132"/>
      <c r="E202" s="132"/>
    </row>
    <row r="203" spans="1:5">
      <c r="A203" s="122"/>
      <c r="B203" s="125"/>
      <c r="C203" s="125"/>
      <c r="D203" s="132"/>
      <c r="E203" s="132"/>
    </row>
    <row r="204" spans="1:5">
      <c r="A204" s="122"/>
      <c r="B204" s="125"/>
      <c r="C204" s="125"/>
      <c r="D204" s="132"/>
      <c r="E204" s="132"/>
    </row>
    <row r="205" spans="1:5">
      <c r="A205" s="122"/>
      <c r="B205" s="125"/>
      <c r="C205" s="125"/>
      <c r="D205" s="132"/>
      <c r="E205" s="132"/>
    </row>
    <row r="206" spans="1:5">
      <c r="A206" s="122"/>
      <c r="B206" s="125"/>
      <c r="C206" s="125"/>
      <c r="D206" s="132"/>
      <c r="E206" s="132"/>
    </row>
    <row r="207" spans="1:5">
      <c r="A207" s="122"/>
      <c r="B207" s="125"/>
      <c r="C207" s="125"/>
      <c r="D207" s="132"/>
      <c r="E207" s="132"/>
    </row>
    <row r="208" spans="1:5">
      <c r="A208" s="122"/>
      <c r="B208" s="125"/>
      <c r="C208" s="125"/>
      <c r="D208" s="132"/>
      <c r="E208" s="132"/>
    </row>
    <row r="209" spans="1:5">
      <c r="A209" s="122"/>
      <c r="B209" s="125"/>
      <c r="C209" s="125"/>
      <c r="D209" s="132"/>
      <c r="E209" s="132"/>
    </row>
    <row r="210" spans="1:5">
      <c r="A210" s="122"/>
      <c r="B210" s="125"/>
      <c r="C210" s="125"/>
      <c r="D210" s="132"/>
      <c r="E210" s="132"/>
    </row>
    <row r="211" spans="1:5">
      <c r="A211" s="122"/>
      <c r="B211" s="125"/>
      <c r="C211" s="125"/>
      <c r="D211" s="132"/>
      <c r="E211" s="132"/>
    </row>
    <row r="212" spans="1:5">
      <c r="A212" s="122"/>
      <c r="B212" s="125"/>
      <c r="C212" s="125"/>
      <c r="D212" s="132"/>
      <c r="E212" s="132"/>
    </row>
    <row r="213" spans="1:5">
      <c r="A213" s="122"/>
      <c r="B213" s="125"/>
      <c r="C213" s="125"/>
      <c r="D213" s="132"/>
      <c r="E213" s="132"/>
    </row>
    <row r="214" spans="1:5">
      <c r="A214" s="122"/>
      <c r="B214" s="125"/>
      <c r="C214" s="125"/>
      <c r="D214" s="132"/>
      <c r="E214" s="132"/>
    </row>
    <row r="215" spans="1:5">
      <c r="A215" s="122"/>
      <c r="B215" s="125"/>
      <c r="C215" s="125"/>
      <c r="D215" s="132"/>
      <c r="E215" s="132"/>
    </row>
    <row r="216" spans="1:5">
      <c r="A216" s="122"/>
      <c r="B216" s="125"/>
      <c r="C216" s="125"/>
      <c r="D216" s="132"/>
      <c r="E216" s="132"/>
    </row>
    <row r="217" spans="1:5">
      <c r="A217" s="122"/>
      <c r="B217" s="125"/>
      <c r="C217" s="125"/>
      <c r="D217" s="132"/>
      <c r="E217" s="132"/>
    </row>
    <row r="218" spans="1:5">
      <c r="A218" s="122"/>
      <c r="B218" s="125"/>
      <c r="C218" s="125"/>
      <c r="D218" s="132"/>
      <c r="E218" s="132"/>
    </row>
    <row r="219" spans="1:5">
      <c r="A219" s="122"/>
      <c r="B219" s="125"/>
      <c r="C219" s="125"/>
      <c r="D219" s="132"/>
      <c r="E219" s="132"/>
    </row>
    <row r="220" spans="1:5">
      <c r="A220" s="122"/>
      <c r="B220" s="125"/>
      <c r="C220" s="125"/>
      <c r="D220" s="132"/>
      <c r="E220" s="132"/>
    </row>
    <row r="221" spans="1:5">
      <c r="A221" s="122"/>
      <c r="B221" s="125"/>
      <c r="C221" s="125"/>
      <c r="D221" s="132"/>
      <c r="E221" s="132"/>
    </row>
    <row r="222" spans="1:5">
      <c r="A222" s="122"/>
      <c r="B222" s="125"/>
      <c r="C222" s="125"/>
      <c r="D222" s="132"/>
      <c r="E222" s="132"/>
    </row>
    <row r="223" spans="1:5">
      <c r="A223" s="122"/>
      <c r="B223" s="125"/>
      <c r="C223" s="125"/>
      <c r="D223" s="132"/>
      <c r="E223" s="132"/>
    </row>
    <row r="224" spans="1:5">
      <c r="A224" s="122"/>
      <c r="B224" s="125"/>
      <c r="C224" s="125"/>
      <c r="D224" s="132"/>
      <c r="E224" s="132"/>
    </row>
    <row r="225" spans="1:5">
      <c r="A225" s="122"/>
      <c r="B225" s="125"/>
      <c r="C225" s="125"/>
      <c r="D225" s="132"/>
      <c r="E225" s="132"/>
    </row>
    <row r="226" spans="1:5">
      <c r="A226" s="122"/>
      <c r="B226" s="125"/>
      <c r="C226" s="125"/>
      <c r="D226" s="132"/>
      <c r="E226" s="132"/>
    </row>
    <row r="227" spans="1:5">
      <c r="A227" s="122"/>
      <c r="B227" s="125"/>
      <c r="C227" s="125"/>
      <c r="D227" s="132"/>
      <c r="E227" s="132"/>
    </row>
    <row r="228" spans="1:5">
      <c r="A228" s="122"/>
      <c r="B228" s="125"/>
      <c r="C228" s="125"/>
      <c r="D228" s="132"/>
      <c r="E228" s="132"/>
    </row>
    <row r="229" spans="1:5">
      <c r="A229" s="122"/>
      <c r="B229" s="125"/>
      <c r="C229" s="125"/>
      <c r="D229" s="132"/>
      <c r="E229" s="132"/>
    </row>
    <row r="230" spans="1:5">
      <c r="A230" s="122"/>
      <c r="B230" s="125"/>
      <c r="C230" s="125"/>
      <c r="D230" s="132"/>
      <c r="E230" s="132"/>
    </row>
    <row r="231" spans="1:5">
      <c r="A231" s="122"/>
      <c r="B231" s="125"/>
      <c r="C231" s="125"/>
      <c r="D231" s="132"/>
      <c r="E231" s="132"/>
    </row>
    <row r="232" spans="1:5">
      <c r="A232" s="122"/>
      <c r="B232" s="125"/>
      <c r="C232" s="125"/>
      <c r="D232" s="132"/>
      <c r="E232" s="132"/>
    </row>
    <row r="233" spans="1:5">
      <c r="A233" s="122"/>
      <c r="B233" s="125"/>
      <c r="C233" s="125"/>
      <c r="D233" s="132"/>
      <c r="E233" s="132"/>
    </row>
    <row r="234" spans="1:5">
      <c r="A234" s="122"/>
      <c r="B234" s="125"/>
      <c r="C234" s="125"/>
      <c r="D234" s="132"/>
      <c r="E234" s="132"/>
    </row>
    <row r="235" spans="1:5">
      <c r="A235" s="122"/>
      <c r="B235" s="125"/>
      <c r="C235" s="125"/>
      <c r="D235" s="132"/>
      <c r="E235" s="132"/>
    </row>
    <row r="236" spans="1:5">
      <c r="A236" s="122"/>
      <c r="B236" s="125"/>
      <c r="C236" s="125"/>
      <c r="D236" s="132"/>
      <c r="E236" s="132"/>
    </row>
    <row r="237" spans="1:5">
      <c r="A237" s="122"/>
      <c r="B237" s="125"/>
      <c r="C237" s="125"/>
      <c r="D237" s="132"/>
      <c r="E237" s="132"/>
    </row>
    <row r="238" spans="1:5">
      <c r="A238" s="122"/>
      <c r="B238" s="125"/>
      <c r="C238" s="125"/>
      <c r="D238" s="132"/>
      <c r="E238" s="132"/>
    </row>
    <row r="239" spans="1:5">
      <c r="A239" s="122"/>
      <c r="B239" s="125"/>
      <c r="C239" s="125"/>
      <c r="D239" s="132"/>
      <c r="E239" s="132"/>
    </row>
    <row r="240" spans="1:5">
      <c r="A240" s="122"/>
      <c r="B240" s="125"/>
      <c r="C240" s="125"/>
      <c r="D240" s="132"/>
      <c r="E240" s="132"/>
    </row>
    <row r="241" spans="1:5">
      <c r="A241" s="122"/>
      <c r="B241" s="125"/>
      <c r="C241" s="125"/>
      <c r="D241" s="132"/>
      <c r="E241" s="132"/>
    </row>
    <row r="242" spans="1:5">
      <c r="A242" s="122"/>
      <c r="B242" s="125"/>
      <c r="C242" s="125"/>
      <c r="D242" s="132"/>
      <c r="E242" s="132"/>
    </row>
    <row r="243" spans="1:5">
      <c r="A243" s="122"/>
      <c r="B243" s="125"/>
      <c r="C243" s="125"/>
      <c r="D243" s="132"/>
      <c r="E243" s="132"/>
    </row>
    <row r="244" spans="1:5">
      <c r="A244" s="122"/>
      <c r="B244" s="125"/>
      <c r="C244" s="125"/>
      <c r="D244" s="132"/>
      <c r="E244" s="132"/>
    </row>
    <row r="245" spans="1:5">
      <c r="A245" s="122"/>
      <c r="B245" s="125"/>
      <c r="C245" s="125"/>
      <c r="D245" s="132"/>
      <c r="E245" s="132"/>
    </row>
    <row r="246" spans="1:5">
      <c r="A246" s="122"/>
      <c r="B246" s="125"/>
      <c r="C246" s="125"/>
      <c r="D246" s="132"/>
      <c r="E246" s="132"/>
    </row>
    <row r="247" spans="1:5">
      <c r="A247" s="122"/>
      <c r="B247" s="125"/>
      <c r="C247" s="125"/>
      <c r="D247" s="132"/>
      <c r="E247" s="132"/>
    </row>
    <row r="248" spans="1:5">
      <c r="A248" s="122"/>
      <c r="B248" s="125"/>
      <c r="C248" s="125"/>
      <c r="D248" s="132"/>
      <c r="E248" s="132"/>
    </row>
    <row r="249" spans="1:5">
      <c r="A249" s="122"/>
      <c r="B249" s="125"/>
      <c r="C249" s="125"/>
      <c r="D249" s="132"/>
      <c r="E249" s="132"/>
    </row>
    <row r="250" spans="1:5">
      <c r="A250" s="122"/>
      <c r="B250" s="125"/>
      <c r="C250" s="125"/>
      <c r="D250" s="132"/>
      <c r="E250" s="132"/>
    </row>
    <row r="251" spans="1:5">
      <c r="A251" s="122"/>
      <c r="B251" s="125"/>
      <c r="C251" s="125"/>
      <c r="D251" s="132"/>
      <c r="E251" s="132"/>
    </row>
    <row r="252" spans="1:5">
      <c r="A252" s="122"/>
      <c r="B252" s="125"/>
      <c r="C252" s="125"/>
      <c r="D252" s="132"/>
      <c r="E252" s="132"/>
    </row>
    <row r="253" spans="1:5">
      <c r="A253" s="122"/>
      <c r="B253" s="125"/>
      <c r="C253" s="125"/>
      <c r="D253" s="132"/>
      <c r="E253" s="132"/>
    </row>
    <row r="254" spans="1:5">
      <c r="A254" s="122"/>
      <c r="B254" s="125"/>
      <c r="C254" s="125"/>
      <c r="D254" s="132"/>
      <c r="E254" s="132"/>
    </row>
    <row r="255" spans="1:5">
      <c r="A255" s="122"/>
      <c r="B255" s="125"/>
      <c r="C255" s="125"/>
      <c r="D255" s="132"/>
      <c r="E255" s="132"/>
    </row>
    <row r="256" spans="1:5">
      <c r="A256" s="122"/>
      <c r="B256" s="125"/>
      <c r="C256" s="125"/>
      <c r="D256" s="132"/>
      <c r="E256" s="132"/>
    </row>
    <row r="257" spans="1:5">
      <c r="A257" s="122"/>
      <c r="B257" s="125"/>
      <c r="C257" s="125"/>
      <c r="D257" s="132"/>
      <c r="E257" s="132"/>
    </row>
    <row r="258" spans="1:5">
      <c r="A258" s="122"/>
      <c r="B258" s="125"/>
      <c r="C258" s="125"/>
      <c r="D258" s="132"/>
      <c r="E258" s="132"/>
    </row>
    <row r="259" spans="1:5">
      <c r="A259" s="122"/>
      <c r="B259" s="125"/>
      <c r="C259" s="125"/>
      <c r="D259" s="132"/>
      <c r="E259" s="132"/>
    </row>
    <row r="260" spans="1:5">
      <c r="A260" s="122"/>
      <c r="B260" s="125"/>
      <c r="C260" s="125"/>
      <c r="D260" s="132"/>
      <c r="E260" s="132"/>
    </row>
    <row r="261" spans="1:5">
      <c r="A261" s="122"/>
      <c r="B261" s="125"/>
      <c r="C261" s="125"/>
      <c r="D261" s="132"/>
      <c r="E261" s="132"/>
    </row>
    <row r="262" spans="1:5">
      <c r="A262" s="122"/>
      <c r="B262" s="125"/>
      <c r="C262" s="125"/>
      <c r="D262" s="132"/>
      <c r="E262" s="132"/>
    </row>
    <row r="263" spans="1:5">
      <c r="A263" s="122"/>
      <c r="B263" s="125"/>
      <c r="C263" s="125"/>
      <c r="D263" s="132"/>
      <c r="E263" s="132"/>
    </row>
    <row r="264" spans="1:5">
      <c r="A264" s="122"/>
      <c r="B264" s="125"/>
      <c r="C264" s="125"/>
      <c r="D264" s="132"/>
      <c r="E264" s="132"/>
    </row>
    <row r="265" spans="1:5">
      <c r="A265" s="122"/>
      <c r="B265" s="125"/>
      <c r="C265" s="125"/>
      <c r="D265" s="132"/>
      <c r="E265" s="132"/>
    </row>
    <row r="266" spans="1:5">
      <c r="A266" s="122"/>
      <c r="B266" s="125"/>
      <c r="C266" s="125"/>
      <c r="D266" s="132"/>
      <c r="E266" s="132"/>
    </row>
    <row r="267" spans="1:5">
      <c r="A267" s="122"/>
      <c r="B267" s="125"/>
      <c r="C267" s="125"/>
      <c r="D267" s="132"/>
      <c r="E267" s="132"/>
    </row>
    <row r="268" spans="1:5">
      <c r="A268" s="122"/>
      <c r="B268" s="125"/>
      <c r="C268" s="125"/>
      <c r="D268" s="132"/>
      <c r="E268" s="132"/>
    </row>
    <row r="269" spans="1:5">
      <c r="A269" s="122"/>
      <c r="B269" s="125"/>
      <c r="C269" s="125"/>
      <c r="D269" s="132"/>
      <c r="E269" s="132"/>
    </row>
    <row r="270" spans="1:5">
      <c r="A270" s="122"/>
      <c r="B270" s="125"/>
      <c r="C270" s="125"/>
      <c r="D270" s="132"/>
      <c r="E270" s="132"/>
    </row>
    <row r="271" spans="1:5">
      <c r="A271" s="122"/>
      <c r="B271" s="125"/>
      <c r="C271" s="125"/>
      <c r="D271" s="132"/>
      <c r="E271" s="132"/>
    </row>
    <row r="272" spans="1:5">
      <c r="A272" s="122"/>
      <c r="B272" s="125"/>
      <c r="C272" s="125"/>
      <c r="D272" s="132"/>
      <c r="E272" s="132"/>
    </row>
    <row r="273" spans="1:5">
      <c r="A273" s="122"/>
      <c r="B273" s="125"/>
      <c r="C273" s="125"/>
      <c r="D273" s="132"/>
      <c r="E273" s="132"/>
    </row>
    <row r="274" spans="1:5">
      <c r="A274" s="122"/>
      <c r="B274" s="125"/>
      <c r="C274" s="125"/>
      <c r="D274" s="132"/>
      <c r="E274" s="132"/>
    </row>
    <row r="275" spans="1:5">
      <c r="A275" s="122"/>
      <c r="B275" s="125"/>
      <c r="C275" s="125"/>
      <c r="D275" s="132"/>
      <c r="E275" s="132"/>
    </row>
    <row r="276" spans="1:5">
      <c r="A276" s="122"/>
      <c r="B276" s="125"/>
      <c r="C276" s="125"/>
      <c r="D276" s="132"/>
      <c r="E276" s="132"/>
    </row>
    <row r="277" spans="1:5">
      <c r="A277" s="122"/>
      <c r="B277" s="125"/>
      <c r="C277" s="125"/>
      <c r="D277" s="132"/>
      <c r="E277" s="132"/>
    </row>
    <row r="278" spans="1:5">
      <c r="A278" s="122"/>
      <c r="B278" s="125"/>
      <c r="C278" s="125"/>
      <c r="D278" s="132"/>
      <c r="E278" s="132"/>
    </row>
    <row r="279" spans="1:5">
      <c r="A279" s="122"/>
      <c r="B279" s="125"/>
      <c r="C279" s="125"/>
      <c r="D279" s="132"/>
      <c r="E279" s="132"/>
    </row>
    <row r="280" spans="1:5">
      <c r="A280" s="122"/>
      <c r="B280" s="125"/>
      <c r="C280" s="125"/>
      <c r="D280" s="132"/>
      <c r="E280" s="132"/>
    </row>
    <row r="281" spans="1:5">
      <c r="A281" s="122"/>
      <c r="B281" s="125"/>
      <c r="C281" s="125"/>
      <c r="D281" s="132"/>
      <c r="E281" s="132"/>
    </row>
    <row r="282" spans="1:5">
      <c r="A282" s="122"/>
      <c r="B282" s="125"/>
      <c r="C282" s="125"/>
      <c r="D282" s="132"/>
      <c r="E282" s="132"/>
    </row>
    <row r="283" spans="1:5">
      <c r="A283" s="122"/>
      <c r="B283" s="125"/>
      <c r="C283" s="125"/>
      <c r="D283" s="132"/>
      <c r="E283" s="132"/>
    </row>
    <row r="284" spans="1:5">
      <c r="A284" s="122"/>
      <c r="B284" s="125"/>
      <c r="C284" s="125"/>
      <c r="D284" s="132"/>
      <c r="E284" s="132"/>
    </row>
    <row r="285" spans="1:5">
      <c r="A285" s="122"/>
      <c r="B285" s="125"/>
      <c r="C285" s="125"/>
      <c r="D285" s="132"/>
      <c r="E285" s="132"/>
    </row>
    <row r="286" spans="1:5">
      <c r="A286" s="122"/>
      <c r="B286" s="125"/>
      <c r="C286" s="125"/>
      <c r="D286" s="132"/>
      <c r="E286" s="132"/>
    </row>
    <row r="287" spans="1:5">
      <c r="A287" s="122"/>
      <c r="B287" s="125"/>
      <c r="C287" s="125"/>
      <c r="D287" s="132"/>
      <c r="E287" s="132"/>
    </row>
    <row r="288" spans="1:5">
      <c r="A288" s="122"/>
      <c r="B288" s="125"/>
      <c r="C288" s="125"/>
      <c r="D288" s="132"/>
      <c r="E288" s="132"/>
    </row>
    <row r="289" spans="1:5">
      <c r="A289" s="122"/>
      <c r="B289" s="125"/>
      <c r="C289" s="125"/>
      <c r="D289" s="132"/>
      <c r="E289" s="132"/>
    </row>
    <row r="290" spans="1:5">
      <c r="A290" s="122"/>
      <c r="B290" s="125"/>
      <c r="C290" s="125"/>
      <c r="D290" s="132"/>
      <c r="E290" s="132"/>
    </row>
    <row r="291" spans="1:5">
      <c r="A291" s="122"/>
      <c r="B291" s="125"/>
      <c r="C291" s="125"/>
      <c r="D291" s="132"/>
      <c r="E291" s="132"/>
    </row>
    <row r="292" spans="1:5">
      <c r="A292" s="122"/>
      <c r="B292" s="125"/>
      <c r="C292" s="125"/>
      <c r="D292" s="132"/>
      <c r="E292" s="132"/>
    </row>
    <row r="293" spans="1:5">
      <c r="A293" s="122"/>
      <c r="B293" s="125"/>
      <c r="C293" s="125"/>
      <c r="D293" s="132"/>
      <c r="E293" s="132"/>
    </row>
    <row r="294" spans="1:5">
      <c r="A294" s="122"/>
      <c r="B294" s="125"/>
      <c r="C294" s="125"/>
      <c r="D294" s="132"/>
      <c r="E294" s="132"/>
    </row>
    <row r="295" spans="1:5">
      <c r="A295" s="122"/>
      <c r="B295" s="125"/>
      <c r="C295" s="125"/>
      <c r="D295" s="132"/>
      <c r="E295" s="132"/>
    </row>
    <row r="296" spans="1:5">
      <c r="A296" s="122"/>
      <c r="B296" s="125"/>
      <c r="C296" s="125"/>
      <c r="D296" s="132"/>
      <c r="E296" s="132"/>
    </row>
    <row r="297" spans="1:5">
      <c r="A297" s="122"/>
      <c r="B297" s="125"/>
      <c r="C297" s="125"/>
      <c r="D297" s="132"/>
      <c r="E297" s="132"/>
    </row>
    <row r="298" spans="1:5">
      <c r="A298" s="122"/>
      <c r="B298" s="125"/>
      <c r="C298" s="125"/>
      <c r="D298" s="132"/>
      <c r="E298" s="132"/>
    </row>
    <row r="299" spans="1:5">
      <c r="A299" s="122"/>
      <c r="B299" s="125"/>
      <c r="C299" s="125"/>
      <c r="D299" s="132"/>
      <c r="E299" s="132"/>
    </row>
    <row r="300" spans="1:5">
      <c r="A300" s="122"/>
      <c r="B300" s="125"/>
      <c r="C300" s="125"/>
      <c r="D300" s="132"/>
      <c r="E300" s="132"/>
    </row>
    <row r="301" spans="1:5">
      <c r="A301" s="122"/>
      <c r="B301" s="125"/>
      <c r="C301" s="125"/>
      <c r="D301" s="132"/>
      <c r="E301" s="132"/>
    </row>
    <row r="302" spans="1:5">
      <c r="A302" s="122"/>
      <c r="B302" s="125"/>
      <c r="C302" s="125"/>
      <c r="D302" s="132"/>
      <c r="E302" s="132"/>
    </row>
    <row r="303" spans="1:5">
      <c r="A303" s="122"/>
      <c r="B303" s="125"/>
      <c r="C303" s="125"/>
      <c r="D303" s="132"/>
      <c r="E303" s="132"/>
    </row>
    <row r="304" spans="1:5">
      <c r="A304" s="122"/>
      <c r="B304" s="125"/>
      <c r="C304" s="125"/>
      <c r="D304" s="132"/>
      <c r="E304" s="132"/>
    </row>
    <row r="305" spans="1:5">
      <c r="A305" s="122"/>
      <c r="B305" s="125"/>
      <c r="C305" s="125"/>
      <c r="D305" s="132"/>
      <c r="E305" s="132"/>
    </row>
    <row r="306" spans="1:5">
      <c r="A306" s="122"/>
      <c r="B306" s="125"/>
      <c r="C306" s="125"/>
      <c r="D306" s="132"/>
      <c r="E306" s="132"/>
    </row>
    <row r="307" spans="1:5">
      <c r="A307" s="122"/>
      <c r="B307" s="125"/>
      <c r="C307" s="125"/>
      <c r="D307" s="132"/>
      <c r="E307" s="132"/>
    </row>
    <row r="308" spans="1:5">
      <c r="A308" s="122"/>
      <c r="B308" s="125"/>
      <c r="C308" s="125"/>
      <c r="D308" s="132"/>
      <c r="E308" s="132"/>
    </row>
    <row r="309" spans="1:5">
      <c r="A309" s="122"/>
      <c r="B309" s="125"/>
      <c r="C309" s="125"/>
      <c r="D309" s="132"/>
      <c r="E309" s="132"/>
    </row>
    <row r="310" spans="1:5">
      <c r="A310" s="122"/>
      <c r="B310" s="125"/>
      <c r="C310" s="125"/>
      <c r="D310" s="132"/>
      <c r="E310" s="132"/>
    </row>
    <row r="311" spans="1:5">
      <c r="A311" s="122"/>
      <c r="B311" s="125"/>
      <c r="C311" s="125"/>
      <c r="D311" s="132"/>
      <c r="E311" s="132"/>
    </row>
    <row r="312" spans="1:5">
      <c r="A312" s="122"/>
      <c r="B312" s="125"/>
      <c r="C312" s="125"/>
      <c r="D312" s="132"/>
      <c r="E312" s="132"/>
    </row>
    <row r="313" spans="1:5">
      <c r="A313" s="122"/>
      <c r="B313" s="125"/>
      <c r="C313" s="125"/>
      <c r="D313" s="132"/>
      <c r="E313" s="132"/>
    </row>
    <row r="314" spans="1:5">
      <c r="A314" s="122"/>
      <c r="B314" s="125"/>
      <c r="C314" s="125"/>
      <c r="D314" s="132"/>
      <c r="E314" s="132"/>
    </row>
    <row r="315" spans="1:5">
      <c r="A315" s="122"/>
      <c r="B315" s="125"/>
      <c r="C315" s="125"/>
      <c r="D315" s="132"/>
      <c r="E315" s="132"/>
    </row>
    <row r="316" spans="1:5">
      <c r="A316" s="122"/>
      <c r="B316" s="125"/>
      <c r="C316" s="125"/>
      <c r="D316" s="132"/>
      <c r="E316" s="132"/>
    </row>
    <row r="317" spans="1:5">
      <c r="A317" s="122"/>
      <c r="B317" s="125"/>
      <c r="C317" s="125"/>
      <c r="D317" s="132"/>
      <c r="E317" s="132"/>
    </row>
    <row r="318" spans="1:5">
      <c r="A318" s="122"/>
      <c r="B318" s="125"/>
      <c r="C318" s="125"/>
      <c r="D318" s="132"/>
      <c r="E318" s="132"/>
    </row>
    <row r="319" spans="1:5">
      <c r="A319" s="122"/>
      <c r="B319" s="125"/>
      <c r="C319" s="125"/>
      <c r="D319" s="132"/>
      <c r="E319" s="132"/>
    </row>
    <row r="320" spans="1:5">
      <c r="A320" s="122"/>
      <c r="B320" s="125"/>
      <c r="C320" s="125"/>
      <c r="D320" s="132"/>
      <c r="E320" s="132"/>
    </row>
    <row r="321" spans="1:5">
      <c r="A321" s="122"/>
      <c r="B321" s="125"/>
      <c r="C321" s="125"/>
      <c r="D321" s="132"/>
      <c r="E321" s="132"/>
    </row>
    <row r="322" spans="1:5">
      <c r="A322" s="122"/>
      <c r="B322" s="125"/>
      <c r="C322" s="125"/>
      <c r="D322" s="132"/>
      <c r="E322" s="132"/>
    </row>
    <row r="323" spans="1:5">
      <c r="A323" s="122"/>
      <c r="B323" s="125"/>
      <c r="C323" s="125"/>
      <c r="D323" s="132"/>
      <c r="E323" s="132"/>
    </row>
    <row r="324" spans="1:5">
      <c r="A324" s="122"/>
      <c r="B324" s="125"/>
      <c r="C324" s="125"/>
      <c r="D324" s="132"/>
      <c r="E324" s="132"/>
    </row>
    <row r="325" spans="1:5">
      <c r="A325" s="122"/>
      <c r="B325" s="125"/>
      <c r="C325" s="125"/>
      <c r="D325" s="132"/>
      <c r="E325" s="132"/>
    </row>
    <row r="326" spans="1:5">
      <c r="A326" s="122"/>
      <c r="B326" s="125"/>
      <c r="C326" s="125"/>
      <c r="D326" s="132"/>
      <c r="E326" s="132"/>
    </row>
    <row r="327" spans="1:5">
      <c r="A327" s="122"/>
      <c r="B327" s="125"/>
      <c r="C327" s="125"/>
      <c r="D327" s="132"/>
      <c r="E327" s="132"/>
    </row>
    <row r="328" spans="1:5">
      <c r="A328" s="122"/>
      <c r="B328" s="125"/>
      <c r="C328" s="125"/>
      <c r="D328" s="132"/>
      <c r="E328" s="132"/>
    </row>
    <row r="329" spans="1:5">
      <c r="A329" s="122"/>
      <c r="B329" s="125"/>
      <c r="C329" s="125"/>
      <c r="D329" s="132"/>
      <c r="E329" s="132"/>
    </row>
    <row r="330" spans="1:5">
      <c r="A330" s="122"/>
      <c r="B330" s="125"/>
      <c r="C330" s="125"/>
      <c r="D330" s="132"/>
      <c r="E330" s="132"/>
    </row>
    <row r="331" spans="1:5">
      <c r="A331" s="122"/>
      <c r="B331" s="125"/>
      <c r="C331" s="125"/>
      <c r="D331" s="132"/>
      <c r="E331" s="132"/>
    </row>
    <row r="332" spans="1:5">
      <c r="A332" s="122"/>
      <c r="B332" s="125"/>
      <c r="C332" s="125"/>
      <c r="D332" s="132"/>
      <c r="E332" s="132"/>
    </row>
    <row r="333" spans="1:5">
      <c r="A333" s="122"/>
      <c r="B333" s="125"/>
      <c r="C333" s="125"/>
      <c r="D333" s="132"/>
      <c r="E333" s="132"/>
    </row>
    <row r="334" spans="1:5">
      <c r="A334" s="122"/>
      <c r="B334" s="125"/>
      <c r="C334" s="125"/>
      <c r="D334" s="132"/>
      <c r="E334" s="132"/>
    </row>
    <row r="335" spans="1:5">
      <c r="A335" s="122"/>
      <c r="B335" s="125"/>
      <c r="C335" s="125"/>
      <c r="D335" s="132"/>
      <c r="E335" s="132"/>
    </row>
    <row r="336" spans="1:5">
      <c r="A336" s="122"/>
      <c r="B336" s="125"/>
      <c r="C336" s="125"/>
      <c r="D336" s="132"/>
      <c r="E336" s="132"/>
    </row>
    <row r="337" spans="1:5">
      <c r="A337" s="122"/>
      <c r="B337" s="125"/>
      <c r="C337" s="125"/>
      <c r="D337" s="132"/>
      <c r="E337" s="132"/>
    </row>
    <row r="338" spans="1:5">
      <c r="A338" s="122"/>
      <c r="B338" s="125"/>
      <c r="C338" s="125"/>
      <c r="D338" s="132"/>
      <c r="E338" s="132"/>
    </row>
    <row r="339" spans="1:5">
      <c r="A339" s="122"/>
      <c r="B339" s="125"/>
      <c r="C339" s="125"/>
      <c r="D339" s="132"/>
      <c r="E339" s="132"/>
    </row>
    <row r="340" spans="1:5">
      <c r="A340" s="122"/>
      <c r="B340" s="125"/>
      <c r="C340" s="125"/>
      <c r="D340" s="132"/>
      <c r="E340" s="132"/>
    </row>
    <row r="341" spans="1:5">
      <c r="A341" s="122"/>
      <c r="B341" s="125"/>
      <c r="C341" s="125"/>
      <c r="D341" s="132"/>
      <c r="E341" s="132"/>
    </row>
    <row r="342" spans="1:5">
      <c r="A342" s="122"/>
      <c r="B342" s="125"/>
      <c r="C342" s="125"/>
      <c r="D342" s="132"/>
      <c r="E342" s="132"/>
    </row>
    <row r="343" spans="1:5">
      <c r="A343" s="122"/>
      <c r="B343" s="125"/>
      <c r="C343" s="125"/>
      <c r="D343" s="132"/>
      <c r="E343" s="132"/>
    </row>
    <row r="344" spans="1:5">
      <c r="A344" s="122"/>
      <c r="B344" s="125"/>
      <c r="C344" s="125"/>
      <c r="D344" s="132"/>
      <c r="E344" s="132"/>
    </row>
    <row r="345" spans="1:5">
      <c r="A345" s="122"/>
      <c r="B345" s="125"/>
      <c r="C345" s="125"/>
      <c r="D345" s="132"/>
      <c r="E345" s="132"/>
    </row>
    <row r="346" spans="1:5">
      <c r="A346" s="122"/>
      <c r="B346" s="125"/>
      <c r="C346" s="125"/>
      <c r="D346" s="132"/>
      <c r="E346" s="132"/>
    </row>
    <row r="347" spans="1:5">
      <c r="A347" s="122"/>
      <c r="B347" s="125"/>
      <c r="C347" s="125"/>
      <c r="D347" s="132"/>
      <c r="E347" s="132"/>
    </row>
    <row r="348" spans="1:5">
      <c r="A348" s="122"/>
      <c r="B348" s="125"/>
      <c r="C348" s="125"/>
      <c r="D348" s="132"/>
      <c r="E348" s="132"/>
    </row>
    <row r="349" spans="1:5">
      <c r="A349" s="122"/>
      <c r="B349" s="125"/>
      <c r="C349" s="125"/>
      <c r="D349" s="132"/>
      <c r="E349" s="132"/>
    </row>
    <row r="350" spans="1:5">
      <c r="A350" s="122"/>
      <c r="B350" s="125"/>
      <c r="C350" s="125"/>
      <c r="D350" s="132"/>
      <c r="E350" s="132"/>
    </row>
    <row r="351" spans="1:5">
      <c r="A351" s="122"/>
      <c r="B351" s="125"/>
      <c r="C351" s="125"/>
      <c r="D351" s="132"/>
      <c r="E351" s="132"/>
    </row>
    <row r="352" spans="1:5">
      <c r="A352" s="122"/>
      <c r="B352" s="125"/>
      <c r="C352" s="125"/>
      <c r="D352" s="132"/>
      <c r="E352" s="132"/>
    </row>
    <row r="353" spans="1:5">
      <c r="A353" s="122"/>
      <c r="B353" s="125"/>
      <c r="C353" s="125"/>
      <c r="D353" s="132"/>
      <c r="E353" s="132"/>
    </row>
    <row r="354" spans="1:5">
      <c r="A354" s="122"/>
      <c r="B354" s="125"/>
      <c r="C354" s="125"/>
      <c r="D354" s="132"/>
      <c r="E354" s="132"/>
    </row>
    <row r="355" spans="1:5">
      <c r="A355" s="122"/>
      <c r="B355" s="125"/>
      <c r="C355" s="125"/>
      <c r="D355" s="132"/>
      <c r="E355" s="132"/>
    </row>
    <row r="356" spans="1:5">
      <c r="A356" s="122"/>
      <c r="B356" s="125"/>
      <c r="C356" s="125"/>
      <c r="D356" s="132"/>
      <c r="E356" s="132"/>
    </row>
    <row r="357" spans="1:5">
      <c r="A357" s="122"/>
      <c r="B357" s="125"/>
      <c r="C357" s="125"/>
      <c r="D357" s="132"/>
      <c r="E357" s="132"/>
    </row>
    <row r="358" spans="1:5">
      <c r="A358" s="122"/>
      <c r="B358" s="125"/>
      <c r="C358" s="125"/>
      <c r="D358" s="132"/>
      <c r="E358" s="132"/>
    </row>
    <row r="359" spans="1:5">
      <c r="A359" s="122"/>
      <c r="B359" s="125"/>
      <c r="C359" s="125"/>
      <c r="D359" s="132"/>
      <c r="E359" s="132"/>
    </row>
    <row r="360" spans="1:5">
      <c r="A360" s="122"/>
      <c r="B360" s="125"/>
      <c r="C360" s="125"/>
      <c r="D360" s="132"/>
      <c r="E360" s="132"/>
    </row>
    <row r="361" spans="1:5">
      <c r="A361" s="122"/>
      <c r="B361" s="125"/>
      <c r="C361" s="125"/>
      <c r="D361" s="132"/>
      <c r="E361" s="132"/>
    </row>
    <row r="362" spans="1:5">
      <c r="A362" s="122"/>
      <c r="B362" s="125"/>
      <c r="C362" s="125"/>
      <c r="D362" s="132"/>
      <c r="E362" s="132"/>
    </row>
    <row r="363" spans="1:5">
      <c r="A363" s="122"/>
      <c r="B363" s="125"/>
      <c r="C363" s="125"/>
      <c r="D363" s="132"/>
      <c r="E363" s="132"/>
    </row>
    <row r="364" spans="1:5">
      <c r="A364" s="122"/>
      <c r="B364" s="125"/>
      <c r="C364" s="125"/>
      <c r="D364" s="132"/>
      <c r="E364" s="132"/>
    </row>
    <row r="365" spans="1:5">
      <c r="A365" s="122"/>
      <c r="B365" s="125"/>
      <c r="C365" s="125"/>
      <c r="D365" s="132"/>
      <c r="E365" s="132"/>
    </row>
    <row r="366" spans="1:5">
      <c r="A366" s="122"/>
      <c r="B366" s="125"/>
      <c r="C366" s="125"/>
      <c r="D366" s="132"/>
      <c r="E366" s="132"/>
    </row>
    <row r="367" spans="1:5">
      <c r="A367" s="122"/>
      <c r="B367" s="125"/>
      <c r="C367" s="125"/>
      <c r="D367" s="132"/>
      <c r="E367" s="132"/>
    </row>
    <row r="368" spans="1:5">
      <c r="A368" s="122"/>
      <c r="B368" s="125"/>
      <c r="C368" s="125"/>
      <c r="D368" s="132"/>
      <c r="E368" s="132"/>
    </row>
    <row r="369" spans="1:5">
      <c r="A369" s="122"/>
      <c r="B369" s="125"/>
      <c r="C369" s="125"/>
      <c r="D369" s="132"/>
      <c r="E369" s="132"/>
    </row>
    <row r="370" spans="1:5">
      <c r="A370" s="122"/>
      <c r="B370" s="125"/>
      <c r="C370" s="125"/>
      <c r="D370" s="132"/>
      <c r="E370" s="132"/>
    </row>
    <row r="371" spans="1:5">
      <c r="A371" s="122"/>
      <c r="B371" s="125"/>
      <c r="C371" s="125"/>
      <c r="D371" s="132"/>
      <c r="E371" s="132"/>
    </row>
    <row r="372" spans="1:5">
      <c r="A372" s="122"/>
      <c r="B372" s="125"/>
      <c r="C372" s="125"/>
      <c r="D372" s="132"/>
      <c r="E372" s="132"/>
    </row>
    <row r="373" spans="1:5">
      <c r="A373" s="122"/>
      <c r="B373" s="125"/>
      <c r="C373" s="125"/>
      <c r="D373" s="132"/>
      <c r="E373" s="132"/>
    </row>
    <row r="374" spans="1:5">
      <c r="A374" s="122"/>
      <c r="B374" s="125"/>
      <c r="C374" s="125"/>
      <c r="D374" s="132"/>
      <c r="E374" s="132"/>
    </row>
    <row r="375" spans="1:5">
      <c r="A375" s="122"/>
      <c r="B375" s="125"/>
      <c r="C375" s="125"/>
      <c r="D375" s="132"/>
      <c r="E375" s="132"/>
    </row>
    <row r="376" spans="1:5">
      <c r="A376" s="122"/>
      <c r="B376" s="125"/>
      <c r="C376" s="125"/>
      <c r="D376" s="132"/>
      <c r="E376" s="132"/>
    </row>
    <row r="377" spans="1:5">
      <c r="A377" s="122"/>
      <c r="B377" s="125"/>
      <c r="C377" s="125"/>
      <c r="D377" s="132"/>
      <c r="E377" s="132"/>
    </row>
    <row r="378" spans="1:5">
      <c r="A378" s="122"/>
      <c r="B378" s="125"/>
      <c r="C378" s="125"/>
      <c r="D378" s="132"/>
      <c r="E378" s="132"/>
    </row>
    <row r="379" spans="1:5">
      <c r="A379" s="122"/>
      <c r="B379" s="125"/>
      <c r="C379" s="125"/>
      <c r="D379" s="132"/>
      <c r="E379" s="132"/>
    </row>
    <row r="380" spans="1:5">
      <c r="A380" s="122"/>
      <c r="B380" s="125"/>
      <c r="C380" s="125"/>
      <c r="D380" s="132"/>
      <c r="E380" s="132"/>
    </row>
    <row r="381" spans="1:5">
      <c r="A381" s="122"/>
      <c r="B381" s="125"/>
      <c r="C381" s="125"/>
      <c r="D381" s="132"/>
      <c r="E381" s="132"/>
    </row>
    <row r="382" spans="1:5">
      <c r="A382" s="122"/>
      <c r="B382" s="125"/>
      <c r="C382" s="125"/>
      <c r="D382" s="132"/>
      <c r="E382" s="132"/>
    </row>
    <row r="383" spans="1:5">
      <c r="A383" s="122"/>
      <c r="B383" s="125"/>
      <c r="C383" s="125"/>
      <c r="D383" s="132"/>
      <c r="E383" s="132"/>
    </row>
    <row r="384" spans="1:5">
      <c r="A384" s="122"/>
      <c r="B384" s="125"/>
      <c r="C384" s="125"/>
      <c r="D384" s="132"/>
      <c r="E384" s="132"/>
    </row>
    <row r="385" spans="1:5">
      <c r="A385" s="122"/>
      <c r="B385" s="125"/>
      <c r="C385" s="125"/>
      <c r="D385" s="132"/>
      <c r="E385" s="132"/>
    </row>
    <row r="386" spans="1:5">
      <c r="A386" s="122"/>
      <c r="B386" s="125"/>
      <c r="C386" s="125"/>
      <c r="D386" s="132"/>
      <c r="E386" s="132"/>
    </row>
    <row r="387" spans="1:5">
      <c r="A387" s="122"/>
      <c r="B387" s="125"/>
      <c r="C387" s="125"/>
      <c r="D387" s="132"/>
      <c r="E387" s="132"/>
    </row>
    <row r="388" spans="1:5">
      <c r="A388" s="122"/>
      <c r="B388" s="125"/>
      <c r="C388" s="125"/>
      <c r="D388" s="132"/>
      <c r="E388" s="132"/>
    </row>
    <row r="389" spans="1:5">
      <c r="A389" s="122"/>
      <c r="B389" s="125"/>
      <c r="C389" s="125"/>
      <c r="D389" s="132"/>
      <c r="E389" s="132"/>
    </row>
    <row r="390" spans="1:5">
      <c r="A390" s="122"/>
      <c r="B390" s="125"/>
      <c r="C390" s="125"/>
      <c r="D390" s="132"/>
      <c r="E390" s="132"/>
    </row>
    <row r="391" spans="1:5">
      <c r="A391" s="122"/>
      <c r="B391" s="125"/>
      <c r="C391" s="125"/>
      <c r="D391" s="132"/>
      <c r="E391" s="132"/>
    </row>
    <row r="392" spans="1:5">
      <c r="A392" s="122"/>
      <c r="B392" s="125"/>
      <c r="C392" s="125"/>
      <c r="D392" s="132"/>
      <c r="E392" s="132"/>
    </row>
    <row r="393" spans="1:5">
      <c r="A393" s="122"/>
      <c r="B393" s="125"/>
      <c r="C393" s="125"/>
      <c r="D393" s="132"/>
      <c r="E393" s="132"/>
    </row>
    <row r="394" spans="1:5">
      <c r="A394" s="122"/>
      <c r="B394" s="125"/>
      <c r="C394" s="125"/>
      <c r="D394" s="132"/>
      <c r="E394" s="132"/>
    </row>
    <row r="395" spans="1:5">
      <c r="A395" s="122"/>
      <c r="B395" s="125"/>
      <c r="C395" s="125"/>
      <c r="D395" s="132"/>
      <c r="E395" s="132"/>
    </row>
    <row r="396" spans="1:5">
      <c r="A396" s="122"/>
      <c r="B396" s="125"/>
      <c r="C396" s="125"/>
      <c r="D396" s="132"/>
      <c r="E396" s="132"/>
    </row>
    <row r="397" spans="1:5">
      <c r="A397" s="122"/>
      <c r="B397" s="125"/>
      <c r="C397" s="125"/>
      <c r="D397" s="132"/>
      <c r="E397" s="132"/>
    </row>
    <row r="398" spans="1:5">
      <c r="A398" s="122"/>
      <c r="B398" s="125"/>
      <c r="C398" s="125"/>
      <c r="D398" s="132"/>
      <c r="E398" s="132"/>
    </row>
    <row r="399" spans="1:5">
      <c r="A399" s="122"/>
      <c r="B399" s="125"/>
      <c r="C399" s="125"/>
      <c r="D399" s="132"/>
      <c r="E399" s="132"/>
    </row>
    <row r="400" spans="1:5">
      <c r="A400" s="122"/>
      <c r="B400" s="125"/>
      <c r="C400" s="125"/>
      <c r="D400" s="132"/>
      <c r="E400" s="132"/>
    </row>
    <row r="401" spans="1:5">
      <c r="A401" s="122"/>
      <c r="B401" s="125"/>
      <c r="C401" s="125"/>
      <c r="D401" s="132"/>
      <c r="E401" s="132"/>
    </row>
    <row r="402" spans="1:5">
      <c r="A402" s="122"/>
      <c r="B402" s="125"/>
      <c r="C402" s="125"/>
      <c r="D402" s="132"/>
      <c r="E402" s="132"/>
    </row>
    <row r="403" spans="1:5">
      <c r="A403" s="122"/>
      <c r="B403" s="125"/>
      <c r="C403" s="125"/>
      <c r="D403" s="132"/>
      <c r="E403" s="132"/>
    </row>
    <row r="404" spans="1:5">
      <c r="A404" s="122"/>
      <c r="B404" s="125"/>
      <c r="C404" s="125"/>
      <c r="D404" s="132"/>
      <c r="E404" s="132"/>
    </row>
    <row r="405" spans="1:5">
      <c r="A405" s="122"/>
      <c r="B405" s="125"/>
      <c r="C405" s="125"/>
      <c r="D405" s="132"/>
      <c r="E405" s="132"/>
    </row>
    <row r="406" spans="1:5">
      <c r="A406" s="122"/>
      <c r="B406" s="125"/>
      <c r="C406" s="125"/>
      <c r="D406" s="132"/>
      <c r="E406" s="132"/>
    </row>
    <row r="407" spans="1:5">
      <c r="A407" s="122"/>
      <c r="B407" s="125"/>
      <c r="C407" s="125"/>
      <c r="D407" s="132"/>
      <c r="E407" s="132"/>
    </row>
    <row r="408" spans="1:5">
      <c r="A408" s="122"/>
      <c r="B408" s="125"/>
      <c r="C408" s="125"/>
      <c r="D408" s="132"/>
      <c r="E408" s="132"/>
    </row>
    <row r="409" spans="1:5">
      <c r="A409" s="122"/>
      <c r="B409" s="125"/>
      <c r="C409" s="125"/>
      <c r="D409" s="132"/>
      <c r="E409" s="132"/>
    </row>
    <row r="410" spans="1:5">
      <c r="A410" s="122"/>
      <c r="B410" s="125"/>
      <c r="C410" s="125"/>
      <c r="D410" s="132"/>
      <c r="E410" s="132"/>
    </row>
    <row r="411" spans="1:5">
      <c r="A411" s="122"/>
      <c r="B411" s="125"/>
      <c r="C411" s="125"/>
      <c r="D411" s="132"/>
      <c r="E411" s="132"/>
    </row>
    <row r="412" spans="1:5">
      <c r="A412" s="122"/>
      <c r="B412" s="125"/>
      <c r="C412" s="125"/>
      <c r="D412" s="132"/>
      <c r="E412" s="132"/>
    </row>
    <row r="413" spans="1:5">
      <c r="A413" s="122"/>
      <c r="B413" s="125"/>
      <c r="C413" s="125"/>
      <c r="D413" s="132"/>
      <c r="E413" s="132"/>
    </row>
    <row r="414" spans="1:5">
      <c r="A414" s="122"/>
      <c r="B414" s="125"/>
      <c r="C414" s="125"/>
      <c r="D414" s="132"/>
      <c r="E414" s="132"/>
    </row>
    <row r="415" spans="1:5">
      <c r="A415" s="122"/>
      <c r="B415" s="125"/>
      <c r="C415" s="125"/>
      <c r="D415" s="132"/>
      <c r="E415" s="132"/>
    </row>
    <row r="416" spans="1:5">
      <c r="A416" s="122"/>
      <c r="B416" s="125"/>
      <c r="C416" s="125"/>
      <c r="D416" s="132"/>
      <c r="E416" s="132"/>
    </row>
    <row r="417" spans="1:5">
      <c r="A417" s="122"/>
      <c r="B417" s="125"/>
      <c r="C417" s="125"/>
      <c r="D417" s="132"/>
      <c r="E417" s="132"/>
    </row>
    <row r="418" spans="1:5">
      <c r="A418" s="122"/>
      <c r="B418" s="125"/>
      <c r="C418" s="125"/>
      <c r="D418" s="132"/>
      <c r="E418" s="132"/>
    </row>
    <row r="419" spans="1:5">
      <c r="A419" s="122"/>
      <c r="B419" s="125"/>
      <c r="C419" s="125"/>
      <c r="D419" s="132"/>
      <c r="E419" s="132"/>
    </row>
    <row r="420" spans="1:5">
      <c r="A420" s="122"/>
      <c r="B420" s="125"/>
      <c r="C420" s="125"/>
      <c r="D420" s="132"/>
      <c r="E420" s="132"/>
    </row>
    <row r="421" spans="1:5">
      <c r="A421" s="122"/>
      <c r="B421" s="125"/>
      <c r="C421" s="125"/>
      <c r="D421" s="132"/>
      <c r="E421" s="132"/>
    </row>
    <row r="422" spans="1:5">
      <c r="A422" s="122"/>
      <c r="B422" s="125"/>
      <c r="C422" s="125"/>
      <c r="D422" s="132"/>
      <c r="E422" s="132"/>
    </row>
    <row r="423" spans="1:5">
      <c r="A423" s="122"/>
      <c r="B423" s="125"/>
      <c r="C423" s="125"/>
      <c r="D423" s="132"/>
      <c r="E423" s="132"/>
    </row>
    <row r="424" spans="1:5">
      <c r="A424" s="122"/>
      <c r="B424" s="125"/>
      <c r="C424" s="125"/>
      <c r="D424" s="132"/>
      <c r="E424" s="132"/>
    </row>
    <row r="425" spans="1:5">
      <c r="A425" s="122"/>
      <c r="B425" s="125"/>
      <c r="C425" s="125"/>
      <c r="D425" s="132"/>
      <c r="E425" s="132"/>
    </row>
    <row r="426" spans="1:5">
      <c r="A426" s="122"/>
      <c r="B426" s="125"/>
      <c r="C426" s="125"/>
      <c r="D426" s="132"/>
      <c r="E426" s="132"/>
    </row>
    <row r="427" spans="1:5">
      <c r="A427" s="122"/>
      <c r="B427" s="125"/>
      <c r="C427" s="125"/>
      <c r="D427" s="132"/>
      <c r="E427" s="132"/>
    </row>
    <row r="428" spans="1:5">
      <c r="A428" s="122"/>
      <c r="B428" s="125"/>
      <c r="C428" s="125"/>
      <c r="D428" s="132"/>
      <c r="E428" s="132"/>
    </row>
    <row r="429" spans="1:5">
      <c r="A429" s="122"/>
      <c r="B429" s="125"/>
      <c r="C429" s="125"/>
      <c r="D429" s="132"/>
      <c r="E429" s="132"/>
    </row>
    <row r="430" spans="1:5">
      <c r="A430" s="122"/>
      <c r="B430" s="125"/>
      <c r="C430" s="125"/>
      <c r="D430" s="132"/>
      <c r="E430" s="132"/>
    </row>
    <row r="431" spans="1:5">
      <c r="A431" s="122"/>
      <c r="B431" s="125"/>
      <c r="C431" s="125"/>
      <c r="D431" s="132"/>
      <c r="E431" s="132"/>
    </row>
    <row r="432" spans="1:5">
      <c r="A432" s="122"/>
      <c r="B432" s="125"/>
      <c r="C432" s="125"/>
      <c r="D432" s="132"/>
      <c r="E432" s="132"/>
    </row>
    <row r="433" spans="1:5">
      <c r="A433" s="122"/>
      <c r="B433" s="125"/>
      <c r="C433" s="125"/>
      <c r="D433" s="132"/>
      <c r="E433" s="132"/>
    </row>
    <row r="434" spans="1:5">
      <c r="A434" s="122"/>
      <c r="B434" s="125"/>
      <c r="C434" s="125"/>
      <c r="D434" s="132"/>
      <c r="E434" s="132"/>
    </row>
    <row r="435" spans="1:5">
      <c r="A435" s="122"/>
      <c r="B435" s="125"/>
      <c r="C435" s="125"/>
      <c r="D435" s="132"/>
      <c r="E435" s="132"/>
    </row>
    <row r="436" spans="1:5">
      <c r="A436" s="122"/>
      <c r="B436" s="125"/>
      <c r="C436" s="125"/>
      <c r="D436" s="132"/>
      <c r="E436" s="132"/>
    </row>
    <row r="437" spans="1:5">
      <c r="A437" s="122"/>
      <c r="B437" s="125"/>
      <c r="C437" s="125"/>
      <c r="D437" s="132"/>
      <c r="E437" s="132"/>
    </row>
    <row r="438" spans="1:5">
      <c r="A438" s="122"/>
      <c r="B438" s="125"/>
      <c r="C438" s="125"/>
      <c r="D438" s="132"/>
      <c r="E438" s="132"/>
    </row>
    <row r="439" spans="1:5">
      <c r="A439" s="122"/>
      <c r="B439" s="125"/>
      <c r="C439" s="125"/>
      <c r="D439" s="132"/>
      <c r="E439" s="132"/>
    </row>
    <row r="440" spans="1:5">
      <c r="A440" s="122"/>
      <c r="B440" s="125"/>
      <c r="C440" s="125"/>
      <c r="D440" s="132"/>
      <c r="E440" s="132"/>
    </row>
    <row r="441" spans="1:5">
      <c r="A441" s="122"/>
      <c r="B441" s="125"/>
      <c r="C441" s="125"/>
      <c r="D441" s="132"/>
      <c r="E441" s="132"/>
    </row>
    <row r="442" spans="1:5">
      <c r="A442" s="122"/>
      <c r="B442" s="125"/>
      <c r="C442" s="125"/>
      <c r="D442" s="132"/>
      <c r="E442" s="132"/>
    </row>
    <row r="443" spans="1:5">
      <c r="A443" s="122"/>
      <c r="B443" s="125"/>
      <c r="C443" s="125"/>
      <c r="D443" s="132"/>
      <c r="E443" s="132"/>
    </row>
    <row r="444" spans="1:5">
      <c r="A444" s="122"/>
      <c r="B444" s="125"/>
      <c r="C444" s="125"/>
      <c r="D444" s="132"/>
      <c r="E444" s="132"/>
    </row>
    <row r="445" spans="1:5">
      <c r="A445" s="122"/>
      <c r="B445" s="125"/>
      <c r="C445" s="125"/>
      <c r="D445" s="132"/>
      <c r="E445" s="132"/>
    </row>
    <row r="446" spans="1:5">
      <c r="A446" s="122"/>
      <c r="B446" s="125"/>
      <c r="C446" s="125"/>
      <c r="D446" s="132"/>
      <c r="E446" s="132"/>
    </row>
    <row r="447" spans="1:5">
      <c r="A447" s="122"/>
      <c r="B447" s="125"/>
      <c r="C447" s="125"/>
      <c r="D447" s="132"/>
      <c r="E447" s="132"/>
    </row>
    <row r="448" spans="1:5">
      <c r="A448" s="122"/>
      <c r="B448" s="125"/>
      <c r="C448" s="125"/>
      <c r="D448" s="132"/>
      <c r="E448" s="132"/>
    </row>
    <row r="449" spans="1:5">
      <c r="A449" s="122"/>
      <c r="B449" s="125"/>
      <c r="C449" s="125"/>
      <c r="D449" s="132"/>
      <c r="E449" s="132"/>
    </row>
    <row r="450" spans="1:5">
      <c r="A450" s="122"/>
      <c r="B450" s="125"/>
      <c r="C450" s="125"/>
      <c r="D450" s="132"/>
      <c r="E450" s="132"/>
    </row>
    <row r="451" spans="1:5">
      <c r="A451" s="122"/>
      <c r="B451" s="125"/>
      <c r="C451" s="125"/>
      <c r="D451" s="132"/>
      <c r="E451" s="132"/>
    </row>
    <row r="452" spans="1:5">
      <c r="A452" s="122"/>
      <c r="B452" s="125"/>
      <c r="C452" s="125"/>
      <c r="D452" s="132"/>
      <c r="E452" s="132"/>
    </row>
    <row r="453" spans="1:5">
      <c r="A453" s="122"/>
      <c r="B453" s="125"/>
      <c r="C453" s="125"/>
      <c r="D453" s="132"/>
      <c r="E453" s="132"/>
    </row>
    <row r="454" spans="1:5">
      <c r="A454" s="122"/>
      <c r="B454" s="125"/>
      <c r="C454" s="125"/>
      <c r="D454" s="132"/>
      <c r="E454" s="132"/>
    </row>
    <row r="455" spans="1:5">
      <c r="A455" s="122"/>
      <c r="B455" s="125"/>
      <c r="C455" s="125"/>
      <c r="D455" s="132"/>
      <c r="E455" s="132"/>
    </row>
    <row r="456" spans="1:5">
      <c r="A456" s="122"/>
      <c r="B456" s="125"/>
      <c r="C456" s="125"/>
      <c r="D456" s="132"/>
      <c r="E456" s="132"/>
    </row>
    <row r="457" spans="1:5">
      <c r="A457" s="122"/>
      <c r="B457" s="125"/>
      <c r="C457" s="125"/>
      <c r="D457" s="132"/>
      <c r="E457" s="132"/>
    </row>
    <row r="458" spans="1:5">
      <c r="A458" s="122"/>
      <c r="B458" s="125"/>
      <c r="C458" s="125"/>
      <c r="D458" s="132"/>
      <c r="E458" s="132"/>
    </row>
    <row r="459" spans="1:5">
      <c r="A459" s="122"/>
      <c r="B459" s="125"/>
      <c r="C459" s="125"/>
      <c r="D459" s="132"/>
      <c r="E459" s="132"/>
    </row>
    <row r="460" spans="1:5">
      <c r="A460" s="122"/>
      <c r="B460" s="125"/>
      <c r="C460" s="125"/>
      <c r="D460" s="132"/>
      <c r="E460" s="132"/>
    </row>
    <row r="461" spans="1:5">
      <c r="A461" s="122"/>
      <c r="B461" s="125"/>
      <c r="C461" s="125"/>
      <c r="D461" s="132"/>
      <c r="E461" s="132"/>
    </row>
    <row r="462" spans="1:5">
      <c r="A462" s="122"/>
      <c r="B462" s="125"/>
      <c r="C462" s="125"/>
      <c r="D462" s="132"/>
      <c r="E462" s="132"/>
    </row>
    <row r="463" spans="1:5">
      <c r="A463" s="122"/>
      <c r="B463" s="125"/>
      <c r="C463" s="125"/>
      <c r="D463" s="132"/>
      <c r="E463" s="132"/>
    </row>
    <row r="464" spans="1:5">
      <c r="A464" s="122"/>
      <c r="B464" s="125"/>
      <c r="C464" s="125"/>
      <c r="D464" s="132"/>
      <c r="E464" s="132"/>
    </row>
    <row r="465" spans="1:5">
      <c r="A465" s="122"/>
      <c r="B465" s="125"/>
      <c r="C465" s="125"/>
      <c r="D465" s="132"/>
      <c r="E465" s="132"/>
    </row>
    <row r="466" spans="1:5">
      <c r="A466" s="122"/>
      <c r="B466" s="125"/>
      <c r="C466" s="125"/>
      <c r="D466" s="132"/>
      <c r="E466" s="132"/>
    </row>
    <row r="467" spans="1:5">
      <c r="A467" s="122"/>
      <c r="B467" s="125"/>
      <c r="C467" s="125"/>
      <c r="D467" s="132"/>
      <c r="E467" s="132"/>
    </row>
    <row r="468" spans="1:5">
      <c r="A468" s="122"/>
      <c r="B468" s="125"/>
      <c r="C468" s="125"/>
      <c r="D468" s="132"/>
      <c r="E468" s="132"/>
    </row>
    <row r="469" spans="1:5">
      <c r="A469" s="122"/>
      <c r="B469" s="125"/>
      <c r="C469" s="125"/>
      <c r="D469" s="132"/>
      <c r="E469" s="132"/>
    </row>
    <row r="470" spans="1:5">
      <c r="A470" s="122"/>
      <c r="B470" s="125"/>
      <c r="C470" s="125"/>
      <c r="D470" s="132"/>
      <c r="E470" s="132"/>
    </row>
    <row r="471" spans="1:5">
      <c r="A471" s="122"/>
      <c r="B471" s="125"/>
      <c r="C471" s="125"/>
      <c r="D471" s="132"/>
      <c r="E471" s="132"/>
    </row>
    <row r="472" spans="1:5">
      <c r="A472" s="122"/>
      <c r="B472" s="125"/>
      <c r="C472" s="125"/>
      <c r="D472" s="132"/>
      <c r="E472" s="132"/>
    </row>
    <row r="473" spans="1:5">
      <c r="A473" s="122"/>
      <c r="B473" s="125"/>
      <c r="C473" s="125"/>
      <c r="D473" s="132"/>
      <c r="E473" s="132"/>
    </row>
    <row r="474" spans="1:5">
      <c r="A474" s="122"/>
      <c r="B474" s="125"/>
      <c r="C474" s="125"/>
      <c r="D474" s="132"/>
      <c r="E474" s="132"/>
    </row>
    <row r="475" spans="1:5">
      <c r="A475" s="122"/>
      <c r="B475" s="125"/>
      <c r="C475" s="125"/>
      <c r="D475" s="132"/>
      <c r="E475" s="132"/>
    </row>
    <row r="476" spans="1:5">
      <c r="A476" s="122"/>
      <c r="B476" s="125"/>
      <c r="C476" s="125"/>
      <c r="D476" s="132"/>
      <c r="E476" s="132"/>
    </row>
    <row r="477" spans="1:5">
      <c r="A477" s="122"/>
      <c r="B477" s="125"/>
      <c r="C477" s="125"/>
      <c r="D477" s="132"/>
      <c r="E477" s="132"/>
    </row>
    <row r="478" spans="1:5">
      <c r="A478" s="122"/>
      <c r="B478" s="125"/>
      <c r="C478" s="125"/>
      <c r="D478" s="132"/>
      <c r="E478" s="132"/>
    </row>
    <row r="479" spans="1:5">
      <c r="A479" s="122"/>
      <c r="B479" s="125"/>
      <c r="C479" s="125"/>
      <c r="D479" s="132"/>
      <c r="E479" s="132"/>
    </row>
    <row r="480" spans="1:5">
      <c r="A480" s="122"/>
      <c r="B480" s="125"/>
      <c r="C480" s="125"/>
      <c r="D480" s="132"/>
      <c r="E480" s="132"/>
    </row>
    <row r="481" spans="1:5">
      <c r="A481" s="122"/>
      <c r="B481" s="125"/>
      <c r="C481" s="125"/>
      <c r="D481" s="132"/>
      <c r="E481" s="132"/>
    </row>
    <row r="482" spans="1:5">
      <c r="A482" s="122"/>
      <c r="B482" s="125"/>
      <c r="C482" s="125"/>
      <c r="D482" s="132"/>
      <c r="E482" s="132"/>
    </row>
    <row r="483" spans="1:5">
      <c r="A483" s="122"/>
      <c r="B483" s="125"/>
      <c r="C483" s="125"/>
      <c r="D483" s="132"/>
      <c r="E483" s="132"/>
    </row>
    <row r="484" spans="1:5">
      <c r="A484" s="122"/>
      <c r="B484" s="125"/>
      <c r="C484" s="125"/>
      <c r="D484" s="132"/>
      <c r="E484" s="132"/>
    </row>
    <row r="485" spans="1:5">
      <c r="A485" s="122"/>
      <c r="B485" s="125"/>
      <c r="C485" s="125"/>
      <c r="D485" s="132"/>
      <c r="E485" s="132"/>
    </row>
    <row r="486" spans="1:5">
      <c r="A486" s="122"/>
      <c r="B486" s="125"/>
      <c r="C486" s="125"/>
      <c r="D486" s="132"/>
      <c r="E486" s="132"/>
    </row>
    <row r="487" spans="1:5">
      <c r="A487" s="122"/>
      <c r="B487" s="125"/>
      <c r="C487" s="125"/>
      <c r="D487" s="132"/>
      <c r="E487" s="132"/>
    </row>
    <row r="488" spans="1:5">
      <c r="A488" s="122"/>
      <c r="B488" s="125"/>
      <c r="C488" s="125"/>
      <c r="D488" s="132"/>
      <c r="E488" s="132"/>
    </row>
    <row r="489" spans="1:5">
      <c r="A489" s="122"/>
      <c r="B489" s="125"/>
      <c r="C489" s="125"/>
      <c r="D489" s="132"/>
      <c r="E489" s="132"/>
    </row>
    <row r="490" spans="1:5">
      <c r="A490" s="122"/>
      <c r="B490" s="125"/>
      <c r="C490" s="125"/>
      <c r="D490" s="132"/>
      <c r="E490" s="132"/>
    </row>
    <row r="491" spans="1:5">
      <c r="A491" s="122"/>
      <c r="B491" s="125"/>
      <c r="C491" s="125"/>
      <c r="D491" s="132"/>
      <c r="E491" s="132"/>
    </row>
    <row r="492" spans="1:5">
      <c r="A492" s="122"/>
      <c r="B492" s="125"/>
      <c r="C492" s="125"/>
      <c r="D492" s="132"/>
      <c r="E492" s="132"/>
    </row>
    <row r="493" spans="1:5">
      <c r="A493" s="122"/>
      <c r="B493" s="125"/>
      <c r="C493" s="125"/>
      <c r="D493" s="132"/>
      <c r="E493" s="132"/>
    </row>
    <row r="494" spans="1:5">
      <c r="A494" s="122"/>
      <c r="B494" s="125"/>
      <c r="C494" s="125"/>
      <c r="D494" s="132"/>
      <c r="E494" s="132"/>
    </row>
    <row r="495" spans="1:5">
      <c r="A495" s="122"/>
      <c r="B495" s="125"/>
      <c r="C495" s="125"/>
      <c r="D495" s="132"/>
      <c r="E495" s="132"/>
    </row>
    <row r="496" spans="1:5">
      <c r="A496" s="122"/>
      <c r="B496" s="125"/>
      <c r="C496" s="125"/>
      <c r="D496" s="132"/>
      <c r="E496" s="132"/>
    </row>
    <row r="497" spans="1:5">
      <c r="A497" s="122"/>
      <c r="B497" s="125"/>
      <c r="C497" s="125"/>
      <c r="D497" s="132"/>
      <c r="E497" s="132"/>
    </row>
    <row r="498" spans="1:5">
      <c r="A498" s="122"/>
      <c r="B498" s="125"/>
      <c r="C498" s="125"/>
      <c r="D498" s="132"/>
      <c r="E498" s="132"/>
    </row>
    <row r="499" spans="1:5">
      <c r="A499" s="122"/>
      <c r="B499" s="125"/>
      <c r="C499" s="125"/>
      <c r="D499" s="132"/>
      <c r="E499" s="132"/>
    </row>
    <row r="500" spans="1:5">
      <c r="A500" s="122"/>
      <c r="B500" s="125"/>
      <c r="C500" s="125"/>
      <c r="D500" s="132"/>
      <c r="E500" s="132"/>
    </row>
    <row r="501" spans="1:5">
      <c r="A501" s="122"/>
      <c r="B501" s="125"/>
      <c r="C501" s="125"/>
      <c r="D501" s="132"/>
      <c r="E501" s="132"/>
    </row>
    <row r="502" spans="1:5">
      <c r="A502" s="122"/>
      <c r="B502" s="125"/>
      <c r="C502" s="125"/>
      <c r="D502" s="132"/>
      <c r="E502" s="132"/>
    </row>
    <row r="503" spans="1:5">
      <c r="A503" s="122"/>
      <c r="B503" s="125"/>
      <c r="C503" s="125"/>
      <c r="D503" s="132"/>
      <c r="E503" s="132"/>
    </row>
    <row r="504" spans="1:5">
      <c r="A504" s="122"/>
      <c r="B504" s="125"/>
      <c r="C504" s="125"/>
      <c r="D504" s="132"/>
      <c r="E504" s="132"/>
    </row>
    <row r="505" spans="1:5">
      <c r="A505" s="122"/>
      <c r="B505" s="125"/>
      <c r="C505" s="125"/>
      <c r="D505" s="132"/>
      <c r="E505" s="132"/>
    </row>
    <row r="506" spans="1:5">
      <c r="A506" s="122"/>
      <c r="B506" s="125"/>
      <c r="C506" s="125"/>
      <c r="D506" s="132"/>
      <c r="E506" s="132"/>
    </row>
    <row r="507" spans="1:5">
      <c r="A507" s="122"/>
      <c r="B507" s="125"/>
      <c r="C507" s="125"/>
      <c r="D507" s="132"/>
      <c r="E507" s="132"/>
    </row>
    <row r="508" spans="1:5">
      <c r="A508" s="122"/>
      <c r="B508" s="125"/>
      <c r="C508" s="125"/>
      <c r="D508" s="132"/>
      <c r="E508" s="132"/>
    </row>
    <row r="509" spans="1:5">
      <c r="A509" s="122"/>
      <c r="B509" s="125"/>
      <c r="C509" s="125"/>
      <c r="D509" s="132"/>
      <c r="E509" s="132"/>
    </row>
    <row r="510" spans="1:5">
      <c r="A510" s="122"/>
      <c r="B510" s="125"/>
      <c r="C510" s="125"/>
      <c r="D510" s="132"/>
      <c r="E510" s="132"/>
    </row>
    <row r="511" spans="1:5">
      <c r="A511" s="122"/>
      <c r="B511" s="125"/>
      <c r="C511" s="125"/>
      <c r="D511" s="132"/>
      <c r="E511" s="132"/>
    </row>
    <row r="512" spans="1:5">
      <c r="A512" s="122"/>
      <c r="B512" s="125"/>
      <c r="C512" s="125"/>
      <c r="D512" s="132"/>
      <c r="E512" s="132"/>
    </row>
    <row r="513" spans="1:5">
      <c r="A513" s="122"/>
      <c r="B513" s="125"/>
      <c r="C513" s="125"/>
      <c r="D513" s="132"/>
      <c r="E513" s="132"/>
    </row>
    <row r="514" spans="1:5">
      <c r="A514" s="122"/>
      <c r="B514" s="125"/>
      <c r="C514" s="125"/>
      <c r="D514" s="132"/>
      <c r="E514" s="132"/>
    </row>
    <row r="515" spans="1:5">
      <c r="A515" s="122"/>
      <c r="B515" s="125"/>
      <c r="C515" s="125"/>
      <c r="D515" s="132"/>
      <c r="E515" s="132"/>
    </row>
    <row r="516" spans="1:5">
      <c r="A516" s="122"/>
      <c r="B516" s="125"/>
      <c r="C516" s="125"/>
      <c r="D516" s="132"/>
      <c r="E516" s="132"/>
    </row>
    <row r="517" spans="1:5">
      <c r="A517" s="122"/>
      <c r="B517" s="125"/>
      <c r="C517" s="125"/>
      <c r="D517" s="132"/>
      <c r="E517" s="132"/>
    </row>
    <row r="518" spans="1:5">
      <c r="A518" s="122"/>
      <c r="B518" s="125"/>
      <c r="C518" s="125"/>
      <c r="D518" s="132"/>
      <c r="E518" s="132"/>
    </row>
    <row r="519" spans="1:5">
      <c r="A519" s="122"/>
      <c r="B519" s="125"/>
      <c r="C519" s="125"/>
      <c r="D519" s="132"/>
      <c r="E519" s="132"/>
    </row>
    <row r="520" spans="1:5">
      <c r="A520" s="122"/>
      <c r="B520" s="125"/>
      <c r="C520" s="125"/>
      <c r="D520" s="132"/>
      <c r="E520" s="132"/>
    </row>
    <row r="521" spans="1:5">
      <c r="A521" s="122"/>
      <c r="B521" s="125"/>
      <c r="C521" s="125"/>
      <c r="D521" s="132"/>
      <c r="E521" s="132"/>
    </row>
    <row r="522" spans="1:5">
      <c r="A522" s="122"/>
      <c r="B522" s="125"/>
      <c r="C522" s="125"/>
      <c r="D522" s="132"/>
      <c r="E522" s="132"/>
    </row>
    <row r="523" spans="1:5">
      <c r="A523" s="122"/>
      <c r="B523" s="125"/>
      <c r="C523" s="125"/>
      <c r="D523" s="132"/>
      <c r="E523" s="132"/>
    </row>
    <row r="524" spans="1:5">
      <c r="A524" s="122"/>
      <c r="B524" s="125"/>
      <c r="C524" s="125"/>
      <c r="D524" s="132"/>
      <c r="E524" s="132"/>
    </row>
    <row r="525" spans="1:5">
      <c r="A525" s="122"/>
      <c r="B525" s="125"/>
      <c r="C525" s="125"/>
      <c r="D525" s="132"/>
      <c r="E525" s="132"/>
    </row>
    <row r="526" spans="1:5">
      <c r="A526" s="122"/>
      <c r="B526" s="125"/>
      <c r="C526" s="125"/>
      <c r="D526" s="132"/>
      <c r="E526" s="132"/>
    </row>
    <row r="527" spans="1:5">
      <c r="A527" s="122"/>
      <c r="B527" s="125"/>
      <c r="C527" s="125"/>
      <c r="D527" s="132"/>
      <c r="E527" s="132"/>
    </row>
    <row r="528" spans="1:5">
      <c r="A528" s="122"/>
      <c r="B528" s="125"/>
      <c r="C528" s="125"/>
      <c r="D528" s="132"/>
      <c r="E528" s="132"/>
    </row>
    <row r="529" spans="1:5">
      <c r="A529" s="122"/>
      <c r="B529" s="125"/>
      <c r="C529" s="125"/>
      <c r="D529" s="132"/>
      <c r="E529" s="132"/>
    </row>
    <row r="530" spans="1:5">
      <c r="A530" s="122"/>
      <c r="B530" s="125"/>
      <c r="C530" s="125"/>
      <c r="D530" s="132"/>
      <c r="E530" s="132"/>
    </row>
    <row r="531" spans="1:5">
      <c r="A531" s="122"/>
      <c r="B531" s="125"/>
      <c r="C531" s="125"/>
      <c r="D531" s="132"/>
      <c r="E531" s="132"/>
    </row>
    <row r="532" spans="1:5">
      <c r="A532" s="122"/>
      <c r="B532" s="125"/>
      <c r="C532" s="125"/>
      <c r="D532" s="132"/>
      <c r="E532" s="132"/>
    </row>
    <row r="533" spans="1:5">
      <c r="A533" s="122"/>
      <c r="B533" s="125"/>
      <c r="C533" s="125"/>
      <c r="D533" s="132"/>
      <c r="E533" s="132"/>
    </row>
    <row r="534" spans="1:5">
      <c r="A534" s="122"/>
      <c r="B534" s="125"/>
      <c r="C534" s="125"/>
      <c r="D534" s="132"/>
      <c r="E534" s="132"/>
    </row>
    <row r="535" spans="1:5">
      <c r="A535" s="122"/>
      <c r="B535" s="125"/>
      <c r="C535" s="125"/>
      <c r="D535" s="132"/>
      <c r="E535" s="132"/>
    </row>
    <row r="536" spans="1:5">
      <c r="A536" s="122"/>
      <c r="B536" s="125"/>
      <c r="C536" s="125"/>
      <c r="D536" s="132"/>
      <c r="E536" s="132"/>
    </row>
    <row r="537" spans="1:5">
      <c r="A537" s="122"/>
      <c r="B537" s="125"/>
      <c r="C537" s="125"/>
      <c r="D537" s="132"/>
      <c r="E537" s="132"/>
    </row>
    <row r="538" spans="1:5">
      <c r="A538" s="122"/>
      <c r="B538" s="125"/>
      <c r="C538" s="125"/>
      <c r="D538" s="132"/>
      <c r="E538" s="132"/>
    </row>
    <row r="539" spans="1:5">
      <c r="A539" s="122"/>
      <c r="B539" s="125"/>
      <c r="C539" s="125"/>
      <c r="D539" s="132"/>
      <c r="E539" s="132"/>
    </row>
    <row r="540" spans="1:5">
      <c r="A540" s="122"/>
      <c r="B540" s="125"/>
      <c r="C540" s="125"/>
      <c r="D540" s="132"/>
      <c r="E540" s="132"/>
    </row>
    <row r="541" spans="1:5">
      <c r="A541" s="122"/>
      <c r="B541" s="125"/>
      <c r="C541" s="125"/>
      <c r="D541" s="132"/>
      <c r="E541" s="132"/>
    </row>
    <row r="542" spans="1:5">
      <c r="A542" s="122"/>
      <c r="B542" s="125"/>
      <c r="C542" s="125"/>
      <c r="D542" s="132"/>
      <c r="E542" s="132"/>
    </row>
    <row r="543" spans="1:5">
      <c r="A543" s="122"/>
      <c r="B543" s="125"/>
      <c r="C543" s="125"/>
      <c r="D543" s="132"/>
      <c r="E543" s="132"/>
    </row>
    <row r="544" spans="1:5">
      <c r="A544" s="122"/>
      <c r="B544" s="125"/>
      <c r="C544" s="125"/>
      <c r="D544" s="132"/>
      <c r="E544" s="132"/>
    </row>
    <row r="545" spans="1:5">
      <c r="A545" s="122"/>
      <c r="B545" s="125"/>
      <c r="C545" s="125"/>
      <c r="D545" s="132"/>
      <c r="E545" s="132"/>
    </row>
    <row r="546" spans="1:5">
      <c r="A546" s="122"/>
      <c r="B546" s="125"/>
      <c r="C546" s="125"/>
      <c r="D546" s="132"/>
      <c r="E546" s="132"/>
    </row>
    <row r="547" spans="1:5">
      <c r="A547" s="122"/>
      <c r="B547" s="125"/>
      <c r="C547" s="125"/>
      <c r="D547" s="132"/>
      <c r="E547" s="132"/>
    </row>
    <row r="548" spans="1:5">
      <c r="A548" s="122"/>
      <c r="B548" s="125"/>
      <c r="C548" s="125"/>
      <c r="D548" s="132"/>
      <c r="E548" s="132"/>
    </row>
    <row r="549" spans="1:5">
      <c r="A549" s="122"/>
      <c r="B549" s="125"/>
      <c r="C549" s="125"/>
      <c r="D549" s="132"/>
      <c r="E549" s="132"/>
    </row>
    <row r="550" spans="1:5">
      <c r="A550" s="122"/>
      <c r="B550" s="125"/>
      <c r="C550" s="125"/>
      <c r="D550" s="132"/>
      <c r="E550" s="132"/>
    </row>
    <row r="551" spans="1:5">
      <c r="A551" s="122"/>
      <c r="B551" s="125"/>
      <c r="C551" s="125"/>
      <c r="D551" s="132"/>
      <c r="E551" s="132"/>
    </row>
    <row r="552" spans="1:5">
      <c r="A552" s="122"/>
      <c r="B552" s="125"/>
      <c r="C552" s="125"/>
      <c r="D552" s="132"/>
      <c r="E552" s="132"/>
    </row>
    <row r="553" spans="1:5">
      <c r="A553" s="122"/>
      <c r="B553" s="125"/>
      <c r="C553" s="125"/>
      <c r="D553" s="132"/>
      <c r="E553" s="132"/>
    </row>
    <row r="554" spans="1:5">
      <c r="A554" s="122"/>
      <c r="B554" s="125"/>
      <c r="C554" s="125"/>
      <c r="D554" s="132"/>
      <c r="E554" s="132"/>
    </row>
    <row r="555" spans="1:5">
      <c r="A555" s="122"/>
      <c r="B555" s="125"/>
      <c r="C555" s="125"/>
      <c r="D555" s="132"/>
      <c r="E555" s="132"/>
    </row>
    <row r="556" spans="1:5">
      <c r="A556" s="122"/>
      <c r="B556" s="125"/>
      <c r="C556" s="125"/>
      <c r="D556" s="132"/>
      <c r="E556" s="132"/>
    </row>
    <row r="557" spans="1:5">
      <c r="A557" s="122"/>
      <c r="B557" s="125"/>
      <c r="C557" s="125"/>
      <c r="D557" s="132"/>
      <c r="E557" s="132"/>
    </row>
    <row r="558" spans="1:5">
      <c r="A558" s="122"/>
      <c r="B558" s="125"/>
      <c r="C558" s="125"/>
      <c r="D558" s="132"/>
      <c r="E558" s="132"/>
    </row>
    <row r="559" spans="1:5">
      <c r="A559" s="122"/>
      <c r="B559" s="125"/>
      <c r="C559" s="125"/>
      <c r="D559" s="132"/>
      <c r="E559" s="132"/>
    </row>
    <row r="560" spans="1:5">
      <c r="A560" s="122"/>
      <c r="B560" s="125"/>
      <c r="C560" s="125"/>
      <c r="D560" s="132"/>
      <c r="E560" s="132"/>
    </row>
    <row r="561" spans="1:5">
      <c r="A561" s="122"/>
      <c r="B561" s="125"/>
      <c r="C561" s="125"/>
      <c r="D561" s="132"/>
      <c r="E561" s="132"/>
    </row>
    <row r="562" spans="1:5">
      <c r="A562" s="122"/>
      <c r="B562" s="125"/>
      <c r="C562" s="125"/>
      <c r="D562" s="132"/>
      <c r="E562" s="132"/>
    </row>
    <row r="563" spans="1:5">
      <c r="A563" s="122"/>
      <c r="B563" s="125"/>
      <c r="C563" s="125"/>
      <c r="D563" s="132"/>
      <c r="E563" s="132"/>
    </row>
    <row r="564" spans="1:5">
      <c r="A564" s="122"/>
      <c r="B564" s="125"/>
      <c r="C564" s="125"/>
      <c r="D564" s="132"/>
      <c r="E564" s="132"/>
    </row>
    <row r="565" spans="1:5">
      <c r="A565" s="122"/>
      <c r="B565" s="125"/>
      <c r="C565" s="125"/>
      <c r="D565" s="132"/>
      <c r="E565" s="132"/>
    </row>
    <row r="566" spans="1:5">
      <c r="A566" s="122"/>
      <c r="B566" s="125"/>
      <c r="C566" s="125"/>
      <c r="D566" s="132"/>
      <c r="E566" s="132"/>
    </row>
    <row r="567" spans="1:5">
      <c r="A567" s="122"/>
      <c r="B567" s="125"/>
      <c r="C567" s="125"/>
      <c r="D567" s="132"/>
      <c r="E567" s="132"/>
    </row>
    <row r="568" spans="1:5">
      <c r="A568" s="122"/>
      <c r="B568" s="125"/>
      <c r="C568" s="125"/>
      <c r="D568" s="132"/>
      <c r="E568" s="132"/>
    </row>
    <row r="569" spans="1:5">
      <c r="A569" s="122"/>
      <c r="B569" s="125"/>
      <c r="C569" s="125"/>
      <c r="D569" s="132"/>
      <c r="E569" s="132"/>
    </row>
    <row r="570" spans="1:5">
      <c r="A570" s="122"/>
      <c r="B570" s="125"/>
      <c r="C570" s="125"/>
      <c r="D570" s="132"/>
      <c r="E570" s="132"/>
    </row>
    <row r="571" spans="1:5">
      <c r="A571" s="122"/>
      <c r="B571" s="125"/>
      <c r="C571" s="125"/>
      <c r="D571" s="132"/>
      <c r="E571" s="132"/>
    </row>
    <row r="572" spans="1:5">
      <c r="A572" s="122"/>
      <c r="B572" s="125"/>
      <c r="C572" s="125"/>
      <c r="D572" s="132"/>
      <c r="E572" s="132"/>
    </row>
    <row r="573" spans="1:5">
      <c r="A573" s="122"/>
      <c r="B573" s="125"/>
      <c r="C573" s="125"/>
      <c r="D573" s="132"/>
      <c r="E573" s="132"/>
    </row>
    <row r="574" spans="1:5">
      <c r="A574" s="122"/>
      <c r="B574" s="125"/>
      <c r="C574" s="125"/>
      <c r="D574" s="132"/>
      <c r="E574" s="132"/>
    </row>
    <row r="575" spans="1:5">
      <c r="A575" s="122"/>
      <c r="B575" s="125"/>
      <c r="C575" s="125"/>
      <c r="D575" s="132"/>
      <c r="E575" s="132"/>
    </row>
    <row r="576" spans="1:5">
      <c r="A576" s="122"/>
      <c r="B576" s="125"/>
      <c r="C576" s="125"/>
      <c r="D576" s="132"/>
      <c r="E576" s="132"/>
    </row>
    <row r="577" spans="1:5">
      <c r="A577" s="122"/>
      <c r="B577" s="125"/>
      <c r="C577" s="125"/>
      <c r="D577" s="132"/>
      <c r="E577" s="132"/>
    </row>
    <row r="578" spans="1:5">
      <c r="A578" s="122"/>
      <c r="B578" s="125"/>
      <c r="C578" s="125"/>
      <c r="D578" s="132"/>
      <c r="E578" s="132"/>
    </row>
    <row r="579" spans="1:5">
      <c r="A579" s="122"/>
      <c r="B579" s="125"/>
      <c r="C579" s="125"/>
      <c r="D579" s="132"/>
      <c r="E579" s="132"/>
    </row>
    <row r="580" spans="1:5">
      <c r="A580" s="122"/>
      <c r="B580" s="125"/>
      <c r="C580" s="125"/>
      <c r="D580" s="132"/>
      <c r="E580" s="132"/>
    </row>
    <row r="581" spans="1:5">
      <c r="A581" s="122"/>
      <c r="B581" s="125"/>
      <c r="C581" s="125"/>
      <c r="D581" s="132"/>
      <c r="E581" s="132"/>
    </row>
    <row r="582" spans="1:5">
      <c r="A582" s="122"/>
      <c r="B582" s="125"/>
      <c r="C582" s="125"/>
      <c r="D582" s="132"/>
      <c r="E582" s="132"/>
    </row>
    <row r="583" spans="1:5">
      <c r="A583" s="122"/>
      <c r="B583" s="125"/>
      <c r="C583" s="125"/>
      <c r="D583" s="132"/>
      <c r="E583" s="132"/>
    </row>
    <row r="584" spans="1:5">
      <c r="A584" s="122"/>
      <c r="B584" s="125"/>
      <c r="C584" s="125"/>
      <c r="D584" s="132"/>
      <c r="E584" s="132"/>
    </row>
    <row r="585" spans="1:5">
      <c r="A585" s="122"/>
      <c r="B585" s="125"/>
      <c r="C585" s="125"/>
      <c r="D585" s="132"/>
      <c r="E585" s="132"/>
    </row>
    <row r="586" spans="1:5">
      <c r="A586" s="122"/>
      <c r="B586" s="125"/>
      <c r="C586" s="125"/>
      <c r="D586" s="132"/>
      <c r="E586" s="132"/>
    </row>
    <row r="587" spans="1:5">
      <c r="A587" s="122"/>
      <c r="B587" s="125"/>
      <c r="C587" s="125"/>
      <c r="D587" s="132"/>
      <c r="E587" s="132"/>
    </row>
    <row r="588" spans="1:5">
      <c r="A588" s="122"/>
      <c r="B588" s="125"/>
      <c r="C588" s="125"/>
      <c r="D588" s="132"/>
      <c r="E588" s="132"/>
    </row>
    <row r="589" spans="1:5">
      <c r="A589" s="122"/>
      <c r="B589" s="125"/>
      <c r="C589" s="125"/>
      <c r="D589" s="132"/>
      <c r="E589" s="132"/>
    </row>
    <row r="590" spans="1:5">
      <c r="A590" s="122"/>
      <c r="B590" s="125"/>
      <c r="C590" s="125"/>
      <c r="D590" s="132"/>
      <c r="E590" s="132"/>
    </row>
    <row r="591" spans="1:5">
      <c r="A591" s="122"/>
      <c r="B591" s="125"/>
      <c r="C591" s="125"/>
      <c r="D591" s="132"/>
      <c r="E591" s="132"/>
    </row>
    <row r="592" spans="1:5">
      <c r="A592" s="122"/>
      <c r="B592" s="125"/>
      <c r="C592" s="125"/>
      <c r="D592" s="132"/>
      <c r="E592" s="132"/>
    </row>
    <row r="593" spans="1:5">
      <c r="A593" s="122"/>
      <c r="B593" s="125"/>
      <c r="C593" s="125"/>
      <c r="D593" s="132"/>
      <c r="E593" s="132"/>
    </row>
    <row r="594" spans="1:5">
      <c r="A594" s="122"/>
      <c r="B594" s="125"/>
      <c r="C594" s="125"/>
      <c r="D594" s="132"/>
      <c r="E594" s="132"/>
    </row>
    <row r="595" spans="1:5">
      <c r="A595" s="122"/>
      <c r="B595" s="125"/>
      <c r="C595" s="125"/>
      <c r="D595" s="132"/>
      <c r="E595" s="132"/>
    </row>
    <row r="596" spans="1:5">
      <c r="A596" s="122"/>
      <c r="B596" s="125"/>
      <c r="C596" s="125"/>
      <c r="D596" s="132"/>
      <c r="E596" s="132"/>
    </row>
    <row r="597" spans="1:5">
      <c r="A597" s="122"/>
      <c r="B597" s="125"/>
      <c r="C597" s="125"/>
      <c r="D597" s="132"/>
      <c r="E597" s="132"/>
    </row>
    <row r="598" spans="1:5">
      <c r="A598" s="122"/>
      <c r="B598" s="125"/>
      <c r="C598" s="125"/>
      <c r="D598" s="132"/>
      <c r="E598" s="132"/>
    </row>
    <row r="599" spans="1:5">
      <c r="A599" s="122"/>
      <c r="B599" s="125"/>
      <c r="C599" s="125"/>
      <c r="D599" s="132"/>
      <c r="E599" s="132"/>
    </row>
    <row r="600" spans="1:5">
      <c r="A600" s="122"/>
      <c r="B600" s="125"/>
      <c r="C600" s="125"/>
      <c r="D600" s="132"/>
      <c r="E600" s="132"/>
    </row>
    <row r="601" spans="1:5">
      <c r="A601" s="122"/>
      <c r="B601" s="125"/>
      <c r="C601" s="125"/>
      <c r="D601" s="132"/>
      <c r="E601" s="132"/>
    </row>
    <row r="602" spans="1:5">
      <c r="A602" s="122"/>
      <c r="B602" s="125"/>
      <c r="C602" s="125"/>
      <c r="D602" s="132"/>
      <c r="E602" s="132"/>
    </row>
    <row r="603" spans="1:5">
      <c r="A603" s="122"/>
      <c r="B603" s="125"/>
      <c r="C603" s="125"/>
      <c r="D603" s="132"/>
      <c r="E603" s="132"/>
    </row>
    <row r="604" spans="1:5">
      <c r="A604" s="122"/>
      <c r="B604" s="125"/>
      <c r="C604" s="125"/>
      <c r="D604" s="132"/>
      <c r="E604" s="132"/>
    </row>
    <row r="605" spans="1:5">
      <c r="A605" s="122"/>
      <c r="B605" s="125"/>
      <c r="C605" s="125"/>
      <c r="D605" s="132"/>
      <c r="E605" s="132"/>
    </row>
    <row r="606" spans="1:5">
      <c r="A606" s="122"/>
      <c r="B606" s="125"/>
      <c r="C606" s="125"/>
      <c r="D606" s="132"/>
      <c r="E606" s="132"/>
    </row>
    <row r="607" spans="1:5">
      <c r="A607" s="122"/>
      <c r="B607" s="125"/>
      <c r="C607" s="125"/>
      <c r="D607" s="132"/>
      <c r="E607" s="132"/>
    </row>
    <row r="608" spans="1:5">
      <c r="A608" s="122"/>
      <c r="B608" s="125"/>
      <c r="C608" s="125"/>
      <c r="D608" s="132"/>
      <c r="E608" s="132"/>
    </row>
    <row r="609" spans="1:5">
      <c r="A609" s="122"/>
      <c r="B609" s="125"/>
      <c r="C609" s="125"/>
      <c r="D609" s="132"/>
      <c r="E609" s="132"/>
    </row>
    <row r="610" spans="1:5">
      <c r="A610" s="122"/>
      <c r="B610" s="125"/>
      <c r="C610" s="125"/>
      <c r="D610" s="132"/>
      <c r="E610" s="132"/>
    </row>
    <row r="611" spans="1:5">
      <c r="A611" s="122"/>
      <c r="B611" s="125"/>
      <c r="C611" s="125"/>
      <c r="D611" s="132"/>
      <c r="E611" s="132"/>
    </row>
    <row r="612" spans="1:5">
      <c r="A612" s="122"/>
      <c r="B612" s="125"/>
      <c r="C612" s="125"/>
      <c r="D612" s="132"/>
      <c r="E612" s="132"/>
    </row>
    <row r="613" spans="1:5">
      <c r="A613" s="122"/>
      <c r="B613" s="125"/>
      <c r="C613" s="125"/>
      <c r="D613" s="132"/>
      <c r="E613" s="132"/>
    </row>
    <row r="614" spans="1:5">
      <c r="A614" s="122"/>
      <c r="B614" s="125"/>
      <c r="C614" s="125"/>
      <c r="D614" s="132"/>
      <c r="E614" s="132"/>
    </row>
    <row r="615" spans="1:5">
      <c r="A615" s="122"/>
      <c r="B615" s="125"/>
      <c r="C615" s="125"/>
      <c r="D615" s="132"/>
      <c r="E615" s="132"/>
    </row>
    <row r="616" spans="1:5">
      <c r="A616" s="122"/>
      <c r="B616" s="125"/>
      <c r="C616" s="125"/>
      <c r="D616" s="132"/>
      <c r="E616" s="132"/>
    </row>
    <row r="617" spans="1:5">
      <c r="A617" s="122"/>
      <c r="B617" s="125"/>
      <c r="C617" s="125"/>
      <c r="D617" s="132"/>
      <c r="E617" s="132"/>
    </row>
    <row r="618" spans="1:5">
      <c r="A618" s="122"/>
      <c r="B618" s="125"/>
      <c r="C618" s="125"/>
      <c r="D618" s="132"/>
      <c r="E618" s="132"/>
    </row>
    <row r="619" spans="1:5">
      <c r="A619" s="122"/>
      <c r="B619" s="125"/>
      <c r="C619" s="125"/>
      <c r="D619" s="132"/>
      <c r="E619" s="132"/>
    </row>
    <row r="620" spans="1:5">
      <c r="A620" s="122"/>
      <c r="B620" s="125"/>
      <c r="C620" s="125"/>
      <c r="D620" s="132"/>
      <c r="E620" s="132"/>
    </row>
    <row r="621" spans="1:5">
      <c r="A621" s="122"/>
      <c r="B621" s="125"/>
      <c r="C621" s="125"/>
      <c r="D621" s="132"/>
      <c r="E621" s="132"/>
    </row>
    <row r="622" spans="1:5">
      <c r="A622" s="122"/>
      <c r="B622" s="125"/>
      <c r="C622" s="125"/>
      <c r="D622" s="132"/>
      <c r="E622" s="132"/>
    </row>
    <row r="623" spans="1:5">
      <c r="A623" s="122"/>
      <c r="B623" s="125"/>
      <c r="C623" s="125"/>
      <c r="D623" s="132"/>
      <c r="E623" s="132"/>
    </row>
    <row r="624" spans="1:5">
      <c r="A624" s="122"/>
      <c r="B624" s="125"/>
      <c r="C624" s="125"/>
      <c r="D624" s="132"/>
      <c r="E624" s="132"/>
    </row>
    <row r="625" spans="1:5">
      <c r="A625" s="122"/>
      <c r="B625" s="125"/>
      <c r="C625" s="125"/>
      <c r="D625" s="132"/>
      <c r="E625" s="132"/>
    </row>
    <row r="626" spans="1:5">
      <c r="A626" s="122"/>
      <c r="B626" s="125"/>
      <c r="C626" s="125"/>
      <c r="D626" s="132"/>
      <c r="E626" s="132"/>
    </row>
    <row r="627" spans="1:5">
      <c r="A627" s="122"/>
      <c r="B627" s="125"/>
      <c r="C627" s="125"/>
      <c r="D627" s="132"/>
      <c r="E627" s="132"/>
    </row>
    <row r="628" spans="1:5">
      <c r="A628" s="122"/>
      <c r="B628" s="125"/>
      <c r="C628" s="125"/>
      <c r="D628" s="132"/>
      <c r="E628" s="132"/>
    </row>
    <row r="629" spans="1:5">
      <c r="A629" s="122"/>
      <c r="B629" s="125"/>
      <c r="C629" s="125"/>
      <c r="D629" s="132"/>
      <c r="E629" s="132"/>
    </row>
    <row r="630" spans="1:5">
      <c r="A630" s="122"/>
      <c r="B630" s="125"/>
      <c r="C630" s="125"/>
      <c r="D630" s="132"/>
      <c r="E630" s="132"/>
    </row>
    <row r="631" spans="1:5">
      <c r="A631" s="122"/>
      <c r="B631" s="125"/>
      <c r="C631" s="125"/>
      <c r="D631" s="132"/>
      <c r="E631" s="132"/>
    </row>
    <row r="632" spans="1:5">
      <c r="A632" s="122"/>
      <c r="B632" s="125"/>
      <c r="C632" s="125"/>
      <c r="D632" s="132"/>
      <c r="E632" s="132"/>
    </row>
    <row r="633" spans="1:5">
      <c r="A633" s="122"/>
      <c r="B633" s="125"/>
      <c r="C633" s="125"/>
      <c r="D633" s="132"/>
      <c r="E633" s="132"/>
    </row>
    <row r="634" spans="1:5">
      <c r="A634" s="122"/>
      <c r="B634" s="125"/>
      <c r="C634" s="125"/>
      <c r="D634" s="132"/>
      <c r="E634" s="132"/>
    </row>
    <row r="635" spans="1:5">
      <c r="A635" s="122"/>
      <c r="B635" s="125"/>
      <c r="C635" s="125"/>
      <c r="D635" s="132"/>
      <c r="E635" s="132"/>
    </row>
    <row r="636" spans="1:5">
      <c r="A636" s="122"/>
      <c r="B636" s="125"/>
      <c r="C636" s="125"/>
      <c r="D636" s="132"/>
      <c r="E636" s="132"/>
    </row>
    <row r="637" spans="1:5">
      <c r="A637" s="122"/>
      <c r="B637" s="125"/>
      <c r="C637" s="125"/>
      <c r="D637" s="132"/>
      <c r="E637" s="132"/>
    </row>
    <row r="638" spans="1:5">
      <c r="A638" s="122"/>
      <c r="B638" s="125"/>
      <c r="C638" s="125"/>
      <c r="D638" s="132"/>
      <c r="E638" s="132"/>
    </row>
    <row r="639" spans="1:5">
      <c r="A639" s="122"/>
      <c r="B639" s="125"/>
      <c r="C639" s="125"/>
      <c r="D639" s="132"/>
      <c r="E639" s="132"/>
    </row>
    <row r="640" spans="1:5">
      <c r="A640" s="122"/>
      <c r="B640" s="125"/>
      <c r="C640" s="125"/>
      <c r="D640" s="132"/>
      <c r="E640" s="132"/>
    </row>
    <row r="641" spans="1:5">
      <c r="A641" s="122"/>
      <c r="B641" s="125"/>
      <c r="C641" s="125"/>
      <c r="D641" s="132"/>
      <c r="E641" s="132"/>
    </row>
    <row r="642" spans="1:5">
      <c r="A642" s="122"/>
      <c r="B642" s="125"/>
      <c r="C642" s="125"/>
      <c r="D642" s="132"/>
      <c r="E642" s="132"/>
    </row>
    <row r="643" spans="1:5">
      <c r="A643" s="122"/>
      <c r="B643" s="125"/>
      <c r="C643" s="125"/>
      <c r="D643" s="132"/>
      <c r="E643" s="132"/>
    </row>
    <row r="644" spans="1:5">
      <c r="A644" s="122"/>
      <c r="B644" s="125"/>
      <c r="C644" s="125"/>
      <c r="D644" s="132"/>
      <c r="E644" s="132"/>
    </row>
    <row r="645" spans="1:5">
      <c r="A645" s="122"/>
      <c r="B645" s="125"/>
      <c r="C645" s="125"/>
      <c r="D645" s="132"/>
      <c r="E645" s="132"/>
    </row>
    <row r="646" spans="1:5">
      <c r="A646" s="122"/>
      <c r="B646" s="125"/>
      <c r="C646" s="125"/>
      <c r="D646" s="132"/>
      <c r="E646" s="132"/>
    </row>
    <row r="647" spans="1:5">
      <c r="A647" s="122"/>
      <c r="B647" s="125"/>
      <c r="C647" s="125"/>
      <c r="D647" s="132"/>
      <c r="E647" s="132"/>
    </row>
    <row r="648" spans="1:5">
      <c r="A648" s="122"/>
      <c r="B648" s="125"/>
      <c r="C648" s="125"/>
      <c r="D648" s="132"/>
      <c r="E648" s="132"/>
    </row>
    <row r="649" spans="1:5">
      <c r="A649" s="122"/>
      <c r="B649" s="125"/>
      <c r="C649" s="125"/>
      <c r="D649" s="132"/>
      <c r="E649" s="132"/>
    </row>
    <row r="650" spans="1:5">
      <c r="A650" s="122"/>
      <c r="B650" s="125"/>
      <c r="C650" s="125"/>
      <c r="D650" s="132"/>
      <c r="E650" s="132"/>
    </row>
    <row r="651" spans="1:5">
      <c r="A651" s="122"/>
      <c r="B651" s="125"/>
      <c r="C651" s="125"/>
      <c r="D651" s="132"/>
      <c r="E651" s="132"/>
    </row>
    <row r="652" spans="1:5">
      <c r="A652" s="122"/>
      <c r="B652" s="125"/>
      <c r="C652" s="125"/>
      <c r="D652" s="132"/>
      <c r="E652" s="132"/>
    </row>
    <row r="653" spans="1:5">
      <c r="A653" s="122"/>
      <c r="B653" s="125"/>
      <c r="C653" s="125"/>
      <c r="D653" s="132"/>
      <c r="E653" s="132"/>
    </row>
    <row r="654" spans="1:5">
      <c r="A654" s="122"/>
      <c r="B654" s="125"/>
      <c r="C654" s="125"/>
      <c r="D654" s="132"/>
      <c r="E654" s="132"/>
    </row>
    <row r="655" spans="1:5">
      <c r="A655" s="122"/>
      <c r="B655" s="125"/>
      <c r="C655" s="125"/>
      <c r="D655" s="132"/>
      <c r="E655" s="132"/>
    </row>
    <row r="656" spans="1:5">
      <c r="A656" s="122"/>
      <c r="B656" s="125"/>
      <c r="C656" s="125"/>
      <c r="D656" s="132"/>
      <c r="E656" s="132"/>
    </row>
    <row r="657" spans="1:5">
      <c r="A657" s="122"/>
      <c r="B657" s="125"/>
      <c r="C657" s="125"/>
      <c r="D657" s="132"/>
      <c r="E657" s="132"/>
    </row>
    <row r="658" spans="1:5">
      <c r="A658" s="122"/>
      <c r="B658" s="125"/>
      <c r="C658" s="125"/>
      <c r="D658" s="132"/>
      <c r="E658" s="132"/>
    </row>
    <row r="659" spans="1:5">
      <c r="A659" s="122"/>
      <c r="B659" s="125"/>
      <c r="C659" s="125"/>
      <c r="D659" s="132"/>
      <c r="E659" s="132"/>
    </row>
    <row r="660" spans="1:5">
      <c r="A660" s="122"/>
      <c r="B660" s="125"/>
      <c r="C660" s="125"/>
      <c r="D660" s="132"/>
      <c r="E660" s="132"/>
    </row>
    <row r="661" spans="1:5">
      <c r="A661" s="122"/>
      <c r="B661" s="125"/>
      <c r="C661" s="125"/>
      <c r="D661" s="132"/>
      <c r="E661" s="132"/>
    </row>
    <row r="662" spans="1:5">
      <c r="A662" s="122"/>
      <c r="B662" s="125"/>
      <c r="C662" s="125"/>
      <c r="D662" s="132"/>
      <c r="E662" s="132"/>
    </row>
    <row r="663" spans="1:5">
      <c r="A663" s="122"/>
      <c r="B663" s="125"/>
      <c r="C663" s="125"/>
      <c r="D663" s="132"/>
      <c r="E663" s="132"/>
    </row>
    <row r="664" spans="1:5">
      <c r="A664" s="122"/>
      <c r="B664" s="125"/>
      <c r="C664" s="125"/>
      <c r="D664" s="132"/>
      <c r="E664" s="132"/>
    </row>
    <row r="665" spans="1:5">
      <c r="A665" s="122"/>
      <c r="B665" s="125"/>
      <c r="C665" s="125"/>
      <c r="D665" s="132"/>
      <c r="E665" s="132"/>
    </row>
    <row r="666" spans="1:5">
      <c r="A666" s="122"/>
      <c r="B666" s="125"/>
      <c r="C666" s="125"/>
      <c r="D666" s="132"/>
      <c r="E666" s="132"/>
    </row>
    <row r="667" spans="1:5">
      <c r="A667" s="122"/>
      <c r="B667" s="125"/>
      <c r="C667" s="125"/>
      <c r="D667" s="132"/>
      <c r="E667" s="132"/>
    </row>
    <row r="668" spans="1:5">
      <c r="A668" s="122"/>
      <c r="B668" s="125"/>
      <c r="C668" s="125"/>
      <c r="D668" s="132"/>
      <c r="E668" s="132"/>
    </row>
    <row r="669" spans="1:5">
      <c r="A669" s="122"/>
      <c r="B669" s="125"/>
      <c r="C669" s="125"/>
      <c r="D669" s="132"/>
      <c r="E669" s="132"/>
    </row>
    <row r="670" spans="1:5">
      <c r="A670" s="122"/>
      <c r="B670" s="125"/>
      <c r="C670" s="125"/>
      <c r="D670" s="132"/>
      <c r="E670" s="132"/>
    </row>
    <row r="671" spans="1:5">
      <c r="A671" s="122"/>
      <c r="B671" s="125"/>
      <c r="C671" s="125"/>
      <c r="D671" s="132"/>
      <c r="E671" s="132"/>
    </row>
    <row r="672" spans="1:5">
      <c r="A672" s="122"/>
      <c r="B672" s="125"/>
      <c r="C672" s="125"/>
      <c r="D672" s="132"/>
      <c r="E672" s="132"/>
    </row>
    <row r="673" spans="1:5">
      <c r="A673" s="122"/>
      <c r="B673" s="125"/>
      <c r="C673" s="125"/>
      <c r="D673" s="132"/>
      <c r="E673" s="132"/>
    </row>
    <row r="674" spans="1:5">
      <c r="A674" s="122"/>
      <c r="B674" s="125"/>
      <c r="C674" s="125"/>
      <c r="D674" s="132"/>
      <c r="E674" s="132"/>
    </row>
    <row r="675" spans="1:5">
      <c r="A675" s="122"/>
      <c r="B675" s="125"/>
      <c r="C675" s="125"/>
      <c r="D675" s="132"/>
      <c r="E675" s="132"/>
    </row>
    <row r="676" spans="1:5">
      <c r="A676" s="122"/>
      <c r="B676" s="125"/>
      <c r="C676" s="125"/>
      <c r="D676" s="132"/>
      <c r="E676" s="132"/>
    </row>
    <row r="677" spans="1:5">
      <c r="A677" s="122"/>
      <c r="B677" s="125"/>
      <c r="C677" s="125"/>
      <c r="D677" s="132"/>
      <c r="E677" s="132"/>
    </row>
    <row r="678" spans="1:5">
      <c r="A678" s="122"/>
      <c r="B678" s="125"/>
      <c r="C678" s="125"/>
      <c r="D678" s="132"/>
      <c r="E678" s="132"/>
    </row>
    <row r="679" spans="1:5">
      <c r="A679" s="122"/>
      <c r="B679" s="125"/>
      <c r="C679" s="125"/>
      <c r="D679" s="132"/>
      <c r="E679" s="132"/>
    </row>
    <row r="680" spans="1:5">
      <c r="A680" s="122"/>
      <c r="B680" s="125"/>
      <c r="C680" s="125"/>
      <c r="D680" s="132"/>
      <c r="E680" s="132"/>
    </row>
    <row r="681" spans="1:5">
      <c r="A681" s="122"/>
      <c r="B681" s="125"/>
      <c r="C681" s="125"/>
      <c r="D681" s="132"/>
      <c r="E681" s="132"/>
    </row>
    <row r="682" spans="1:5">
      <c r="A682" s="122"/>
      <c r="B682" s="125"/>
      <c r="C682" s="125"/>
      <c r="D682" s="132"/>
      <c r="E682" s="132"/>
    </row>
    <row r="683" spans="1:5">
      <c r="A683" s="122"/>
      <c r="B683" s="125"/>
      <c r="C683" s="125"/>
      <c r="D683" s="132"/>
      <c r="E683" s="132"/>
    </row>
    <row r="684" spans="1:5">
      <c r="A684" s="122"/>
      <c r="B684" s="125"/>
      <c r="C684" s="125"/>
      <c r="D684" s="132"/>
      <c r="E684" s="132"/>
    </row>
    <row r="685" spans="1:5">
      <c r="A685" s="122"/>
      <c r="B685" s="125"/>
      <c r="C685" s="125"/>
      <c r="D685" s="132"/>
      <c r="E685" s="132"/>
    </row>
    <row r="686" spans="1:5">
      <c r="A686" s="122"/>
      <c r="B686" s="125"/>
      <c r="C686" s="125"/>
      <c r="D686" s="132"/>
      <c r="E686" s="132"/>
    </row>
    <row r="687" spans="1:5">
      <c r="A687" s="122"/>
      <c r="B687" s="125"/>
      <c r="C687" s="125"/>
      <c r="D687" s="132"/>
      <c r="E687" s="132"/>
    </row>
    <row r="688" spans="1:5">
      <c r="A688" s="122"/>
      <c r="B688" s="125"/>
      <c r="C688" s="125"/>
      <c r="D688" s="132"/>
      <c r="E688" s="132"/>
    </row>
    <row r="689" spans="1:5">
      <c r="A689" s="122"/>
      <c r="B689" s="125"/>
      <c r="C689" s="125"/>
      <c r="D689" s="132"/>
      <c r="E689" s="132"/>
    </row>
    <row r="690" spans="1:5">
      <c r="A690" s="122"/>
      <c r="B690" s="125"/>
      <c r="C690" s="125"/>
      <c r="D690" s="132"/>
      <c r="E690" s="132"/>
    </row>
    <row r="691" spans="1:5">
      <c r="A691" s="122"/>
      <c r="B691" s="125"/>
      <c r="C691" s="125"/>
      <c r="D691" s="132"/>
      <c r="E691" s="132"/>
    </row>
    <row r="692" spans="1:5">
      <c r="A692" s="122"/>
      <c r="B692" s="125"/>
      <c r="C692" s="125"/>
      <c r="D692" s="132"/>
      <c r="E692" s="132"/>
    </row>
    <row r="693" spans="1:5">
      <c r="A693" s="122"/>
      <c r="B693" s="125"/>
      <c r="C693" s="125"/>
      <c r="D693" s="132"/>
      <c r="E693" s="132"/>
    </row>
    <row r="694" spans="1:5">
      <c r="A694" s="122"/>
      <c r="B694" s="125"/>
      <c r="C694" s="125"/>
      <c r="D694" s="132"/>
      <c r="E694" s="132"/>
    </row>
    <row r="695" spans="1:5">
      <c r="A695" s="122"/>
      <c r="B695" s="125"/>
      <c r="C695" s="125"/>
      <c r="D695" s="132"/>
      <c r="E695" s="132"/>
    </row>
    <row r="696" spans="1:5">
      <c r="A696" s="122"/>
      <c r="B696" s="125"/>
      <c r="C696" s="125"/>
      <c r="D696" s="132"/>
      <c r="E696" s="132"/>
    </row>
    <row r="697" spans="1:5">
      <c r="A697" s="122"/>
      <c r="B697" s="125"/>
      <c r="C697" s="125"/>
      <c r="D697" s="132"/>
      <c r="E697" s="132"/>
    </row>
    <row r="698" spans="1:5">
      <c r="A698" s="122"/>
      <c r="B698" s="125"/>
      <c r="C698" s="125"/>
      <c r="D698" s="132"/>
      <c r="E698" s="132"/>
    </row>
    <row r="699" spans="1:5">
      <c r="A699" s="122"/>
      <c r="B699" s="125"/>
      <c r="C699" s="125"/>
      <c r="D699" s="132"/>
      <c r="E699" s="132"/>
    </row>
    <row r="700" spans="1:5">
      <c r="A700" s="122"/>
      <c r="B700" s="125"/>
      <c r="C700" s="125"/>
      <c r="D700" s="132"/>
      <c r="E700" s="132"/>
    </row>
    <row r="701" spans="1:5">
      <c r="A701" s="122"/>
      <c r="B701" s="125"/>
      <c r="C701" s="125"/>
      <c r="D701" s="132"/>
      <c r="E701" s="132"/>
    </row>
    <row r="702" spans="1:5">
      <c r="A702" s="122"/>
      <c r="B702" s="125"/>
      <c r="C702" s="125"/>
      <c r="D702" s="132"/>
      <c r="E702" s="132"/>
    </row>
    <row r="703" spans="1:5">
      <c r="A703" s="122"/>
      <c r="B703" s="125"/>
      <c r="C703" s="125"/>
      <c r="D703" s="132"/>
      <c r="E703" s="132"/>
    </row>
    <row r="704" spans="1:5">
      <c r="A704" s="122"/>
      <c r="B704" s="125"/>
      <c r="C704" s="125"/>
      <c r="D704" s="132"/>
      <c r="E704" s="132"/>
    </row>
    <row r="705" spans="1:5">
      <c r="A705" s="122"/>
      <c r="B705" s="125"/>
      <c r="C705" s="125"/>
      <c r="D705" s="132"/>
      <c r="E705" s="132"/>
    </row>
    <row r="706" spans="1:5">
      <c r="A706" s="122"/>
      <c r="B706" s="125"/>
      <c r="C706" s="125"/>
      <c r="D706" s="132"/>
      <c r="E706" s="132"/>
    </row>
    <row r="707" spans="1:5">
      <c r="A707" s="122"/>
      <c r="B707" s="125"/>
      <c r="C707" s="125"/>
      <c r="D707" s="132"/>
      <c r="E707" s="132"/>
    </row>
    <row r="708" spans="1:5">
      <c r="A708" s="122"/>
      <c r="B708" s="125"/>
      <c r="C708" s="125"/>
      <c r="D708" s="132"/>
      <c r="E708" s="132"/>
    </row>
    <row r="709" spans="1:5">
      <c r="A709" s="122"/>
      <c r="B709" s="125"/>
      <c r="C709" s="125"/>
      <c r="D709" s="132"/>
      <c r="E709" s="132"/>
    </row>
    <row r="710" spans="1:5">
      <c r="A710" s="122"/>
      <c r="B710" s="125"/>
      <c r="C710" s="125"/>
      <c r="D710" s="132"/>
      <c r="E710" s="132"/>
    </row>
    <row r="711" spans="1:5">
      <c r="A711" s="122"/>
      <c r="B711" s="125"/>
      <c r="C711" s="125"/>
      <c r="D711" s="132"/>
      <c r="E711" s="132"/>
    </row>
    <row r="712" spans="1:5">
      <c r="A712" s="122"/>
      <c r="B712" s="125"/>
      <c r="C712" s="125"/>
      <c r="D712" s="132"/>
      <c r="E712" s="132"/>
    </row>
    <row r="713" spans="1:5">
      <c r="A713" s="122"/>
      <c r="B713" s="125"/>
      <c r="C713" s="125"/>
      <c r="D713" s="132"/>
      <c r="E713" s="132"/>
    </row>
    <row r="714" spans="1:5">
      <c r="A714" s="122"/>
      <c r="B714" s="125"/>
      <c r="C714" s="125"/>
      <c r="D714" s="132"/>
      <c r="E714" s="132"/>
    </row>
    <row r="715" spans="1:5">
      <c r="A715" s="122"/>
      <c r="B715" s="125"/>
      <c r="C715" s="125"/>
      <c r="D715" s="132"/>
      <c r="E715" s="132"/>
    </row>
    <row r="716" spans="1:5">
      <c r="A716" s="122"/>
      <c r="B716" s="125"/>
      <c r="C716" s="125"/>
      <c r="D716" s="132"/>
      <c r="E716" s="132"/>
    </row>
    <row r="717" spans="1:5">
      <c r="A717" s="122"/>
      <c r="B717" s="125"/>
      <c r="C717" s="125"/>
      <c r="D717" s="132"/>
      <c r="E717" s="132"/>
    </row>
    <row r="718" spans="1:5">
      <c r="A718" s="122"/>
      <c r="B718" s="125"/>
      <c r="C718" s="125"/>
      <c r="D718" s="132"/>
      <c r="E718" s="132"/>
    </row>
    <row r="719" spans="1:5">
      <c r="A719" s="122"/>
      <c r="B719" s="125"/>
      <c r="C719" s="125"/>
      <c r="D719" s="132"/>
      <c r="E719" s="132"/>
    </row>
    <row r="720" spans="1:5">
      <c r="A720" s="122"/>
      <c r="B720" s="125"/>
      <c r="C720" s="125"/>
      <c r="D720" s="132"/>
      <c r="E720" s="132"/>
    </row>
    <row r="721" spans="1:5">
      <c r="A721" s="122"/>
      <c r="B721" s="125"/>
      <c r="C721" s="125"/>
      <c r="D721" s="132"/>
      <c r="E721" s="132"/>
    </row>
    <row r="722" spans="1:5">
      <c r="A722" s="122"/>
      <c r="B722" s="125"/>
      <c r="C722" s="125"/>
      <c r="D722" s="132"/>
      <c r="E722" s="132"/>
    </row>
    <row r="723" spans="1:5">
      <c r="A723" s="122"/>
      <c r="B723" s="125"/>
      <c r="C723" s="125"/>
      <c r="D723" s="132"/>
      <c r="E723" s="132"/>
    </row>
    <row r="724" spans="1:5">
      <c r="A724" s="122"/>
      <c r="B724" s="125"/>
      <c r="C724" s="125"/>
      <c r="D724" s="132"/>
      <c r="E724" s="132"/>
    </row>
    <row r="725" spans="1:5">
      <c r="A725" s="122"/>
      <c r="B725" s="125"/>
      <c r="C725" s="125"/>
      <c r="D725" s="132"/>
      <c r="E725" s="132"/>
    </row>
    <row r="726" spans="1:5">
      <c r="A726" s="122"/>
      <c r="B726" s="125"/>
      <c r="C726" s="125"/>
      <c r="D726" s="132"/>
      <c r="E726" s="132"/>
    </row>
    <row r="727" spans="1:5">
      <c r="A727" s="122"/>
      <c r="B727" s="125"/>
      <c r="C727" s="125"/>
      <c r="D727" s="132"/>
      <c r="E727" s="132"/>
    </row>
    <row r="728" spans="1:5">
      <c r="A728" s="122"/>
      <c r="B728" s="125"/>
      <c r="C728" s="125"/>
      <c r="D728" s="132"/>
      <c r="E728" s="132"/>
    </row>
    <row r="729" spans="1:5">
      <c r="A729" s="122"/>
      <c r="B729" s="125"/>
      <c r="C729" s="125"/>
      <c r="D729" s="132"/>
      <c r="E729" s="132"/>
    </row>
    <row r="730" spans="1:5">
      <c r="A730" s="122"/>
      <c r="B730" s="125"/>
      <c r="C730" s="125"/>
      <c r="D730" s="132"/>
      <c r="E730" s="132"/>
    </row>
    <row r="731" spans="1:5">
      <c r="A731" s="122"/>
      <c r="B731" s="125"/>
      <c r="C731" s="125"/>
      <c r="D731" s="132"/>
      <c r="E731" s="132"/>
    </row>
    <row r="732" spans="1:5">
      <c r="A732" s="122"/>
      <c r="B732" s="125"/>
      <c r="C732" s="125"/>
      <c r="D732" s="132"/>
      <c r="E732" s="132"/>
    </row>
    <row r="733" spans="1:5">
      <c r="A733" s="122"/>
      <c r="B733" s="125"/>
      <c r="C733" s="125"/>
      <c r="D733" s="132"/>
      <c r="E733" s="132"/>
    </row>
    <row r="734" spans="1:5">
      <c r="A734" s="122"/>
      <c r="B734" s="125"/>
      <c r="C734" s="125"/>
      <c r="D734" s="132"/>
      <c r="E734" s="132"/>
    </row>
    <row r="735" spans="1:5">
      <c r="A735" s="122"/>
      <c r="B735" s="125"/>
      <c r="C735" s="125"/>
      <c r="D735" s="132"/>
      <c r="E735" s="132"/>
    </row>
    <row r="736" spans="1:5">
      <c r="A736" s="122"/>
      <c r="B736" s="125"/>
      <c r="C736" s="125"/>
      <c r="D736" s="132"/>
      <c r="E736" s="132"/>
    </row>
    <row r="737" spans="1:5">
      <c r="A737" s="122"/>
      <c r="B737" s="125"/>
      <c r="C737" s="125"/>
      <c r="D737" s="132"/>
      <c r="E737" s="132"/>
    </row>
    <row r="738" spans="1:5">
      <c r="A738" s="122"/>
      <c r="B738" s="125"/>
      <c r="C738" s="125"/>
      <c r="D738" s="132"/>
      <c r="E738" s="132"/>
    </row>
    <row r="739" spans="1:5">
      <c r="A739" s="122"/>
      <c r="B739" s="125"/>
      <c r="C739" s="125"/>
      <c r="D739" s="132"/>
      <c r="E739" s="132"/>
    </row>
    <row r="740" spans="1:5">
      <c r="A740" s="122"/>
      <c r="B740" s="125"/>
      <c r="C740" s="125"/>
      <c r="D740" s="132"/>
      <c r="E740" s="132"/>
    </row>
    <row r="741" spans="1:5">
      <c r="A741" s="122"/>
      <c r="B741" s="125"/>
      <c r="C741" s="125"/>
      <c r="D741" s="132"/>
      <c r="E741" s="132"/>
    </row>
    <row r="742" spans="1:5">
      <c r="A742" s="122"/>
      <c r="B742" s="125"/>
      <c r="C742" s="125"/>
      <c r="D742" s="132"/>
      <c r="E742" s="132"/>
    </row>
    <row r="743" spans="1:5">
      <c r="A743" s="122"/>
      <c r="B743" s="125"/>
      <c r="C743" s="125"/>
      <c r="D743" s="132"/>
      <c r="E743" s="132"/>
    </row>
    <row r="744" spans="1:5">
      <c r="A744" s="122"/>
      <c r="B744" s="125"/>
      <c r="C744" s="125"/>
      <c r="D744" s="132"/>
      <c r="E744" s="132"/>
    </row>
    <row r="745" spans="1:5">
      <c r="A745" s="122"/>
      <c r="B745" s="125"/>
      <c r="C745" s="125"/>
      <c r="D745" s="132"/>
      <c r="E745" s="132"/>
    </row>
    <row r="746" spans="1:5">
      <c r="A746" s="122"/>
      <c r="B746" s="125"/>
      <c r="C746" s="125"/>
      <c r="D746" s="132"/>
      <c r="E746" s="132"/>
    </row>
    <row r="747" spans="1:5">
      <c r="A747" s="122"/>
      <c r="B747" s="125"/>
      <c r="C747" s="125"/>
      <c r="D747" s="132"/>
      <c r="E747" s="132"/>
    </row>
    <row r="748" spans="1:5">
      <c r="A748" s="122"/>
      <c r="B748" s="125"/>
      <c r="C748" s="125"/>
      <c r="D748" s="132"/>
      <c r="E748" s="132"/>
    </row>
    <row r="749" spans="1:5">
      <c r="A749" s="122"/>
      <c r="B749" s="125"/>
      <c r="C749" s="125"/>
      <c r="D749" s="132"/>
      <c r="E749" s="132"/>
    </row>
    <row r="750" spans="1:5">
      <c r="A750" s="122"/>
      <c r="B750" s="125"/>
      <c r="C750" s="125"/>
      <c r="D750" s="132"/>
      <c r="E750" s="132"/>
    </row>
    <row r="751" spans="1:5">
      <c r="A751" s="122"/>
      <c r="B751" s="125"/>
      <c r="C751" s="125"/>
      <c r="D751" s="132"/>
      <c r="E751" s="132"/>
    </row>
    <row r="752" spans="1:5">
      <c r="A752" s="122"/>
      <c r="B752" s="125"/>
      <c r="C752" s="125"/>
      <c r="D752" s="132"/>
      <c r="E752" s="132"/>
    </row>
    <row r="753" spans="1:5">
      <c r="A753" s="122"/>
      <c r="B753" s="125"/>
      <c r="C753" s="125"/>
      <c r="D753" s="132"/>
      <c r="E753" s="132"/>
    </row>
    <row r="754" spans="1:5">
      <c r="A754" s="122"/>
      <c r="B754" s="125"/>
      <c r="C754" s="125"/>
      <c r="D754" s="132"/>
      <c r="E754" s="132"/>
    </row>
    <row r="755" spans="1:5">
      <c r="A755" s="122"/>
      <c r="B755" s="125"/>
      <c r="C755" s="125"/>
      <c r="D755" s="132"/>
      <c r="E755" s="132"/>
    </row>
    <row r="756" spans="1:5">
      <c r="A756" s="122"/>
      <c r="B756" s="125"/>
      <c r="C756" s="125"/>
      <c r="D756" s="132"/>
      <c r="E756" s="132"/>
    </row>
    <row r="757" spans="1:5">
      <c r="A757" s="122"/>
      <c r="B757" s="125"/>
      <c r="C757" s="125"/>
      <c r="D757" s="132"/>
      <c r="E757" s="132"/>
    </row>
    <row r="758" spans="1:5">
      <c r="A758" s="122"/>
      <c r="B758" s="125"/>
      <c r="C758" s="125"/>
      <c r="D758" s="132"/>
      <c r="E758" s="132"/>
    </row>
    <row r="759" spans="1:5">
      <c r="A759" s="122"/>
      <c r="B759" s="125"/>
      <c r="C759" s="125"/>
      <c r="D759" s="132"/>
      <c r="E759" s="132"/>
    </row>
    <row r="760" spans="1:5">
      <c r="A760" s="122"/>
      <c r="B760" s="125"/>
      <c r="C760" s="125"/>
      <c r="D760" s="132"/>
      <c r="E760" s="132"/>
    </row>
    <row r="761" spans="1:5">
      <c r="A761" s="122"/>
      <c r="B761" s="125"/>
      <c r="C761" s="125"/>
      <c r="D761" s="132"/>
      <c r="E761" s="132"/>
    </row>
    <row r="762" spans="1:5">
      <c r="A762" s="122"/>
      <c r="B762" s="125"/>
      <c r="C762" s="125"/>
      <c r="D762" s="132"/>
      <c r="E762" s="132"/>
    </row>
    <row r="763" spans="1:5">
      <c r="A763" s="122"/>
      <c r="B763" s="125"/>
      <c r="C763" s="125"/>
      <c r="D763" s="132"/>
      <c r="E763" s="132"/>
    </row>
    <row r="764" spans="1:5">
      <c r="A764" s="122"/>
      <c r="B764" s="125"/>
      <c r="C764" s="125"/>
      <c r="D764" s="132"/>
      <c r="E764" s="132"/>
    </row>
    <row r="765" spans="1:5">
      <c r="A765" s="122"/>
      <c r="B765" s="125"/>
      <c r="C765" s="125"/>
      <c r="D765" s="132"/>
      <c r="E765" s="132"/>
    </row>
    <row r="766" spans="1:5">
      <c r="A766" s="122"/>
      <c r="B766" s="125"/>
      <c r="C766" s="125"/>
      <c r="D766" s="132"/>
      <c r="E766" s="132"/>
    </row>
    <row r="767" spans="1:5">
      <c r="A767" s="122"/>
      <c r="B767" s="125"/>
      <c r="C767" s="125"/>
      <c r="D767" s="132"/>
      <c r="E767" s="132"/>
    </row>
    <row r="768" spans="1:5">
      <c r="A768" s="122"/>
      <c r="B768" s="125"/>
      <c r="C768" s="125"/>
      <c r="D768" s="132"/>
      <c r="E768" s="132"/>
    </row>
    <row r="769" spans="1:5">
      <c r="A769" s="122"/>
      <c r="B769" s="125"/>
      <c r="C769" s="125"/>
      <c r="D769" s="132"/>
      <c r="E769" s="132"/>
    </row>
    <row r="770" spans="1:5">
      <c r="A770" s="122"/>
      <c r="B770" s="125"/>
      <c r="C770" s="125"/>
      <c r="D770" s="132"/>
      <c r="E770" s="132"/>
    </row>
    <row r="771" spans="1:5">
      <c r="A771" s="122"/>
      <c r="B771" s="125"/>
      <c r="C771" s="125"/>
      <c r="D771" s="132"/>
      <c r="E771" s="132"/>
    </row>
    <row r="772" spans="1:5">
      <c r="A772" s="122"/>
      <c r="B772" s="125"/>
      <c r="C772" s="125"/>
      <c r="D772" s="132"/>
      <c r="E772" s="132"/>
    </row>
    <row r="773" spans="1:5">
      <c r="A773" s="122"/>
      <c r="B773" s="125"/>
      <c r="C773" s="125"/>
      <c r="D773" s="132"/>
      <c r="E773" s="132"/>
    </row>
    <row r="774" spans="1:5">
      <c r="A774" s="122"/>
      <c r="B774" s="125"/>
      <c r="C774" s="125"/>
      <c r="D774" s="132"/>
      <c r="E774" s="132"/>
    </row>
    <row r="775" spans="1:5">
      <c r="A775" s="122"/>
      <c r="B775" s="125"/>
      <c r="C775" s="125"/>
      <c r="D775" s="132"/>
      <c r="E775" s="132"/>
    </row>
    <row r="776" spans="1:5">
      <c r="A776" s="122"/>
      <c r="B776" s="125"/>
      <c r="C776" s="125"/>
      <c r="D776" s="132"/>
      <c r="E776" s="132"/>
    </row>
    <row r="777" spans="1:5">
      <c r="A777" s="122"/>
      <c r="B777" s="125"/>
      <c r="C777" s="125"/>
      <c r="D777" s="132"/>
      <c r="E777" s="132"/>
    </row>
    <row r="778" spans="1:5">
      <c r="A778" s="122"/>
      <c r="B778" s="125"/>
      <c r="C778" s="125"/>
      <c r="D778" s="132"/>
      <c r="E778" s="132"/>
    </row>
    <row r="779" spans="1:5">
      <c r="A779" s="122"/>
      <c r="B779" s="125"/>
      <c r="C779" s="125"/>
      <c r="D779" s="132"/>
      <c r="E779" s="132"/>
    </row>
    <row r="780" spans="1:5">
      <c r="A780" s="122"/>
      <c r="B780" s="125"/>
      <c r="C780" s="125"/>
      <c r="D780" s="132"/>
      <c r="E780" s="132"/>
    </row>
    <row r="781" spans="1:5">
      <c r="A781" s="122"/>
      <c r="B781" s="125"/>
      <c r="C781" s="125"/>
      <c r="D781" s="132"/>
      <c r="E781" s="132"/>
    </row>
    <row r="782" spans="1:5">
      <c r="A782" s="122"/>
      <c r="B782" s="125"/>
      <c r="C782" s="125"/>
      <c r="D782" s="132"/>
      <c r="E782" s="132"/>
    </row>
    <row r="783" spans="1:5">
      <c r="A783" s="122"/>
      <c r="B783" s="125"/>
      <c r="C783" s="125"/>
      <c r="D783" s="132"/>
      <c r="E783" s="132"/>
    </row>
    <row r="784" spans="1:5">
      <c r="A784" s="122"/>
      <c r="B784" s="125"/>
      <c r="C784" s="125"/>
      <c r="D784" s="132"/>
      <c r="E784" s="132"/>
    </row>
    <row r="785" spans="1:5">
      <c r="A785" s="122"/>
      <c r="B785" s="125"/>
      <c r="C785" s="125"/>
      <c r="D785" s="132"/>
      <c r="E785" s="132"/>
    </row>
    <row r="786" spans="1:5">
      <c r="A786" s="122"/>
      <c r="B786" s="125"/>
      <c r="C786" s="125"/>
      <c r="D786" s="132"/>
      <c r="E786" s="132"/>
    </row>
    <row r="787" spans="1:5">
      <c r="A787" s="122"/>
      <c r="B787" s="125"/>
      <c r="C787" s="125"/>
      <c r="D787" s="132"/>
      <c r="E787" s="132"/>
    </row>
    <row r="788" spans="1:5">
      <c r="A788" s="122"/>
      <c r="B788" s="125"/>
      <c r="C788" s="125"/>
      <c r="D788" s="132"/>
      <c r="E788" s="132"/>
    </row>
    <row r="789" spans="1:5">
      <c r="A789" s="122"/>
      <c r="B789" s="125"/>
      <c r="C789" s="125"/>
      <c r="D789" s="132"/>
      <c r="E789" s="132"/>
    </row>
    <row r="790" spans="1:5">
      <c r="A790" s="122"/>
      <c r="B790" s="125"/>
      <c r="C790" s="125"/>
      <c r="D790" s="132"/>
      <c r="E790" s="132"/>
    </row>
    <row r="791" spans="1:5">
      <c r="A791" s="122"/>
      <c r="B791" s="125"/>
      <c r="C791" s="125"/>
      <c r="D791" s="132"/>
      <c r="E791" s="132"/>
    </row>
    <row r="792" spans="1:5">
      <c r="A792" s="122"/>
      <c r="B792" s="125"/>
      <c r="C792" s="125"/>
      <c r="D792" s="132"/>
      <c r="E792" s="132"/>
    </row>
    <row r="793" spans="1:5">
      <c r="A793" s="122"/>
      <c r="B793" s="125"/>
      <c r="C793" s="125"/>
      <c r="D793" s="132"/>
      <c r="E793" s="132"/>
    </row>
    <row r="794" spans="1:5">
      <c r="A794" s="122"/>
      <c r="B794" s="125"/>
      <c r="C794" s="125"/>
      <c r="D794" s="132"/>
      <c r="E794" s="132"/>
    </row>
    <row r="795" spans="1:5">
      <c r="A795" s="122"/>
      <c r="B795" s="125"/>
      <c r="C795" s="125"/>
      <c r="D795" s="132"/>
      <c r="E795" s="132"/>
    </row>
    <row r="796" spans="1:5">
      <c r="A796" s="122"/>
      <c r="B796" s="125"/>
      <c r="C796" s="125"/>
      <c r="D796" s="132"/>
      <c r="E796" s="132"/>
    </row>
    <row r="797" spans="1:5">
      <c r="A797" s="122"/>
      <c r="B797" s="125"/>
      <c r="C797" s="125"/>
      <c r="D797" s="132"/>
      <c r="E797" s="132"/>
    </row>
    <row r="798" spans="1:5">
      <c r="A798" s="122"/>
      <c r="B798" s="125"/>
      <c r="C798" s="125"/>
      <c r="D798" s="132"/>
      <c r="E798" s="132"/>
    </row>
    <row r="799" spans="1:5">
      <c r="A799" s="122"/>
      <c r="B799" s="125"/>
      <c r="C799" s="125"/>
      <c r="D799" s="132"/>
      <c r="E799" s="132"/>
    </row>
    <row r="800" spans="1:5">
      <c r="A800" s="122"/>
      <c r="B800" s="125"/>
      <c r="C800" s="125"/>
      <c r="D800" s="132"/>
      <c r="E800" s="132"/>
    </row>
    <row r="801" spans="1:5">
      <c r="A801" s="122"/>
      <c r="B801" s="125"/>
      <c r="C801" s="125"/>
      <c r="D801" s="132"/>
      <c r="E801" s="132"/>
    </row>
    <row r="802" spans="1:5">
      <c r="A802" s="122"/>
      <c r="B802" s="125"/>
      <c r="C802" s="125"/>
      <c r="D802" s="132"/>
      <c r="E802" s="132"/>
    </row>
    <row r="803" spans="1:5">
      <c r="A803" s="122"/>
      <c r="B803" s="125"/>
      <c r="C803" s="125"/>
      <c r="D803" s="132"/>
      <c r="E803" s="132"/>
    </row>
    <row r="804" spans="1:5">
      <c r="A804" s="122"/>
      <c r="B804" s="125"/>
      <c r="C804" s="125"/>
      <c r="D804" s="132"/>
      <c r="E804" s="132"/>
    </row>
    <row r="805" spans="1:5">
      <c r="A805" s="122"/>
      <c r="B805" s="125"/>
      <c r="C805" s="125"/>
      <c r="D805" s="132"/>
      <c r="E805" s="132"/>
    </row>
    <row r="806" spans="1:5">
      <c r="A806" s="122"/>
      <c r="B806" s="125"/>
      <c r="C806" s="125"/>
      <c r="D806" s="132"/>
      <c r="E806" s="132"/>
    </row>
    <row r="807" spans="1:5">
      <c r="A807" s="122"/>
      <c r="B807" s="125"/>
      <c r="C807" s="125"/>
      <c r="D807" s="132"/>
      <c r="E807" s="132"/>
    </row>
    <row r="808" spans="1:5">
      <c r="A808" s="122"/>
      <c r="B808" s="125"/>
      <c r="C808" s="125"/>
      <c r="D808" s="132"/>
      <c r="E808" s="132"/>
    </row>
    <row r="809" spans="1:5">
      <c r="A809" s="122"/>
      <c r="B809" s="125"/>
      <c r="C809" s="125"/>
      <c r="D809" s="132"/>
      <c r="E809" s="132"/>
    </row>
    <row r="810" spans="1:5">
      <c r="A810" s="122"/>
      <c r="B810" s="125"/>
      <c r="C810" s="125"/>
      <c r="D810" s="132"/>
      <c r="E810" s="132"/>
    </row>
    <row r="811" spans="1:5">
      <c r="A811" s="122"/>
      <c r="B811" s="125"/>
      <c r="C811" s="125"/>
      <c r="D811" s="132"/>
      <c r="E811" s="132"/>
    </row>
    <row r="812" spans="1:5">
      <c r="A812" s="122"/>
      <c r="B812" s="125"/>
      <c r="C812" s="125"/>
      <c r="D812" s="132"/>
      <c r="E812" s="132"/>
    </row>
    <row r="813" spans="1:5">
      <c r="A813" s="122"/>
      <c r="B813" s="125"/>
      <c r="C813" s="125"/>
      <c r="D813" s="132"/>
      <c r="E813" s="132"/>
    </row>
    <row r="814" spans="1:5">
      <c r="A814" s="122"/>
      <c r="B814" s="125"/>
      <c r="C814" s="125"/>
      <c r="D814" s="132"/>
      <c r="E814" s="132"/>
    </row>
    <row r="815" spans="1:5">
      <c r="A815" s="122"/>
      <c r="B815" s="125"/>
      <c r="C815" s="125"/>
      <c r="D815" s="132"/>
      <c r="E815" s="132"/>
    </row>
    <row r="816" spans="1:5">
      <c r="A816" s="122"/>
      <c r="B816" s="125"/>
      <c r="C816" s="125"/>
      <c r="D816" s="132"/>
      <c r="E816" s="132"/>
    </row>
    <row r="817" spans="1:5">
      <c r="A817" s="122"/>
      <c r="B817" s="125"/>
      <c r="C817" s="125"/>
      <c r="D817" s="132"/>
      <c r="E817" s="132"/>
    </row>
    <row r="818" spans="1:5">
      <c r="A818" s="122"/>
      <c r="B818" s="125"/>
      <c r="C818" s="125"/>
      <c r="D818" s="132"/>
      <c r="E818" s="132"/>
    </row>
    <row r="819" spans="1:5">
      <c r="A819" s="122"/>
      <c r="B819" s="125"/>
      <c r="C819" s="125"/>
      <c r="D819" s="132"/>
      <c r="E819" s="132"/>
    </row>
    <row r="820" spans="1:5">
      <c r="A820" s="122"/>
      <c r="B820" s="125"/>
      <c r="C820" s="125"/>
      <c r="D820" s="132"/>
      <c r="E820" s="132"/>
    </row>
    <row r="821" spans="1:5">
      <c r="A821" s="122"/>
      <c r="B821" s="125"/>
      <c r="C821" s="125"/>
      <c r="D821" s="132"/>
      <c r="E821" s="132"/>
    </row>
    <row r="822" spans="1:5">
      <c r="A822" s="122"/>
      <c r="B822" s="125"/>
      <c r="C822" s="125"/>
      <c r="D822" s="132"/>
      <c r="E822" s="132"/>
    </row>
    <row r="823" spans="1:5">
      <c r="A823" s="122"/>
      <c r="B823" s="125"/>
      <c r="C823" s="125"/>
      <c r="D823" s="132"/>
      <c r="E823" s="132"/>
    </row>
    <row r="824" spans="1:5">
      <c r="A824" s="122"/>
      <c r="B824" s="125"/>
      <c r="C824" s="125"/>
      <c r="D824" s="132"/>
      <c r="E824" s="132"/>
    </row>
    <row r="825" spans="1:5">
      <c r="A825" s="122"/>
      <c r="B825" s="125"/>
      <c r="C825" s="125"/>
      <c r="D825" s="132"/>
      <c r="E825" s="132"/>
    </row>
    <row r="826" spans="1:5">
      <c r="A826" s="122"/>
      <c r="B826" s="125"/>
      <c r="C826" s="125"/>
      <c r="D826" s="132"/>
      <c r="E826" s="132"/>
    </row>
    <row r="827" spans="1:5">
      <c r="A827" s="122"/>
      <c r="B827" s="125"/>
      <c r="C827" s="125"/>
      <c r="D827" s="132"/>
      <c r="E827" s="132"/>
    </row>
    <row r="828" spans="1:5">
      <c r="A828" s="122"/>
      <c r="B828" s="125"/>
      <c r="C828" s="125"/>
      <c r="D828" s="132"/>
      <c r="E828" s="132"/>
    </row>
    <row r="829" spans="1:5">
      <c r="A829" s="122"/>
      <c r="B829" s="125"/>
      <c r="C829" s="125"/>
      <c r="D829" s="132"/>
      <c r="E829" s="132"/>
    </row>
    <row r="830" spans="1:5">
      <c r="A830" s="122"/>
      <c r="B830" s="125"/>
      <c r="C830" s="125"/>
      <c r="D830" s="132"/>
      <c r="E830" s="132"/>
    </row>
    <row r="831" spans="1:5">
      <c r="A831" s="122"/>
      <c r="B831" s="125"/>
      <c r="C831" s="125"/>
      <c r="D831" s="132"/>
      <c r="E831" s="132"/>
    </row>
    <row r="832" spans="1:5">
      <c r="A832" s="122"/>
      <c r="B832" s="125"/>
      <c r="C832" s="125"/>
      <c r="D832" s="132"/>
      <c r="E832" s="132"/>
    </row>
    <row r="833" spans="1:5">
      <c r="A833" s="122"/>
      <c r="B833" s="125"/>
      <c r="C833" s="125"/>
      <c r="D833" s="132"/>
      <c r="E833" s="132"/>
    </row>
    <row r="834" spans="1:5">
      <c r="A834" s="122"/>
      <c r="B834" s="125"/>
      <c r="C834" s="125"/>
      <c r="D834" s="132"/>
      <c r="E834" s="132"/>
    </row>
    <row r="835" spans="1:5">
      <c r="A835" s="122"/>
      <c r="B835" s="125"/>
      <c r="C835" s="125"/>
      <c r="D835" s="132"/>
      <c r="E835" s="132"/>
    </row>
    <row r="836" spans="1:5">
      <c r="A836" s="122"/>
      <c r="B836" s="125"/>
      <c r="C836" s="125"/>
      <c r="D836" s="132"/>
      <c r="E836" s="132"/>
    </row>
    <row r="837" spans="1:5">
      <c r="A837" s="122"/>
      <c r="B837" s="125"/>
      <c r="C837" s="125"/>
      <c r="D837" s="132"/>
      <c r="E837" s="132"/>
    </row>
    <row r="838" spans="1:5">
      <c r="A838" s="122"/>
      <c r="B838" s="125"/>
      <c r="C838" s="125"/>
      <c r="D838" s="132"/>
      <c r="E838" s="132"/>
    </row>
    <row r="839" spans="1:5">
      <c r="A839" s="122"/>
      <c r="B839" s="125"/>
      <c r="C839" s="125"/>
      <c r="D839" s="132"/>
      <c r="E839" s="132"/>
    </row>
    <row r="840" spans="1:5">
      <c r="A840" s="122"/>
      <c r="B840" s="125"/>
      <c r="C840" s="125"/>
      <c r="D840" s="132"/>
      <c r="E840" s="132"/>
    </row>
    <row r="841" spans="1:5">
      <c r="A841" s="122"/>
      <c r="B841" s="125"/>
      <c r="C841" s="125"/>
      <c r="D841" s="132"/>
      <c r="E841" s="132"/>
    </row>
    <row r="842" spans="1:5">
      <c r="A842" s="122"/>
      <c r="B842" s="125"/>
      <c r="C842" s="125"/>
      <c r="D842" s="132"/>
      <c r="E842" s="132"/>
    </row>
    <row r="843" spans="1:5">
      <c r="A843" s="122"/>
      <c r="B843" s="125"/>
      <c r="C843" s="125"/>
      <c r="D843" s="132"/>
      <c r="E843" s="132"/>
    </row>
    <row r="844" spans="1:5">
      <c r="A844" s="122"/>
      <c r="B844" s="125"/>
      <c r="C844" s="125"/>
      <c r="D844" s="132"/>
      <c r="E844" s="132"/>
    </row>
    <row r="845" spans="1:5">
      <c r="A845" s="122"/>
      <c r="B845" s="125"/>
      <c r="C845" s="125"/>
      <c r="D845" s="132"/>
      <c r="E845" s="132"/>
    </row>
    <row r="846" spans="1:5">
      <c r="A846" s="122"/>
      <c r="B846" s="125"/>
      <c r="C846" s="125"/>
      <c r="D846" s="132"/>
      <c r="E846" s="132"/>
    </row>
    <row r="847" spans="1:5">
      <c r="A847" s="122"/>
      <c r="B847" s="125"/>
      <c r="C847" s="125"/>
      <c r="D847" s="132"/>
      <c r="E847" s="132"/>
    </row>
    <row r="848" spans="1:5">
      <c r="A848" s="122"/>
      <c r="B848" s="125"/>
      <c r="C848" s="125"/>
      <c r="D848" s="132"/>
      <c r="E848" s="132"/>
    </row>
    <row r="849" spans="1:5">
      <c r="A849" s="122"/>
      <c r="B849" s="125"/>
      <c r="C849" s="125"/>
      <c r="D849" s="132"/>
      <c r="E849" s="132"/>
    </row>
    <row r="850" spans="1:5">
      <c r="A850" s="122"/>
      <c r="B850" s="125"/>
      <c r="C850" s="125"/>
      <c r="D850" s="132"/>
      <c r="E850" s="132"/>
    </row>
    <row r="851" spans="1:5">
      <c r="A851" s="122"/>
      <c r="B851" s="125"/>
      <c r="C851" s="125"/>
      <c r="D851" s="132"/>
      <c r="E851" s="132"/>
    </row>
    <row r="852" spans="1:5">
      <c r="A852" s="122"/>
      <c r="B852" s="125"/>
      <c r="C852" s="125"/>
      <c r="D852" s="132"/>
      <c r="E852" s="132"/>
    </row>
    <row r="853" spans="1:5">
      <c r="A853" s="122"/>
      <c r="B853" s="125"/>
      <c r="C853" s="125"/>
      <c r="D853" s="132"/>
      <c r="E853" s="132"/>
    </row>
    <row r="854" spans="1:5">
      <c r="A854" s="122"/>
      <c r="B854" s="125"/>
      <c r="C854" s="125"/>
      <c r="D854" s="132"/>
      <c r="E854" s="132"/>
    </row>
    <row r="855" spans="1:5">
      <c r="A855" s="122"/>
      <c r="B855" s="125"/>
      <c r="C855" s="125"/>
      <c r="D855" s="132"/>
      <c r="E855" s="132"/>
    </row>
    <row r="856" spans="1:5">
      <c r="A856" s="122"/>
      <c r="B856" s="125"/>
      <c r="C856" s="125"/>
      <c r="D856" s="132"/>
      <c r="E856" s="132"/>
    </row>
    <row r="857" spans="1:5">
      <c r="A857" s="122"/>
      <c r="B857" s="125"/>
      <c r="C857" s="125"/>
      <c r="D857" s="132"/>
      <c r="E857" s="132"/>
    </row>
    <row r="858" spans="1:5">
      <c r="A858" s="122"/>
      <c r="B858" s="125"/>
      <c r="C858" s="125"/>
      <c r="D858" s="132"/>
      <c r="E858" s="132"/>
    </row>
    <row r="859" spans="1:5">
      <c r="A859" s="122"/>
      <c r="B859" s="125"/>
      <c r="C859" s="125"/>
      <c r="D859" s="132"/>
      <c r="E859" s="132"/>
    </row>
    <row r="860" spans="1:5">
      <c r="A860" s="122"/>
      <c r="B860" s="125"/>
      <c r="C860" s="125"/>
      <c r="D860" s="132"/>
      <c r="E860" s="132"/>
    </row>
    <row r="861" spans="1:5">
      <c r="A861" s="122"/>
      <c r="B861" s="125"/>
      <c r="C861" s="125"/>
      <c r="D861" s="132"/>
      <c r="E861" s="132"/>
    </row>
    <row r="862" spans="1:5">
      <c r="A862" s="122"/>
      <c r="B862" s="125"/>
      <c r="C862" s="125"/>
      <c r="D862" s="132"/>
      <c r="E862" s="132"/>
    </row>
    <row r="863" spans="1:5">
      <c r="A863" s="122"/>
      <c r="B863" s="125"/>
      <c r="C863" s="125"/>
      <c r="D863" s="132"/>
      <c r="E863" s="132"/>
    </row>
    <row r="864" spans="1:5">
      <c r="A864" s="122"/>
      <c r="B864" s="125"/>
      <c r="C864" s="125"/>
      <c r="D864" s="132"/>
      <c r="E864" s="132"/>
    </row>
    <row r="865" spans="1:5">
      <c r="A865" s="122"/>
      <c r="B865" s="125"/>
      <c r="C865" s="125"/>
      <c r="D865" s="132"/>
      <c r="E865" s="132"/>
    </row>
    <row r="866" spans="1:5">
      <c r="A866" s="122"/>
      <c r="B866" s="125"/>
      <c r="C866" s="125"/>
      <c r="D866" s="132"/>
      <c r="E866" s="132"/>
    </row>
    <row r="867" spans="1:5">
      <c r="A867" s="122"/>
      <c r="B867" s="125"/>
      <c r="C867" s="125"/>
      <c r="D867" s="132"/>
      <c r="E867" s="132"/>
    </row>
    <row r="868" spans="1:5">
      <c r="A868" s="122"/>
      <c r="B868" s="125"/>
      <c r="C868" s="125"/>
      <c r="D868" s="132"/>
      <c r="E868" s="132"/>
    </row>
    <row r="869" spans="1:5">
      <c r="A869" s="122"/>
      <c r="B869" s="125"/>
      <c r="C869" s="125"/>
      <c r="D869" s="132"/>
      <c r="E869" s="132"/>
    </row>
    <row r="870" spans="1:5">
      <c r="A870" s="122"/>
      <c r="B870" s="125"/>
      <c r="C870" s="125"/>
      <c r="D870" s="132"/>
      <c r="E870" s="132"/>
    </row>
    <row r="871" spans="1:5">
      <c r="A871" s="122"/>
      <c r="B871" s="125"/>
      <c r="C871" s="125"/>
      <c r="D871" s="132"/>
      <c r="E871" s="132"/>
    </row>
    <row r="872" spans="1:5">
      <c r="A872" s="122"/>
      <c r="B872" s="125"/>
      <c r="C872" s="125"/>
      <c r="D872" s="132"/>
      <c r="E872" s="132"/>
    </row>
    <row r="873" spans="1:5">
      <c r="A873" s="122"/>
      <c r="B873" s="125"/>
      <c r="C873" s="125"/>
      <c r="D873" s="132"/>
      <c r="E873" s="132"/>
    </row>
    <row r="874" spans="1:5">
      <c r="A874" s="122"/>
      <c r="B874" s="125"/>
      <c r="C874" s="125"/>
      <c r="D874" s="132"/>
      <c r="E874" s="132"/>
    </row>
    <row r="875" spans="1:5">
      <c r="A875" s="122"/>
      <c r="B875" s="125"/>
      <c r="C875" s="125"/>
      <c r="D875" s="132"/>
      <c r="E875" s="132"/>
    </row>
    <row r="876" spans="1:5">
      <c r="A876" s="122"/>
      <c r="B876" s="125"/>
      <c r="C876" s="125"/>
      <c r="D876" s="132"/>
      <c r="E876" s="132"/>
    </row>
    <row r="877" spans="1:5">
      <c r="A877" s="122"/>
      <c r="B877" s="125"/>
      <c r="C877" s="125"/>
      <c r="D877" s="132"/>
      <c r="E877" s="132"/>
    </row>
    <row r="878" spans="1:5">
      <c r="A878" s="122"/>
      <c r="B878" s="125"/>
      <c r="C878" s="125"/>
      <c r="D878" s="132"/>
      <c r="E878" s="132"/>
    </row>
    <row r="879" spans="1:5">
      <c r="A879" s="122"/>
      <c r="B879" s="125"/>
      <c r="C879" s="125"/>
      <c r="D879" s="132"/>
      <c r="E879" s="132"/>
    </row>
    <row r="880" spans="1:5">
      <c r="A880" s="122"/>
      <c r="B880" s="125"/>
      <c r="C880" s="125"/>
      <c r="D880" s="132"/>
      <c r="E880" s="132"/>
    </row>
    <row r="881" spans="1:5">
      <c r="A881" s="122"/>
      <c r="B881" s="125"/>
      <c r="C881" s="125"/>
      <c r="D881" s="132"/>
      <c r="E881" s="132"/>
    </row>
    <row r="882" spans="1:5">
      <c r="A882" s="122"/>
      <c r="B882" s="125"/>
      <c r="C882" s="125"/>
      <c r="D882" s="132"/>
      <c r="E882" s="132"/>
    </row>
    <row r="883" spans="1:5">
      <c r="A883" s="122"/>
      <c r="B883" s="125"/>
      <c r="C883" s="125"/>
      <c r="D883" s="132"/>
      <c r="E883" s="132"/>
    </row>
    <row r="884" spans="1:5">
      <c r="A884" s="122"/>
      <c r="B884" s="125"/>
      <c r="C884" s="125"/>
      <c r="D884" s="132"/>
      <c r="E884" s="132"/>
    </row>
    <row r="885" spans="1:5">
      <c r="A885" s="122"/>
      <c r="B885" s="125"/>
      <c r="C885" s="125"/>
      <c r="D885" s="132"/>
      <c r="E885" s="132"/>
    </row>
    <row r="886" spans="1:5">
      <c r="A886" s="122"/>
      <c r="B886" s="125"/>
      <c r="C886" s="125"/>
      <c r="D886" s="132"/>
      <c r="E886" s="132"/>
    </row>
    <row r="887" spans="1:5">
      <c r="A887" s="122"/>
      <c r="B887" s="125"/>
      <c r="C887" s="125"/>
      <c r="D887" s="132"/>
      <c r="E887" s="132"/>
    </row>
    <row r="888" spans="1:5">
      <c r="A888" s="122"/>
      <c r="B888" s="125"/>
      <c r="C888" s="125"/>
      <c r="D888" s="132"/>
      <c r="E888" s="132"/>
    </row>
    <row r="889" spans="1:5">
      <c r="A889" s="122"/>
      <c r="B889" s="125"/>
      <c r="C889" s="125"/>
      <c r="D889" s="132"/>
      <c r="E889" s="132"/>
    </row>
    <row r="890" spans="1:5">
      <c r="A890" s="122"/>
      <c r="B890" s="125"/>
      <c r="C890" s="125"/>
      <c r="D890" s="132"/>
      <c r="E890" s="132"/>
    </row>
    <row r="891" spans="1:5">
      <c r="A891" s="122"/>
      <c r="B891" s="125"/>
      <c r="C891" s="125"/>
      <c r="D891" s="132"/>
      <c r="E891" s="132"/>
    </row>
    <row r="892" spans="1:5">
      <c r="A892" s="122"/>
      <c r="B892" s="125"/>
      <c r="C892" s="125"/>
      <c r="D892" s="132"/>
      <c r="E892" s="132"/>
    </row>
    <row r="893" spans="1:5">
      <c r="A893" s="122"/>
      <c r="B893" s="125"/>
      <c r="C893" s="125"/>
      <c r="D893" s="132"/>
      <c r="E893" s="132"/>
    </row>
    <row r="894" spans="1:5">
      <c r="A894" s="122"/>
      <c r="B894" s="125"/>
      <c r="C894" s="125"/>
      <c r="D894" s="132"/>
      <c r="E894" s="132"/>
    </row>
    <row r="895" spans="1:5">
      <c r="A895" s="122"/>
      <c r="B895" s="125"/>
      <c r="C895" s="125"/>
      <c r="D895" s="132"/>
      <c r="E895" s="132"/>
    </row>
    <row r="896" spans="1:5">
      <c r="A896" s="122"/>
      <c r="B896" s="125"/>
      <c r="C896" s="125"/>
      <c r="D896" s="132"/>
      <c r="E896" s="132"/>
    </row>
    <row r="897" spans="1:5">
      <c r="A897" s="122"/>
      <c r="B897" s="125"/>
      <c r="C897" s="125"/>
      <c r="D897" s="132"/>
      <c r="E897" s="132"/>
    </row>
    <row r="898" spans="1:5">
      <c r="A898" s="122"/>
      <c r="B898" s="125"/>
      <c r="C898" s="125"/>
      <c r="D898" s="132"/>
      <c r="E898" s="132"/>
    </row>
    <row r="899" spans="1:5">
      <c r="A899" s="122"/>
      <c r="B899" s="125"/>
      <c r="C899" s="125"/>
      <c r="D899" s="132"/>
      <c r="E899" s="132"/>
    </row>
    <row r="900" spans="1:5">
      <c r="A900" s="122"/>
      <c r="B900" s="125"/>
      <c r="C900" s="125"/>
      <c r="D900" s="132"/>
      <c r="E900" s="132"/>
    </row>
    <row r="901" spans="1:5">
      <c r="A901" s="122"/>
      <c r="B901" s="125"/>
      <c r="C901" s="125"/>
      <c r="D901" s="132"/>
      <c r="E901" s="132"/>
    </row>
    <row r="902" spans="1:5">
      <c r="A902" s="122"/>
      <c r="B902" s="125"/>
      <c r="C902" s="125"/>
      <c r="D902" s="132"/>
      <c r="E902" s="132"/>
    </row>
    <row r="903" spans="1:5">
      <c r="A903" s="122"/>
      <c r="B903" s="125"/>
      <c r="C903" s="125"/>
      <c r="D903" s="132"/>
      <c r="E903" s="132"/>
    </row>
    <row r="904" spans="1:5">
      <c r="A904" s="122"/>
      <c r="B904" s="125"/>
      <c r="C904" s="125"/>
      <c r="D904" s="132"/>
      <c r="E904" s="132"/>
    </row>
    <row r="905" spans="1:5">
      <c r="A905" s="122"/>
      <c r="B905" s="125"/>
      <c r="C905" s="125"/>
      <c r="D905" s="132"/>
      <c r="E905" s="132"/>
    </row>
    <row r="906" spans="1:5">
      <c r="A906" s="122"/>
      <c r="B906" s="125"/>
      <c r="C906" s="125"/>
      <c r="D906" s="132"/>
      <c r="E906" s="132"/>
    </row>
    <row r="907" spans="1:5">
      <c r="A907" s="122"/>
      <c r="B907" s="125"/>
      <c r="C907" s="125"/>
      <c r="D907" s="132"/>
      <c r="E907" s="132"/>
    </row>
    <row r="908" spans="1:5">
      <c r="A908" s="122"/>
      <c r="B908" s="125"/>
      <c r="C908" s="125"/>
      <c r="D908" s="132"/>
      <c r="E908" s="132"/>
    </row>
    <row r="909" spans="1:5">
      <c r="A909" s="122"/>
      <c r="B909" s="125"/>
      <c r="C909" s="125"/>
      <c r="D909" s="132"/>
      <c r="E909" s="132"/>
    </row>
    <row r="910" spans="1:5">
      <c r="A910" s="122"/>
      <c r="B910" s="125"/>
      <c r="C910" s="125"/>
      <c r="D910" s="132"/>
      <c r="E910" s="132"/>
    </row>
    <row r="911" spans="1:5">
      <c r="A911" s="122"/>
      <c r="B911" s="125"/>
      <c r="C911" s="125"/>
      <c r="D911" s="132"/>
      <c r="E911" s="132"/>
    </row>
    <row r="912" spans="1:5">
      <c r="A912" s="122"/>
      <c r="B912" s="125"/>
      <c r="C912" s="125"/>
      <c r="D912" s="132"/>
      <c r="E912" s="132"/>
    </row>
    <row r="913" spans="1:5">
      <c r="A913" s="122"/>
      <c r="B913" s="125"/>
      <c r="C913" s="125"/>
      <c r="D913" s="132"/>
      <c r="E913" s="132"/>
    </row>
    <row r="914" spans="1:5">
      <c r="A914" s="122"/>
      <c r="B914" s="125"/>
      <c r="C914" s="125"/>
      <c r="D914" s="132"/>
      <c r="E914" s="132"/>
    </row>
    <row r="915" spans="1:5">
      <c r="A915" s="122"/>
      <c r="B915" s="125"/>
      <c r="C915" s="125"/>
      <c r="D915" s="132"/>
      <c r="E915" s="132"/>
    </row>
    <row r="916" spans="1:5">
      <c r="A916" s="122"/>
      <c r="B916" s="125"/>
      <c r="C916" s="125"/>
      <c r="D916" s="132"/>
      <c r="E916" s="132"/>
    </row>
    <row r="917" spans="1:5">
      <c r="A917" s="122"/>
      <c r="B917" s="125"/>
      <c r="C917" s="125"/>
      <c r="D917" s="132"/>
      <c r="E917" s="132"/>
    </row>
    <row r="918" spans="1:5">
      <c r="A918" s="122"/>
      <c r="B918" s="125"/>
      <c r="C918" s="125"/>
      <c r="D918" s="132"/>
      <c r="E918" s="132"/>
    </row>
    <row r="919" spans="1:5">
      <c r="A919" s="122"/>
      <c r="B919" s="125"/>
      <c r="C919" s="125"/>
      <c r="D919" s="132"/>
      <c r="E919" s="132"/>
    </row>
    <row r="920" spans="1:5">
      <c r="A920" s="122"/>
      <c r="B920" s="125"/>
      <c r="C920" s="125"/>
      <c r="D920" s="132"/>
      <c r="E920" s="132"/>
    </row>
    <row r="921" spans="1:5">
      <c r="A921" s="122"/>
      <c r="B921" s="125"/>
      <c r="C921" s="125"/>
      <c r="D921" s="132"/>
      <c r="E921" s="132"/>
    </row>
    <row r="922" spans="1:5">
      <c r="A922" s="122"/>
      <c r="B922" s="125"/>
      <c r="C922" s="125"/>
      <c r="D922" s="132"/>
      <c r="E922" s="132"/>
    </row>
    <row r="923" spans="1:5">
      <c r="A923" s="122"/>
      <c r="B923" s="125"/>
      <c r="C923" s="125"/>
      <c r="D923" s="132"/>
      <c r="E923" s="132"/>
    </row>
    <row r="924" spans="1:5">
      <c r="A924" s="122"/>
      <c r="B924" s="125"/>
      <c r="C924" s="125"/>
      <c r="D924" s="132"/>
      <c r="E924" s="132"/>
    </row>
    <row r="925" spans="1:5">
      <c r="A925" s="122"/>
      <c r="B925" s="125"/>
      <c r="C925" s="125"/>
      <c r="D925" s="132"/>
      <c r="E925" s="132"/>
    </row>
    <row r="926" spans="1:5">
      <c r="A926" s="122"/>
      <c r="B926" s="125"/>
      <c r="C926" s="125"/>
      <c r="D926" s="132"/>
      <c r="E926" s="132"/>
    </row>
    <row r="927" spans="1:5">
      <c r="A927" s="122"/>
      <c r="B927" s="125"/>
      <c r="C927" s="125"/>
      <c r="D927" s="132"/>
      <c r="E927" s="132"/>
    </row>
    <row r="928" spans="1:5">
      <c r="A928" s="122"/>
      <c r="B928" s="125"/>
      <c r="C928" s="125"/>
      <c r="D928" s="132"/>
      <c r="E928" s="132"/>
    </row>
    <row r="929" spans="1:5">
      <c r="A929" s="122"/>
      <c r="B929" s="125"/>
      <c r="C929" s="125"/>
      <c r="D929" s="132"/>
      <c r="E929" s="132"/>
    </row>
    <row r="930" spans="1:5">
      <c r="A930" s="122"/>
      <c r="B930" s="125"/>
      <c r="C930" s="125"/>
      <c r="D930" s="132"/>
      <c r="E930" s="132"/>
    </row>
    <row r="931" spans="1:5">
      <c r="A931" s="122"/>
      <c r="B931" s="125"/>
      <c r="C931" s="125"/>
      <c r="D931" s="132"/>
      <c r="E931" s="132"/>
    </row>
    <row r="932" spans="1:5">
      <c r="A932" s="122"/>
      <c r="B932" s="125"/>
      <c r="C932" s="125"/>
      <c r="D932" s="132"/>
      <c r="E932" s="132"/>
    </row>
    <row r="933" spans="1:5">
      <c r="A933" s="122"/>
      <c r="B933" s="125"/>
      <c r="C933" s="125"/>
      <c r="D933" s="132"/>
      <c r="E933" s="132"/>
    </row>
    <row r="934" spans="1:5">
      <c r="A934" s="122"/>
      <c r="B934" s="125"/>
      <c r="C934" s="125"/>
      <c r="D934" s="132"/>
      <c r="E934" s="132"/>
    </row>
    <row r="935" spans="1:5">
      <c r="A935" s="122"/>
      <c r="B935" s="125"/>
      <c r="C935" s="125"/>
      <c r="D935" s="132"/>
      <c r="E935" s="132"/>
    </row>
    <row r="936" spans="1:5">
      <c r="A936" s="122"/>
      <c r="B936" s="125"/>
      <c r="C936" s="125"/>
      <c r="D936" s="132"/>
      <c r="E936" s="132"/>
    </row>
    <row r="937" spans="1:5">
      <c r="A937" s="122"/>
      <c r="B937" s="125"/>
      <c r="C937" s="125"/>
      <c r="D937" s="132"/>
      <c r="E937" s="132"/>
    </row>
    <row r="938" spans="1:5">
      <c r="A938" s="122"/>
      <c r="B938" s="125"/>
      <c r="C938" s="125"/>
      <c r="D938" s="132"/>
      <c r="E938" s="132"/>
    </row>
    <row r="939" spans="1:5">
      <c r="A939" s="122"/>
      <c r="B939" s="125"/>
      <c r="C939" s="125"/>
      <c r="D939" s="132"/>
      <c r="E939" s="132"/>
    </row>
    <row r="940" spans="1:5">
      <c r="A940" s="122"/>
      <c r="B940" s="125"/>
      <c r="C940" s="125"/>
      <c r="D940" s="132"/>
      <c r="E940" s="132"/>
    </row>
    <row r="941" spans="1:5">
      <c r="A941" s="122"/>
      <c r="B941" s="125"/>
      <c r="C941" s="125"/>
      <c r="D941" s="132"/>
      <c r="E941" s="132"/>
    </row>
    <row r="942" spans="1:5">
      <c r="A942" s="122"/>
      <c r="B942" s="125"/>
      <c r="C942" s="125"/>
      <c r="D942" s="132"/>
      <c r="E942" s="132"/>
    </row>
    <row r="943" spans="1:5">
      <c r="A943" s="122"/>
      <c r="B943" s="125"/>
      <c r="C943" s="125"/>
      <c r="D943" s="132"/>
      <c r="E943" s="132"/>
    </row>
    <row r="944" spans="1:5">
      <c r="A944" s="122"/>
      <c r="B944" s="125"/>
      <c r="C944" s="125"/>
      <c r="D944" s="132"/>
      <c r="E944" s="132"/>
    </row>
    <row r="945" spans="1:5">
      <c r="A945" s="122"/>
      <c r="B945" s="125"/>
      <c r="C945" s="125"/>
      <c r="D945" s="132"/>
      <c r="E945" s="132"/>
    </row>
    <row r="946" spans="1:5">
      <c r="A946" s="122"/>
      <c r="B946" s="125"/>
      <c r="C946" s="125"/>
      <c r="D946" s="132"/>
      <c r="E946" s="132"/>
    </row>
    <row r="947" spans="1:5">
      <c r="A947" s="122"/>
      <c r="B947" s="125"/>
      <c r="C947" s="125"/>
      <c r="D947" s="132"/>
      <c r="E947" s="132"/>
    </row>
    <row r="948" spans="1:5">
      <c r="A948" s="122"/>
      <c r="B948" s="125"/>
      <c r="C948" s="125"/>
      <c r="D948" s="132"/>
      <c r="E948" s="132"/>
    </row>
    <row r="949" spans="1:5">
      <c r="A949" s="122"/>
      <c r="B949" s="125"/>
      <c r="C949" s="125"/>
      <c r="D949" s="132"/>
      <c r="E949" s="132"/>
    </row>
    <row r="950" spans="1:5">
      <c r="A950" s="122"/>
      <c r="B950" s="125"/>
      <c r="C950" s="125"/>
      <c r="D950" s="132"/>
      <c r="E950" s="132"/>
    </row>
    <row r="951" spans="1:5">
      <c r="A951" s="122"/>
      <c r="B951" s="125"/>
      <c r="C951" s="125"/>
      <c r="D951" s="132"/>
      <c r="E951" s="132"/>
    </row>
    <row r="952" spans="1:5">
      <c r="A952" s="122"/>
      <c r="B952" s="125"/>
      <c r="C952" s="125"/>
      <c r="D952" s="132"/>
      <c r="E952" s="132"/>
    </row>
    <row r="953" spans="1:5">
      <c r="A953" s="122"/>
      <c r="B953" s="125"/>
      <c r="C953" s="125"/>
      <c r="D953" s="132"/>
      <c r="E953" s="132"/>
    </row>
    <row r="954" spans="1:5">
      <c r="A954" s="122"/>
      <c r="B954" s="125"/>
      <c r="C954" s="125"/>
      <c r="D954" s="132"/>
      <c r="E954" s="132"/>
    </row>
    <row r="955" spans="1:5">
      <c r="A955" s="122"/>
      <c r="B955" s="125"/>
      <c r="C955" s="125"/>
      <c r="D955" s="132"/>
      <c r="E955" s="132"/>
    </row>
    <row r="956" spans="1:5">
      <c r="A956" s="122"/>
      <c r="B956" s="125"/>
      <c r="C956" s="125"/>
      <c r="D956" s="132"/>
      <c r="E956" s="132"/>
    </row>
    <row r="957" spans="1:5">
      <c r="A957" s="122"/>
      <c r="B957" s="125"/>
      <c r="C957" s="125"/>
      <c r="D957" s="132"/>
      <c r="E957" s="132"/>
    </row>
    <row r="958" spans="1:5">
      <c r="A958" s="122"/>
      <c r="B958" s="125"/>
      <c r="C958" s="125"/>
      <c r="D958" s="132"/>
      <c r="E958" s="132"/>
    </row>
    <row r="959" spans="1:5">
      <c r="A959" s="122"/>
      <c r="B959" s="125"/>
      <c r="C959" s="125"/>
      <c r="D959" s="132"/>
      <c r="E959" s="132"/>
    </row>
    <row r="960" spans="1:5">
      <c r="A960" s="122"/>
      <c r="B960" s="125"/>
      <c r="C960" s="125"/>
      <c r="D960" s="132"/>
      <c r="E960" s="132"/>
    </row>
    <row r="961" spans="1:5">
      <c r="A961" s="122"/>
      <c r="B961" s="125"/>
      <c r="C961" s="125"/>
      <c r="D961" s="132"/>
      <c r="E961" s="132"/>
    </row>
    <row r="962" spans="1:5">
      <c r="A962" s="122"/>
      <c r="B962" s="125"/>
      <c r="C962" s="125"/>
      <c r="D962" s="132"/>
      <c r="E962" s="132"/>
    </row>
    <row r="963" spans="1:5">
      <c r="A963" s="122"/>
      <c r="B963" s="125"/>
      <c r="C963" s="125"/>
      <c r="D963" s="132"/>
      <c r="E963" s="132"/>
    </row>
    <row r="964" spans="1:5">
      <c r="A964" s="122"/>
      <c r="B964" s="125"/>
      <c r="C964" s="125"/>
      <c r="D964" s="132"/>
      <c r="E964" s="132"/>
    </row>
    <row r="965" spans="1:5">
      <c r="A965" s="122"/>
      <c r="B965" s="125"/>
      <c r="C965" s="125"/>
      <c r="D965" s="132"/>
      <c r="E965" s="132"/>
    </row>
    <row r="966" spans="1:5">
      <c r="A966" s="122"/>
      <c r="B966" s="125"/>
      <c r="C966" s="125"/>
      <c r="D966" s="132"/>
      <c r="E966" s="132"/>
    </row>
    <row r="967" spans="1:5">
      <c r="A967" s="122"/>
      <c r="B967" s="125"/>
      <c r="C967" s="125"/>
      <c r="D967" s="132"/>
      <c r="E967" s="132"/>
    </row>
    <row r="968" spans="1:5">
      <c r="A968" s="122"/>
      <c r="B968" s="125"/>
      <c r="C968" s="125"/>
      <c r="D968" s="132"/>
      <c r="E968" s="132"/>
    </row>
    <row r="969" spans="1:5">
      <c r="A969" s="122"/>
      <c r="B969" s="125"/>
      <c r="C969" s="125"/>
      <c r="D969" s="132"/>
      <c r="E969" s="132"/>
    </row>
    <row r="970" spans="1:5">
      <c r="A970" s="122"/>
      <c r="B970" s="125"/>
      <c r="C970" s="125"/>
      <c r="D970" s="132"/>
      <c r="E970" s="132"/>
    </row>
    <row r="971" spans="1:5">
      <c r="A971" s="122"/>
      <c r="B971" s="125"/>
      <c r="C971" s="125"/>
      <c r="D971" s="132"/>
      <c r="E971" s="132"/>
    </row>
    <row r="972" spans="1:5">
      <c r="A972" s="122"/>
      <c r="B972" s="125"/>
      <c r="C972" s="125"/>
      <c r="D972" s="132"/>
      <c r="E972" s="132"/>
    </row>
    <row r="973" spans="1:5">
      <c r="A973" s="122"/>
      <c r="B973" s="125"/>
      <c r="C973" s="125"/>
      <c r="D973" s="132"/>
      <c r="E973" s="132"/>
    </row>
    <row r="974" spans="1:5">
      <c r="A974" s="122"/>
      <c r="B974" s="125"/>
      <c r="C974" s="125"/>
      <c r="D974" s="132"/>
      <c r="E974" s="132"/>
    </row>
    <row r="975" spans="1:5">
      <c r="A975" s="122"/>
      <c r="B975" s="125"/>
      <c r="C975" s="125"/>
      <c r="D975" s="132"/>
      <c r="E975" s="132"/>
    </row>
    <row r="976" spans="1:5">
      <c r="A976" s="122"/>
      <c r="B976" s="125"/>
      <c r="C976" s="125"/>
      <c r="D976" s="132"/>
      <c r="E976" s="132"/>
    </row>
    <row r="977" spans="1:5">
      <c r="A977" s="122"/>
      <c r="B977" s="125"/>
      <c r="C977" s="125"/>
      <c r="D977" s="132"/>
      <c r="E977" s="132"/>
    </row>
    <row r="978" spans="1:5">
      <c r="A978" s="122"/>
      <c r="B978" s="125"/>
      <c r="C978" s="125"/>
      <c r="D978" s="132"/>
      <c r="E978" s="132"/>
    </row>
    <row r="979" spans="1:5">
      <c r="A979" s="122"/>
      <c r="B979" s="125"/>
      <c r="C979" s="125"/>
      <c r="D979" s="132"/>
      <c r="E979" s="132"/>
    </row>
    <row r="980" spans="1:5">
      <c r="A980" s="122"/>
      <c r="B980" s="125"/>
      <c r="C980" s="125"/>
      <c r="D980" s="132"/>
      <c r="E980" s="132"/>
    </row>
    <row r="981" spans="1:5">
      <c r="A981" s="122"/>
      <c r="B981" s="125"/>
      <c r="C981" s="125"/>
      <c r="D981" s="132"/>
      <c r="E981" s="132"/>
    </row>
    <row r="982" spans="1:5">
      <c r="A982" s="122"/>
      <c r="B982" s="125"/>
      <c r="C982" s="125"/>
      <c r="D982" s="132"/>
      <c r="E982" s="132"/>
    </row>
    <row r="983" spans="1:5">
      <c r="A983" s="122"/>
      <c r="B983" s="125"/>
      <c r="C983" s="125"/>
      <c r="D983" s="132"/>
      <c r="E983" s="132"/>
    </row>
    <row r="984" spans="1:5">
      <c r="A984" s="122"/>
      <c r="B984" s="125"/>
      <c r="C984" s="125"/>
      <c r="D984" s="132"/>
      <c r="E984" s="132"/>
    </row>
    <row r="985" spans="1:5">
      <c r="A985" s="122"/>
      <c r="B985" s="125"/>
      <c r="C985" s="125"/>
      <c r="D985" s="132"/>
      <c r="E985" s="132"/>
    </row>
    <row r="986" spans="1:5">
      <c r="A986" s="122"/>
      <c r="B986" s="125"/>
      <c r="C986" s="125"/>
      <c r="D986" s="132"/>
      <c r="E986" s="132"/>
    </row>
    <row r="987" spans="1:5">
      <c r="A987" s="122"/>
      <c r="B987" s="125"/>
      <c r="C987" s="125"/>
      <c r="D987" s="132"/>
      <c r="E987" s="132"/>
    </row>
    <row r="988" spans="1:5">
      <c r="A988" s="122"/>
      <c r="B988" s="125"/>
      <c r="C988" s="125"/>
      <c r="D988" s="132"/>
      <c r="E988" s="132"/>
    </row>
    <row r="989" spans="1:5">
      <c r="A989" s="122"/>
      <c r="B989" s="125"/>
      <c r="C989" s="125"/>
      <c r="D989" s="132"/>
      <c r="E989" s="132"/>
    </row>
    <row r="990" spans="1:5">
      <c r="A990" s="122"/>
      <c r="B990" s="125"/>
      <c r="C990" s="125"/>
      <c r="D990" s="132"/>
      <c r="E990" s="132"/>
    </row>
    <row r="991" spans="1:5">
      <c r="A991" s="122"/>
      <c r="B991" s="125"/>
      <c r="C991" s="125"/>
      <c r="D991" s="132"/>
      <c r="E991" s="132"/>
    </row>
    <row r="992" spans="1:5">
      <c r="A992" s="122"/>
      <c r="B992" s="125"/>
      <c r="C992" s="125"/>
      <c r="D992" s="132"/>
      <c r="E992" s="132"/>
    </row>
    <row r="993" spans="1:5">
      <c r="A993" s="122"/>
      <c r="B993" s="125"/>
      <c r="C993" s="125"/>
      <c r="D993" s="132"/>
      <c r="E993" s="132"/>
    </row>
    <row r="994" spans="1:5">
      <c r="A994" s="122"/>
      <c r="B994" s="125"/>
      <c r="C994" s="125"/>
      <c r="D994" s="132"/>
      <c r="E994" s="132"/>
    </row>
    <row r="995" spans="1:5">
      <c r="A995" s="122"/>
      <c r="B995" s="125"/>
      <c r="C995" s="125"/>
      <c r="D995" s="132"/>
      <c r="E995" s="132"/>
    </row>
    <row r="996" spans="1:5">
      <c r="A996" s="122"/>
      <c r="B996" s="125"/>
      <c r="C996" s="125"/>
      <c r="D996" s="132"/>
      <c r="E996" s="132"/>
    </row>
    <row r="997" spans="1:5">
      <c r="A997" s="122"/>
      <c r="B997" s="125"/>
      <c r="C997" s="125"/>
      <c r="D997" s="132"/>
      <c r="E997" s="132"/>
    </row>
    <row r="998" spans="1:5">
      <c r="A998" s="122"/>
      <c r="B998" s="125"/>
      <c r="C998" s="125"/>
      <c r="D998" s="132"/>
      <c r="E998" s="132"/>
    </row>
    <row r="999" spans="1:5">
      <c r="A999" s="122"/>
      <c r="B999" s="125"/>
      <c r="C999" s="125"/>
      <c r="D999" s="132"/>
      <c r="E999" s="132"/>
    </row>
    <row r="1000" spans="1:5">
      <c r="A1000" s="122"/>
      <c r="B1000" s="125"/>
      <c r="C1000" s="125"/>
      <c r="D1000" s="132"/>
      <c r="E1000" s="132"/>
    </row>
    <row r="1001" spans="1:5">
      <c r="A1001" s="122"/>
      <c r="B1001" s="125"/>
      <c r="C1001" s="125"/>
      <c r="D1001" s="132"/>
      <c r="E1001" s="132"/>
    </row>
    <row r="1002" spans="1:5">
      <c r="A1002" s="122"/>
      <c r="B1002" s="125"/>
      <c r="C1002" s="125"/>
      <c r="D1002" s="132"/>
      <c r="E1002" s="132"/>
    </row>
    <row r="1003" spans="1:5">
      <c r="A1003" s="122"/>
      <c r="B1003" s="125"/>
      <c r="C1003" s="125"/>
      <c r="D1003" s="132"/>
      <c r="E1003" s="132"/>
    </row>
    <row r="1004" spans="1:5">
      <c r="A1004" s="122"/>
      <c r="B1004" s="125"/>
      <c r="C1004" s="125"/>
      <c r="D1004" s="132"/>
      <c r="E1004" s="132"/>
    </row>
    <row r="1005" spans="1:5">
      <c r="A1005" s="122"/>
      <c r="B1005" s="125"/>
      <c r="C1005" s="125"/>
      <c r="D1005" s="132"/>
      <c r="E1005" s="132"/>
    </row>
    <row r="1006" spans="1:5">
      <c r="A1006" s="122"/>
      <c r="B1006" s="125"/>
      <c r="C1006" s="125"/>
      <c r="D1006" s="132"/>
      <c r="E1006" s="132"/>
    </row>
    <row r="1007" spans="1:5">
      <c r="A1007" s="122"/>
      <c r="B1007" s="125"/>
      <c r="C1007" s="125"/>
      <c r="D1007" s="132"/>
      <c r="E1007" s="132"/>
    </row>
    <row r="1008" spans="1:5">
      <c r="A1008" s="122"/>
      <c r="B1008" s="125"/>
      <c r="C1008" s="125"/>
      <c r="D1008" s="132"/>
      <c r="E1008" s="132"/>
    </row>
    <row r="1009" spans="1:5">
      <c r="A1009" s="122"/>
      <c r="B1009" s="125"/>
      <c r="C1009" s="125"/>
      <c r="D1009" s="132"/>
      <c r="E1009" s="132"/>
    </row>
    <row r="1010" spans="1:5">
      <c r="A1010" s="122"/>
      <c r="B1010" s="125"/>
      <c r="C1010" s="125"/>
      <c r="D1010" s="132"/>
      <c r="E1010" s="132"/>
    </row>
    <row r="1011" spans="1:5">
      <c r="A1011" s="122"/>
      <c r="B1011" s="125"/>
      <c r="C1011" s="125"/>
      <c r="D1011" s="132"/>
      <c r="E1011" s="132"/>
    </row>
    <row r="1012" spans="1:5">
      <c r="A1012" s="122"/>
      <c r="B1012" s="125"/>
      <c r="C1012" s="125"/>
      <c r="D1012" s="132"/>
      <c r="E1012" s="132"/>
    </row>
    <row r="1013" spans="1:5">
      <c r="A1013" s="122"/>
      <c r="B1013" s="125"/>
      <c r="C1013" s="125"/>
      <c r="D1013" s="132"/>
      <c r="E1013" s="132"/>
    </row>
    <row r="1014" spans="1:5">
      <c r="A1014" s="122"/>
      <c r="B1014" s="125"/>
      <c r="C1014" s="125"/>
      <c r="D1014" s="132"/>
      <c r="E1014" s="132"/>
    </row>
    <row r="1015" spans="1:5">
      <c r="A1015" s="122"/>
      <c r="B1015" s="125"/>
      <c r="C1015" s="125"/>
      <c r="D1015" s="132"/>
      <c r="E1015" s="132"/>
    </row>
    <row r="1016" spans="1:5">
      <c r="A1016" s="122"/>
      <c r="B1016" s="125"/>
      <c r="C1016" s="125"/>
      <c r="D1016" s="132"/>
      <c r="E1016" s="132"/>
    </row>
    <row r="1017" spans="1:5">
      <c r="A1017" s="122"/>
      <c r="B1017" s="125"/>
      <c r="C1017" s="125"/>
      <c r="D1017" s="132"/>
      <c r="E1017" s="132"/>
    </row>
    <row r="1018" spans="1:5">
      <c r="A1018" s="122"/>
      <c r="B1018" s="125"/>
      <c r="C1018" s="125"/>
      <c r="D1018" s="132"/>
      <c r="E1018" s="132"/>
    </row>
    <row r="1019" spans="1:5">
      <c r="A1019" s="122"/>
      <c r="B1019" s="125"/>
      <c r="C1019" s="125"/>
      <c r="D1019" s="132"/>
      <c r="E1019" s="132"/>
    </row>
    <row r="1020" spans="1:5">
      <c r="A1020" s="122"/>
      <c r="B1020" s="125"/>
      <c r="C1020" s="125"/>
      <c r="D1020" s="132"/>
      <c r="E1020" s="132"/>
    </row>
    <row r="1021" spans="1:5">
      <c r="A1021" s="122"/>
      <c r="B1021" s="125"/>
      <c r="C1021" s="125"/>
      <c r="D1021" s="132"/>
      <c r="E1021" s="132"/>
    </row>
    <row r="1022" spans="1:5">
      <c r="A1022" s="122"/>
      <c r="B1022" s="125"/>
      <c r="C1022" s="125"/>
      <c r="D1022" s="132"/>
      <c r="E1022" s="132"/>
    </row>
    <row r="1023" spans="1:5">
      <c r="A1023" s="122"/>
      <c r="B1023" s="125"/>
      <c r="C1023" s="125"/>
      <c r="D1023" s="132"/>
      <c r="E1023" s="132"/>
    </row>
    <row r="1024" spans="1:5">
      <c r="A1024" s="122"/>
      <c r="B1024" s="125"/>
      <c r="C1024" s="125"/>
      <c r="D1024" s="132"/>
      <c r="E1024" s="132"/>
    </row>
    <row r="1025" spans="1:5">
      <c r="A1025" s="122"/>
      <c r="B1025" s="125"/>
      <c r="C1025" s="125"/>
      <c r="D1025" s="132"/>
      <c r="E1025" s="132"/>
    </row>
    <row r="1026" spans="1:5">
      <c r="A1026" s="122"/>
      <c r="B1026" s="125"/>
      <c r="C1026" s="125"/>
      <c r="D1026" s="132"/>
      <c r="E1026" s="132"/>
    </row>
    <row r="1027" spans="1:5">
      <c r="A1027" s="122"/>
      <c r="B1027" s="125"/>
      <c r="C1027" s="125"/>
      <c r="D1027" s="132"/>
      <c r="E1027" s="132"/>
    </row>
    <row r="1028" spans="1:5">
      <c r="A1028" s="122"/>
      <c r="B1028" s="125"/>
      <c r="C1028" s="125"/>
      <c r="D1028" s="132"/>
      <c r="E1028" s="132"/>
    </row>
    <row r="1029" spans="1:5">
      <c r="A1029" s="122"/>
      <c r="B1029" s="125"/>
      <c r="C1029" s="125"/>
      <c r="D1029" s="132"/>
      <c r="E1029" s="132"/>
    </row>
    <row r="1030" spans="1:5">
      <c r="A1030" s="122"/>
      <c r="B1030" s="125"/>
      <c r="C1030" s="125"/>
      <c r="D1030" s="132"/>
      <c r="E1030" s="132"/>
    </row>
    <row r="1031" spans="1:5">
      <c r="A1031" s="122"/>
      <c r="B1031" s="125"/>
      <c r="C1031" s="125"/>
      <c r="D1031" s="132"/>
      <c r="E1031" s="132"/>
    </row>
    <row r="1032" spans="1:5">
      <c r="A1032" s="122"/>
      <c r="B1032" s="125"/>
      <c r="C1032" s="125"/>
      <c r="D1032" s="132"/>
      <c r="E1032" s="132"/>
    </row>
    <row r="1033" spans="1:5">
      <c r="A1033" s="122"/>
      <c r="B1033" s="125"/>
      <c r="C1033" s="125"/>
      <c r="D1033" s="132"/>
      <c r="E1033" s="132"/>
    </row>
    <row r="1034" spans="1:5">
      <c r="A1034" s="122"/>
      <c r="B1034" s="125"/>
      <c r="C1034" s="125"/>
      <c r="D1034" s="132"/>
      <c r="E1034" s="132"/>
    </row>
    <row r="1035" spans="1:5">
      <c r="A1035" s="122"/>
      <c r="B1035" s="125"/>
      <c r="C1035" s="125"/>
      <c r="D1035" s="132"/>
      <c r="E1035" s="132"/>
    </row>
    <row r="1036" spans="1:5">
      <c r="A1036" s="122"/>
      <c r="B1036" s="125"/>
      <c r="C1036" s="125"/>
      <c r="D1036" s="132"/>
      <c r="E1036" s="132"/>
    </row>
    <row r="1037" spans="1:5">
      <c r="A1037" s="122"/>
      <c r="B1037" s="125"/>
      <c r="C1037" s="125"/>
      <c r="D1037" s="132"/>
      <c r="E1037" s="132"/>
    </row>
    <row r="1038" spans="1:5">
      <c r="A1038" s="122"/>
      <c r="B1038" s="125"/>
      <c r="C1038" s="125"/>
      <c r="D1038" s="132"/>
      <c r="E1038" s="132"/>
    </row>
    <row r="1039" spans="1:5">
      <c r="A1039" s="122"/>
      <c r="B1039" s="125"/>
      <c r="C1039" s="125"/>
      <c r="D1039" s="132"/>
      <c r="E1039" s="132"/>
    </row>
    <row r="1040" spans="1:5">
      <c r="A1040" s="122"/>
      <c r="B1040" s="125"/>
      <c r="C1040" s="125"/>
      <c r="D1040" s="132"/>
      <c r="E1040" s="132"/>
    </row>
    <row r="1041" spans="1:5">
      <c r="A1041" s="122"/>
      <c r="B1041" s="125"/>
      <c r="C1041" s="125"/>
      <c r="D1041" s="132"/>
      <c r="E1041" s="132"/>
    </row>
    <row r="1042" spans="1:5">
      <c r="A1042" s="122"/>
      <c r="B1042" s="125"/>
      <c r="C1042" s="125"/>
      <c r="D1042" s="132"/>
      <c r="E1042" s="132"/>
    </row>
    <row r="1043" spans="1:5">
      <c r="A1043" s="122"/>
      <c r="B1043" s="125"/>
      <c r="C1043" s="125"/>
      <c r="D1043" s="132"/>
      <c r="E1043" s="132"/>
    </row>
    <row r="1044" spans="1:5">
      <c r="A1044" s="122"/>
      <c r="B1044" s="125"/>
      <c r="C1044" s="125"/>
      <c r="D1044" s="132"/>
      <c r="E1044" s="132"/>
    </row>
    <row r="1045" spans="1:5">
      <c r="A1045" s="122"/>
      <c r="B1045" s="125"/>
      <c r="C1045" s="125"/>
      <c r="D1045" s="132"/>
      <c r="E1045" s="132"/>
    </row>
    <row r="1046" spans="1:5">
      <c r="A1046" s="122"/>
      <c r="B1046" s="125"/>
      <c r="C1046" s="125"/>
      <c r="D1046" s="132"/>
      <c r="E1046" s="132"/>
    </row>
    <row r="1047" spans="1:5">
      <c r="A1047" s="122"/>
      <c r="B1047" s="125"/>
      <c r="C1047" s="125"/>
      <c r="D1047" s="132"/>
      <c r="E1047" s="132"/>
    </row>
    <row r="1048" spans="1:5">
      <c r="A1048" s="122"/>
      <c r="B1048" s="125"/>
      <c r="C1048" s="125"/>
      <c r="D1048" s="132"/>
      <c r="E1048" s="132"/>
    </row>
    <row r="1049" spans="1:5">
      <c r="A1049" s="122"/>
      <c r="B1049" s="125"/>
      <c r="C1049" s="125"/>
      <c r="D1049" s="132"/>
      <c r="E1049" s="132"/>
    </row>
    <row r="1050" spans="1:5">
      <c r="A1050" s="122"/>
      <c r="B1050" s="125"/>
      <c r="C1050" s="125"/>
      <c r="D1050" s="132"/>
      <c r="E1050" s="132"/>
    </row>
    <row r="1051" spans="1:5">
      <c r="A1051" s="122"/>
      <c r="B1051" s="125"/>
      <c r="C1051" s="125"/>
      <c r="D1051" s="132"/>
      <c r="E1051" s="132"/>
    </row>
    <row r="1052" spans="1:5">
      <c r="A1052" s="122"/>
      <c r="B1052" s="125"/>
      <c r="C1052" s="125"/>
      <c r="D1052" s="132"/>
      <c r="E1052" s="132"/>
    </row>
    <row r="1053" spans="1:5">
      <c r="A1053" s="122"/>
      <c r="B1053" s="125"/>
      <c r="C1053" s="125"/>
      <c r="D1053" s="132"/>
      <c r="E1053" s="132"/>
    </row>
    <row r="1054" spans="1:5">
      <c r="A1054" s="122"/>
      <c r="B1054" s="125"/>
      <c r="C1054" s="125"/>
      <c r="D1054" s="132"/>
      <c r="E1054" s="132"/>
    </row>
    <row r="1055" spans="1:5">
      <c r="A1055" s="122"/>
      <c r="B1055" s="125"/>
      <c r="C1055" s="125"/>
      <c r="D1055" s="132"/>
      <c r="E1055" s="132"/>
    </row>
    <row r="1056" spans="1:5">
      <c r="A1056" s="122"/>
      <c r="B1056" s="125"/>
      <c r="C1056" s="125"/>
      <c r="D1056" s="132"/>
      <c r="E1056" s="132"/>
    </row>
    <row r="1057" spans="1:5">
      <c r="A1057" s="122"/>
      <c r="B1057" s="125"/>
      <c r="C1057" s="125"/>
      <c r="D1057" s="132"/>
      <c r="E1057" s="132"/>
    </row>
    <row r="1058" spans="1:5">
      <c r="A1058" s="122"/>
      <c r="B1058" s="125"/>
      <c r="C1058" s="125"/>
      <c r="D1058" s="132"/>
      <c r="E1058" s="132"/>
    </row>
    <row r="1059" spans="1:5">
      <c r="A1059" s="122"/>
      <c r="B1059" s="125"/>
      <c r="C1059" s="125"/>
      <c r="D1059" s="132"/>
      <c r="E1059" s="132"/>
    </row>
    <row r="1060" spans="1:5">
      <c r="A1060" s="122"/>
      <c r="B1060" s="125"/>
      <c r="C1060" s="125"/>
      <c r="D1060" s="132"/>
      <c r="E1060" s="132"/>
    </row>
    <row r="1061" spans="1:5">
      <c r="A1061" s="122"/>
      <c r="B1061" s="125"/>
      <c r="C1061" s="125"/>
      <c r="D1061" s="132"/>
      <c r="E1061" s="132"/>
    </row>
    <row r="1062" spans="1:5">
      <c r="A1062" s="122"/>
      <c r="B1062" s="125"/>
      <c r="C1062" s="125"/>
      <c r="D1062" s="132"/>
      <c r="E1062" s="132"/>
    </row>
    <row r="1063" spans="1:5">
      <c r="A1063" s="122"/>
      <c r="B1063" s="125"/>
      <c r="C1063" s="125"/>
      <c r="D1063" s="132"/>
      <c r="E1063" s="132"/>
    </row>
    <row r="1064" spans="1:5">
      <c r="A1064" s="122"/>
      <c r="B1064" s="125"/>
      <c r="C1064" s="125"/>
      <c r="D1064" s="132"/>
      <c r="E1064" s="132"/>
    </row>
    <row r="1065" spans="1:5">
      <c r="A1065" s="122"/>
      <c r="B1065" s="125"/>
      <c r="C1065" s="125"/>
      <c r="D1065" s="132"/>
      <c r="E1065" s="132"/>
    </row>
    <row r="1066" spans="1:5">
      <c r="A1066" s="122"/>
      <c r="B1066" s="125"/>
      <c r="C1066" s="125"/>
      <c r="D1066" s="132"/>
      <c r="E1066" s="132"/>
    </row>
    <row r="1067" spans="1:5">
      <c r="A1067" s="122"/>
      <c r="B1067" s="125"/>
      <c r="C1067" s="125"/>
      <c r="D1067" s="132"/>
      <c r="E1067" s="132"/>
    </row>
    <row r="1068" spans="1:5">
      <c r="A1068" s="122"/>
      <c r="B1068" s="125"/>
      <c r="C1068" s="125"/>
      <c r="D1068" s="132"/>
      <c r="E1068" s="132"/>
    </row>
    <row r="1069" spans="1:5">
      <c r="A1069" s="122"/>
      <c r="B1069" s="125"/>
      <c r="C1069" s="125"/>
      <c r="D1069" s="132"/>
      <c r="E1069" s="132"/>
    </row>
    <row r="1070" spans="1:5">
      <c r="A1070" s="122"/>
      <c r="B1070" s="125"/>
      <c r="C1070" s="125"/>
      <c r="D1070" s="132"/>
      <c r="E1070" s="132"/>
    </row>
    <row r="1071" spans="1:5">
      <c r="A1071" s="122"/>
      <c r="B1071" s="125"/>
      <c r="C1071" s="125"/>
      <c r="D1071" s="132"/>
      <c r="E1071" s="132"/>
    </row>
    <row r="1072" spans="1:5">
      <c r="A1072" s="122"/>
      <c r="B1072" s="125"/>
      <c r="C1072" s="125"/>
      <c r="D1072" s="132"/>
      <c r="E1072" s="132"/>
    </row>
    <row r="1073" spans="1:5">
      <c r="A1073" s="122"/>
      <c r="B1073" s="125"/>
      <c r="C1073" s="125"/>
      <c r="D1073" s="132"/>
      <c r="E1073" s="132"/>
    </row>
    <row r="1074" spans="1:5">
      <c r="A1074" s="122"/>
      <c r="B1074" s="125"/>
      <c r="C1074" s="125"/>
      <c r="D1074" s="132"/>
      <c r="E1074" s="132"/>
    </row>
    <row r="1075" spans="1:5">
      <c r="A1075" s="122"/>
      <c r="B1075" s="125"/>
      <c r="C1075" s="125"/>
      <c r="D1075" s="132"/>
      <c r="E1075" s="132"/>
    </row>
    <row r="1076" spans="1:5">
      <c r="A1076" s="122"/>
      <c r="B1076" s="125"/>
      <c r="C1076" s="125"/>
      <c r="D1076" s="132"/>
      <c r="E1076" s="132"/>
    </row>
    <row r="1077" spans="1:5">
      <c r="A1077" s="122"/>
      <c r="B1077" s="125"/>
      <c r="C1077" s="125"/>
      <c r="D1077" s="132"/>
      <c r="E1077" s="132"/>
    </row>
    <row r="1078" spans="1:5">
      <c r="A1078" s="122"/>
      <c r="B1078" s="125"/>
      <c r="C1078" s="125"/>
      <c r="D1078" s="132"/>
      <c r="E1078" s="132"/>
    </row>
    <row r="1079" spans="1:5">
      <c r="A1079" s="122"/>
      <c r="B1079" s="125"/>
      <c r="C1079" s="125"/>
      <c r="D1079" s="132"/>
      <c r="E1079" s="132"/>
    </row>
    <row r="1080" spans="1:5">
      <c r="A1080" s="122"/>
      <c r="B1080" s="125"/>
      <c r="C1080" s="125"/>
      <c r="D1080" s="132"/>
      <c r="E1080" s="132"/>
    </row>
    <row r="1081" spans="1:5">
      <c r="A1081" s="122"/>
      <c r="B1081" s="125"/>
      <c r="C1081" s="125"/>
      <c r="D1081" s="132"/>
      <c r="E1081" s="132"/>
    </row>
    <row r="1082" spans="1:5">
      <c r="A1082" s="122"/>
      <c r="B1082" s="125"/>
      <c r="C1082" s="125"/>
      <c r="D1082" s="132"/>
      <c r="E1082" s="132"/>
    </row>
    <row r="1083" spans="1:5">
      <c r="A1083" s="122"/>
      <c r="B1083" s="125"/>
      <c r="C1083" s="125"/>
      <c r="D1083" s="132"/>
      <c r="E1083" s="132"/>
    </row>
    <row r="1084" spans="1:5">
      <c r="A1084" s="122"/>
      <c r="B1084" s="125"/>
      <c r="C1084" s="125"/>
      <c r="D1084" s="132"/>
      <c r="E1084" s="132"/>
    </row>
    <row r="1085" spans="1:5">
      <c r="A1085" s="122"/>
      <c r="B1085" s="125"/>
      <c r="C1085" s="125"/>
      <c r="D1085" s="132"/>
      <c r="E1085" s="132"/>
    </row>
    <row r="1086" spans="1:5">
      <c r="A1086" s="122"/>
      <c r="B1086" s="125"/>
      <c r="C1086" s="125"/>
      <c r="D1086" s="132"/>
      <c r="E1086" s="132"/>
    </row>
    <row r="1087" spans="1:5">
      <c r="A1087" s="122"/>
      <c r="B1087" s="125"/>
      <c r="C1087" s="125"/>
      <c r="D1087" s="132"/>
      <c r="E1087" s="132"/>
    </row>
    <row r="1088" spans="1:5">
      <c r="A1088" s="122"/>
      <c r="B1088" s="125"/>
      <c r="C1088" s="125"/>
      <c r="D1088" s="132"/>
      <c r="E1088" s="132"/>
    </row>
    <row r="1089" spans="1:5">
      <c r="A1089" s="122"/>
      <c r="B1089" s="125"/>
      <c r="C1089" s="125"/>
      <c r="D1089" s="132"/>
      <c r="E1089" s="132"/>
    </row>
    <row r="1090" spans="1:5">
      <c r="A1090" s="122"/>
      <c r="B1090" s="125"/>
      <c r="C1090" s="125"/>
      <c r="D1090" s="132"/>
      <c r="E1090" s="132"/>
    </row>
    <row r="1091" spans="1:5">
      <c r="A1091" s="122"/>
      <c r="B1091" s="125"/>
      <c r="C1091" s="125"/>
      <c r="D1091" s="132"/>
      <c r="E1091" s="132"/>
    </row>
    <row r="1092" spans="1:5">
      <c r="A1092" s="122"/>
      <c r="B1092" s="125"/>
      <c r="C1092" s="125"/>
      <c r="D1092" s="132"/>
      <c r="E1092" s="132"/>
    </row>
    <row r="1093" spans="1:5">
      <c r="A1093" s="122"/>
      <c r="B1093" s="125"/>
      <c r="C1093" s="125"/>
      <c r="D1093" s="132"/>
      <c r="E1093" s="132"/>
    </row>
    <row r="1094" spans="1:5">
      <c r="A1094" s="122"/>
      <c r="B1094" s="125"/>
      <c r="C1094" s="125"/>
      <c r="D1094" s="132"/>
      <c r="E1094" s="132"/>
    </row>
    <row r="1095" spans="1:5">
      <c r="A1095" s="122"/>
      <c r="B1095" s="125"/>
      <c r="C1095" s="125"/>
      <c r="D1095" s="132"/>
      <c r="E1095" s="132"/>
    </row>
    <row r="1096" spans="1:5">
      <c r="A1096" s="122"/>
      <c r="B1096" s="125"/>
      <c r="C1096" s="125"/>
      <c r="D1096" s="132"/>
      <c r="E1096" s="132"/>
    </row>
    <row r="1097" spans="1:5">
      <c r="A1097" s="122"/>
      <c r="B1097" s="125"/>
      <c r="C1097" s="125"/>
      <c r="D1097" s="132"/>
      <c r="E1097" s="132"/>
    </row>
    <row r="1098" spans="1:5">
      <c r="A1098" s="122"/>
      <c r="B1098" s="125"/>
      <c r="C1098" s="125"/>
      <c r="D1098" s="132"/>
      <c r="E1098" s="132"/>
    </row>
    <row r="1099" spans="1:5">
      <c r="A1099" s="122"/>
      <c r="B1099" s="125"/>
      <c r="C1099" s="125"/>
      <c r="D1099" s="132"/>
      <c r="E1099" s="132"/>
    </row>
    <row r="1100" spans="1:5">
      <c r="A1100" s="122"/>
      <c r="B1100" s="125"/>
      <c r="C1100" s="125"/>
      <c r="D1100" s="132"/>
      <c r="E1100" s="132"/>
    </row>
    <row r="1101" spans="1:5">
      <c r="A1101" s="122"/>
      <c r="B1101" s="125"/>
      <c r="C1101" s="125"/>
      <c r="D1101" s="132"/>
      <c r="E1101" s="132"/>
    </row>
    <row r="1102" spans="1:5">
      <c r="A1102" s="122"/>
      <c r="B1102" s="125"/>
      <c r="C1102" s="125"/>
      <c r="D1102" s="132"/>
      <c r="E1102" s="132"/>
    </row>
    <row r="1103" spans="1:5">
      <c r="A1103" s="122"/>
      <c r="B1103" s="125"/>
      <c r="C1103" s="125"/>
      <c r="D1103" s="132"/>
      <c r="E1103" s="132"/>
    </row>
    <row r="1104" spans="1:5">
      <c r="A1104" s="122"/>
      <c r="B1104" s="125"/>
      <c r="C1104" s="125"/>
      <c r="D1104" s="132"/>
      <c r="E1104" s="132"/>
    </row>
    <row r="1105" spans="1:5">
      <c r="A1105" s="122"/>
      <c r="B1105" s="125"/>
      <c r="C1105" s="125"/>
      <c r="D1105" s="132"/>
      <c r="E1105" s="132"/>
    </row>
    <row r="1106" spans="1:5">
      <c r="A1106" s="122"/>
      <c r="B1106" s="125"/>
      <c r="C1106" s="125"/>
      <c r="D1106" s="132"/>
      <c r="E1106" s="132"/>
    </row>
    <row r="1107" spans="1:5">
      <c r="A1107" s="122"/>
      <c r="B1107" s="125"/>
      <c r="C1107" s="125"/>
      <c r="D1107" s="132"/>
      <c r="E1107" s="132"/>
    </row>
    <row r="1108" spans="1:5">
      <c r="A1108" s="122"/>
      <c r="B1108" s="125"/>
      <c r="C1108" s="125"/>
      <c r="D1108" s="132"/>
      <c r="E1108" s="132"/>
    </row>
    <row r="1109" spans="1:5">
      <c r="A1109" s="122"/>
      <c r="B1109" s="125"/>
      <c r="C1109" s="125"/>
      <c r="D1109" s="132"/>
      <c r="E1109" s="132"/>
    </row>
    <row r="1110" spans="1:5">
      <c r="A1110" s="122"/>
      <c r="B1110" s="125"/>
      <c r="C1110" s="125"/>
      <c r="D1110" s="132"/>
      <c r="E1110" s="132"/>
    </row>
    <row r="1111" spans="1:5">
      <c r="A1111" s="122"/>
      <c r="B1111" s="125"/>
      <c r="C1111" s="125"/>
      <c r="D1111" s="132"/>
      <c r="E1111" s="132"/>
    </row>
    <row r="1112" spans="1:5">
      <c r="A1112" s="122"/>
      <c r="B1112" s="125"/>
      <c r="C1112" s="125"/>
      <c r="D1112" s="132"/>
      <c r="E1112" s="132"/>
    </row>
    <row r="1113" spans="1:5">
      <c r="A1113" s="122"/>
      <c r="B1113" s="125"/>
      <c r="C1113" s="125"/>
      <c r="D1113" s="132"/>
      <c r="E1113" s="132"/>
    </row>
    <row r="1114" spans="1:5">
      <c r="A1114" s="122"/>
      <c r="B1114" s="125"/>
      <c r="C1114" s="125"/>
      <c r="D1114" s="132"/>
      <c r="E1114" s="132"/>
    </row>
    <row r="1115" spans="1:5">
      <c r="A1115" s="122"/>
      <c r="B1115" s="125"/>
      <c r="C1115" s="125"/>
      <c r="D1115" s="132"/>
      <c r="E1115" s="132"/>
    </row>
    <row r="1116" spans="1:5">
      <c r="A1116" s="122"/>
      <c r="B1116" s="125"/>
      <c r="C1116" s="125"/>
      <c r="D1116" s="132"/>
      <c r="E1116" s="132"/>
    </row>
    <row r="1117" spans="1:5">
      <c r="A1117" s="122"/>
      <c r="B1117" s="125"/>
      <c r="C1117" s="125"/>
      <c r="D1117" s="132"/>
      <c r="E1117" s="132"/>
    </row>
    <row r="1118" spans="1:5">
      <c r="A1118" s="122"/>
      <c r="B1118" s="125"/>
      <c r="C1118" s="125"/>
      <c r="D1118" s="132"/>
      <c r="E1118" s="132"/>
    </row>
    <row r="1119" spans="1:5">
      <c r="A1119" s="122"/>
      <c r="B1119" s="125"/>
      <c r="C1119" s="125"/>
      <c r="D1119" s="132"/>
      <c r="E1119" s="132"/>
    </row>
    <row r="1120" spans="1:5">
      <c r="A1120" s="122"/>
      <c r="B1120" s="125"/>
      <c r="C1120" s="125"/>
      <c r="D1120" s="132"/>
      <c r="E1120" s="132"/>
    </row>
    <row r="1121" spans="1:5">
      <c r="A1121" s="122"/>
      <c r="B1121" s="125"/>
      <c r="C1121" s="125"/>
      <c r="D1121" s="132"/>
      <c r="E1121" s="132"/>
    </row>
    <row r="1122" spans="1:5">
      <c r="A1122" s="122"/>
      <c r="B1122" s="125"/>
      <c r="C1122" s="125"/>
      <c r="D1122" s="132"/>
      <c r="E1122" s="132"/>
    </row>
    <row r="1123" spans="1:5">
      <c r="A1123" s="122"/>
      <c r="B1123" s="125"/>
      <c r="C1123" s="125"/>
      <c r="D1123" s="132"/>
      <c r="E1123" s="132"/>
    </row>
    <row r="1124" spans="1:5">
      <c r="A1124" s="122"/>
      <c r="B1124" s="125"/>
      <c r="C1124" s="125"/>
      <c r="D1124" s="132"/>
      <c r="E1124" s="132"/>
    </row>
    <row r="1125" spans="1:5">
      <c r="A1125" s="122"/>
      <c r="B1125" s="125"/>
      <c r="C1125" s="125"/>
      <c r="D1125" s="132"/>
      <c r="E1125" s="132"/>
    </row>
    <row r="1126" spans="1:5">
      <c r="A1126" s="122"/>
      <c r="B1126" s="125"/>
      <c r="C1126" s="125"/>
      <c r="D1126" s="132"/>
      <c r="E1126" s="132"/>
    </row>
    <row r="1127" spans="1:5">
      <c r="A1127" s="122"/>
      <c r="B1127" s="125"/>
      <c r="C1127" s="125"/>
      <c r="D1127" s="132"/>
      <c r="E1127" s="132"/>
    </row>
    <row r="1128" spans="1:5">
      <c r="A1128" s="122"/>
      <c r="B1128" s="125"/>
      <c r="C1128" s="125"/>
      <c r="D1128" s="132"/>
      <c r="E1128" s="132"/>
    </row>
    <row r="1129" spans="1:5">
      <c r="A1129" s="122"/>
      <c r="B1129" s="125"/>
      <c r="C1129" s="125"/>
      <c r="D1129" s="132"/>
      <c r="E1129" s="132"/>
    </row>
    <row r="1130" spans="1:5">
      <c r="A1130" s="122"/>
      <c r="B1130" s="125"/>
      <c r="C1130" s="125"/>
      <c r="D1130" s="132"/>
      <c r="E1130" s="132"/>
    </row>
    <row r="1131" spans="1:5">
      <c r="A1131" s="122"/>
      <c r="B1131" s="125"/>
      <c r="C1131" s="125"/>
      <c r="D1131" s="132"/>
      <c r="E1131" s="132"/>
    </row>
    <row r="1132" spans="1:5">
      <c r="A1132" s="122"/>
      <c r="B1132" s="125"/>
      <c r="C1132" s="125"/>
      <c r="D1132" s="132"/>
      <c r="E1132" s="132"/>
    </row>
    <row r="1133" spans="1:5">
      <c r="A1133" s="122"/>
      <c r="B1133" s="125"/>
      <c r="C1133" s="125"/>
      <c r="D1133" s="132"/>
      <c r="E1133" s="132"/>
    </row>
    <row r="1134" spans="1:5">
      <c r="A1134" s="122"/>
      <c r="B1134" s="125"/>
      <c r="C1134" s="125"/>
      <c r="D1134" s="132"/>
      <c r="E1134" s="132"/>
    </row>
    <row r="1135" spans="1:5">
      <c r="A1135" s="122"/>
      <c r="B1135" s="125"/>
      <c r="C1135" s="125"/>
      <c r="D1135" s="132"/>
      <c r="E1135" s="132"/>
    </row>
    <row r="1136" spans="1:5">
      <c r="A1136" s="122"/>
      <c r="B1136" s="125"/>
      <c r="C1136" s="125"/>
      <c r="D1136" s="132"/>
      <c r="E1136" s="132"/>
    </row>
    <row r="1137" spans="1:5">
      <c r="A1137" s="122"/>
      <c r="B1137" s="125"/>
      <c r="C1137" s="125"/>
      <c r="D1137" s="132"/>
      <c r="E1137" s="132"/>
    </row>
    <row r="1138" spans="1:5">
      <c r="A1138" s="122"/>
      <c r="B1138" s="125"/>
      <c r="C1138" s="125"/>
      <c r="D1138" s="132"/>
      <c r="E1138" s="132"/>
    </row>
    <row r="1139" spans="1:5">
      <c r="A1139" s="122"/>
      <c r="B1139" s="125"/>
      <c r="C1139" s="125"/>
      <c r="D1139" s="132"/>
      <c r="E1139" s="132"/>
    </row>
    <row r="1140" spans="1:5">
      <c r="A1140" s="122"/>
      <c r="B1140" s="125"/>
      <c r="C1140" s="125"/>
      <c r="D1140" s="132"/>
      <c r="E1140" s="132"/>
    </row>
    <row r="1141" spans="1:5">
      <c r="A1141" s="122"/>
      <c r="B1141" s="125"/>
      <c r="C1141" s="125"/>
      <c r="D1141" s="132"/>
      <c r="E1141" s="132"/>
    </row>
    <row r="1142" spans="1:5">
      <c r="A1142" s="122"/>
      <c r="B1142" s="125"/>
      <c r="C1142" s="125"/>
      <c r="D1142" s="132"/>
      <c r="E1142" s="132"/>
    </row>
    <row r="1143" spans="1:5">
      <c r="A1143" s="122"/>
      <c r="B1143" s="125"/>
      <c r="C1143" s="125"/>
      <c r="D1143" s="132"/>
      <c r="E1143" s="132"/>
    </row>
    <row r="1144" spans="1:5">
      <c r="A1144" s="122"/>
      <c r="B1144" s="125"/>
      <c r="C1144" s="125"/>
      <c r="D1144" s="132"/>
      <c r="E1144" s="132"/>
    </row>
    <row r="1145" spans="1:5">
      <c r="A1145" s="122"/>
      <c r="B1145" s="125"/>
      <c r="C1145" s="125"/>
      <c r="D1145" s="132"/>
      <c r="E1145" s="132"/>
    </row>
    <row r="1146" spans="1:5">
      <c r="A1146" s="122"/>
      <c r="B1146" s="125"/>
      <c r="C1146" s="125"/>
      <c r="D1146" s="132"/>
      <c r="E1146" s="132"/>
    </row>
    <row r="1147" spans="1:5">
      <c r="A1147" s="122"/>
      <c r="B1147" s="125"/>
      <c r="C1147" s="125"/>
      <c r="D1147" s="132"/>
      <c r="E1147" s="132"/>
    </row>
    <row r="1148" spans="1:5">
      <c r="A1148" s="122"/>
      <c r="B1148" s="125"/>
      <c r="C1148" s="125"/>
      <c r="D1148" s="132"/>
      <c r="E1148" s="132"/>
    </row>
    <row r="1149" spans="1:5">
      <c r="A1149" s="122"/>
      <c r="B1149" s="125"/>
      <c r="C1149" s="125"/>
      <c r="D1149" s="132"/>
      <c r="E1149" s="132"/>
    </row>
    <row r="1150" spans="1:5">
      <c r="A1150" s="122"/>
      <c r="B1150" s="125"/>
      <c r="C1150" s="125"/>
      <c r="D1150" s="132"/>
      <c r="E1150" s="132"/>
    </row>
    <row r="1151" spans="1:5">
      <c r="A1151" s="122"/>
      <c r="B1151" s="125"/>
      <c r="C1151" s="125"/>
      <c r="D1151" s="132"/>
      <c r="E1151" s="132"/>
    </row>
    <row r="1152" spans="1:5">
      <c r="A1152" s="122"/>
      <c r="B1152" s="125"/>
      <c r="C1152" s="125"/>
      <c r="D1152" s="132"/>
      <c r="E1152" s="132"/>
    </row>
    <row r="1153" spans="1:5">
      <c r="A1153" s="122"/>
      <c r="B1153" s="125"/>
      <c r="C1153" s="125"/>
      <c r="D1153" s="132"/>
      <c r="E1153" s="132"/>
    </row>
    <row r="1154" spans="1:5">
      <c r="A1154" s="122"/>
      <c r="B1154" s="125"/>
      <c r="C1154" s="125"/>
      <c r="D1154" s="132"/>
      <c r="E1154" s="132"/>
    </row>
    <row r="1155" spans="1:5">
      <c r="A1155" s="122"/>
      <c r="B1155" s="125"/>
      <c r="C1155" s="125"/>
      <c r="D1155" s="132"/>
      <c r="E1155" s="132"/>
    </row>
    <row r="1156" spans="1:5">
      <c r="A1156" s="122"/>
      <c r="B1156" s="125"/>
      <c r="C1156" s="125"/>
      <c r="D1156" s="132"/>
      <c r="E1156" s="132"/>
    </row>
    <row r="1157" spans="1:5">
      <c r="A1157" s="122"/>
      <c r="B1157" s="125"/>
      <c r="C1157" s="125"/>
      <c r="D1157" s="132"/>
      <c r="E1157" s="132"/>
    </row>
    <row r="1158" spans="1:5">
      <c r="A1158" s="122"/>
      <c r="B1158" s="125"/>
      <c r="C1158" s="125"/>
      <c r="D1158" s="132"/>
      <c r="E1158" s="132"/>
    </row>
    <row r="1159" spans="1:5">
      <c r="A1159" s="122"/>
      <c r="B1159" s="125"/>
      <c r="C1159" s="125"/>
      <c r="D1159" s="132"/>
      <c r="E1159" s="132"/>
    </row>
    <row r="1160" spans="1:5">
      <c r="A1160" s="122"/>
      <c r="B1160" s="125"/>
      <c r="C1160" s="125"/>
      <c r="D1160" s="132"/>
      <c r="E1160" s="132"/>
    </row>
    <row r="1161" spans="1:5">
      <c r="A1161" s="122"/>
      <c r="B1161" s="125"/>
      <c r="C1161" s="125"/>
      <c r="D1161" s="132"/>
      <c r="E1161" s="132"/>
    </row>
    <row r="1162" spans="1:5">
      <c r="A1162" s="122"/>
      <c r="B1162" s="125"/>
      <c r="C1162" s="125"/>
      <c r="D1162" s="132"/>
      <c r="E1162" s="132"/>
    </row>
    <row r="1163" spans="1:5">
      <c r="A1163" s="122"/>
      <c r="B1163" s="125"/>
      <c r="C1163" s="125"/>
      <c r="D1163" s="132"/>
      <c r="E1163" s="132"/>
    </row>
    <row r="1164" spans="1:5">
      <c r="A1164" s="122"/>
      <c r="B1164" s="125"/>
      <c r="C1164" s="125"/>
      <c r="D1164" s="132"/>
      <c r="E1164" s="132"/>
    </row>
    <row r="1165" spans="1:5">
      <c r="A1165" s="122"/>
      <c r="B1165" s="125"/>
      <c r="C1165" s="125"/>
      <c r="D1165" s="132"/>
      <c r="E1165" s="132"/>
    </row>
    <row r="1166" spans="1:5">
      <c r="A1166" s="122"/>
      <c r="B1166" s="125"/>
      <c r="C1166" s="125"/>
      <c r="D1166" s="132"/>
      <c r="E1166" s="132"/>
    </row>
    <row r="1167" spans="1:5">
      <c r="A1167" s="122"/>
      <c r="B1167" s="125"/>
      <c r="C1167" s="125"/>
      <c r="D1167" s="132"/>
      <c r="E1167" s="132"/>
    </row>
    <row r="1168" spans="1:5">
      <c r="A1168" s="122"/>
      <c r="B1168" s="125"/>
      <c r="C1168" s="125"/>
      <c r="D1168" s="132"/>
      <c r="E1168" s="132"/>
    </row>
    <row r="1169" spans="1:5">
      <c r="A1169" s="122"/>
      <c r="B1169" s="125"/>
      <c r="C1169" s="125"/>
      <c r="D1169" s="132"/>
      <c r="E1169" s="132"/>
    </row>
    <row r="1170" spans="1:5">
      <c r="A1170" s="122"/>
      <c r="B1170" s="125"/>
      <c r="C1170" s="125"/>
      <c r="D1170" s="132"/>
      <c r="E1170" s="132"/>
    </row>
    <row r="1171" spans="1:5">
      <c r="A1171" s="122"/>
      <c r="B1171" s="125"/>
      <c r="C1171" s="125"/>
      <c r="D1171" s="132"/>
      <c r="E1171" s="132"/>
    </row>
    <row r="1172" spans="1:5">
      <c r="A1172" s="122"/>
      <c r="B1172" s="125"/>
      <c r="C1172" s="125"/>
      <c r="D1172" s="132"/>
      <c r="E1172" s="132"/>
    </row>
    <row r="1173" spans="1:5">
      <c r="A1173" s="122"/>
      <c r="B1173" s="125"/>
      <c r="C1173" s="125"/>
      <c r="D1173" s="132"/>
      <c r="E1173" s="132"/>
    </row>
    <row r="1174" spans="1:5">
      <c r="A1174" s="122"/>
      <c r="B1174" s="125"/>
      <c r="C1174" s="125"/>
      <c r="D1174" s="132"/>
      <c r="E1174" s="132"/>
    </row>
    <row r="1175" spans="1:5">
      <c r="A1175" s="122"/>
      <c r="B1175" s="125"/>
      <c r="C1175" s="125"/>
      <c r="D1175" s="132"/>
      <c r="E1175" s="132"/>
    </row>
    <row r="1176" spans="1:5">
      <c r="A1176" s="122"/>
      <c r="B1176" s="125"/>
      <c r="C1176" s="125"/>
      <c r="D1176" s="132"/>
      <c r="E1176" s="132"/>
    </row>
    <row r="1177" spans="1:5">
      <c r="A1177" s="122"/>
      <c r="B1177" s="125"/>
      <c r="C1177" s="125"/>
      <c r="D1177" s="132"/>
      <c r="E1177" s="132"/>
    </row>
    <row r="1178" spans="1:5">
      <c r="A1178" s="122"/>
      <c r="B1178" s="125"/>
      <c r="C1178" s="125"/>
      <c r="D1178" s="132"/>
      <c r="E1178" s="132"/>
    </row>
    <row r="1179" spans="1:5">
      <c r="A1179" s="122"/>
      <c r="B1179" s="125"/>
      <c r="C1179" s="125"/>
      <c r="D1179" s="132"/>
      <c r="E1179" s="132"/>
    </row>
    <row r="1180" spans="1:5">
      <c r="A1180" s="122"/>
      <c r="B1180" s="125"/>
      <c r="C1180" s="125"/>
      <c r="D1180" s="132"/>
      <c r="E1180" s="132"/>
    </row>
    <row r="1181" spans="1:5">
      <c r="A1181" s="122"/>
      <c r="B1181" s="125"/>
      <c r="C1181" s="125"/>
      <c r="D1181" s="132"/>
      <c r="E1181" s="132"/>
    </row>
    <row r="1182" spans="1:5">
      <c r="A1182" s="122"/>
      <c r="B1182" s="125"/>
      <c r="C1182" s="125"/>
      <c r="D1182" s="132"/>
      <c r="E1182" s="132"/>
    </row>
    <row r="1183" spans="1:5">
      <c r="A1183" s="122"/>
      <c r="B1183" s="125"/>
      <c r="C1183" s="125"/>
      <c r="D1183" s="132"/>
      <c r="E1183" s="132"/>
    </row>
    <row r="1184" spans="1:5">
      <c r="A1184" s="122"/>
      <c r="B1184" s="125"/>
      <c r="C1184" s="125"/>
      <c r="D1184" s="132"/>
      <c r="E1184" s="132"/>
    </row>
    <row r="1185" spans="1:5">
      <c r="A1185" s="122"/>
      <c r="B1185" s="125"/>
      <c r="C1185" s="125"/>
      <c r="D1185" s="132"/>
      <c r="E1185" s="132"/>
    </row>
    <row r="1186" spans="1:5">
      <c r="A1186" s="122"/>
      <c r="B1186" s="125"/>
      <c r="C1186" s="125"/>
      <c r="D1186" s="132"/>
      <c r="E1186" s="132"/>
    </row>
    <row r="1187" spans="1:5">
      <c r="A1187" s="122"/>
      <c r="B1187" s="125"/>
      <c r="C1187" s="125"/>
      <c r="D1187" s="132"/>
      <c r="E1187" s="132"/>
    </row>
    <row r="1188" spans="1:5">
      <c r="A1188" s="122"/>
      <c r="B1188" s="125"/>
      <c r="C1188" s="125"/>
      <c r="D1188" s="132"/>
      <c r="E1188" s="132"/>
    </row>
    <row r="1189" spans="1:5">
      <c r="A1189" s="122"/>
      <c r="B1189" s="125"/>
      <c r="C1189" s="125"/>
      <c r="D1189" s="132"/>
      <c r="E1189" s="132"/>
    </row>
    <row r="1190" spans="1:5">
      <c r="A1190" s="122"/>
      <c r="B1190" s="125"/>
      <c r="C1190" s="125"/>
      <c r="D1190" s="132"/>
      <c r="E1190" s="132"/>
    </row>
    <row r="1191" spans="1:5">
      <c r="A1191" s="122"/>
      <c r="B1191" s="125"/>
      <c r="C1191" s="125"/>
      <c r="D1191" s="132"/>
      <c r="E1191" s="132"/>
    </row>
    <row r="1192" spans="1:5">
      <c r="A1192" s="122"/>
      <c r="B1192" s="125"/>
      <c r="C1192" s="125"/>
      <c r="D1192" s="132"/>
      <c r="E1192" s="132"/>
    </row>
    <row r="1193" spans="1:5">
      <c r="A1193" s="122"/>
      <c r="B1193" s="125"/>
      <c r="C1193" s="125"/>
      <c r="D1193" s="132"/>
      <c r="E1193" s="132"/>
    </row>
    <row r="1194" spans="1:5">
      <c r="A1194" s="122"/>
      <c r="B1194" s="125"/>
      <c r="C1194" s="125"/>
      <c r="D1194" s="132"/>
      <c r="E1194" s="132"/>
    </row>
    <row r="1195" spans="1:5">
      <c r="A1195" s="122"/>
      <c r="B1195" s="125"/>
      <c r="C1195" s="125"/>
      <c r="D1195" s="132"/>
      <c r="E1195" s="132"/>
    </row>
    <row r="1196" spans="1:5">
      <c r="A1196" s="122"/>
      <c r="B1196" s="125"/>
      <c r="C1196" s="125"/>
      <c r="D1196" s="132"/>
      <c r="E1196" s="132"/>
    </row>
    <row r="1197" spans="1:5">
      <c r="A1197" s="122"/>
      <c r="B1197" s="125"/>
      <c r="C1197" s="125"/>
      <c r="D1197" s="132"/>
      <c r="E1197" s="132"/>
    </row>
    <row r="1198" spans="1:5">
      <c r="A1198" s="122"/>
      <c r="B1198" s="125"/>
      <c r="C1198" s="125"/>
      <c r="D1198" s="132"/>
      <c r="E1198" s="132"/>
    </row>
    <row r="1199" spans="1:5">
      <c r="A1199" s="122"/>
      <c r="B1199" s="125"/>
      <c r="C1199" s="125"/>
      <c r="D1199" s="132"/>
      <c r="E1199" s="132"/>
    </row>
    <row r="1200" spans="1:5">
      <c r="A1200" s="122"/>
      <c r="B1200" s="125"/>
      <c r="C1200" s="125"/>
      <c r="D1200" s="132"/>
      <c r="E1200" s="132"/>
    </row>
    <row r="1201" spans="1:5">
      <c r="A1201" s="122"/>
      <c r="B1201" s="125"/>
      <c r="C1201" s="125"/>
      <c r="D1201" s="132"/>
      <c r="E1201" s="132"/>
    </row>
    <row r="1202" spans="1:5">
      <c r="A1202" s="122"/>
      <c r="B1202" s="125"/>
      <c r="C1202" s="125"/>
      <c r="D1202" s="132"/>
      <c r="E1202" s="132"/>
    </row>
    <row r="1203" spans="1:5">
      <c r="A1203" s="122"/>
      <c r="B1203" s="125"/>
      <c r="C1203" s="125"/>
      <c r="D1203" s="132"/>
      <c r="E1203" s="132"/>
    </row>
    <row r="1204" spans="1:5">
      <c r="A1204" s="122"/>
      <c r="B1204" s="125"/>
      <c r="C1204" s="125"/>
      <c r="D1204" s="132"/>
      <c r="E1204" s="132"/>
    </row>
    <row r="1205" spans="1:5">
      <c r="A1205" s="122"/>
      <c r="B1205" s="125"/>
      <c r="C1205" s="125"/>
      <c r="D1205" s="132"/>
      <c r="E1205" s="132"/>
    </row>
    <row r="1206" spans="1:5">
      <c r="A1206" s="122"/>
      <c r="B1206" s="125"/>
      <c r="C1206" s="125"/>
      <c r="D1206" s="132"/>
      <c r="E1206" s="132"/>
    </row>
    <row r="1207" spans="1:5">
      <c r="A1207" s="122"/>
      <c r="B1207" s="125"/>
      <c r="C1207" s="125"/>
      <c r="D1207" s="132"/>
      <c r="E1207" s="132"/>
    </row>
    <row r="1208" spans="1:5">
      <c r="A1208" s="122"/>
      <c r="B1208" s="125"/>
      <c r="C1208" s="125"/>
      <c r="D1208" s="132"/>
      <c r="E1208" s="132"/>
    </row>
    <row r="1209" spans="1:5">
      <c r="A1209" s="122"/>
      <c r="B1209" s="125"/>
      <c r="C1209" s="125"/>
      <c r="D1209" s="132"/>
      <c r="E1209" s="132"/>
    </row>
    <row r="1210" spans="1:5">
      <c r="A1210" s="122"/>
      <c r="B1210" s="125"/>
      <c r="C1210" s="125"/>
      <c r="D1210" s="132"/>
      <c r="E1210" s="132"/>
    </row>
    <row r="1211" spans="1:5">
      <c r="A1211" s="122"/>
      <c r="B1211" s="125"/>
      <c r="C1211" s="125"/>
      <c r="D1211" s="132"/>
      <c r="E1211" s="132"/>
    </row>
    <row r="1212" spans="1:5">
      <c r="A1212" s="122"/>
      <c r="B1212" s="125"/>
      <c r="C1212" s="125"/>
      <c r="D1212" s="132"/>
      <c r="E1212" s="132"/>
    </row>
    <row r="1213" spans="1:5">
      <c r="A1213" s="122"/>
      <c r="B1213" s="125"/>
      <c r="C1213" s="125"/>
      <c r="D1213" s="132"/>
      <c r="E1213" s="132"/>
    </row>
    <row r="1214" spans="1:5">
      <c r="A1214" s="122"/>
      <c r="B1214" s="125"/>
      <c r="C1214" s="125"/>
      <c r="D1214" s="132"/>
      <c r="E1214" s="132"/>
    </row>
    <row r="1215" spans="1:5">
      <c r="A1215" s="122"/>
      <c r="B1215" s="125"/>
      <c r="C1215" s="125"/>
      <c r="D1215" s="132"/>
      <c r="E1215" s="132"/>
    </row>
    <row r="1216" spans="1:5">
      <c r="A1216" s="122"/>
      <c r="B1216" s="125"/>
      <c r="C1216" s="125"/>
      <c r="D1216" s="132"/>
      <c r="E1216" s="132"/>
    </row>
    <row r="1217" spans="1:5">
      <c r="A1217" s="122"/>
      <c r="B1217" s="125"/>
      <c r="C1217" s="125"/>
      <c r="D1217" s="132"/>
      <c r="E1217" s="132"/>
    </row>
    <row r="1218" spans="1:5">
      <c r="A1218" s="122"/>
      <c r="B1218" s="125"/>
      <c r="C1218" s="125"/>
      <c r="D1218" s="132"/>
      <c r="E1218" s="132"/>
    </row>
    <row r="1219" spans="1:5">
      <c r="A1219" s="122"/>
      <c r="B1219" s="125"/>
      <c r="C1219" s="125"/>
      <c r="D1219" s="132"/>
      <c r="E1219" s="132"/>
    </row>
    <row r="1220" spans="1:5">
      <c r="A1220" s="122"/>
      <c r="B1220" s="125"/>
      <c r="C1220" s="125"/>
      <c r="D1220" s="132"/>
      <c r="E1220" s="132"/>
    </row>
    <row r="1221" spans="1:5">
      <c r="A1221" s="122"/>
      <c r="B1221" s="125"/>
      <c r="C1221" s="125"/>
      <c r="D1221" s="132"/>
      <c r="E1221" s="132"/>
    </row>
    <row r="1222" spans="1:5">
      <c r="A1222" s="122"/>
      <c r="B1222" s="125"/>
      <c r="C1222" s="125"/>
      <c r="D1222" s="132"/>
      <c r="E1222" s="132"/>
    </row>
    <row r="1223" spans="1:5">
      <c r="A1223" s="122"/>
      <c r="B1223" s="125"/>
      <c r="C1223" s="125"/>
      <c r="D1223" s="132"/>
      <c r="E1223" s="132"/>
    </row>
    <row r="1224" spans="1:5">
      <c r="A1224" s="122"/>
      <c r="B1224" s="125"/>
      <c r="C1224" s="125"/>
      <c r="D1224" s="132"/>
      <c r="E1224" s="132"/>
    </row>
    <row r="1225" spans="1:5">
      <c r="A1225" s="122"/>
      <c r="B1225" s="125"/>
      <c r="C1225" s="125"/>
      <c r="D1225" s="132"/>
      <c r="E1225" s="132"/>
    </row>
    <row r="1226" spans="1:5">
      <c r="A1226" s="122"/>
      <c r="B1226" s="125"/>
      <c r="C1226" s="125"/>
      <c r="D1226" s="132"/>
      <c r="E1226" s="132"/>
    </row>
    <row r="1227" spans="1:5">
      <c r="A1227" s="122"/>
      <c r="B1227" s="125"/>
      <c r="C1227" s="125"/>
      <c r="D1227" s="132"/>
      <c r="E1227" s="132"/>
    </row>
    <row r="1228" spans="1:5">
      <c r="A1228" s="122"/>
      <c r="B1228" s="125"/>
      <c r="C1228" s="125"/>
      <c r="D1228" s="132"/>
      <c r="E1228" s="132"/>
    </row>
    <row r="1229" spans="1:5">
      <c r="A1229" s="122"/>
      <c r="B1229" s="125"/>
      <c r="C1229" s="125"/>
      <c r="D1229" s="132"/>
      <c r="E1229" s="132"/>
    </row>
    <row r="1230" spans="1:5">
      <c r="A1230" s="122"/>
      <c r="B1230" s="125"/>
      <c r="C1230" s="125"/>
      <c r="D1230" s="132"/>
      <c r="E1230" s="132"/>
    </row>
    <row r="1231" spans="1:5">
      <c r="A1231" s="122"/>
      <c r="B1231" s="125"/>
      <c r="C1231" s="125"/>
      <c r="D1231" s="132"/>
      <c r="E1231" s="132"/>
    </row>
    <row r="1232" spans="1:5">
      <c r="A1232" s="122"/>
      <c r="B1232" s="125"/>
      <c r="C1232" s="125"/>
      <c r="D1232" s="132"/>
      <c r="E1232" s="132"/>
    </row>
    <row r="1233" spans="1:5">
      <c r="A1233" s="122"/>
      <c r="B1233" s="125"/>
      <c r="C1233" s="125"/>
      <c r="D1233" s="132"/>
      <c r="E1233" s="132"/>
    </row>
    <row r="1234" spans="1:5">
      <c r="A1234" s="122"/>
      <c r="B1234" s="125"/>
      <c r="C1234" s="125"/>
      <c r="D1234" s="132"/>
      <c r="E1234" s="132"/>
    </row>
    <row r="1235" spans="1:5">
      <c r="A1235" s="122"/>
      <c r="B1235" s="125"/>
      <c r="C1235" s="125"/>
      <c r="D1235" s="132"/>
      <c r="E1235" s="132"/>
    </row>
    <row r="1236" spans="1:5">
      <c r="A1236" s="122"/>
      <c r="B1236" s="125"/>
      <c r="C1236" s="125"/>
      <c r="D1236" s="132"/>
      <c r="E1236" s="132"/>
    </row>
    <row r="1237" spans="1:5">
      <c r="A1237" s="122"/>
      <c r="B1237" s="125"/>
      <c r="C1237" s="125"/>
      <c r="D1237" s="132"/>
      <c r="E1237" s="132"/>
    </row>
    <row r="1238" spans="1:5">
      <c r="A1238" s="122"/>
      <c r="B1238" s="125"/>
      <c r="C1238" s="125"/>
      <c r="D1238" s="132"/>
      <c r="E1238" s="132"/>
    </row>
    <row r="1239" spans="1:5">
      <c r="A1239" s="122"/>
      <c r="B1239" s="125"/>
      <c r="C1239" s="125"/>
      <c r="D1239" s="132"/>
      <c r="E1239" s="132"/>
    </row>
    <row r="1240" spans="1:5">
      <c r="A1240" s="122"/>
      <c r="B1240" s="125"/>
      <c r="C1240" s="125"/>
      <c r="D1240" s="132"/>
      <c r="E1240" s="132"/>
    </row>
    <row r="1241" spans="1:5">
      <c r="A1241" s="122"/>
      <c r="B1241" s="125"/>
      <c r="C1241" s="125"/>
      <c r="D1241" s="132"/>
      <c r="E1241" s="132"/>
    </row>
    <row r="1242" spans="1:5">
      <c r="A1242" s="122"/>
      <c r="B1242" s="125"/>
      <c r="C1242" s="125"/>
      <c r="D1242" s="132"/>
      <c r="E1242" s="132"/>
    </row>
    <row r="1243" spans="1:5">
      <c r="A1243" s="122"/>
      <c r="B1243" s="125"/>
      <c r="C1243" s="125"/>
      <c r="D1243" s="132"/>
      <c r="E1243" s="132"/>
    </row>
    <row r="1244" spans="1:5">
      <c r="A1244" s="122"/>
      <c r="B1244" s="125"/>
      <c r="C1244" s="125"/>
      <c r="D1244" s="132"/>
      <c r="E1244" s="132"/>
    </row>
    <row r="1245" spans="1:5">
      <c r="A1245" s="122"/>
      <c r="B1245" s="125"/>
      <c r="C1245" s="125"/>
      <c r="D1245" s="132"/>
      <c r="E1245" s="132"/>
    </row>
    <row r="1246" spans="1:5">
      <c r="A1246" s="122"/>
      <c r="B1246" s="125"/>
      <c r="C1246" s="125"/>
      <c r="D1246" s="132"/>
      <c r="E1246" s="132"/>
    </row>
    <row r="1247" spans="1:5">
      <c r="A1247" s="122"/>
      <c r="B1247" s="125"/>
      <c r="C1247" s="125"/>
      <c r="D1247" s="132"/>
      <c r="E1247" s="132"/>
    </row>
    <row r="1248" spans="1:5">
      <c r="A1248" s="122"/>
      <c r="B1248" s="125"/>
      <c r="C1248" s="125"/>
      <c r="D1248" s="132"/>
      <c r="E1248" s="132"/>
    </row>
    <row r="1249" spans="1:5">
      <c r="A1249" s="122"/>
      <c r="B1249" s="125"/>
      <c r="C1249" s="125"/>
      <c r="D1249" s="132"/>
      <c r="E1249" s="132"/>
    </row>
    <row r="1250" spans="1:5">
      <c r="A1250" s="122"/>
      <c r="B1250" s="125"/>
      <c r="C1250" s="125"/>
      <c r="D1250" s="132"/>
      <c r="E1250" s="132"/>
    </row>
    <row r="1251" spans="1:5">
      <c r="A1251" s="122"/>
      <c r="B1251" s="125"/>
      <c r="C1251" s="125"/>
      <c r="D1251" s="132"/>
      <c r="E1251" s="132"/>
    </row>
    <row r="1252" spans="1:5">
      <c r="A1252" s="122"/>
      <c r="B1252" s="125"/>
      <c r="C1252" s="125"/>
      <c r="D1252" s="132"/>
      <c r="E1252" s="132"/>
    </row>
    <row r="1253" spans="1:5">
      <c r="A1253" s="122"/>
      <c r="B1253" s="125"/>
      <c r="C1253" s="125"/>
      <c r="D1253" s="132"/>
      <c r="E1253" s="132"/>
    </row>
    <row r="1254" spans="1:5">
      <c r="A1254" s="122"/>
      <c r="B1254" s="125"/>
      <c r="C1254" s="125"/>
      <c r="D1254" s="132"/>
      <c r="E1254" s="132"/>
    </row>
    <row r="1255" spans="1:5">
      <c r="A1255" s="122"/>
      <c r="B1255" s="125"/>
      <c r="C1255" s="125"/>
      <c r="D1255" s="132"/>
      <c r="E1255" s="132"/>
    </row>
    <row r="1256" spans="1:5">
      <c r="A1256" s="122"/>
      <c r="B1256" s="125"/>
      <c r="C1256" s="125"/>
      <c r="D1256" s="132"/>
      <c r="E1256" s="132"/>
    </row>
    <row r="1257" spans="1:5">
      <c r="A1257" s="122"/>
      <c r="B1257" s="125"/>
      <c r="C1257" s="125"/>
      <c r="D1257" s="132"/>
      <c r="E1257" s="132"/>
    </row>
    <row r="1258" spans="1:5">
      <c r="A1258" s="122"/>
      <c r="B1258" s="125"/>
      <c r="C1258" s="125"/>
      <c r="D1258" s="132"/>
      <c r="E1258" s="132"/>
    </row>
    <row r="1259" spans="1:5">
      <c r="A1259" s="122"/>
      <c r="B1259" s="125"/>
      <c r="C1259" s="125"/>
      <c r="D1259" s="132"/>
      <c r="E1259" s="132"/>
    </row>
    <row r="1260" spans="1:5">
      <c r="A1260" s="122"/>
      <c r="B1260" s="125"/>
      <c r="C1260" s="125"/>
      <c r="D1260" s="132"/>
      <c r="E1260" s="132"/>
    </row>
    <row r="1261" spans="1:5">
      <c r="A1261" s="122"/>
      <c r="B1261" s="125"/>
      <c r="C1261" s="125"/>
      <c r="D1261" s="132"/>
      <c r="E1261" s="132"/>
    </row>
    <row r="1262" spans="1:5">
      <c r="A1262" s="122"/>
      <c r="B1262" s="125"/>
      <c r="C1262" s="125"/>
      <c r="D1262" s="132"/>
      <c r="E1262" s="132"/>
    </row>
    <row r="1263" spans="1:5">
      <c r="A1263" s="122"/>
      <c r="B1263" s="125"/>
      <c r="C1263" s="125"/>
      <c r="D1263" s="132"/>
      <c r="E1263" s="132"/>
    </row>
    <row r="1264" spans="1:5">
      <c r="A1264" s="122"/>
      <c r="B1264" s="125"/>
      <c r="C1264" s="125"/>
      <c r="D1264" s="132"/>
      <c r="E1264" s="132"/>
    </row>
    <row r="1265" spans="1:5">
      <c r="A1265" s="122"/>
      <c r="B1265" s="125"/>
      <c r="C1265" s="125"/>
      <c r="D1265" s="132"/>
      <c r="E1265" s="132"/>
    </row>
    <row r="1266" spans="1:5">
      <c r="A1266" s="122"/>
      <c r="B1266" s="125"/>
      <c r="C1266" s="125"/>
      <c r="D1266" s="132"/>
      <c r="E1266" s="132"/>
    </row>
    <row r="1267" spans="1:5">
      <c r="A1267" s="122"/>
      <c r="B1267" s="125"/>
      <c r="C1267" s="125"/>
      <c r="D1267" s="132"/>
      <c r="E1267" s="132"/>
    </row>
    <row r="1268" spans="1:5">
      <c r="A1268" s="122"/>
      <c r="B1268" s="125"/>
      <c r="C1268" s="125"/>
      <c r="D1268" s="132"/>
      <c r="E1268" s="132"/>
    </row>
    <row r="1269" spans="1:5">
      <c r="A1269" s="122"/>
      <c r="B1269" s="125"/>
      <c r="C1269" s="125"/>
      <c r="D1269" s="132"/>
      <c r="E1269" s="132"/>
    </row>
    <row r="1270" spans="1:5">
      <c r="A1270" s="122"/>
      <c r="B1270" s="125"/>
      <c r="C1270" s="125"/>
      <c r="D1270" s="132"/>
      <c r="E1270" s="132"/>
    </row>
    <row r="1271" spans="1:5">
      <c r="A1271" s="122"/>
      <c r="B1271" s="125"/>
      <c r="C1271" s="125"/>
      <c r="D1271" s="132"/>
      <c r="E1271" s="132"/>
    </row>
    <row r="1272" spans="1:5">
      <c r="A1272" s="122"/>
      <c r="B1272" s="125"/>
      <c r="C1272" s="125"/>
      <c r="D1272" s="132"/>
      <c r="E1272" s="132"/>
    </row>
    <row r="1273" spans="1:5">
      <c r="A1273" s="122"/>
      <c r="B1273" s="125"/>
      <c r="C1273" s="125"/>
      <c r="D1273" s="132"/>
      <c r="E1273" s="132"/>
    </row>
    <row r="1274" spans="1:5">
      <c r="A1274" s="122"/>
      <c r="B1274" s="125"/>
      <c r="C1274" s="125"/>
      <c r="D1274" s="132"/>
      <c r="E1274" s="132"/>
    </row>
    <row r="1275" spans="1:5">
      <c r="A1275" s="122"/>
      <c r="B1275" s="125"/>
      <c r="C1275" s="125"/>
      <c r="D1275" s="132"/>
      <c r="E1275" s="132"/>
    </row>
    <row r="1276" spans="1:5">
      <c r="A1276" s="122"/>
      <c r="B1276" s="125"/>
      <c r="C1276" s="125"/>
      <c r="D1276" s="132"/>
      <c r="E1276" s="132"/>
    </row>
    <row r="1277" spans="1:5">
      <c r="A1277" s="122"/>
      <c r="B1277" s="125"/>
      <c r="C1277" s="125"/>
      <c r="D1277" s="132"/>
      <c r="E1277" s="132"/>
    </row>
    <row r="1278" spans="1:5">
      <c r="A1278" s="122"/>
      <c r="B1278" s="125"/>
      <c r="C1278" s="125"/>
      <c r="D1278" s="132"/>
      <c r="E1278" s="132"/>
    </row>
    <row r="1279" spans="1:5">
      <c r="A1279" s="122"/>
      <c r="B1279" s="125"/>
      <c r="C1279" s="125"/>
      <c r="D1279" s="132"/>
      <c r="E1279" s="132"/>
    </row>
    <row r="1280" spans="1:5">
      <c r="A1280" s="122"/>
      <c r="B1280" s="125"/>
      <c r="C1280" s="125"/>
      <c r="D1280" s="132"/>
      <c r="E1280" s="132"/>
    </row>
    <row r="1281" spans="1:5">
      <c r="A1281" s="122"/>
      <c r="B1281" s="125"/>
      <c r="C1281" s="125"/>
      <c r="D1281" s="132"/>
      <c r="E1281" s="132"/>
    </row>
    <row r="1282" spans="1:5">
      <c r="A1282" s="122"/>
      <c r="B1282" s="125"/>
      <c r="C1282" s="125"/>
      <c r="D1282" s="132"/>
      <c r="E1282" s="132"/>
    </row>
    <row r="1283" spans="1:5">
      <c r="A1283" s="122"/>
      <c r="B1283" s="125"/>
      <c r="C1283" s="125"/>
      <c r="D1283" s="132"/>
      <c r="E1283" s="132"/>
    </row>
    <row r="1284" spans="1:5">
      <c r="A1284" s="122"/>
      <c r="B1284" s="125"/>
      <c r="C1284" s="125"/>
      <c r="D1284" s="132"/>
      <c r="E1284" s="132"/>
    </row>
    <row r="1285" spans="1:5">
      <c r="A1285" s="122"/>
      <c r="B1285" s="125"/>
      <c r="C1285" s="125"/>
      <c r="D1285" s="132"/>
      <c r="E1285" s="132"/>
    </row>
    <row r="1286" spans="1:5">
      <c r="A1286" s="122"/>
      <c r="B1286" s="125"/>
      <c r="C1286" s="125"/>
      <c r="D1286" s="132"/>
      <c r="E1286" s="132"/>
    </row>
    <row r="1287" spans="1:5">
      <c r="A1287" s="122"/>
      <c r="B1287" s="125"/>
      <c r="C1287" s="125"/>
      <c r="D1287" s="132"/>
      <c r="E1287" s="132"/>
    </row>
    <row r="1288" spans="1:5">
      <c r="A1288" s="122"/>
      <c r="B1288" s="125"/>
      <c r="C1288" s="125"/>
      <c r="D1288" s="132"/>
      <c r="E1288" s="132"/>
    </row>
    <row r="1289" spans="1:5">
      <c r="A1289" s="122"/>
      <c r="B1289" s="125"/>
      <c r="C1289" s="125"/>
      <c r="D1289" s="132"/>
      <c r="E1289" s="132"/>
    </row>
    <row r="1290" spans="1:5">
      <c r="A1290" s="122"/>
      <c r="B1290" s="125"/>
      <c r="C1290" s="125"/>
      <c r="D1290" s="132"/>
      <c r="E1290" s="132"/>
    </row>
    <row r="1291" spans="1:5">
      <c r="A1291" s="122"/>
      <c r="B1291" s="125"/>
      <c r="C1291" s="125"/>
      <c r="D1291" s="132"/>
      <c r="E1291" s="132"/>
    </row>
    <row r="1292" spans="1:5">
      <c r="A1292" s="122"/>
      <c r="B1292" s="125"/>
      <c r="C1292" s="125"/>
      <c r="D1292" s="132"/>
      <c r="E1292" s="132"/>
    </row>
    <row r="1293" spans="1:5">
      <c r="A1293" s="122"/>
      <c r="B1293" s="125"/>
      <c r="C1293" s="125"/>
      <c r="D1293" s="132"/>
      <c r="E1293" s="132"/>
    </row>
    <row r="1294" spans="1:5">
      <c r="A1294" s="122"/>
      <c r="B1294" s="125"/>
      <c r="C1294" s="125"/>
      <c r="D1294" s="132"/>
      <c r="E1294" s="132"/>
    </row>
    <row r="1295" spans="1:5">
      <c r="A1295" s="122"/>
      <c r="B1295" s="125"/>
      <c r="C1295" s="125"/>
      <c r="D1295" s="132"/>
      <c r="E1295" s="132"/>
    </row>
    <row r="1296" spans="1:5">
      <c r="A1296" s="122"/>
      <c r="B1296" s="125"/>
      <c r="C1296" s="125"/>
      <c r="D1296" s="132"/>
      <c r="E1296" s="132"/>
    </row>
    <row r="1297" spans="1:5">
      <c r="A1297" s="122"/>
      <c r="B1297" s="125"/>
      <c r="C1297" s="125"/>
      <c r="D1297" s="132"/>
      <c r="E1297" s="132"/>
    </row>
    <row r="1298" spans="1:5">
      <c r="A1298" s="122"/>
      <c r="B1298" s="125"/>
      <c r="C1298" s="125"/>
      <c r="D1298" s="132"/>
      <c r="E1298" s="132"/>
    </row>
    <row r="1299" spans="1:5">
      <c r="A1299" s="122"/>
      <c r="B1299" s="125"/>
      <c r="C1299" s="125"/>
      <c r="D1299" s="132"/>
      <c r="E1299" s="132"/>
    </row>
    <row r="1300" spans="1:5">
      <c r="A1300" s="122"/>
      <c r="B1300" s="125"/>
      <c r="C1300" s="125"/>
      <c r="D1300" s="132"/>
      <c r="E1300" s="132"/>
    </row>
    <row r="1301" spans="1:5">
      <c r="A1301" s="122"/>
      <c r="B1301" s="125"/>
      <c r="C1301" s="125"/>
      <c r="D1301" s="132"/>
      <c r="E1301" s="132"/>
    </row>
    <row r="1302" spans="1:5">
      <c r="A1302" s="122"/>
      <c r="B1302" s="125"/>
      <c r="C1302" s="125"/>
      <c r="D1302" s="132"/>
      <c r="E1302" s="132"/>
    </row>
    <row r="1303" spans="1:5">
      <c r="A1303" s="122"/>
      <c r="B1303" s="125"/>
      <c r="C1303" s="125"/>
      <c r="D1303" s="132"/>
      <c r="E1303" s="132"/>
    </row>
    <row r="1304" spans="1:5">
      <c r="A1304" s="122"/>
      <c r="B1304" s="125"/>
      <c r="C1304" s="125"/>
      <c r="D1304" s="132"/>
      <c r="E1304" s="132"/>
    </row>
    <row r="1305" spans="1:5">
      <c r="A1305" s="122"/>
      <c r="B1305" s="125"/>
      <c r="C1305" s="125"/>
      <c r="D1305" s="132"/>
      <c r="E1305" s="132"/>
    </row>
    <row r="1306" spans="1:5">
      <c r="A1306" s="122"/>
      <c r="B1306" s="125"/>
      <c r="C1306" s="125"/>
      <c r="D1306" s="132"/>
      <c r="E1306" s="132"/>
    </row>
    <row r="1307" spans="1:5">
      <c r="A1307" s="122"/>
      <c r="B1307" s="125"/>
      <c r="C1307" s="125"/>
      <c r="D1307" s="132"/>
      <c r="E1307" s="132"/>
    </row>
    <row r="1308" spans="1:5">
      <c r="A1308" s="122"/>
      <c r="B1308" s="125"/>
      <c r="C1308" s="125"/>
      <c r="D1308" s="132"/>
      <c r="E1308" s="132"/>
    </row>
    <row r="1309" spans="1:5">
      <c r="A1309" s="122"/>
      <c r="B1309" s="125"/>
      <c r="C1309" s="125"/>
      <c r="D1309" s="132"/>
      <c r="E1309" s="132"/>
    </row>
    <row r="1310" spans="1:5">
      <c r="A1310" s="122"/>
      <c r="B1310" s="125"/>
      <c r="C1310" s="125"/>
      <c r="D1310" s="132"/>
      <c r="E1310" s="132"/>
    </row>
    <row r="1311" spans="1:5">
      <c r="A1311" s="122"/>
      <c r="B1311" s="125"/>
      <c r="C1311" s="125"/>
      <c r="D1311" s="132"/>
      <c r="E1311" s="132"/>
    </row>
    <row r="1312" spans="1:5">
      <c r="A1312" s="122"/>
      <c r="B1312" s="125"/>
      <c r="C1312" s="125"/>
      <c r="D1312" s="132"/>
      <c r="E1312" s="132"/>
    </row>
    <row r="1313" spans="1:5">
      <c r="A1313" s="122"/>
      <c r="B1313" s="125"/>
      <c r="C1313" s="125"/>
      <c r="D1313" s="132"/>
      <c r="E1313" s="132"/>
    </row>
    <row r="1314" spans="1:5">
      <c r="A1314" s="122"/>
      <c r="B1314" s="125"/>
      <c r="C1314" s="125"/>
      <c r="D1314" s="132"/>
      <c r="E1314" s="132"/>
    </row>
    <row r="1315" spans="1:5">
      <c r="A1315" s="122"/>
      <c r="B1315" s="125"/>
      <c r="C1315" s="125"/>
      <c r="D1315" s="132"/>
      <c r="E1315" s="132"/>
    </row>
    <row r="1316" spans="1:5">
      <c r="A1316" s="122"/>
      <c r="B1316" s="125"/>
      <c r="C1316" s="125"/>
      <c r="D1316" s="132"/>
      <c r="E1316" s="132"/>
    </row>
    <row r="1317" spans="1:5">
      <c r="A1317" s="122"/>
      <c r="B1317" s="125"/>
      <c r="C1317" s="125"/>
      <c r="D1317" s="132"/>
      <c r="E1317" s="132"/>
    </row>
    <row r="1318" spans="1:5">
      <c r="A1318" s="122"/>
      <c r="B1318" s="125"/>
      <c r="C1318" s="125"/>
      <c r="D1318" s="132"/>
      <c r="E1318" s="132"/>
    </row>
    <row r="1319" spans="1:5">
      <c r="A1319" s="122"/>
      <c r="B1319" s="125"/>
      <c r="C1319" s="125"/>
      <c r="D1319" s="132"/>
      <c r="E1319" s="132"/>
    </row>
    <row r="1320" spans="1:5">
      <c r="A1320" s="122"/>
      <c r="B1320" s="125"/>
      <c r="C1320" s="125"/>
      <c r="D1320" s="132"/>
      <c r="E1320" s="132"/>
    </row>
    <row r="1321" spans="1:5">
      <c r="A1321" s="122"/>
      <c r="B1321" s="125"/>
      <c r="C1321" s="125"/>
      <c r="D1321" s="132"/>
      <c r="E1321" s="132"/>
    </row>
    <row r="1322" spans="1:5">
      <c r="A1322" s="122"/>
      <c r="B1322" s="125"/>
      <c r="C1322" s="125"/>
      <c r="D1322" s="132"/>
      <c r="E1322" s="132"/>
    </row>
    <row r="1323" spans="1:5">
      <c r="A1323" s="122"/>
      <c r="B1323" s="125"/>
      <c r="C1323" s="125"/>
      <c r="D1323" s="132"/>
      <c r="E1323" s="132"/>
    </row>
    <row r="1324" spans="1:5">
      <c r="A1324" s="122"/>
      <c r="B1324" s="125"/>
      <c r="C1324" s="125"/>
      <c r="D1324" s="132"/>
      <c r="E1324" s="132"/>
    </row>
    <row r="1325" spans="1:5">
      <c r="A1325" s="122"/>
      <c r="B1325" s="125"/>
      <c r="C1325" s="125"/>
      <c r="D1325" s="132"/>
      <c r="E1325" s="132"/>
    </row>
    <row r="1326" spans="1:5">
      <c r="A1326" s="122"/>
      <c r="B1326" s="125"/>
      <c r="C1326" s="125"/>
      <c r="D1326" s="132"/>
      <c r="E1326" s="132"/>
    </row>
    <row r="1327" spans="1:5">
      <c r="A1327" s="122"/>
      <c r="B1327" s="125"/>
      <c r="C1327" s="125"/>
      <c r="D1327" s="132"/>
      <c r="E1327" s="132"/>
    </row>
    <row r="1328" spans="1:5">
      <c r="A1328" s="122"/>
      <c r="B1328" s="125"/>
      <c r="C1328" s="125"/>
      <c r="D1328" s="132"/>
      <c r="E1328" s="132"/>
    </row>
    <row r="1329" spans="1:5">
      <c r="A1329" s="122"/>
      <c r="B1329" s="125"/>
      <c r="C1329" s="125"/>
      <c r="D1329" s="132"/>
      <c r="E1329" s="132"/>
    </row>
    <row r="1330" spans="1:5">
      <c r="A1330" s="122"/>
      <c r="B1330" s="125"/>
      <c r="C1330" s="125"/>
      <c r="D1330" s="132"/>
      <c r="E1330" s="132"/>
    </row>
    <row r="1331" spans="1:5">
      <c r="A1331" s="122"/>
      <c r="B1331" s="125"/>
      <c r="C1331" s="125"/>
      <c r="D1331" s="132"/>
      <c r="E1331" s="132"/>
    </row>
    <row r="1332" spans="1:5">
      <c r="A1332" s="122"/>
      <c r="B1332" s="125"/>
      <c r="C1332" s="125"/>
      <c r="D1332" s="132"/>
      <c r="E1332" s="132"/>
    </row>
    <row r="1333" spans="1:5">
      <c r="A1333" s="122"/>
      <c r="B1333" s="125"/>
      <c r="C1333" s="125"/>
      <c r="D1333" s="132"/>
      <c r="E1333" s="132"/>
    </row>
    <row r="1334" spans="1:5">
      <c r="A1334" s="122"/>
      <c r="B1334" s="125"/>
      <c r="C1334" s="125"/>
      <c r="D1334" s="132"/>
      <c r="E1334" s="132"/>
    </row>
    <row r="1335" spans="1:5">
      <c r="A1335" s="122"/>
      <c r="B1335" s="125"/>
      <c r="C1335" s="125"/>
      <c r="D1335" s="132"/>
      <c r="E1335" s="132"/>
    </row>
    <row r="1336" spans="1:5">
      <c r="A1336" s="122"/>
      <c r="B1336" s="125"/>
      <c r="C1336" s="125"/>
      <c r="D1336" s="132"/>
      <c r="E1336" s="132"/>
    </row>
    <row r="1337" spans="1:5">
      <c r="A1337" s="122"/>
      <c r="B1337" s="125"/>
      <c r="C1337" s="125"/>
      <c r="D1337" s="132"/>
      <c r="E1337" s="132"/>
    </row>
    <row r="1338" spans="1:5">
      <c r="A1338" s="122"/>
      <c r="B1338" s="125"/>
      <c r="C1338" s="125"/>
      <c r="D1338" s="132"/>
      <c r="E1338" s="132"/>
    </row>
    <row r="1339" spans="1:5">
      <c r="A1339" s="122"/>
      <c r="B1339" s="125"/>
      <c r="C1339" s="125"/>
      <c r="D1339" s="132"/>
      <c r="E1339" s="132"/>
    </row>
    <row r="1340" spans="1:5">
      <c r="A1340" s="122"/>
      <c r="B1340" s="125"/>
      <c r="C1340" s="125"/>
      <c r="D1340" s="132"/>
      <c r="E1340" s="132"/>
    </row>
    <row r="1341" spans="1:5">
      <c r="A1341" s="122"/>
      <c r="B1341" s="125"/>
      <c r="C1341" s="125"/>
      <c r="D1341" s="132"/>
      <c r="E1341" s="132"/>
    </row>
    <row r="1342" spans="1:5">
      <c r="A1342" s="122"/>
      <c r="B1342" s="125"/>
      <c r="C1342" s="125"/>
      <c r="D1342" s="132"/>
      <c r="E1342" s="132"/>
    </row>
    <row r="1343" spans="1:5">
      <c r="A1343" s="122"/>
      <c r="B1343" s="125"/>
      <c r="C1343" s="125"/>
      <c r="D1343" s="132"/>
      <c r="E1343" s="132"/>
    </row>
    <row r="1344" spans="1:5">
      <c r="A1344" s="122"/>
      <c r="B1344" s="125"/>
      <c r="C1344" s="125"/>
      <c r="D1344" s="132"/>
      <c r="E1344" s="132"/>
    </row>
    <row r="1345" spans="1:5">
      <c r="A1345" s="122"/>
      <c r="B1345" s="125"/>
      <c r="C1345" s="125"/>
      <c r="D1345" s="132"/>
      <c r="E1345" s="132"/>
    </row>
    <row r="1346" spans="1:5">
      <c r="A1346" s="122"/>
      <c r="B1346" s="125"/>
      <c r="C1346" s="125"/>
      <c r="D1346" s="132"/>
      <c r="E1346" s="132"/>
    </row>
    <row r="1347" spans="1:5">
      <c r="A1347" s="122"/>
      <c r="B1347" s="125"/>
      <c r="C1347" s="125"/>
      <c r="D1347" s="132"/>
      <c r="E1347" s="132"/>
    </row>
    <row r="1348" spans="1:5">
      <c r="A1348" s="122"/>
      <c r="B1348" s="125"/>
      <c r="C1348" s="125"/>
      <c r="D1348" s="132"/>
      <c r="E1348" s="132"/>
    </row>
    <row r="1349" spans="1:5">
      <c r="A1349" s="122"/>
      <c r="B1349" s="125"/>
      <c r="C1349" s="125"/>
      <c r="D1349" s="132"/>
      <c r="E1349" s="132"/>
    </row>
    <row r="1350" spans="1:5">
      <c r="A1350" s="122"/>
      <c r="B1350" s="125"/>
      <c r="C1350" s="125"/>
      <c r="D1350" s="132"/>
      <c r="E1350" s="132"/>
    </row>
    <row r="1351" spans="1:5">
      <c r="A1351" s="122"/>
      <c r="B1351" s="125"/>
      <c r="C1351" s="125"/>
      <c r="D1351" s="132"/>
      <c r="E1351" s="132"/>
    </row>
    <row r="1352" spans="1:5">
      <c r="A1352" s="122"/>
      <c r="B1352" s="125"/>
      <c r="C1352" s="125"/>
      <c r="D1352" s="132"/>
      <c r="E1352" s="132"/>
    </row>
    <row r="1353" spans="1:5">
      <c r="A1353" s="122"/>
      <c r="B1353" s="125"/>
      <c r="C1353" s="125"/>
      <c r="D1353" s="132"/>
      <c r="E1353" s="132"/>
    </row>
    <row r="1354" spans="1:5">
      <c r="A1354" s="122"/>
      <c r="B1354" s="125"/>
      <c r="C1354" s="125"/>
      <c r="D1354" s="132"/>
      <c r="E1354" s="132"/>
    </row>
    <row r="1355" spans="1:5">
      <c r="A1355" s="122"/>
      <c r="B1355" s="125"/>
      <c r="C1355" s="125"/>
      <c r="D1355" s="132"/>
      <c r="E1355" s="132"/>
    </row>
    <row r="1356" spans="1:5">
      <c r="A1356" s="122"/>
      <c r="B1356" s="125"/>
      <c r="C1356" s="125"/>
      <c r="D1356" s="132"/>
      <c r="E1356" s="132"/>
    </row>
    <row r="1357" spans="1:5">
      <c r="A1357" s="122"/>
      <c r="B1357" s="125"/>
      <c r="C1357" s="125"/>
      <c r="D1357" s="132"/>
      <c r="E1357" s="132"/>
    </row>
    <row r="1358" spans="1:5">
      <c r="A1358" s="122"/>
      <c r="B1358" s="125"/>
      <c r="C1358" s="125"/>
      <c r="D1358" s="132"/>
      <c r="E1358" s="132"/>
    </row>
    <row r="1359" spans="1:5">
      <c r="A1359" s="122"/>
      <c r="B1359" s="125"/>
      <c r="C1359" s="125"/>
      <c r="D1359" s="132"/>
      <c r="E1359" s="132"/>
    </row>
    <row r="1360" spans="1:5">
      <c r="A1360" s="122"/>
      <c r="B1360" s="125"/>
      <c r="C1360" s="125"/>
      <c r="D1360" s="132"/>
      <c r="E1360" s="132"/>
    </row>
    <row r="1361" spans="1:5">
      <c r="A1361" s="122"/>
      <c r="B1361" s="125"/>
      <c r="C1361" s="125"/>
      <c r="D1361" s="132"/>
      <c r="E1361" s="132"/>
    </row>
    <row r="1362" spans="1:5">
      <c r="A1362" s="122"/>
      <c r="B1362" s="125"/>
      <c r="C1362" s="125"/>
      <c r="D1362" s="132"/>
      <c r="E1362" s="132"/>
    </row>
    <row r="1363" spans="1:5">
      <c r="A1363" s="122"/>
      <c r="B1363" s="125"/>
      <c r="C1363" s="125"/>
      <c r="D1363" s="132"/>
      <c r="E1363" s="132"/>
    </row>
    <row r="1364" spans="1:5">
      <c r="A1364" s="122"/>
      <c r="B1364" s="125"/>
      <c r="C1364" s="125"/>
      <c r="D1364" s="132"/>
      <c r="E1364" s="132"/>
    </row>
    <row r="1365" spans="1:5">
      <c r="A1365" s="122"/>
      <c r="B1365" s="125"/>
      <c r="C1365" s="125"/>
      <c r="D1365" s="132"/>
      <c r="E1365" s="132"/>
    </row>
    <row r="1366" spans="1:5">
      <c r="A1366" s="122"/>
      <c r="B1366" s="125"/>
      <c r="C1366" s="125"/>
      <c r="D1366" s="132"/>
      <c r="E1366" s="132"/>
    </row>
    <row r="1367" spans="1:5">
      <c r="A1367" s="122"/>
      <c r="B1367" s="125"/>
      <c r="C1367" s="125"/>
      <c r="D1367" s="132"/>
      <c r="E1367" s="132"/>
    </row>
    <row r="1368" spans="1:5">
      <c r="A1368" s="122"/>
      <c r="B1368" s="125"/>
      <c r="C1368" s="125"/>
      <c r="D1368" s="132"/>
      <c r="E1368" s="132"/>
    </row>
    <row r="1369" spans="1:5">
      <c r="A1369" s="122"/>
      <c r="B1369" s="125"/>
      <c r="C1369" s="125"/>
      <c r="D1369" s="132"/>
      <c r="E1369" s="132"/>
    </row>
    <row r="1370" spans="1:5">
      <c r="A1370" s="122"/>
      <c r="B1370" s="125"/>
      <c r="C1370" s="125"/>
      <c r="D1370" s="132"/>
      <c r="E1370" s="132"/>
    </row>
    <row r="1371" spans="1:5">
      <c r="A1371" s="122"/>
      <c r="B1371" s="125"/>
      <c r="C1371" s="125"/>
      <c r="D1371" s="132"/>
      <c r="E1371" s="132"/>
    </row>
    <row r="1372" spans="1:5">
      <c r="A1372" s="122"/>
      <c r="B1372" s="125"/>
      <c r="C1372" s="125"/>
      <c r="D1372" s="132"/>
      <c r="E1372" s="132"/>
    </row>
    <row r="1373" spans="1:5">
      <c r="A1373" s="122"/>
      <c r="B1373" s="125"/>
      <c r="C1373" s="125"/>
      <c r="D1373" s="132"/>
      <c r="E1373" s="132"/>
    </row>
    <row r="1374" spans="1:5">
      <c r="A1374" s="122"/>
      <c r="B1374" s="125"/>
      <c r="C1374" s="125"/>
      <c r="D1374" s="132"/>
      <c r="E1374" s="132"/>
    </row>
    <row r="1375" spans="1:5">
      <c r="A1375" s="122"/>
      <c r="B1375" s="125"/>
      <c r="C1375" s="125"/>
      <c r="D1375" s="132"/>
      <c r="E1375" s="132"/>
    </row>
    <row r="1376" spans="1:5">
      <c r="A1376" s="122"/>
      <c r="B1376" s="125"/>
      <c r="C1376" s="125"/>
      <c r="D1376" s="132"/>
      <c r="E1376" s="132"/>
    </row>
    <row r="1377" spans="1:5">
      <c r="A1377" s="122"/>
      <c r="B1377" s="125"/>
      <c r="C1377" s="125"/>
      <c r="D1377" s="132"/>
      <c r="E1377" s="132"/>
    </row>
    <row r="1378" spans="1:5">
      <c r="A1378" s="122"/>
      <c r="B1378" s="125"/>
      <c r="C1378" s="125"/>
      <c r="D1378" s="132"/>
      <c r="E1378" s="132"/>
    </row>
    <row r="1379" spans="1:5">
      <c r="A1379" s="122"/>
      <c r="B1379" s="125"/>
      <c r="C1379" s="125"/>
      <c r="D1379" s="132"/>
      <c r="E1379" s="132"/>
    </row>
    <row r="1380" spans="1:5">
      <c r="A1380" s="122"/>
      <c r="B1380" s="125"/>
      <c r="C1380" s="125"/>
      <c r="D1380" s="132"/>
      <c r="E1380" s="132"/>
    </row>
    <row r="1381" spans="1:5">
      <c r="A1381" s="122"/>
      <c r="B1381" s="125"/>
      <c r="C1381" s="125"/>
      <c r="D1381" s="132"/>
      <c r="E1381" s="132"/>
    </row>
    <row r="1382" spans="1:5">
      <c r="A1382" s="122"/>
      <c r="B1382" s="125"/>
      <c r="C1382" s="125"/>
      <c r="D1382" s="132"/>
      <c r="E1382" s="132"/>
    </row>
    <row r="1383" spans="1:5">
      <c r="A1383" s="122"/>
      <c r="B1383" s="125"/>
      <c r="C1383" s="125"/>
      <c r="D1383" s="132"/>
      <c r="E1383" s="132"/>
    </row>
    <row r="1384" spans="1:5">
      <c r="A1384" s="122"/>
      <c r="B1384" s="125"/>
      <c r="C1384" s="125"/>
      <c r="D1384" s="132"/>
      <c r="E1384" s="132"/>
    </row>
    <row r="1385" spans="1:5">
      <c r="A1385" s="122"/>
      <c r="B1385" s="125"/>
      <c r="C1385" s="125"/>
      <c r="D1385" s="132"/>
      <c r="E1385" s="132"/>
    </row>
    <row r="1386" spans="1:5">
      <c r="A1386" s="122"/>
      <c r="B1386" s="125"/>
      <c r="C1386" s="125"/>
      <c r="D1386" s="132"/>
      <c r="E1386" s="132"/>
    </row>
    <row r="1387" spans="1:5">
      <c r="A1387" s="122"/>
      <c r="B1387" s="125"/>
      <c r="C1387" s="125"/>
      <c r="D1387" s="132"/>
      <c r="E1387" s="132"/>
    </row>
    <row r="1388" spans="1:5">
      <c r="A1388" s="122"/>
      <c r="B1388" s="125"/>
      <c r="C1388" s="125"/>
      <c r="D1388" s="132"/>
      <c r="E1388" s="132"/>
    </row>
    <row r="1389" spans="1:5">
      <c r="A1389" s="122"/>
      <c r="B1389" s="125"/>
      <c r="C1389" s="125"/>
      <c r="D1389" s="132"/>
      <c r="E1389" s="132"/>
    </row>
    <row r="1390" spans="1:5">
      <c r="A1390" s="122"/>
      <c r="B1390" s="125"/>
      <c r="C1390" s="125"/>
      <c r="D1390" s="132"/>
      <c r="E1390" s="132"/>
    </row>
    <row r="1391" spans="1:5">
      <c r="A1391" s="122"/>
      <c r="B1391" s="125"/>
      <c r="C1391" s="125"/>
      <c r="D1391" s="132"/>
      <c r="E1391" s="132"/>
    </row>
    <row r="1392" spans="1:5">
      <c r="A1392" s="122"/>
      <c r="B1392" s="125"/>
      <c r="C1392" s="125"/>
      <c r="D1392" s="132"/>
      <c r="E1392" s="132"/>
    </row>
    <row r="1393" spans="1:5">
      <c r="A1393" s="122"/>
      <c r="B1393" s="125"/>
      <c r="C1393" s="125"/>
      <c r="D1393" s="132"/>
      <c r="E1393" s="132"/>
    </row>
    <row r="1394" spans="1:5">
      <c r="A1394" s="122"/>
      <c r="B1394" s="125"/>
      <c r="C1394" s="125"/>
      <c r="D1394" s="132"/>
      <c r="E1394" s="132"/>
    </row>
    <row r="1395" spans="1:5">
      <c r="A1395" s="122"/>
      <c r="B1395" s="125"/>
      <c r="C1395" s="125"/>
      <c r="D1395" s="132"/>
      <c r="E1395" s="132"/>
    </row>
    <row r="1396" spans="1:5">
      <c r="A1396" s="122"/>
      <c r="B1396" s="125"/>
      <c r="C1396" s="125"/>
      <c r="D1396" s="132"/>
      <c r="E1396" s="132"/>
    </row>
    <row r="1397" spans="1:5">
      <c r="A1397" s="122"/>
      <c r="B1397" s="125"/>
      <c r="C1397" s="125"/>
      <c r="D1397" s="132"/>
      <c r="E1397" s="132"/>
    </row>
    <row r="1398" spans="1:5">
      <c r="A1398" s="122"/>
      <c r="B1398" s="125"/>
      <c r="C1398" s="125"/>
      <c r="D1398" s="132"/>
      <c r="E1398" s="132"/>
    </row>
    <row r="1399" spans="1:5">
      <c r="A1399" s="122"/>
      <c r="B1399" s="125"/>
      <c r="C1399" s="125"/>
      <c r="D1399" s="132"/>
      <c r="E1399" s="132"/>
    </row>
    <row r="1400" spans="1:5">
      <c r="A1400" s="122"/>
      <c r="B1400" s="125"/>
      <c r="C1400" s="125"/>
      <c r="D1400" s="132"/>
      <c r="E1400" s="132"/>
    </row>
    <row r="1401" spans="1:5">
      <c r="A1401" s="122"/>
      <c r="B1401" s="125"/>
      <c r="C1401" s="125"/>
      <c r="D1401" s="132"/>
      <c r="E1401" s="132"/>
    </row>
    <row r="1402" spans="1:5">
      <c r="A1402" s="122"/>
      <c r="B1402" s="125"/>
      <c r="C1402" s="125"/>
      <c r="D1402" s="132"/>
      <c r="E1402" s="132"/>
    </row>
    <row r="1403" spans="1:5">
      <c r="A1403" s="122"/>
      <c r="B1403" s="125"/>
      <c r="C1403" s="125"/>
      <c r="D1403" s="132"/>
      <c r="E1403" s="132"/>
    </row>
    <row r="1404" spans="1:5">
      <c r="A1404" s="122"/>
      <c r="B1404" s="125"/>
      <c r="C1404" s="125"/>
      <c r="D1404" s="132"/>
      <c r="E1404" s="132"/>
    </row>
    <row r="1405" spans="1:5">
      <c r="A1405" s="122"/>
      <c r="B1405" s="125"/>
      <c r="C1405" s="125"/>
      <c r="D1405" s="132"/>
      <c r="E1405" s="132"/>
    </row>
    <row r="1406" spans="1:5">
      <c r="A1406" s="122"/>
      <c r="B1406" s="125"/>
      <c r="C1406" s="125"/>
      <c r="D1406" s="132"/>
      <c r="E1406" s="132"/>
    </row>
    <row r="1407" spans="1:5">
      <c r="A1407" s="122"/>
      <c r="B1407" s="125"/>
      <c r="C1407" s="125"/>
      <c r="D1407" s="132"/>
      <c r="E1407" s="132"/>
    </row>
    <row r="1408" spans="1:5">
      <c r="A1408" s="122"/>
      <c r="B1408" s="125"/>
      <c r="C1408" s="125"/>
      <c r="D1408" s="132"/>
      <c r="E1408" s="132"/>
    </row>
    <row r="1409" spans="1:5">
      <c r="A1409" s="122"/>
      <c r="B1409" s="125"/>
      <c r="C1409" s="125"/>
      <c r="D1409" s="132"/>
      <c r="E1409" s="132"/>
    </row>
    <row r="1410" spans="1:5">
      <c r="A1410" s="122"/>
      <c r="B1410" s="125"/>
      <c r="C1410" s="125"/>
      <c r="D1410" s="132"/>
      <c r="E1410" s="132"/>
    </row>
    <row r="1411" spans="1:5">
      <c r="A1411" s="122"/>
      <c r="B1411" s="125"/>
      <c r="C1411" s="125"/>
      <c r="D1411" s="132"/>
      <c r="E1411" s="132"/>
    </row>
    <row r="1412" spans="1:5">
      <c r="A1412" s="122"/>
      <c r="B1412" s="125"/>
      <c r="C1412" s="125"/>
      <c r="D1412" s="132"/>
      <c r="E1412" s="132"/>
    </row>
    <row r="1413" spans="1:5">
      <c r="A1413" s="122"/>
      <c r="B1413" s="125"/>
      <c r="C1413" s="125"/>
      <c r="D1413" s="132"/>
      <c r="E1413" s="132"/>
    </row>
    <row r="1414" spans="1:5">
      <c r="A1414" s="122"/>
      <c r="B1414" s="125"/>
      <c r="C1414" s="125"/>
      <c r="D1414" s="132"/>
      <c r="E1414" s="132"/>
    </row>
    <row r="1415" spans="1:5">
      <c r="A1415" s="122"/>
      <c r="B1415" s="125"/>
      <c r="C1415" s="125"/>
      <c r="D1415" s="132"/>
      <c r="E1415" s="132"/>
    </row>
    <row r="1416" spans="1:5">
      <c r="A1416" s="122"/>
      <c r="B1416" s="125"/>
      <c r="C1416" s="125"/>
      <c r="D1416" s="132"/>
      <c r="E1416" s="132"/>
    </row>
    <row r="1417" spans="1:5">
      <c r="A1417" s="122"/>
      <c r="B1417" s="125"/>
      <c r="C1417" s="125"/>
      <c r="D1417" s="132"/>
      <c r="E1417" s="132"/>
    </row>
    <row r="1418" spans="1:5">
      <c r="A1418" s="122"/>
      <c r="B1418" s="125"/>
      <c r="C1418" s="125"/>
      <c r="D1418" s="132"/>
      <c r="E1418" s="132"/>
    </row>
    <row r="1419" spans="1:5">
      <c r="A1419" s="122"/>
      <c r="B1419" s="125"/>
      <c r="C1419" s="125"/>
      <c r="D1419" s="132"/>
      <c r="E1419" s="132"/>
    </row>
    <row r="1420" spans="1:5">
      <c r="A1420" s="122"/>
      <c r="B1420" s="125"/>
      <c r="C1420" s="125"/>
      <c r="D1420" s="132"/>
      <c r="E1420" s="132"/>
    </row>
    <row r="1421" spans="1:5">
      <c r="A1421" s="122"/>
      <c r="B1421" s="125"/>
      <c r="C1421" s="125"/>
      <c r="D1421" s="132"/>
      <c r="E1421" s="132"/>
    </row>
    <row r="1422" spans="1:5">
      <c r="A1422" s="122"/>
      <c r="B1422" s="125"/>
      <c r="C1422" s="125"/>
      <c r="D1422" s="132"/>
      <c r="E1422" s="132"/>
    </row>
    <row r="1423" spans="1:5">
      <c r="A1423" s="122"/>
      <c r="B1423" s="125"/>
      <c r="C1423" s="125"/>
      <c r="D1423" s="132"/>
      <c r="E1423" s="132"/>
    </row>
    <row r="1424" spans="1:5">
      <c r="A1424" s="122"/>
      <c r="B1424" s="125"/>
      <c r="C1424" s="125"/>
      <c r="D1424" s="132"/>
      <c r="E1424" s="132"/>
    </row>
    <row r="1425" spans="1:5">
      <c r="A1425" s="122"/>
      <c r="B1425" s="125"/>
      <c r="C1425" s="125"/>
      <c r="D1425" s="132"/>
      <c r="E1425" s="132"/>
    </row>
    <row r="1426" spans="1:5">
      <c r="A1426" s="122"/>
      <c r="B1426" s="125"/>
      <c r="C1426" s="125"/>
      <c r="D1426" s="132"/>
      <c r="E1426" s="132"/>
    </row>
    <row r="1427" spans="1:5">
      <c r="A1427" s="122"/>
      <c r="B1427" s="125"/>
      <c r="C1427" s="125"/>
      <c r="D1427" s="132"/>
      <c r="E1427" s="132"/>
    </row>
    <row r="1428" spans="1:5">
      <c r="A1428" s="122"/>
      <c r="B1428" s="125"/>
      <c r="C1428" s="125"/>
      <c r="D1428" s="132"/>
      <c r="E1428" s="132"/>
    </row>
    <row r="1429" spans="1:5">
      <c r="A1429" s="122"/>
      <c r="B1429" s="125"/>
      <c r="C1429" s="125"/>
      <c r="D1429" s="132"/>
      <c r="E1429" s="132"/>
    </row>
    <row r="1430" spans="1:5">
      <c r="A1430" s="122"/>
      <c r="B1430" s="125"/>
      <c r="C1430" s="125"/>
      <c r="D1430" s="132"/>
      <c r="E1430" s="132"/>
    </row>
    <row r="1431" spans="1:5">
      <c r="A1431" s="122"/>
      <c r="B1431" s="125"/>
      <c r="C1431" s="125"/>
      <c r="D1431" s="132"/>
      <c r="E1431" s="132"/>
    </row>
    <row r="1432" spans="1:5">
      <c r="A1432" s="122"/>
      <c r="B1432" s="125"/>
      <c r="C1432" s="125"/>
      <c r="D1432" s="132"/>
      <c r="E1432" s="132"/>
    </row>
    <row r="1433" spans="1:5">
      <c r="A1433" s="122"/>
      <c r="B1433" s="125"/>
      <c r="C1433" s="125"/>
      <c r="D1433" s="132"/>
      <c r="E1433" s="132"/>
    </row>
    <row r="1434" spans="1:5">
      <c r="A1434" s="122"/>
      <c r="B1434" s="125"/>
      <c r="C1434" s="125"/>
      <c r="D1434" s="132"/>
      <c r="E1434" s="132"/>
    </row>
    <row r="1435" spans="1:5">
      <c r="A1435" s="122"/>
      <c r="B1435" s="125"/>
      <c r="C1435" s="125"/>
      <c r="D1435" s="132"/>
      <c r="E1435" s="132"/>
    </row>
    <row r="1436" spans="1:5">
      <c r="A1436" s="122"/>
      <c r="B1436" s="125"/>
      <c r="C1436" s="125"/>
      <c r="D1436" s="132"/>
      <c r="E1436" s="132"/>
    </row>
    <row r="1437" spans="1:5">
      <c r="A1437" s="122"/>
      <c r="B1437" s="125"/>
      <c r="C1437" s="125"/>
      <c r="D1437" s="132"/>
      <c r="E1437" s="132"/>
    </row>
    <row r="1438" spans="1:5">
      <c r="A1438" s="122"/>
      <c r="B1438" s="125"/>
      <c r="C1438" s="125"/>
      <c r="D1438" s="132"/>
      <c r="E1438" s="132"/>
    </row>
    <row r="1439" spans="1:5">
      <c r="A1439" s="122"/>
      <c r="B1439" s="125"/>
      <c r="C1439" s="125"/>
      <c r="D1439" s="132"/>
      <c r="E1439" s="132"/>
    </row>
    <row r="1440" spans="1:5">
      <c r="A1440" s="122"/>
      <c r="B1440" s="125"/>
      <c r="C1440" s="125"/>
      <c r="D1440" s="132"/>
      <c r="E1440" s="132"/>
    </row>
    <row r="1441" spans="1:5">
      <c r="A1441" s="122"/>
      <c r="B1441" s="125"/>
      <c r="C1441" s="125"/>
      <c r="D1441" s="132"/>
      <c r="E1441" s="132"/>
    </row>
    <row r="1442" spans="1:5">
      <c r="A1442" s="122"/>
      <c r="B1442" s="125"/>
      <c r="C1442" s="125"/>
      <c r="D1442" s="132"/>
      <c r="E1442" s="132"/>
    </row>
    <row r="1443" spans="1:5">
      <c r="A1443" s="122"/>
      <c r="B1443" s="125"/>
      <c r="C1443" s="125"/>
      <c r="D1443" s="132"/>
      <c r="E1443" s="132"/>
    </row>
    <row r="1444" spans="1:5">
      <c r="A1444" s="122"/>
      <c r="B1444" s="125"/>
      <c r="C1444" s="125"/>
      <c r="D1444" s="132"/>
      <c r="E1444" s="132"/>
    </row>
    <row r="1445" spans="1:5">
      <c r="A1445" s="122"/>
      <c r="B1445" s="125"/>
      <c r="C1445" s="125"/>
      <c r="D1445" s="132"/>
      <c r="E1445" s="132"/>
    </row>
    <row r="1446" spans="1:5">
      <c r="A1446" s="122"/>
      <c r="B1446" s="125"/>
      <c r="C1446" s="125"/>
      <c r="D1446" s="132"/>
      <c r="E1446" s="132"/>
    </row>
    <row r="1447" spans="1:5">
      <c r="A1447" s="122"/>
      <c r="B1447" s="125"/>
      <c r="C1447" s="125"/>
      <c r="D1447" s="132"/>
      <c r="E1447" s="132"/>
    </row>
    <row r="1448" spans="1:5">
      <c r="A1448" s="122"/>
      <c r="B1448" s="125"/>
      <c r="C1448" s="125"/>
      <c r="D1448" s="132"/>
      <c r="E1448" s="132"/>
    </row>
    <row r="1449" spans="1:5">
      <c r="A1449" s="122"/>
      <c r="B1449" s="125"/>
      <c r="C1449" s="125"/>
      <c r="D1449" s="132"/>
      <c r="E1449" s="132"/>
    </row>
    <row r="1450" spans="1:5">
      <c r="A1450" s="122"/>
      <c r="B1450" s="125"/>
      <c r="C1450" s="125"/>
      <c r="D1450" s="132"/>
      <c r="E1450" s="132"/>
    </row>
    <row r="1451" spans="1:5">
      <c r="A1451" s="122"/>
      <c r="B1451" s="125"/>
      <c r="C1451" s="125"/>
      <c r="D1451" s="132"/>
      <c r="E1451" s="132"/>
    </row>
    <row r="1452" spans="1:5">
      <c r="A1452" s="122"/>
      <c r="B1452" s="125"/>
      <c r="C1452" s="125"/>
      <c r="D1452" s="132"/>
      <c r="E1452" s="132"/>
    </row>
    <row r="1453" spans="1:5">
      <c r="A1453" s="122"/>
      <c r="B1453" s="125"/>
      <c r="C1453" s="125"/>
      <c r="D1453" s="132"/>
      <c r="E1453" s="132"/>
    </row>
    <row r="1454" spans="1:5">
      <c r="A1454" s="122"/>
      <c r="B1454" s="125"/>
      <c r="C1454" s="125"/>
      <c r="D1454" s="132"/>
      <c r="E1454" s="132"/>
    </row>
    <row r="1455" spans="1:5">
      <c r="A1455" s="122"/>
      <c r="B1455" s="125"/>
      <c r="C1455" s="125"/>
      <c r="D1455" s="132"/>
      <c r="E1455" s="132"/>
    </row>
    <row r="1456" spans="1:5">
      <c r="A1456" s="122"/>
      <c r="B1456" s="125"/>
      <c r="C1456" s="125"/>
      <c r="D1456" s="132"/>
      <c r="E1456" s="132"/>
    </row>
    <row r="1457" spans="1:5">
      <c r="A1457" s="122"/>
      <c r="B1457" s="125"/>
      <c r="C1457" s="125"/>
      <c r="D1457" s="132"/>
      <c r="E1457" s="132"/>
    </row>
    <row r="1458" spans="1:5">
      <c r="A1458" s="122"/>
      <c r="B1458" s="125"/>
      <c r="C1458" s="125"/>
      <c r="D1458" s="132"/>
      <c r="E1458" s="132"/>
    </row>
    <row r="1459" spans="1:5">
      <c r="A1459" s="122"/>
      <c r="B1459" s="125"/>
      <c r="C1459" s="125"/>
      <c r="D1459" s="132"/>
      <c r="E1459" s="132"/>
    </row>
    <row r="1460" spans="1:5">
      <c r="A1460" s="122"/>
      <c r="B1460" s="125"/>
      <c r="C1460" s="125"/>
      <c r="D1460" s="132"/>
      <c r="E1460" s="132"/>
    </row>
    <row r="1461" spans="1:5">
      <c r="A1461" s="122"/>
      <c r="B1461" s="125"/>
      <c r="C1461" s="125"/>
      <c r="D1461" s="132"/>
      <c r="E1461" s="132"/>
    </row>
    <row r="1462" spans="1:5">
      <c r="A1462" s="122"/>
      <c r="B1462" s="125"/>
      <c r="C1462" s="125"/>
      <c r="D1462" s="132"/>
      <c r="E1462" s="132"/>
    </row>
    <row r="1463" spans="1:5">
      <c r="A1463" s="122"/>
      <c r="B1463" s="125"/>
      <c r="C1463" s="125"/>
      <c r="D1463" s="132"/>
      <c r="E1463" s="132"/>
    </row>
    <row r="1464" spans="1:5">
      <c r="A1464" s="122"/>
      <c r="B1464" s="125"/>
      <c r="C1464" s="125"/>
      <c r="D1464" s="132"/>
      <c r="E1464" s="132"/>
    </row>
    <row r="1465" spans="1:5">
      <c r="A1465" s="122"/>
      <c r="B1465" s="125"/>
      <c r="C1465" s="125"/>
      <c r="D1465" s="132"/>
      <c r="E1465" s="132"/>
    </row>
    <row r="1466" spans="1:5">
      <c r="A1466" s="122"/>
      <c r="B1466" s="125"/>
      <c r="C1466" s="125"/>
      <c r="D1466" s="132"/>
      <c r="E1466" s="132"/>
    </row>
    <row r="1467" spans="1:5">
      <c r="A1467" s="122"/>
      <c r="B1467" s="125"/>
      <c r="C1467" s="125"/>
      <c r="D1467" s="132"/>
      <c r="E1467" s="132"/>
    </row>
    <row r="1468" spans="1:5">
      <c r="A1468" s="122"/>
      <c r="B1468" s="125"/>
      <c r="C1468" s="125"/>
      <c r="D1468" s="132"/>
      <c r="E1468" s="132"/>
    </row>
    <row r="1469" spans="1:5">
      <c r="A1469" s="122"/>
      <c r="B1469" s="125"/>
      <c r="C1469" s="125"/>
      <c r="D1469" s="132"/>
      <c r="E1469" s="132"/>
    </row>
    <row r="1470" spans="1:5">
      <c r="A1470" s="122"/>
      <c r="B1470" s="125"/>
      <c r="C1470" s="125"/>
      <c r="D1470" s="132"/>
      <c r="E1470" s="132"/>
    </row>
    <row r="1471" spans="1:5">
      <c r="A1471" s="122"/>
      <c r="B1471" s="125"/>
      <c r="C1471" s="125"/>
      <c r="D1471" s="132"/>
      <c r="E1471" s="132"/>
    </row>
    <row r="1472" spans="1:5">
      <c r="A1472" s="122"/>
      <c r="B1472" s="125"/>
      <c r="C1472" s="125"/>
      <c r="D1472" s="132"/>
      <c r="E1472" s="132"/>
    </row>
    <row r="1473" spans="1:5">
      <c r="A1473" s="122"/>
      <c r="B1473" s="125"/>
      <c r="C1473" s="125"/>
      <c r="D1473" s="132"/>
      <c r="E1473" s="132"/>
    </row>
    <row r="1474" spans="1:5">
      <c r="A1474" s="122"/>
      <c r="B1474" s="125"/>
      <c r="C1474" s="125"/>
      <c r="D1474" s="132"/>
      <c r="E1474" s="132"/>
    </row>
    <row r="1475" spans="1:5">
      <c r="A1475" s="122"/>
      <c r="B1475" s="125"/>
      <c r="C1475" s="125"/>
      <c r="D1475" s="132"/>
      <c r="E1475" s="132"/>
    </row>
    <row r="1476" spans="1:5">
      <c r="A1476" s="122"/>
      <c r="B1476" s="125"/>
      <c r="C1476" s="125"/>
      <c r="D1476" s="132"/>
      <c r="E1476" s="132"/>
    </row>
    <row r="1477" spans="1:5">
      <c r="A1477" s="122"/>
      <c r="B1477" s="125"/>
      <c r="C1477" s="125"/>
      <c r="D1477" s="132"/>
      <c r="E1477" s="132"/>
    </row>
    <row r="1478" spans="1:5">
      <c r="A1478" s="122"/>
      <c r="B1478" s="125"/>
      <c r="C1478" s="125"/>
      <c r="D1478" s="132"/>
      <c r="E1478" s="132"/>
    </row>
    <row r="1479" spans="1:5">
      <c r="A1479" s="122"/>
      <c r="B1479" s="125"/>
      <c r="C1479" s="125"/>
      <c r="D1479" s="132"/>
      <c r="E1479" s="132"/>
    </row>
    <row r="1480" spans="1:5">
      <c r="A1480" s="122"/>
      <c r="B1480" s="125"/>
      <c r="C1480" s="125"/>
      <c r="D1480" s="132"/>
      <c r="E1480" s="132"/>
    </row>
    <row r="1481" spans="1:5">
      <c r="A1481" s="122"/>
      <c r="B1481" s="125"/>
      <c r="C1481" s="125"/>
      <c r="D1481" s="132"/>
      <c r="E1481" s="132"/>
    </row>
    <row r="1482" spans="1:5">
      <c r="A1482" s="122"/>
      <c r="B1482" s="125"/>
      <c r="C1482" s="125"/>
      <c r="D1482" s="132"/>
      <c r="E1482" s="132"/>
    </row>
    <row r="1483" spans="1:5">
      <c r="A1483" s="122"/>
      <c r="B1483" s="125"/>
      <c r="C1483" s="125"/>
      <c r="D1483" s="132"/>
      <c r="E1483" s="132"/>
    </row>
    <row r="1484" spans="1:5">
      <c r="A1484" s="122"/>
      <c r="B1484" s="125"/>
      <c r="C1484" s="125"/>
      <c r="D1484" s="132"/>
      <c r="E1484" s="132"/>
    </row>
    <row r="1485" spans="1:5">
      <c r="A1485" s="122"/>
      <c r="B1485" s="125"/>
      <c r="C1485" s="125"/>
      <c r="D1485" s="132"/>
      <c r="E1485" s="132"/>
    </row>
    <row r="1486" spans="1:5">
      <c r="A1486" s="122"/>
      <c r="B1486" s="125"/>
      <c r="C1486" s="125"/>
      <c r="D1486" s="132"/>
      <c r="E1486" s="132"/>
    </row>
    <row r="1487" spans="1:5">
      <c r="A1487" s="122"/>
      <c r="B1487" s="125"/>
      <c r="C1487" s="125"/>
      <c r="D1487" s="132"/>
      <c r="E1487" s="132"/>
    </row>
    <row r="1488" spans="1:5">
      <c r="A1488" s="122"/>
      <c r="B1488" s="125"/>
      <c r="C1488" s="125"/>
      <c r="D1488" s="132"/>
      <c r="E1488" s="132"/>
    </row>
    <row r="1489" spans="1:5">
      <c r="A1489" s="122"/>
      <c r="B1489" s="125"/>
      <c r="C1489" s="125"/>
      <c r="D1489" s="132"/>
      <c r="E1489" s="132"/>
    </row>
    <row r="1490" spans="1:5">
      <c r="A1490" s="122"/>
      <c r="B1490" s="125"/>
      <c r="C1490" s="125"/>
      <c r="D1490" s="132"/>
      <c r="E1490" s="132"/>
    </row>
    <row r="1491" spans="1:5">
      <c r="A1491" s="122"/>
      <c r="B1491" s="125"/>
      <c r="C1491" s="125"/>
      <c r="D1491" s="132"/>
      <c r="E1491" s="132"/>
    </row>
    <row r="1492" spans="1:5">
      <c r="A1492" s="122"/>
      <c r="B1492" s="125"/>
      <c r="C1492" s="125"/>
      <c r="D1492" s="132"/>
      <c r="E1492" s="132"/>
    </row>
    <row r="1493" spans="1:5">
      <c r="A1493" s="122"/>
      <c r="B1493" s="125"/>
      <c r="C1493" s="125"/>
      <c r="D1493" s="132"/>
      <c r="E1493" s="132"/>
    </row>
    <row r="1494" spans="1:5">
      <c r="A1494" s="122"/>
      <c r="B1494" s="125"/>
      <c r="C1494" s="125"/>
      <c r="D1494" s="132"/>
      <c r="E1494" s="132"/>
    </row>
    <row r="1495" spans="1:5">
      <c r="A1495" s="122"/>
      <c r="B1495" s="125"/>
      <c r="C1495" s="125"/>
      <c r="D1495" s="132"/>
      <c r="E1495" s="132"/>
    </row>
    <row r="1496" spans="1:5">
      <c r="A1496" s="122"/>
      <c r="B1496" s="125"/>
      <c r="C1496" s="125"/>
      <c r="D1496" s="132"/>
      <c r="E1496" s="132"/>
    </row>
    <row r="1497" spans="1:5">
      <c r="A1497" s="122"/>
      <c r="B1497" s="125"/>
      <c r="C1497" s="125"/>
      <c r="D1497" s="132"/>
      <c r="E1497" s="132"/>
    </row>
    <row r="1498" spans="1:5">
      <c r="A1498" s="122"/>
      <c r="B1498" s="125"/>
      <c r="C1498" s="125"/>
      <c r="D1498" s="132"/>
      <c r="E1498" s="132"/>
    </row>
    <row r="1499" spans="1:5">
      <c r="A1499" s="122"/>
      <c r="B1499" s="125"/>
      <c r="C1499" s="125"/>
      <c r="D1499" s="132"/>
      <c r="E1499" s="132"/>
    </row>
    <row r="1500" spans="1:5">
      <c r="A1500" s="122"/>
      <c r="B1500" s="125"/>
      <c r="C1500" s="125"/>
      <c r="D1500" s="132"/>
      <c r="E1500" s="132"/>
    </row>
    <row r="1501" spans="1:5">
      <c r="A1501" s="122"/>
      <c r="B1501" s="125"/>
      <c r="C1501" s="125"/>
      <c r="D1501" s="132"/>
      <c r="E1501" s="132"/>
    </row>
    <row r="1502" spans="1:5">
      <c r="A1502" s="122"/>
      <c r="B1502" s="125"/>
      <c r="C1502" s="125"/>
      <c r="D1502" s="132"/>
      <c r="E1502" s="132"/>
    </row>
    <row r="1503" spans="1:5">
      <c r="A1503" s="122"/>
      <c r="B1503" s="125"/>
      <c r="C1503" s="125"/>
      <c r="D1503" s="132"/>
      <c r="E1503" s="132"/>
    </row>
    <row r="1504" spans="1:5">
      <c r="A1504" s="122"/>
      <c r="B1504" s="125"/>
      <c r="C1504" s="125"/>
      <c r="D1504" s="132"/>
      <c r="E1504" s="132"/>
    </row>
    <row r="1505" spans="1:5">
      <c r="A1505" s="122"/>
      <c r="B1505" s="125"/>
      <c r="C1505" s="125"/>
      <c r="D1505" s="132"/>
      <c r="E1505" s="132"/>
    </row>
    <row r="1506" spans="1:5">
      <c r="A1506" s="122"/>
      <c r="B1506" s="125"/>
      <c r="C1506" s="125"/>
      <c r="D1506" s="132"/>
      <c r="E1506" s="132"/>
    </row>
    <row r="1507" spans="1:5">
      <c r="A1507" s="122"/>
      <c r="B1507" s="125"/>
      <c r="C1507" s="125"/>
      <c r="D1507" s="132"/>
      <c r="E1507" s="132"/>
    </row>
    <row r="1508" spans="1:5">
      <c r="A1508" s="122"/>
      <c r="B1508" s="125"/>
      <c r="C1508" s="125"/>
      <c r="D1508" s="132"/>
      <c r="E1508" s="132"/>
    </row>
    <row r="1509" spans="1:5">
      <c r="A1509" s="122"/>
      <c r="B1509" s="125"/>
      <c r="C1509" s="125"/>
      <c r="D1509" s="132"/>
      <c r="E1509" s="132"/>
    </row>
    <row r="1510" spans="1:5">
      <c r="A1510" s="122"/>
      <c r="B1510" s="125"/>
      <c r="C1510" s="125"/>
      <c r="D1510" s="132"/>
      <c r="E1510" s="132"/>
    </row>
    <row r="1511" spans="1:5">
      <c r="A1511" s="122"/>
      <c r="B1511" s="125"/>
      <c r="C1511" s="125"/>
      <c r="D1511" s="132"/>
      <c r="E1511" s="132"/>
    </row>
    <row r="1512" spans="1:5">
      <c r="A1512" s="122"/>
      <c r="B1512" s="125"/>
      <c r="C1512" s="125"/>
      <c r="D1512" s="132"/>
      <c r="E1512" s="132"/>
    </row>
    <row r="1513" spans="1:5">
      <c r="A1513" s="122"/>
      <c r="B1513" s="125"/>
      <c r="C1513" s="125"/>
      <c r="D1513" s="132"/>
      <c r="E1513" s="132"/>
    </row>
    <row r="1514" spans="1:5">
      <c r="A1514" s="122"/>
      <c r="B1514" s="125"/>
      <c r="C1514" s="125"/>
      <c r="D1514" s="132"/>
      <c r="E1514" s="132"/>
    </row>
    <row r="1515" spans="1:5">
      <c r="A1515" s="122"/>
      <c r="B1515" s="125"/>
      <c r="C1515" s="125"/>
      <c r="D1515" s="132"/>
      <c r="E1515" s="132"/>
    </row>
    <row r="1516" spans="1:5">
      <c r="A1516" s="122"/>
      <c r="B1516" s="125"/>
      <c r="C1516" s="125"/>
      <c r="D1516" s="132"/>
      <c r="E1516" s="132"/>
    </row>
    <row r="1517" spans="1:5">
      <c r="A1517" s="122"/>
      <c r="B1517" s="125"/>
      <c r="C1517" s="125"/>
      <c r="D1517" s="132"/>
      <c r="E1517" s="132"/>
    </row>
    <row r="1518" spans="1:5">
      <c r="A1518" s="122"/>
      <c r="B1518" s="125"/>
      <c r="C1518" s="125"/>
      <c r="D1518" s="132"/>
      <c r="E1518" s="132"/>
    </row>
    <row r="1519" spans="1:5">
      <c r="A1519" s="122"/>
      <c r="B1519" s="125"/>
      <c r="C1519" s="125"/>
      <c r="D1519" s="132"/>
      <c r="E1519" s="132"/>
    </row>
    <row r="1520" spans="1:5">
      <c r="A1520" s="122"/>
      <c r="B1520" s="125"/>
      <c r="C1520" s="125"/>
      <c r="D1520" s="132"/>
      <c r="E1520" s="132"/>
    </row>
    <row r="1521" spans="1:5">
      <c r="A1521" s="122"/>
      <c r="B1521" s="125"/>
      <c r="C1521" s="125"/>
      <c r="D1521" s="132"/>
      <c r="E1521" s="132"/>
    </row>
    <row r="1522" spans="1:5">
      <c r="A1522" s="122"/>
      <c r="B1522" s="125"/>
      <c r="C1522" s="125"/>
      <c r="D1522" s="132"/>
      <c r="E1522" s="132"/>
    </row>
    <row r="1523" spans="1:5">
      <c r="A1523" s="122"/>
      <c r="B1523" s="125"/>
      <c r="C1523" s="125"/>
      <c r="D1523" s="132"/>
      <c r="E1523" s="132"/>
    </row>
    <row r="1524" spans="1:5">
      <c r="A1524" s="122"/>
      <c r="B1524" s="125"/>
      <c r="C1524" s="125"/>
      <c r="D1524" s="132"/>
      <c r="E1524" s="132"/>
    </row>
    <row r="1525" spans="1:5">
      <c r="A1525" s="122"/>
      <c r="B1525" s="125"/>
      <c r="C1525" s="125"/>
      <c r="D1525" s="132"/>
      <c r="E1525" s="132"/>
    </row>
    <row r="1526" spans="1:5">
      <c r="A1526" s="122"/>
      <c r="B1526" s="125"/>
      <c r="C1526" s="125"/>
      <c r="D1526" s="132"/>
      <c r="E1526" s="132"/>
    </row>
    <row r="1527" spans="1:5">
      <c r="A1527" s="122"/>
      <c r="B1527" s="125"/>
      <c r="C1527" s="125"/>
      <c r="D1527" s="132"/>
      <c r="E1527" s="132"/>
    </row>
    <row r="1528" spans="1:5">
      <c r="A1528" s="122"/>
      <c r="B1528" s="125"/>
      <c r="C1528" s="125"/>
      <c r="D1528" s="132"/>
      <c r="E1528" s="132"/>
    </row>
    <row r="1529" spans="1:5">
      <c r="A1529" s="122"/>
      <c r="B1529" s="125"/>
      <c r="C1529" s="125"/>
      <c r="D1529" s="132"/>
      <c r="E1529" s="132"/>
    </row>
    <row r="1530" spans="1:5">
      <c r="A1530" s="122"/>
      <c r="B1530" s="125"/>
      <c r="C1530" s="125"/>
      <c r="D1530" s="132"/>
      <c r="E1530" s="132"/>
    </row>
    <row r="1531" spans="1:5">
      <c r="A1531" s="122"/>
      <c r="B1531" s="125"/>
      <c r="C1531" s="125"/>
      <c r="D1531" s="132"/>
      <c r="E1531" s="132"/>
    </row>
    <row r="1532" spans="1:5">
      <c r="A1532" s="122"/>
      <c r="B1532" s="125"/>
      <c r="C1532" s="125"/>
      <c r="D1532" s="132"/>
      <c r="E1532" s="132"/>
    </row>
    <row r="1533" spans="1:5">
      <c r="A1533" s="122"/>
      <c r="B1533" s="125"/>
      <c r="C1533" s="125"/>
      <c r="D1533" s="132"/>
      <c r="E1533" s="132"/>
    </row>
    <row r="1534" spans="1:5">
      <c r="A1534" s="122"/>
      <c r="B1534" s="125"/>
      <c r="C1534" s="125"/>
      <c r="D1534" s="132"/>
      <c r="E1534" s="132"/>
    </row>
    <row r="1535" spans="1:5">
      <c r="A1535" s="122"/>
      <c r="B1535" s="125"/>
      <c r="C1535" s="125"/>
      <c r="D1535" s="132"/>
      <c r="E1535" s="132"/>
    </row>
    <row r="1536" spans="1:5">
      <c r="A1536" s="122"/>
      <c r="B1536" s="125"/>
      <c r="C1536" s="125"/>
      <c r="D1536" s="132"/>
      <c r="E1536" s="132"/>
    </row>
    <row r="1537" spans="1:5">
      <c r="A1537" s="122"/>
      <c r="B1537" s="125"/>
      <c r="C1537" s="125"/>
      <c r="D1537" s="132"/>
      <c r="E1537" s="132"/>
    </row>
    <row r="1538" spans="1:5">
      <c r="A1538" s="122"/>
      <c r="B1538" s="125"/>
      <c r="C1538" s="125"/>
      <c r="D1538" s="132"/>
      <c r="E1538" s="132"/>
    </row>
    <row r="1539" spans="1:5">
      <c r="A1539" s="122"/>
      <c r="B1539" s="125"/>
      <c r="C1539" s="125"/>
      <c r="D1539" s="132"/>
      <c r="E1539" s="132"/>
    </row>
    <row r="1540" spans="1:5">
      <c r="A1540" s="122"/>
      <c r="B1540" s="125"/>
      <c r="C1540" s="125"/>
      <c r="D1540" s="132"/>
      <c r="E1540" s="132"/>
    </row>
    <row r="1541" spans="1:5">
      <c r="A1541" s="122"/>
      <c r="B1541" s="125"/>
      <c r="C1541" s="125"/>
      <c r="D1541" s="132"/>
      <c r="E1541" s="132"/>
    </row>
    <row r="1542" spans="1:5">
      <c r="A1542" s="122"/>
      <c r="B1542" s="125"/>
      <c r="C1542" s="125"/>
      <c r="D1542" s="132"/>
      <c r="E1542" s="132"/>
    </row>
    <row r="1543" spans="1:5">
      <c r="A1543" s="122"/>
      <c r="B1543" s="125"/>
      <c r="C1543" s="125"/>
      <c r="D1543" s="132"/>
      <c r="E1543" s="132"/>
    </row>
    <row r="1544" spans="1:5">
      <c r="A1544" s="122"/>
      <c r="B1544" s="125"/>
      <c r="C1544" s="125"/>
      <c r="D1544" s="132"/>
      <c r="E1544" s="132"/>
    </row>
    <row r="1545" spans="1:5">
      <c r="A1545" s="122"/>
      <c r="B1545" s="125"/>
      <c r="C1545" s="125"/>
      <c r="D1545" s="132"/>
      <c r="E1545" s="132"/>
    </row>
    <row r="1546" spans="1:5">
      <c r="A1546" s="122"/>
      <c r="B1546" s="125"/>
      <c r="C1546" s="125"/>
      <c r="D1546" s="132"/>
      <c r="E1546" s="132"/>
    </row>
    <row r="1547" spans="1:5">
      <c r="A1547" s="122"/>
      <c r="B1547" s="125"/>
      <c r="C1547" s="125"/>
      <c r="D1547" s="132"/>
      <c r="E1547" s="132"/>
    </row>
    <row r="1548" spans="1:5">
      <c r="A1548" s="122"/>
      <c r="B1548" s="125"/>
      <c r="C1548" s="125"/>
      <c r="D1548" s="132"/>
      <c r="E1548" s="132"/>
    </row>
    <row r="1549" spans="1:5">
      <c r="A1549" s="122"/>
      <c r="B1549" s="125"/>
      <c r="C1549" s="125"/>
      <c r="D1549" s="132"/>
      <c r="E1549" s="132"/>
    </row>
    <row r="1550" spans="1:5">
      <c r="A1550" s="122"/>
      <c r="B1550" s="125"/>
      <c r="C1550" s="125"/>
      <c r="D1550" s="132"/>
      <c r="E1550" s="132"/>
    </row>
    <row r="1551" spans="1:5">
      <c r="A1551" s="122"/>
      <c r="B1551" s="125"/>
      <c r="C1551" s="125"/>
      <c r="D1551" s="132"/>
      <c r="E1551" s="132"/>
    </row>
    <row r="1552" spans="1:5">
      <c r="A1552" s="122"/>
      <c r="B1552" s="125"/>
      <c r="C1552" s="125"/>
      <c r="D1552" s="132"/>
      <c r="E1552" s="132"/>
    </row>
    <row r="1553" spans="1:5">
      <c r="A1553" s="122"/>
      <c r="B1553" s="125"/>
      <c r="C1553" s="125"/>
      <c r="D1553" s="132"/>
      <c r="E1553" s="132"/>
    </row>
    <row r="1554" spans="1:5">
      <c r="A1554" s="122"/>
      <c r="B1554" s="125"/>
      <c r="C1554" s="125"/>
      <c r="D1554" s="132"/>
      <c r="E1554" s="132"/>
    </row>
    <row r="1555" spans="1:5">
      <c r="A1555" s="122"/>
      <c r="B1555" s="125"/>
      <c r="C1555" s="125"/>
      <c r="D1555" s="132"/>
      <c r="E1555" s="132"/>
    </row>
    <row r="1556" spans="1:5">
      <c r="A1556" s="122"/>
      <c r="B1556" s="125"/>
      <c r="C1556" s="125"/>
      <c r="D1556" s="132"/>
      <c r="E1556" s="132"/>
    </row>
    <row r="1557" spans="1:5">
      <c r="A1557" s="122"/>
      <c r="B1557" s="125"/>
      <c r="C1557" s="125"/>
      <c r="D1557" s="132"/>
      <c r="E1557" s="132"/>
    </row>
    <row r="1558" spans="1:5">
      <c r="A1558" s="122"/>
      <c r="B1558" s="125"/>
      <c r="C1558" s="125"/>
      <c r="D1558" s="132"/>
      <c r="E1558" s="132"/>
    </row>
    <row r="1559" spans="1:5">
      <c r="A1559" s="122"/>
      <c r="B1559" s="125"/>
      <c r="C1559" s="125"/>
      <c r="D1559" s="132"/>
      <c r="E1559" s="132"/>
    </row>
    <row r="1560" spans="1:5">
      <c r="A1560" s="122"/>
      <c r="B1560" s="125"/>
      <c r="C1560" s="125"/>
      <c r="D1560" s="132"/>
      <c r="E1560" s="132"/>
    </row>
    <row r="1561" spans="1:5">
      <c r="A1561" s="122"/>
      <c r="B1561" s="125"/>
      <c r="C1561" s="125"/>
      <c r="D1561" s="132"/>
      <c r="E1561" s="132"/>
    </row>
    <row r="1562" spans="1:5">
      <c r="A1562" s="122"/>
      <c r="B1562" s="125"/>
      <c r="C1562" s="125"/>
      <c r="D1562" s="132"/>
      <c r="E1562" s="132"/>
    </row>
    <row r="1563" spans="1:5">
      <c r="A1563" s="122"/>
      <c r="B1563" s="125"/>
      <c r="C1563" s="125"/>
      <c r="D1563" s="132"/>
      <c r="E1563" s="132"/>
    </row>
    <row r="1564" spans="1:5">
      <c r="A1564" s="122"/>
      <c r="B1564" s="125"/>
      <c r="C1564" s="125"/>
      <c r="D1564" s="132"/>
      <c r="E1564" s="132"/>
    </row>
    <row r="1565" spans="1:5">
      <c r="A1565" s="122"/>
      <c r="B1565" s="125"/>
      <c r="C1565" s="125"/>
      <c r="D1565" s="132"/>
      <c r="E1565" s="132"/>
    </row>
    <row r="1566" spans="1:5">
      <c r="A1566" s="122"/>
      <c r="B1566" s="125"/>
      <c r="C1566" s="125"/>
      <c r="D1566" s="132"/>
      <c r="E1566" s="132"/>
    </row>
    <row r="1567" spans="1:5">
      <c r="A1567" s="122"/>
      <c r="B1567" s="125"/>
      <c r="C1567" s="125"/>
      <c r="D1567" s="132"/>
      <c r="E1567" s="132"/>
    </row>
    <row r="1568" spans="1:5">
      <c r="A1568" s="122"/>
      <c r="B1568" s="125"/>
      <c r="C1568" s="125"/>
      <c r="D1568" s="132"/>
      <c r="E1568" s="132"/>
    </row>
    <row r="1569" spans="1:5">
      <c r="A1569" s="122"/>
      <c r="B1569" s="125"/>
      <c r="C1569" s="125"/>
      <c r="D1569" s="132"/>
      <c r="E1569" s="132"/>
    </row>
    <row r="1570" spans="1:5">
      <c r="A1570" s="122"/>
      <c r="B1570" s="125"/>
      <c r="C1570" s="125"/>
      <c r="D1570" s="132"/>
      <c r="E1570" s="132"/>
    </row>
    <row r="1571" spans="1:5">
      <c r="A1571" s="122"/>
      <c r="B1571" s="125"/>
      <c r="C1571" s="125"/>
      <c r="D1571" s="132"/>
      <c r="E1571" s="132"/>
    </row>
    <row r="1572" spans="1:5">
      <c r="A1572" s="122"/>
      <c r="B1572" s="125"/>
      <c r="C1572" s="125"/>
      <c r="D1572" s="132"/>
      <c r="E1572" s="132"/>
    </row>
    <row r="1573" spans="1:5">
      <c r="A1573" s="122"/>
      <c r="B1573" s="125"/>
      <c r="C1573" s="125"/>
      <c r="D1573" s="132"/>
      <c r="E1573" s="132"/>
    </row>
    <row r="1574" spans="1:5">
      <c r="A1574" s="122"/>
      <c r="B1574" s="125"/>
      <c r="C1574" s="125"/>
      <c r="D1574" s="132"/>
      <c r="E1574" s="132"/>
    </row>
    <row r="1575" spans="1:5">
      <c r="A1575" s="122"/>
      <c r="B1575" s="125"/>
      <c r="C1575" s="125"/>
      <c r="D1575" s="132"/>
      <c r="E1575" s="132"/>
    </row>
    <row r="1576" spans="1:5">
      <c r="A1576" s="122"/>
      <c r="B1576" s="125"/>
      <c r="C1576" s="125"/>
      <c r="D1576" s="132"/>
      <c r="E1576" s="132"/>
    </row>
    <row r="1577" spans="1:5">
      <c r="A1577" s="122"/>
      <c r="B1577" s="125"/>
      <c r="C1577" s="125"/>
      <c r="D1577" s="132"/>
      <c r="E1577" s="132"/>
    </row>
    <row r="1578" spans="1:5">
      <c r="A1578" s="122"/>
      <c r="B1578" s="125"/>
      <c r="C1578" s="125"/>
      <c r="D1578" s="132"/>
      <c r="E1578" s="132"/>
    </row>
    <row r="1579" spans="1:5">
      <c r="A1579" s="122"/>
      <c r="B1579" s="125"/>
      <c r="C1579" s="125"/>
      <c r="D1579" s="132"/>
      <c r="E1579" s="132"/>
    </row>
    <row r="1580" spans="1:5">
      <c r="A1580" s="122"/>
      <c r="B1580" s="125"/>
      <c r="C1580" s="125"/>
      <c r="D1580" s="132"/>
      <c r="E1580" s="132"/>
    </row>
    <row r="1581" spans="1:5">
      <c r="A1581" s="122"/>
      <c r="B1581" s="125"/>
      <c r="C1581" s="125"/>
      <c r="D1581" s="132"/>
      <c r="E1581" s="132"/>
    </row>
    <row r="1582" spans="1:5">
      <c r="A1582" s="122"/>
      <c r="B1582" s="125"/>
      <c r="C1582" s="125"/>
      <c r="D1582" s="132"/>
      <c r="E1582" s="132"/>
    </row>
    <row r="1583" spans="1:5">
      <c r="A1583" s="122"/>
      <c r="B1583" s="125"/>
      <c r="C1583" s="125"/>
      <c r="D1583" s="132"/>
      <c r="E1583" s="132"/>
    </row>
    <row r="1584" spans="1:5">
      <c r="A1584" s="122"/>
      <c r="B1584" s="125"/>
      <c r="C1584" s="125"/>
      <c r="D1584" s="132"/>
      <c r="E1584" s="132"/>
    </row>
    <row r="1585" spans="1:5">
      <c r="A1585" s="122"/>
      <c r="B1585" s="125"/>
      <c r="C1585" s="125"/>
      <c r="D1585" s="132"/>
      <c r="E1585" s="132"/>
    </row>
    <row r="1586" spans="1:5">
      <c r="A1586" s="122"/>
      <c r="B1586" s="125"/>
      <c r="C1586" s="125"/>
      <c r="D1586" s="132"/>
      <c r="E1586" s="132"/>
    </row>
    <row r="1587" spans="1:5">
      <c r="A1587" s="122"/>
      <c r="B1587" s="125"/>
      <c r="C1587" s="125"/>
      <c r="D1587" s="132"/>
      <c r="E1587" s="132"/>
    </row>
    <row r="1588" spans="1:5">
      <c r="A1588" s="122"/>
      <c r="B1588" s="125"/>
      <c r="C1588" s="125"/>
      <c r="D1588" s="132"/>
      <c r="E1588" s="132"/>
    </row>
    <row r="1589" spans="1:5">
      <c r="A1589" s="122"/>
      <c r="B1589" s="125"/>
      <c r="C1589" s="125"/>
      <c r="D1589" s="132"/>
      <c r="E1589" s="132"/>
    </row>
    <row r="1590" spans="1:5">
      <c r="A1590" s="122"/>
      <c r="B1590" s="125"/>
      <c r="C1590" s="125"/>
      <c r="D1590" s="132"/>
      <c r="E1590" s="132"/>
    </row>
    <row r="1591" spans="1:5">
      <c r="A1591" s="122"/>
      <c r="B1591" s="125"/>
      <c r="C1591" s="125"/>
      <c r="D1591" s="132"/>
      <c r="E1591" s="132"/>
    </row>
    <row r="1592" spans="1:5">
      <c r="A1592" s="122"/>
      <c r="B1592" s="125"/>
      <c r="C1592" s="125"/>
      <c r="D1592" s="132"/>
      <c r="E1592" s="132"/>
    </row>
    <row r="1593" spans="1:5">
      <c r="A1593" s="122"/>
      <c r="B1593" s="125"/>
      <c r="C1593" s="125"/>
      <c r="D1593" s="132"/>
      <c r="E1593" s="132"/>
    </row>
    <row r="1594" spans="1:5">
      <c r="A1594" s="122"/>
      <c r="B1594" s="125"/>
      <c r="C1594" s="125"/>
      <c r="D1594" s="132"/>
      <c r="E1594" s="132"/>
    </row>
    <row r="1595" spans="1:5">
      <c r="A1595" s="122"/>
      <c r="B1595" s="125"/>
      <c r="C1595" s="125"/>
      <c r="D1595" s="132"/>
      <c r="E1595" s="132"/>
    </row>
    <row r="1596" spans="1:5">
      <c r="A1596" s="122"/>
      <c r="B1596" s="125"/>
      <c r="C1596" s="125"/>
      <c r="D1596" s="132"/>
      <c r="E1596" s="132"/>
    </row>
    <row r="1597" spans="1:5">
      <c r="A1597" s="122"/>
      <c r="B1597" s="125"/>
      <c r="C1597" s="125"/>
      <c r="D1597" s="132"/>
      <c r="E1597" s="132"/>
    </row>
    <row r="1598" spans="1:5">
      <c r="A1598" s="122"/>
      <c r="B1598" s="125"/>
      <c r="C1598" s="125"/>
      <c r="D1598" s="132"/>
      <c r="E1598" s="132"/>
    </row>
    <row r="1599" spans="1:5">
      <c r="A1599" s="122"/>
      <c r="B1599" s="125"/>
      <c r="C1599" s="125"/>
      <c r="D1599" s="132"/>
      <c r="E1599" s="132"/>
    </row>
    <row r="1600" spans="1:5">
      <c r="A1600" s="122"/>
      <c r="B1600" s="125"/>
      <c r="C1600" s="125"/>
      <c r="D1600" s="132"/>
      <c r="E1600" s="132"/>
    </row>
    <row r="1601" spans="1:5">
      <c r="A1601" s="122"/>
      <c r="B1601" s="125"/>
      <c r="C1601" s="125"/>
      <c r="D1601" s="132"/>
      <c r="E1601" s="132"/>
    </row>
    <row r="1602" spans="1:5">
      <c r="A1602" s="122"/>
      <c r="B1602" s="125"/>
      <c r="C1602" s="125"/>
      <c r="D1602" s="132"/>
      <c r="E1602" s="132"/>
    </row>
    <row r="1603" spans="1:5">
      <c r="A1603" s="122"/>
      <c r="B1603" s="125"/>
      <c r="C1603" s="125"/>
      <c r="D1603" s="132"/>
      <c r="E1603" s="132"/>
    </row>
    <row r="1604" spans="1:5">
      <c r="A1604" s="122"/>
      <c r="B1604" s="125"/>
      <c r="C1604" s="125"/>
      <c r="D1604" s="132"/>
      <c r="E1604" s="132"/>
    </row>
    <row r="1605" spans="1:5">
      <c r="A1605" s="122"/>
      <c r="B1605" s="125"/>
      <c r="C1605" s="125"/>
      <c r="D1605" s="132"/>
      <c r="E1605" s="132"/>
    </row>
    <row r="1606" spans="1:5">
      <c r="A1606" s="122"/>
      <c r="B1606" s="125"/>
      <c r="C1606" s="125"/>
      <c r="D1606" s="132"/>
      <c r="E1606" s="132"/>
    </row>
    <row r="1607" spans="1:5">
      <c r="A1607" s="122"/>
      <c r="B1607" s="125"/>
      <c r="C1607" s="125"/>
      <c r="D1607" s="132"/>
      <c r="E1607" s="132"/>
    </row>
    <row r="1608" spans="1:5">
      <c r="A1608" s="122"/>
      <c r="B1608" s="125"/>
      <c r="C1608" s="125"/>
      <c r="D1608" s="132"/>
      <c r="E1608" s="132"/>
    </row>
    <row r="1609" spans="1:5">
      <c r="A1609" s="122"/>
      <c r="B1609" s="125"/>
      <c r="C1609" s="125"/>
      <c r="D1609" s="132"/>
      <c r="E1609" s="132"/>
    </row>
    <row r="1610" spans="1:5">
      <c r="A1610" s="122"/>
      <c r="B1610" s="125"/>
      <c r="C1610" s="125"/>
      <c r="D1610" s="132"/>
      <c r="E1610" s="132"/>
    </row>
    <row r="1611" spans="1:5">
      <c r="A1611" s="122"/>
      <c r="B1611" s="125"/>
      <c r="C1611" s="125"/>
      <c r="D1611" s="132"/>
      <c r="E1611" s="132"/>
    </row>
    <row r="1612" spans="1:5">
      <c r="A1612" s="122"/>
      <c r="B1612" s="125"/>
      <c r="C1612" s="125"/>
      <c r="D1612" s="132"/>
      <c r="E1612" s="132"/>
    </row>
    <row r="1613" spans="1:5">
      <c r="A1613" s="122"/>
      <c r="B1613" s="125"/>
      <c r="C1613" s="125"/>
      <c r="D1613" s="132"/>
      <c r="E1613" s="132"/>
    </row>
    <row r="1614" spans="1:5">
      <c r="A1614" s="122"/>
      <c r="B1614" s="125"/>
      <c r="C1614" s="125"/>
      <c r="D1614" s="132"/>
      <c r="E1614" s="132"/>
    </row>
    <row r="1615" spans="1:5">
      <c r="A1615" s="122"/>
      <c r="B1615" s="125"/>
      <c r="C1615" s="125"/>
      <c r="D1615" s="132"/>
      <c r="E1615" s="132"/>
    </row>
    <row r="1616" spans="1:5">
      <c r="A1616" s="122"/>
      <c r="B1616" s="125"/>
      <c r="C1616" s="125"/>
      <c r="D1616" s="132"/>
      <c r="E1616" s="132"/>
    </row>
    <row r="1617" spans="1:5">
      <c r="A1617" s="122"/>
      <c r="B1617" s="125"/>
      <c r="C1617" s="125"/>
      <c r="D1617" s="132"/>
      <c r="E1617" s="132"/>
    </row>
    <row r="1618" spans="1:5">
      <c r="A1618" s="122"/>
      <c r="B1618" s="125"/>
      <c r="C1618" s="125"/>
      <c r="D1618" s="132"/>
      <c r="E1618" s="132"/>
    </row>
    <row r="1619" spans="1:5">
      <c r="A1619" s="122"/>
      <c r="B1619" s="125"/>
      <c r="C1619" s="125"/>
      <c r="D1619" s="132"/>
      <c r="E1619" s="132"/>
    </row>
    <row r="1620" spans="1:5">
      <c r="A1620" s="122"/>
      <c r="B1620" s="125"/>
      <c r="C1620" s="125"/>
      <c r="D1620" s="132"/>
      <c r="E1620" s="132"/>
    </row>
    <row r="1621" spans="1:5">
      <c r="A1621" s="122"/>
      <c r="B1621" s="125"/>
      <c r="C1621" s="125"/>
      <c r="D1621" s="132"/>
      <c r="E1621" s="132"/>
    </row>
    <row r="1622" spans="1:5">
      <c r="A1622" s="122"/>
      <c r="B1622" s="125"/>
      <c r="C1622" s="125"/>
      <c r="D1622" s="132"/>
      <c r="E1622" s="132"/>
    </row>
    <row r="1623" spans="1:5">
      <c r="A1623" s="122"/>
      <c r="B1623" s="125"/>
      <c r="C1623" s="125"/>
      <c r="D1623" s="132"/>
      <c r="E1623" s="132"/>
    </row>
    <row r="1624" spans="1:5">
      <c r="A1624" s="122"/>
      <c r="B1624" s="125"/>
      <c r="C1624" s="125"/>
      <c r="D1624" s="132"/>
      <c r="E1624" s="132"/>
    </row>
    <row r="1625" spans="1:5">
      <c r="A1625" s="122"/>
      <c r="B1625" s="125"/>
      <c r="C1625" s="125"/>
      <c r="D1625" s="132"/>
      <c r="E1625" s="132"/>
    </row>
    <row r="1626" spans="1:5">
      <c r="A1626" s="122"/>
      <c r="B1626" s="125"/>
      <c r="C1626" s="125"/>
      <c r="D1626" s="132"/>
      <c r="E1626" s="132"/>
    </row>
    <row r="1627" spans="1:5">
      <c r="A1627" s="122"/>
      <c r="B1627" s="125"/>
      <c r="C1627" s="125"/>
      <c r="D1627" s="132"/>
      <c r="E1627" s="132"/>
    </row>
    <row r="1628" spans="1:5">
      <c r="A1628" s="122"/>
      <c r="B1628" s="125"/>
      <c r="C1628" s="125"/>
      <c r="D1628" s="132"/>
      <c r="E1628" s="132"/>
    </row>
    <row r="1629" spans="1:5">
      <c r="A1629" s="122"/>
      <c r="B1629" s="125"/>
      <c r="C1629" s="125"/>
      <c r="D1629" s="132"/>
      <c r="E1629" s="132"/>
    </row>
    <row r="1630" spans="1:5">
      <c r="A1630" s="122"/>
      <c r="B1630" s="125"/>
      <c r="C1630" s="125"/>
      <c r="D1630" s="132"/>
      <c r="E1630" s="132"/>
    </row>
    <row r="1631" spans="1:5">
      <c r="A1631" s="122"/>
      <c r="B1631" s="125"/>
      <c r="C1631" s="125"/>
      <c r="D1631" s="132"/>
      <c r="E1631" s="132"/>
    </row>
    <row r="1632" spans="1:5">
      <c r="A1632" s="122"/>
      <c r="B1632" s="125"/>
      <c r="C1632" s="125"/>
      <c r="D1632" s="132"/>
      <c r="E1632" s="132"/>
    </row>
    <row r="1633" spans="1:5">
      <c r="A1633" s="122"/>
      <c r="B1633" s="125"/>
      <c r="C1633" s="125"/>
      <c r="D1633" s="132"/>
      <c r="E1633" s="132"/>
    </row>
    <row r="1634" spans="1:5">
      <c r="A1634" s="122"/>
      <c r="B1634" s="125"/>
      <c r="C1634" s="125"/>
      <c r="D1634" s="132"/>
      <c r="E1634" s="132"/>
    </row>
    <row r="1635" spans="1:5">
      <c r="A1635" s="122"/>
      <c r="B1635" s="125"/>
      <c r="C1635" s="125"/>
      <c r="D1635" s="132"/>
      <c r="E1635" s="132"/>
    </row>
    <row r="1636" spans="1:5">
      <c r="A1636" s="122"/>
      <c r="B1636" s="125"/>
      <c r="C1636" s="125"/>
      <c r="D1636" s="132"/>
      <c r="E1636" s="132"/>
    </row>
    <row r="1637" spans="1:5">
      <c r="A1637" s="122"/>
      <c r="B1637" s="125"/>
      <c r="C1637" s="125"/>
      <c r="D1637" s="132"/>
      <c r="E1637" s="132"/>
    </row>
    <row r="1638" spans="1:5">
      <c r="A1638" s="122"/>
      <c r="B1638" s="125"/>
      <c r="C1638" s="125"/>
      <c r="D1638" s="132"/>
      <c r="E1638" s="132"/>
    </row>
    <row r="1639" spans="1:5">
      <c r="A1639" s="122"/>
      <c r="B1639" s="125"/>
      <c r="C1639" s="125"/>
      <c r="D1639" s="132"/>
      <c r="E1639" s="132"/>
    </row>
    <row r="1640" spans="1:5">
      <c r="A1640" s="122"/>
      <c r="B1640" s="125"/>
      <c r="C1640" s="125"/>
      <c r="D1640" s="132"/>
      <c r="E1640" s="132"/>
    </row>
    <row r="1641" spans="1:5">
      <c r="A1641" s="122"/>
      <c r="B1641" s="125"/>
      <c r="C1641" s="125"/>
      <c r="D1641" s="132"/>
      <c r="E1641" s="132"/>
    </row>
    <row r="1642" spans="1:5">
      <c r="A1642" s="122"/>
      <c r="B1642" s="125"/>
      <c r="C1642" s="125"/>
      <c r="D1642" s="132"/>
      <c r="E1642" s="132"/>
    </row>
    <row r="1643" spans="1:5">
      <c r="A1643" s="122"/>
      <c r="B1643" s="125"/>
      <c r="C1643" s="125"/>
      <c r="D1643" s="132"/>
      <c r="E1643" s="132"/>
    </row>
    <row r="1644" spans="1:5">
      <c r="A1644" s="122"/>
      <c r="B1644" s="125"/>
      <c r="C1644" s="125"/>
      <c r="D1644" s="132"/>
      <c r="E1644" s="132"/>
    </row>
    <row r="1645" spans="1:5">
      <c r="A1645" s="122"/>
      <c r="B1645" s="125"/>
      <c r="C1645" s="125"/>
      <c r="D1645" s="132"/>
      <c r="E1645" s="132"/>
    </row>
    <row r="1646" spans="1:5">
      <c r="A1646" s="122"/>
      <c r="B1646" s="125"/>
      <c r="C1646" s="125"/>
      <c r="D1646" s="132"/>
      <c r="E1646" s="132"/>
    </row>
    <row r="1647" spans="1:5">
      <c r="A1647" s="122"/>
      <c r="B1647" s="125"/>
      <c r="C1647" s="125"/>
      <c r="D1647" s="132"/>
      <c r="E1647" s="132"/>
    </row>
    <row r="1648" spans="1:5">
      <c r="A1648" s="122"/>
      <c r="B1648" s="125"/>
      <c r="C1648" s="125"/>
      <c r="D1648" s="132"/>
      <c r="E1648" s="132"/>
    </row>
    <row r="1649" spans="1:5">
      <c r="A1649" s="122"/>
      <c r="B1649" s="125"/>
      <c r="C1649" s="125"/>
      <c r="D1649" s="132"/>
      <c r="E1649" s="132"/>
    </row>
    <row r="1650" spans="1:5">
      <c r="A1650" s="122"/>
      <c r="B1650" s="125"/>
      <c r="C1650" s="125"/>
      <c r="D1650" s="132"/>
      <c r="E1650" s="132"/>
    </row>
    <row r="1651" spans="1:5">
      <c r="A1651" s="122"/>
      <c r="B1651" s="125"/>
      <c r="C1651" s="125"/>
      <c r="D1651" s="132"/>
      <c r="E1651" s="132"/>
    </row>
    <row r="1652" spans="1:5">
      <c r="A1652" s="122"/>
      <c r="B1652" s="125"/>
      <c r="C1652" s="125"/>
      <c r="D1652" s="132"/>
      <c r="E1652" s="132"/>
    </row>
    <row r="1653" spans="1:5">
      <c r="A1653" s="122"/>
      <c r="B1653" s="125"/>
      <c r="C1653" s="125"/>
      <c r="D1653" s="132"/>
      <c r="E1653" s="132"/>
    </row>
    <row r="1654" spans="1:5">
      <c r="A1654" s="122"/>
      <c r="B1654" s="125"/>
      <c r="C1654" s="125"/>
      <c r="D1654" s="132"/>
      <c r="E1654" s="132"/>
    </row>
    <row r="1655" spans="1:5">
      <c r="A1655" s="122"/>
      <c r="B1655" s="125"/>
      <c r="C1655" s="125"/>
      <c r="D1655" s="132"/>
      <c r="E1655" s="132"/>
    </row>
    <row r="1656" spans="1:5">
      <c r="A1656" s="122"/>
      <c r="B1656" s="125"/>
      <c r="C1656" s="125"/>
      <c r="D1656" s="132"/>
      <c r="E1656" s="132"/>
    </row>
    <row r="1657" spans="1:5">
      <c r="A1657" s="122"/>
      <c r="B1657" s="125"/>
      <c r="C1657" s="125"/>
      <c r="D1657" s="132"/>
      <c r="E1657" s="132"/>
    </row>
    <row r="1658" spans="1:5">
      <c r="A1658" s="122"/>
      <c r="B1658" s="125"/>
      <c r="C1658" s="125"/>
      <c r="D1658" s="132"/>
      <c r="E1658" s="132"/>
    </row>
    <row r="1659" spans="1:5">
      <c r="A1659" s="122"/>
      <c r="B1659" s="125"/>
      <c r="C1659" s="125"/>
      <c r="D1659" s="132"/>
      <c r="E1659" s="132"/>
    </row>
    <row r="1660" spans="1:5">
      <c r="A1660" s="122"/>
      <c r="B1660" s="125"/>
      <c r="C1660" s="125"/>
      <c r="D1660" s="132"/>
      <c r="E1660" s="132"/>
    </row>
    <row r="1661" spans="1:5">
      <c r="A1661" s="122"/>
      <c r="B1661" s="125"/>
      <c r="C1661" s="125"/>
      <c r="D1661" s="132"/>
      <c r="E1661" s="132"/>
    </row>
    <row r="1662" spans="1:5">
      <c r="A1662" s="122"/>
      <c r="B1662" s="125"/>
      <c r="C1662" s="125"/>
      <c r="D1662" s="132"/>
      <c r="E1662" s="132"/>
    </row>
    <row r="1663" spans="1:5">
      <c r="A1663" s="122"/>
      <c r="B1663" s="125"/>
      <c r="C1663" s="125"/>
      <c r="D1663" s="132"/>
      <c r="E1663" s="132"/>
    </row>
    <row r="1664" spans="1:5">
      <c r="A1664" s="122"/>
      <c r="B1664" s="125"/>
      <c r="C1664" s="125"/>
      <c r="D1664" s="132"/>
      <c r="E1664" s="132"/>
    </row>
    <row r="1665" spans="1:5">
      <c r="A1665" s="122"/>
      <c r="B1665" s="125"/>
      <c r="C1665" s="125"/>
      <c r="D1665" s="132"/>
      <c r="E1665" s="132"/>
    </row>
    <row r="1666" spans="1:5">
      <c r="A1666" s="122"/>
      <c r="B1666" s="125"/>
      <c r="C1666" s="125"/>
      <c r="D1666" s="132"/>
      <c r="E1666" s="132"/>
    </row>
    <row r="1667" spans="1:5">
      <c r="A1667" s="122"/>
      <c r="B1667" s="125"/>
      <c r="C1667" s="125"/>
      <c r="D1667" s="132"/>
      <c r="E1667" s="132"/>
    </row>
    <row r="1668" spans="1:5">
      <c r="A1668" s="122"/>
      <c r="B1668" s="125"/>
      <c r="C1668" s="125"/>
      <c r="D1668" s="132"/>
      <c r="E1668" s="132"/>
    </row>
    <row r="1669" spans="1:5">
      <c r="A1669" s="122"/>
      <c r="B1669" s="125"/>
      <c r="C1669" s="125"/>
      <c r="D1669" s="132"/>
      <c r="E1669" s="132"/>
    </row>
    <row r="1670" spans="1:5">
      <c r="A1670" s="122"/>
      <c r="B1670" s="125"/>
      <c r="C1670" s="125"/>
      <c r="D1670" s="132"/>
      <c r="E1670" s="132"/>
    </row>
    <row r="1671" spans="1:5">
      <c r="A1671" s="122"/>
      <c r="B1671" s="125"/>
      <c r="C1671" s="125"/>
      <c r="D1671" s="132"/>
      <c r="E1671" s="132"/>
    </row>
    <row r="1672" spans="1:5">
      <c r="A1672" s="122"/>
      <c r="B1672" s="125"/>
      <c r="C1672" s="125"/>
      <c r="D1672" s="132"/>
      <c r="E1672" s="132"/>
    </row>
    <row r="1673" spans="1:5">
      <c r="A1673" s="122"/>
      <c r="B1673" s="125"/>
      <c r="C1673" s="125"/>
      <c r="D1673" s="132"/>
      <c r="E1673" s="132"/>
    </row>
    <row r="1674" spans="1:5">
      <c r="A1674" s="122"/>
      <c r="B1674" s="125"/>
      <c r="C1674" s="125"/>
      <c r="D1674" s="132"/>
      <c r="E1674" s="132"/>
    </row>
    <row r="1675" spans="1:5">
      <c r="A1675" s="122"/>
      <c r="B1675" s="125"/>
      <c r="C1675" s="125"/>
      <c r="D1675" s="132"/>
      <c r="E1675" s="132"/>
    </row>
    <row r="1676" spans="1:5">
      <c r="A1676" s="122"/>
      <c r="B1676" s="125"/>
      <c r="C1676" s="125"/>
      <c r="D1676" s="132"/>
      <c r="E1676" s="132"/>
    </row>
    <row r="1677" spans="1:5">
      <c r="A1677" s="122"/>
      <c r="B1677" s="125"/>
      <c r="C1677" s="125"/>
      <c r="D1677" s="132"/>
      <c r="E1677" s="132"/>
    </row>
    <row r="1678" spans="1:5">
      <c r="A1678" s="122"/>
      <c r="B1678" s="125"/>
      <c r="C1678" s="125"/>
      <c r="D1678" s="132"/>
      <c r="E1678" s="132"/>
    </row>
    <row r="1679" spans="1:5">
      <c r="A1679" s="122"/>
      <c r="B1679" s="125"/>
      <c r="C1679" s="125"/>
      <c r="D1679" s="132"/>
      <c r="E1679" s="132"/>
    </row>
    <row r="1680" spans="1:5">
      <c r="A1680" s="122"/>
      <c r="B1680" s="125"/>
      <c r="C1680" s="125"/>
      <c r="D1680" s="132"/>
      <c r="E1680" s="132"/>
    </row>
    <row r="1681" spans="1:5">
      <c r="A1681" s="122"/>
      <c r="B1681" s="125"/>
      <c r="C1681" s="125"/>
      <c r="D1681" s="132"/>
      <c r="E1681" s="132"/>
    </row>
    <row r="1682" spans="1:5">
      <c r="A1682" s="122"/>
      <c r="B1682" s="125"/>
      <c r="C1682" s="125"/>
      <c r="D1682" s="132"/>
      <c r="E1682" s="132"/>
    </row>
    <row r="1683" spans="1:5">
      <c r="A1683" s="122"/>
      <c r="B1683" s="125"/>
      <c r="C1683" s="125"/>
      <c r="D1683" s="132"/>
      <c r="E1683" s="132"/>
    </row>
    <row r="1684" spans="1:5">
      <c r="A1684" s="122"/>
      <c r="B1684" s="125"/>
      <c r="C1684" s="125"/>
      <c r="D1684" s="132"/>
      <c r="E1684" s="132"/>
    </row>
    <row r="1685" spans="1:5">
      <c r="A1685" s="122"/>
      <c r="B1685" s="125"/>
      <c r="C1685" s="125"/>
      <c r="D1685" s="132"/>
      <c r="E1685" s="132"/>
    </row>
    <row r="1686" spans="1:5">
      <c r="A1686" s="122"/>
      <c r="B1686" s="125"/>
      <c r="C1686" s="125"/>
      <c r="D1686" s="132"/>
      <c r="E1686" s="132"/>
    </row>
    <row r="1687" spans="1:5">
      <c r="A1687" s="122"/>
      <c r="B1687" s="125"/>
      <c r="C1687" s="125"/>
      <c r="D1687" s="132"/>
      <c r="E1687" s="132"/>
    </row>
    <row r="1688" spans="1:5">
      <c r="A1688" s="122"/>
      <c r="B1688" s="125"/>
      <c r="C1688" s="125"/>
      <c r="D1688" s="132"/>
      <c r="E1688" s="132"/>
    </row>
    <row r="1689" spans="1:5">
      <c r="A1689" s="122"/>
      <c r="B1689" s="125"/>
      <c r="C1689" s="125"/>
      <c r="D1689" s="132"/>
      <c r="E1689" s="132"/>
    </row>
    <row r="1690" spans="1:5">
      <c r="A1690" s="122"/>
      <c r="B1690" s="125"/>
      <c r="C1690" s="125"/>
      <c r="D1690" s="132"/>
      <c r="E1690" s="132"/>
    </row>
    <row r="1691" spans="1:5">
      <c r="A1691" s="122"/>
      <c r="B1691" s="125"/>
      <c r="C1691" s="125"/>
      <c r="D1691" s="132"/>
      <c r="E1691" s="132"/>
    </row>
    <row r="1692" spans="1:5">
      <c r="A1692" s="122"/>
      <c r="B1692" s="125"/>
      <c r="C1692" s="125"/>
      <c r="D1692" s="132"/>
      <c r="E1692" s="132"/>
    </row>
    <row r="1693" spans="1:5">
      <c r="A1693" s="122"/>
      <c r="B1693" s="125"/>
      <c r="C1693" s="125"/>
      <c r="D1693" s="132"/>
      <c r="E1693" s="132"/>
    </row>
    <row r="1694" spans="1:5">
      <c r="A1694" s="122"/>
      <c r="B1694" s="125"/>
      <c r="C1694" s="125"/>
      <c r="D1694" s="132"/>
      <c r="E1694" s="132"/>
    </row>
    <row r="1695" spans="1:5">
      <c r="A1695" s="122"/>
      <c r="B1695" s="125"/>
      <c r="C1695" s="125"/>
      <c r="D1695" s="132"/>
      <c r="E1695" s="132"/>
    </row>
    <row r="1696" spans="1:5">
      <c r="A1696" s="122"/>
      <c r="B1696" s="125"/>
      <c r="C1696" s="125"/>
      <c r="D1696" s="132"/>
      <c r="E1696" s="132"/>
    </row>
    <row r="1697" spans="1:5">
      <c r="A1697" s="122"/>
      <c r="B1697" s="125"/>
      <c r="C1697" s="125"/>
      <c r="D1697" s="132"/>
      <c r="E1697" s="132"/>
    </row>
    <row r="1698" spans="1:5">
      <c r="A1698" s="122"/>
      <c r="B1698" s="125"/>
      <c r="C1698" s="125"/>
      <c r="D1698" s="132"/>
      <c r="E1698" s="132"/>
    </row>
    <row r="1699" spans="1:5">
      <c r="A1699" s="122"/>
      <c r="B1699" s="125"/>
      <c r="C1699" s="125"/>
      <c r="D1699" s="132"/>
      <c r="E1699" s="132"/>
    </row>
    <row r="1700" spans="1:5">
      <c r="A1700" s="122"/>
      <c r="B1700" s="125"/>
      <c r="C1700" s="125"/>
      <c r="D1700" s="132"/>
      <c r="E1700" s="132"/>
    </row>
    <row r="1701" spans="1:5">
      <c r="A1701" s="122"/>
      <c r="B1701" s="125"/>
      <c r="C1701" s="125"/>
      <c r="D1701" s="132"/>
      <c r="E1701" s="132"/>
    </row>
    <row r="1702" spans="1:5">
      <c r="A1702" s="122"/>
      <c r="B1702" s="125"/>
      <c r="C1702" s="125"/>
      <c r="D1702" s="132"/>
      <c r="E1702" s="132"/>
    </row>
    <row r="1703" spans="1:5">
      <c r="A1703" s="122"/>
      <c r="B1703" s="125"/>
      <c r="C1703" s="125"/>
      <c r="D1703" s="132"/>
      <c r="E1703" s="132"/>
    </row>
    <row r="1704" spans="1:5">
      <c r="A1704" s="122"/>
      <c r="B1704" s="125"/>
      <c r="C1704" s="125"/>
      <c r="D1704" s="132"/>
      <c r="E1704" s="132"/>
    </row>
    <row r="1705" spans="1:5">
      <c r="A1705" s="122"/>
      <c r="B1705" s="125"/>
      <c r="C1705" s="125"/>
      <c r="D1705" s="132"/>
      <c r="E1705" s="132"/>
    </row>
    <row r="1706" spans="1:5">
      <c r="A1706" s="122"/>
      <c r="B1706" s="125"/>
      <c r="C1706" s="125"/>
      <c r="D1706" s="132"/>
      <c r="E1706" s="132"/>
    </row>
    <row r="1707" spans="1:5">
      <c r="A1707" s="122"/>
      <c r="B1707" s="125"/>
      <c r="C1707" s="125"/>
      <c r="D1707" s="132"/>
      <c r="E1707" s="132"/>
    </row>
    <row r="1708" spans="1:5">
      <c r="A1708" s="122"/>
      <c r="B1708" s="125"/>
      <c r="C1708" s="125"/>
      <c r="D1708" s="132"/>
      <c r="E1708" s="132"/>
    </row>
    <row r="1709" spans="1:5">
      <c r="A1709" s="122"/>
      <c r="B1709" s="125"/>
      <c r="C1709" s="125"/>
      <c r="D1709" s="132"/>
      <c r="E1709" s="132"/>
    </row>
    <row r="1710" spans="1:5">
      <c r="A1710" s="122"/>
      <c r="B1710" s="125"/>
      <c r="C1710" s="125"/>
      <c r="D1710" s="132"/>
      <c r="E1710" s="132"/>
    </row>
    <row r="1711" spans="1:5">
      <c r="A1711" s="122"/>
      <c r="B1711" s="125"/>
      <c r="C1711" s="125"/>
      <c r="D1711" s="132"/>
      <c r="E1711" s="132"/>
    </row>
    <row r="1712" spans="1:5">
      <c r="A1712" s="122"/>
      <c r="B1712" s="125"/>
      <c r="C1712" s="125"/>
      <c r="D1712" s="132"/>
      <c r="E1712" s="132"/>
    </row>
    <row r="1713" spans="1:5">
      <c r="A1713" s="122"/>
      <c r="B1713" s="125"/>
      <c r="C1713" s="125"/>
      <c r="D1713" s="132"/>
      <c r="E1713" s="132"/>
    </row>
    <row r="1714" spans="1:5">
      <c r="A1714" s="122"/>
      <c r="B1714" s="125"/>
      <c r="C1714" s="125"/>
      <c r="D1714" s="132"/>
      <c r="E1714" s="132"/>
    </row>
    <row r="1715" spans="1:5">
      <c r="A1715" s="122"/>
      <c r="B1715" s="125"/>
      <c r="C1715" s="125"/>
      <c r="D1715" s="132"/>
      <c r="E1715" s="132"/>
    </row>
    <row r="1716" spans="1:5">
      <c r="A1716" s="122"/>
      <c r="B1716" s="125"/>
      <c r="C1716" s="125"/>
      <c r="D1716" s="132"/>
      <c r="E1716" s="132"/>
    </row>
    <row r="1717" spans="1:5">
      <c r="A1717" s="122"/>
      <c r="B1717" s="125"/>
      <c r="C1717" s="125"/>
      <c r="D1717" s="132"/>
      <c r="E1717" s="132"/>
    </row>
    <row r="1718" spans="1:5">
      <c r="A1718" s="122"/>
      <c r="B1718" s="125"/>
      <c r="C1718" s="125"/>
      <c r="D1718" s="132"/>
      <c r="E1718" s="132"/>
    </row>
    <row r="1719" spans="1:5">
      <c r="A1719" s="122"/>
      <c r="B1719" s="125"/>
      <c r="C1719" s="125"/>
      <c r="D1719" s="132"/>
      <c r="E1719" s="132"/>
    </row>
    <row r="1720" spans="1:5">
      <c r="A1720" s="122"/>
      <c r="B1720" s="125"/>
      <c r="C1720" s="125"/>
      <c r="D1720" s="132"/>
      <c r="E1720" s="132"/>
    </row>
    <row r="1721" spans="1:5">
      <c r="A1721" s="122"/>
      <c r="B1721" s="125"/>
      <c r="C1721" s="125"/>
      <c r="D1721" s="132"/>
      <c r="E1721" s="132"/>
    </row>
    <row r="1722" spans="1:5">
      <c r="A1722" s="122"/>
      <c r="B1722" s="125"/>
      <c r="C1722" s="125"/>
      <c r="D1722" s="132"/>
      <c r="E1722" s="132"/>
    </row>
    <row r="1723" spans="1:5">
      <c r="A1723" s="122"/>
      <c r="B1723" s="125"/>
      <c r="C1723" s="125"/>
      <c r="D1723" s="132"/>
      <c r="E1723" s="132"/>
    </row>
    <row r="1724" spans="1:5">
      <c r="A1724" s="122"/>
      <c r="B1724" s="125"/>
      <c r="C1724" s="125"/>
      <c r="D1724" s="132"/>
      <c r="E1724" s="132"/>
    </row>
    <row r="1725" spans="1:5">
      <c r="A1725" s="122"/>
      <c r="B1725" s="125"/>
      <c r="C1725" s="125"/>
      <c r="D1725" s="132"/>
      <c r="E1725" s="132"/>
    </row>
    <row r="1726" spans="1:5">
      <c r="A1726" s="122"/>
      <c r="B1726" s="125"/>
      <c r="C1726" s="125"/>
      <c r="D1726" s="132"/>
      <c r="E1726" s="132"/>
    </row>
    <row r="1727" spans="1:5">
      <c r="A1727" s="122"/>
      <c r="B1727" s="125"/>
      <c r="C1727" s="125"/>
      <c r="D1727" s="132"/>
      <c r="E1727" s="132"/>
    </row>
    <row r="1728" spans="1:5">
      <c r="A1728" s="122"/>
      <c r="B1728" s="125"/>
      <c r="C1728" s="125"/>
      <c r="D1728" s="132"/>
      <c r="E1728" s="132"/>
    </row>
    <row r="1729" spans="1:5">
      <c r="A1729" s="122"/>
      <c r="B1729" s="125"/>
      <c r="C1729" s="125"/>
      <c r="D1729" s="132"/>
      <c r="E1729" s="132"/>
    </row>
    <row r="1730" spans="1:5">
      <c r="A1730" s="122"/>
      <c r="B1730" s="125"/>
      <c r="C1730" s="125"/>
      <c r="D1730" s="132"/>
      <c r="E1730" s="132"/>
    </row>
    <row r="1731" spans="1:5">
      <c r="A1731" s="122"/>
      <c r="B1731" s="125"/>
      <c r="C1731" s="125"/>
      <c r="D1731" s="132"/>
      <c r="E1731" s="132"/>
    </row>
    <row r="1732" spans="1:5">
      <c r="A1732" s="122"/>
      <c r="B1732" s="125"/>
      <c r="C1732" s="125"/>
      <c r="D1732" s="132"/>
      <c r="E1732" s="132"/>
    </row>
    <row r="1733" spans="1:5">
      <c r="A1733" s="122"/>
      <c r="B1733" s="125"/>
      <c r="C1733" s="125"/>
      <c r="D1733" s="132"/>
      <c r="E1733" s="132"/>
    </row>
    <row r="1734" spans="1:5">
      <c r="A1734" s="122"/>
      <c r="B1734" s="125"/>
      <c r="C1734" s="125"/>
      <c r="D1734" s="132"/>
      <c r="E1734" s="132"/>
    </row>
    <row r="1735" spans="1:5">
      <c r="A1735" s="122"/>
      <c r="B1735" s="125"/>
      <c r="C1735" s="125"/>
      <c r="D1735" s="132"/>
      <c r="E1735" s="132"/>
    </row>
    <row r="1736" spans="1:5">
      <c r="A1736" s="122"/>
      <c r="B1736" s="125"/>
      <c r="C1736" s="125"/>
      <c r="D1736" s="132"/>
      <c r="E1736" s="132"/>
    </row>
    <row r="1737" spans="1:5">
      <c r="A1737" s="122"/>
      <c r="B1737" s="125"/>
      <c r="C1737" s="125"/>
      <c r="D1737" s="132"/>
      <c r="E1737" s="132"/>
    </row>
    <row r="1738" spans="1:5">
      <c r="A1738" s="122"/>
      <c r="B1738" s="125"/>
      <c r="C1738" s="125"/>
      <c r="D1738" s="132"/>
      <c r="E1738" s="132"/>
    </row>
    <row r="1739" spans="1:5">
      <c r="A1739" s="122"/>
      <c r="B1739" s="125"/>
      <c r="C1739" s="125"/>
      <c r="D1739" s="132"/>
      <c r="E1739" s="132"/>
    </row>
    <row r="1740" spans="1:5">
      <c r="A1740" s="122"/>
      <c r="B1740" s="125"/>
      <c r="C1740" s="125"/>
      <c r="D1740" s="132"/>
      <c r="E1740" s="132"/>
    </row>
    <row r="1741" spans="1:5">
      <c r="A1741" s="122"/>
      <c r="B1741" s="125"/>
      <c r="C1741" s="125"/>
      <c r="D1741" s="132"/>
      <c r="E1741" s="132"/>
    </row>
    <row r="1742" spans="1:5">
      <c r="A1742" s="122"/>
      <c r="B1742" s="125"/>
      <c r="C1742" s="125"/>
      <c r="D1742" s="132"/>
      <c r="E1742" s="132"/>
    </row>
    <row r="1743" spans="1:5">
      <c r="A1743" s="122"/>
      <c r="B1743" s="125"/>
      <c r="C1743" s="125"/>
      <c r="D1743" s="132"/>
      <c r="E1743" s="132"/>
    </row>
    <row r="1744" spans="1:5">
      <c r="A1744" s="122"/>
      <c r="B1744" s="125"/>
      <c r="C1744" s="125"/>
      <c r="D1744" s="132"/>
      <c r="E1744" s="132"/>
    </row>
    <row r="1745" spans="1:5">
      <c r="A1745" s="122"/>
      <c r="B1745" s="125"/>
      <c r="C1745" s="125"/>
      <c r="D1745" s="132"/>
      <c r="E1745" s="132"/>
    </row>
    <row r="1746" spans="1:5">
      <c r="A1746" s="122"/>
      <c r="B1746" s="125"/>
      <c r="C1746" s="125"/>
      <c r="D1746" s="132"/>
      <c r="E1746" s="132"/>
    </row>
    <row r="1747" spans="1:5">
      <c r="A1747" s="122"/>
      <c r="B1747" s="125"/>
      <c r="C1747" s="125"/>
      <c r="D1747" s="132"/>
      <c r="E1747" s="132"/>
    </row>
    <row r="1748" spans="1:5">
      <c r="A1748" s="122"/>
      <c r="B1748" s="125"/>
      <c r="C1748" s="125"/>
      <c r="D1748" s="132"/>
      <c r="E1748" s="132"/>
    </row>
    <row r="1749" spans="1:5">
      <c r="A1749" s="122"/>
      <c r="B1749" s="125"/>
      <c r="C1749" s="125"/>
      <c r="D1749" s="132"/>
      <c r="E1749" s="132"/>
    </row>
    <row r="1750" spans="1:5">
      <c r="A1750" s="122"/>
      <c r="B1750" s="125"/>
      <c r="C1750" s="125"/>
      <c r="D1750" s="132"/>
      <c r="E1750" s="132"/>
    </row>
    <row r="1751" spans="1:5">
      <c r="A1751" s="122"/>
      <c r="B1751" s="125"/>
      <c r="C1751" s="125"/>
      <c r="D1751" s="132"/>
      <c r="E1751" s="132"/>
    </row>
    <row r="1752" spans="1:5">
      <c r="A1752" s="122"/>
      <c r="B1752" s="125"/>
      <c r="C1752" s="125"/>
      <c r="D1752" s="132"/>
      <c r="E1752" s="132"/>
    </row>
    <row r="1753" spans="1:5">
      <c r="A1753" s="122"/>
      <c r="B1753" s="125"/>
      <c r="C1753" s="125"/>
      <c r="D1753" s="132"/>
      <c r="E1753" s="132"/>
    </row>
    <row r="1754" spans="1:5">
      <c r="A1754" s="122"/>
      <c r="B1754" s="125"/>
      <c r="C1754" s="125"/>
      <c r="D1754" s="132"/>
      <c r="E1754" s="132"/>
    </row>
    <row r="1755" spans="1:5">
      <c r="A1755" s="122"/>
      <c r="B1755" s="125"/>
      <c r="C1755" s="125"/>
      <c r="D1755" s="132"/>
      <c r="E1755" s="132"/>
    </row>
    <row r="1756" spans="1:5">
      <c r="A1756" s="122"/>
      <c r="B1756" s="125"/>
      <c r="C1756" s="125"/>
      <c r="D1756" s="132"/>
      <c r="E1756" s="132"/>
    </row>
    <row r="1757" spans="1:5">
      <c r="A1757" s="122"/>
      <c r="B1757" s="125"/>
      <c r="C1757" s="125"/>
      <c r="D1757" s="132"/>
      <c r="E1757" s="132"/>
    </row>
    <row r="1758" spans="1:5">
      <c r="A1758" s="122"/>
      <c r="B1758" s="125"/>
      <c r="C1758" s="125"/>
      <c r="D1758" s="132"/>
      <c r="E1758" s="132"/>
    </row>
    <row r="1759" spans="1:5">
      <c r="A1759" s="122"/>
      <c r="B1759" s="125"/>
      <c r="C1759" s="125"/>
      <c r="D1759" s="132"/>
      <c r="E1759" s="132"/>
    </row>
    <row r="1760" spans="1:5">
      <c r="A1760" s="122"/>
      <c r="B1760" s="125"/>
      <c r="C1760" s="125"/>
      <c r="D1760" s="132"/>
      <c r="E1760" s="132"/>
    </row>
    <row r="1761" spans="1:5">
      <c r="A1761" s="122"/>
      <c r="B1761" s="125"/>
      <c r="C1761" s="125"/>
      <c r="D1761" s="132"/>
      <c r="E1761" s="132"/>
    </row>
    <row r="1762" spans="1:5">
      <c r="A1762" s="122"/>
      <c r="B1762" s="125"/>
      <c r="C1762" s="125"/>
      <c r="D1762" s="132"/>
      <c r="E1762" s="132"/>
    </row>
    <row r="1763" spans="1:5">
      <c r="A1763" s="122"/>
      <c r="B1763" s="125"/>
      <c r="C1763" s="125"/>
      <c r="D1763" s="132"/>
      <c r="E1763" s="132"/>
    </row>
    <row r="1764" spans="1:5">
      <c r="A1764" s="122"/>
      <c r="B1764" s="125"/>
      <c r="C1764" s="125"/>
      <c r="D1764" s="132"/>
      <c r="E1764" s="132"/>
    </row>
    <row r="1765" spans="1:5">
      <c r="A1765" s="122"/>
      <c r="B1765" s="125"/>
      <c r="C1765" s="125"/>
      <c r="D1765" s="132"/>
      <c r="E1765" s="132"/>
    </row>
    <row r="1766" spans="1:5">
      <c r="A1766" s="122"/>
      <c r="B1766" s="125"/>
      <c r="C1766" s="125"/>
      <c r="D1766" s="132"/>
      <c r="E1766" s="132"/>
    </row>
    <row r="1767" spans="1:5">
      <c r="A1767" s="122"/>
      <c r="B1767" s="125"/>
      <c r="C1767" s="125"/>
      <c r="D1767" s="132"/>
      <c r="E1767" s="132"/>
    </row>
    <row r="1768" spans="1:5">
      <c r="A1768" s="122"/>
      <c r="B1768" s="125"/>
      <c r="C1768" s="125"/>
      <c r="D1768" s="132"/>
      <c r="E1768" s="132"/>
    </row>
    <row r="1769" spans="1:5">
      <c r="A1769" s="122"/>
      <c r="B1769" s="125"/>
      <c r="C1769" s="125"/>
      <c r="D1769" s="132"/>
      <c r="E1769" s="132"/>
    </row>
    <row r="1770" spans="1:5">
      <c r="A1770" s="122"/>
      <c r="B1770" s="125"/>
      <c r="C1770" s="125"/>
      <c r="D1770" s="132"/>
      <c r="E1770" s="132"/>
    </row>
    <row r="1771" spans="1:5">
      <c r="A1771" s="122"/>
      <c r="B1771" s="125"/>
      <c r="C1771" s="125"/>
      <c r="D1771" s="132"/>
      <c r="E1771" s="132"/>
    </row>
    <row r="1772" spans="1:5">
      <c r="A1772" s="122"/>
      <c r="B1772" s="125"/>
      <c r="C1772" s="125"/>
      <c r="D1772" s="132"/>
      <c r="E1772" s="132"/>
    </row>
    <row r="1773" spans="1:5">
      <c r="A1773" s="122"/>
      <c r="B1773" s="125"/>
      <c r="C1773" s="125"/>
      <c r="D1773" s="132"/>
      <c r="E1773" s="132"/>
    </row>
    <row r="1774" spans="1:5">
      <c r="A1774" s="122"/>
      <c r="B1774" s="125"/>
      <c r="C1774" s="125"/>
      <c r="D1774" s="132"/>
      <c r="E1774" s="132"/>
    </row>
    <row r="1775" spans="1:5">
      <c r="A1775" s="122"/>
      <c r="B1775" s="125"/>
      <c r="C1775" s="125"/>
      <c r="D1775" s="132"/>
      <c r="E1775" s="132"/>
    </row>
    <row r="1776" spans="1:5">
      <c r="A1776" s="122"/>
      <c r="B1776" s="125"/>
      <c r="C1776" s="125"/>
      <c r="D1776" s="132"/>
      <c r="E1776" s="132"/>
    </row>
    <row r="1777" spans="1:5">
      <c r="A1777" s="122"/>
      <c r="B1777" s="125"/>
      <c r="C1777" s="125"/>
      <c r="D1777" s="132"/>
      <c r="E1777" s="132"/>
    </row>
    <row r="1778" spans="1:5">
      <c r="A1778" s="122"/>
      <c r="B1778" s="125"/>
      <c r="C1778" s="125"/>
      <c r="D1778" s="132"/>
      <c r="E1778" s="132"/>
    </row>
    <row r="1779" spans="1:5">
      <c r="A1779" s="122"/>
      <c r="B1779" s="125"/>
      <c r="C1779" s="125"/>
      <c r="D1779" s="132"/>
      <c r="E1779" s="132"/>
    </row>
    <row r="1780" spans="1:5">
      <c r="A1780" s="122"/>
      <c r="B1780" s="125"/>
      <c r="C1780" s="125"/>
      <c r="D1780" s="132"/>
      <c r="E1780" s="132"/>
    </row>
    <row r="1781" spans="1:5">
      <c r="A1781" s="122"/>
      <c r="B1781" s="125"/>
      <c r="C1781" s="125"/>
      <c r="D1781" s="132"/>
      <c r="E1781" s="132"/>
    </row>
    <row r="1782" spans="1:5">
      <c r="A1782" s="122"/>
      <c r="B1782" s="125"/>
      <c r="C1782" s="125"/>
      <c r="D1782" s="132"/>
      <c r="E1782" s="132"/>
    </row>
    <row r="1783" spans="1:5">
      <c r="A1783" s="122"/>
      <c r="B1783" s="125"/>
      <c r="C1783" s="125"/>
      <c r="D1783" s="132"/>
      <c r="E1783" s="132"/>
    </row>
    <row r="1784" spans="1:5">
      <c r="A1784" s="122"/>
      <c r="B1784" s="125"/>
      <c r="C1784" s="125"/>
      <c r="D1784" s="132"/>
      <c r="E1784" s="132"/>
    </row>
    <row r="1785" spans="1:5">
      <c r="A1785" s="122"/>
      <c r="B1785" s="125"/>
      <c r="C1785" s="125"/>
      <c r="D1785" s="132"/>
      <c r="E1785" s="132"/>
    </row>
    <row r="1786" spans="1:5">
      <c r="A1786" s="122"/>
      <c r="B1786" s="125"/>
      <c r="C1786" s="125"/>
      <c r="D1786" s="132"/>
      <c r="E1786" s="132"/>
    </row>
    <row r="1787" spans="1:5">
      <c r="A1787" s="122"/>
      <c r="B1787" s="125"/>
      <c r="C1787" s="125"/>
      <c r="D1787" s="132"/>
      <c r="E1787" s="132"/>
    </row>
    <row r="1788" spans="1:5">
      <c r="A1788" s="122"/>
      <c r="B1788" s="125"/>
      <c r="C1788" s="125"/>
      <c r="D1788" s="132"/>
      <c r="E1788" s="132"/>
    </row>
    <row r="1789" spans="1:5">
      <c r="A1789" s="122"/>
      <c r="B1789" s="125"/>
      <c r="C1789" s="125"/>
      <c r="D1789" s="132"/>
      <c r="E1789" s="132"/>
    </row>
    <row r="1790" spans="1:5">
      <c r="A1790" s="122"/>
      <c r="B1790" s="125"/>
      <c r="C1790" s="125"/>
      <c r="D1790" s="132"/>
      <c r="E1790" s="132"/>
    </row>
    <row r="1791" spans="1:5">
      <c r="A1791" s="122"/>
      <c r="B1791" s="125"/>
      <c r="C1791" s="125"/>
      <c r="D1791" s="132"/>
      <c r="E1791" s="132"/>
    </row>
    <row r="1792" spans="1:5">
      <c r="A1792" s="122"/>
      <c r="B1792" s="125"/>
      <c r="C1792" s="125"/>
      <c r="D1792" s="132"/>
      <c r="E1792" s="132"/>
    </row>
    <row r="1793" spans="1:5">
      <c r="A1793" s="122"/>
      <c r="B1793" s="125"/>
      <c r="C1793" s="125"/>
      <c r="D1793" s="132"/>
      <c r="E1793" s="132"/>
    </row>
    <row r="1794" spans="1:5">
      <c r="A1794" s="122"/>
      <c r="B1794" s="125"/>
      <c r="C1794" s="125"/>
      <c r="D1794" s="132"/>
      <c r="E1794" s="132"/>
    </row>
    <row r="1795" spans="1:5">
      <c r="A1795" s="122"/>
      <c r="B1795" s="125"/>
      <c r="C1795" s="125"/>
      <c r="D1795" s="132"/>
      <c r="E1795" s="132"/>
    </row>
    <row r="1796" spans="1:5">
      <c r="A1796" s="122"/>
      <c r="B1796" s="125"/>
      <c r="C1796" s="125"/>
      <c r="D1796" s="132"/>
      <c r="E1796" s="132"/>
    </row>
    <row r="1797" spans="1:5">
      <c r="A1797" s="122"/>
      <c r="B1797" s="125"/>
      <c r="C1797" s="125"/>
      <c r="D1797" s="132"/>
      <c r="E1797" s="132"/>
    </row>
    <row r="1798" spans="1:5">
      <c r="A1798" s="122"/>
      <c r="B1798" s="125"/>
      <c r="C1798" s="125"/>
      <c r="D1798" s="132"/>
      <c r="E1798" s="132"/>
    </row>
    <row r="1799" spans="1:5">
      <c r="A1799" s="122"/>
      <c r="B1799" s="125"/>
      <c r="C1799" s="125"/>
      <c r="D1799" s="132"/>
      <c r="E1799" s="132"/>
    </row>
    <row r="1800" spans="1:5">
      <c r="A1800" s="122"/>
      <c r="B1800" s="125"/>
      <c r="C1800" s="125"/>
      <c r="D1800" s="132"/>
      <c r="E1800" s="132"/>
    </row>
    <row r="1801" spans="1:5">
      <c r="A1801" s="122"/>
      <c r="B1801" s="125"/>
      <c r="C1801" s="125"/>
      <c r="D1801" s="132"/>
      <c r="E1801" s="132"/>
    </row>
    <row r="1802" spans="1:5">
      <c r="A1802" s="122"/>
      <c r="B1802" s="125"/>
      <c r="C1802" s="125"/>
      <c r="D1802" s="132"/>
      <c r="E1802" s="132"/>
    </row>
    <row r="1803" spans="1:5">
      <c r="A1803" s="122"/>
      <c r="B1803" s="125"/>
      <c r="C1803" s="125"/>
      <c r="D1803" s="132"/>
      <c r="E1803" s="132"/>
    </row>
    <row r="1804" spans="1:5">
      <c r="A1804" s="122"/>
      <c r="B1804" s="125"/>
      <c r="C1804" s="125"/>
      <c r="D1804" s="132"/>
      <c r="E1804" s="132"/>
    </row>
    <row r="1805" spans="1:5">
      <c r="A1805" s="122"/>
      <c r="B1805" s="125"/>
      <c r="C1805" s="125"/>
      <c r="D1805" s="132"/>
      <c r="E1805" s="132"/>
    </row>
    <row r="1806" spans="1:5">
      <c r="A1806" s="122"/>
      <c r="B1806" s="125"/>
      <c r="C1806" s="125"/>
      <c r="D1806" s="132"/>
      <c r="E1806" s="132"/>
    </row>
    <row r="1807" spans="1:5">
      <c r="A1807" s="122"/>
      <c r="B1807" s="125"/>
      <c r="C1807" s="125"/>
      <c r="D1807" s="132"/>
      <c r="E1807" s="132"/>
    </row>
    <row r="1808" spans="1:5">
      <c r="A1808" s="122"/>
      <c r="B1808" s="125"/>
      <c r="C1808" s="125"/>
      <c r="D1808" s="132"/>
      <c r="E1808" s="132"/>
    </row>
    <row r="1809" spans="1:5">
      <c r="A1809" s="122"/>
      <c r="B1809" s="125"/>
      <c r="C1809" s="125"/>
      <c r="D1809" s="132"/>
      <c r="E1809" s="132"/>
    </row>
    <row r="1810" spans="1:5">
      <c r="A1810" s="122"/>
      <c r="B1810" s="125"/>
      <c r="C1810" s="125"/>
      <c r="D1810" s="132"/>
      <c r="E1810" s="132"/>
    </row>
    <row r="1811" spans="1:5">
      <c r="A1811" s="122"/>
      <c r="B1811" s="125"/>
      <c r="C1811" s="125"/>
      <c r="D1811" s="132"/>
      <c r="E1811" s="132"/>
    </row>
    <row r="1812" spans="1:5">
      <c r="A1812" s="122"/>
      <c r="B1812" s="125"/>
      <c r="C1812" s="125"/>
      <c r="D1812" s="132"/>
      <c r="E1812" s="132"/>
    </row>
    <row r="1813" spans="1:5">
      <c r="A1813" s="122"/>
      <c r="B1813" s="125"/>
      <c r="C1813" s="125"/>
      <c r="D1813" s="132"/>
      <c r="E1813" s="132"/>
    </row>
    <row r="1814" spans="1:5">
      <c r="A1814" s="122"/>
      <c r="B1814" s="125"/>
      <c r="C1814" s="125"/>
      <c r="D1814" s="132"/>
      <c r="E1814" s="132"/>
    </row>
    <row r="1815" spans="1:5">
      <c r="A1815" s="122"/>
      <c r="B1815" s="125"/>
      <c r="C1815" s="125"/>
      <c r="D1815" s="132"/>
      <c r="E1815" s="132"/>
    </row>
    <row r="1816" spans="1:5">
      <c r="A1816" s="122"/>
      <c r="B1816" s="125"/>
      <c r="C1816" s="125"/>
      <c r="D1816" s="132"/>
      <c r="E1816" s="132"/>
    </row>
    <row r="1817" spans="1:5">
      <c r="A1817" s="122"/>
      <c r="B1817" s="125"/>
      <c r="C1817" s="125"/>
      <c r="D1817" s="132"/>
      <c r="E1817" s="132"/>
    </row>
    <row r="1818" spans="1:5">
      <c r="A1818" s="122"/>
      <c r="B1818" s="125"/>
      <c r="C1818" s="125"/>
      <c r="D1818" s="132"/>
      <c r="E1818" s="132"/>
    </row>
    <row r="1819" spans="1:5">
      <c r="A1819" s="122"/>
      <c r="B1819" s="125"/>
      <c r="C1819" s="125"/>
      <c r="D1819" s="132"/>
      <c r="E1819" s="132"/>
    </row>
    <row r="1820" spans="1:5">
      <c r="A1820" s="122"/>
      <c r="B1820" s="125"/>
      <c r="C1820" s="125"/>
      <c r="D1820" s="132"/>
      <c r="E1820" s="132"/>
    </row>
    <row r="1821" spans="1:5">
      <c r="A1821" s="122"/>
      <c r="B1821" s="125"/>
      <c r="C1821" s="125"/>
      <c r="D1821" s="132"/>
      <c r="E1821" s="132"/>
    </row>
    <row r="1822" spans="1:5">
      <c r="A1822" s="122"/>
      <c r="B1822" s="125"/>
      <c r="C1822" s="125"/>
      <c r="D1822" s="132"/>
      <c r="E1822" s="132"/>
    </row>
    <row r="1823" spans="1:5">
      <c r="A1823" s="122"/>
      <c r="B1823" s="125"/>
      <c r="C1823" s="125"/>
      <c r="D1823" s="132"/>
      <c r="E1823" s="132"/>
    </row>
    <row r="1824" spans="1:5">
      <c r="A1824" s="122"/>
      <c r="B1824" s="125"/>
      <c r="C1824" s="125"/>
      <c r="D1824" s="132"/>
      <c r="E1824" s="132"/>
    </row>
    <row r="1825" spans="1:5">
      <c r="A1825" s="122"/>
      <c r="B1825" s="125"/>
      <c r="C1825" s="125"/>
      <c r="D1825" s="132"/>
      <c r="E1825" s="132"/>
    </row>
    <row r="1826" spans="1:5">
      <c r="A1826" s="122"/>
      <c r="B1826" s="125"/>
      <c r="C1826" s="125"/>
      <c r="D1826" s="132"/>
      <c r="E1826" s="132"/>
    </row>
    <row r="1827" spans="1:5">
      <c r="A1827" s="122"/>
      <c r="B1827" s="125"/>
      <c r="C1827" s="125"/>
      <c r="D1827" s="132"/>
      <c r="E1827" s="132"/>
    </row>
    <row r="1828" spans="1:5">
      <c r="A1828" s="122"/>
      <c r="B1828" s="125"/>
      <c r="C1828" s="125"/>
      <c r="D1828" s="132"/>
      <c r="E1828" s="132"/>
    </row>
    <row r="1829" spans="1:5">
      <c r="A1829" s="122"/>
      <c r="B1829" s="125"/>
      <c r="C1829" s="125"/>
      <c r="D1829" s="132"/>
      <c r="E1829" s="132"/>
    </row>
    <row r="1830" spans="1:5">
      <c r="A1830" s="122"/>
      <c r="B1830" s="125"/>
      <c r="C1830" s="125"/>
      <c r="D1830" s="132"/>
      <c r="E1830" s="132"/>
    </row>
    <row r="1831" spans="1:5">
      <c r="A1831" s="122"/>
      <c r="B1831" s="125"/>
      <c r="C1831" s="125"/>
      <c r="D1831" s="132"/>
      <c r="E1831" s="132"/>
    </row>
    <row r="1832" spans="1:5">
      <c r="A1832" s="122"/>
      <c r="B1832" s="125"/>
      <c r="C1832" s="125"/>
      <c r="D1832" s="132"/>
      <c r="E1832" s="132"/>
    </row>
    <row r="1833" spans="1:5">
      <c r="A1833" s="122"/>
      <c r="B1833" s="125"/>
      <c r="C1833" s="125"/>
      <c r="D1833" s="132"/>
      <c r="E1833" s="132"/>
    </row>
    <row r="1834" spans="1:5">
      <c r="A1834" s="122"/>
      <c r="B1834" s="125"/>
      <c r="C1834" s="125"/>
      <c r="D1834" s="132"/>
      <c r="E1834" s="132"/>
    </row>
    <row r="1835" spans="1:5">
      <c r="A1835" s="122"/>
      <c r="B1835" s="125"/>
      <c r="C1835" s="125"/>
      <c r="D1835" s="132"/>
      <c r="E1835" s="132"/>
    </row>
    <row r="1836" spans="1:5">
      <c r="A1836" s="122"/>
      <c r="B1836" s="125"/>
      <c r="C1836" s="125"/>
      <c r="D1836" s="132"/>
      <c r="E1836" s="132"/>
    </row>
    <row r="1837" spans="1:5">
      <c r="A1837" s="122"/>
      <c r="B1837" s="125"/>
      <c r="C1837" s="125"/>
      <c r="D1837" s="132"/>
      <c r="E1837" s="132"/>
    </row>
    <row r="1838" spans="1:5">
      <c r="A1838" s="122"/>
      <c r="B1838" s="125"/>
      <c r="C1838" s="125"/>
      <c r="D1838" s="132"/>
      <c r="E1838" s="132"/>
    </row>
    <row r="1839" spans="1:5">
      <c r="A1839" s="122"/>
      <c r="B1839" s="125"/>
      <c r="C1839" s="125"/>
      <c r="D1839" s="132"/>
      <c r="E1839" s="132"/>
    </row>
    <row r="1840" spans="1:5">
      <c r="A1840" s="122"/>
      <c r="B1840" s="125"/>
      <c r="C1840" s="125"/>
      <c r="D1840" s="132"/>
      <c r="E1840" s="132"/>
    </row>
    <row r="1841" spans="1:5">
      <c r="A1841" s="122"/>
      <c r="B1841" s="125"/>
      <c r="C1841" s="125"/>
      <c r="D1841" s="132"/>
      <c r="E1841" s="132"/>
    </row>
    <row r="1842" spans="1:5">
      <c r="A1842" s="122"/>
      <c r="B1842" s="125"/>
      <c r="C1842" s="125"/>
      <c r="D1842" s="132"/>
      <c r="E1842" s="132"/>
    </row>
    <row r="1843" spans="1:5">
      <c r="A1843" s="122"/>
      <c r="B1843" s="125"/>
      <c r="C1843" s="125"/>
      <c r="D1843" s="132"/>
      <c r="E1843" s="132"/>
    </row>
    <row r="1844" spans="1:5">
      <c r="A1844" s="122"/>
      <c r="B1844" s="125"/>
      <c r="C1844" s="125"/>
      <c r="D1844" s="132"/>
      <c r="E1844" s="132"/>
    </row>
    <row r="1845" spans="1:5">
      <c r="A1845" s="122"/>
      <c r="B1845" s="125"/>
      <c r="C1845" s="125"/>
      <c r="D1845" s="132"/>
      <c r="E1845" s="132"/>
    </row>
    <row r="1846" spans="1:5">
      <c r="A1846" s="122"/>
      <c r="B1846" s="125"/>
      <c r="C1846" s="125"/>
      <c r="D1846" s="132"/>
      <c r="E1846" s="132"/>
    </row>
    <row r="1847" spans="1:5">
      <c r="A1847" s="122"/>
      <c r="B1847" s="125"/>
      <c r="C1847" s="125"/>
      <c r="D1847" s="132"/>
      <c r="E1847" s="132"/>
    </row>
    <row r="1848" spans="1:5">
      <c r="A1848" s="122"/>
      <c r="B1848" s="125"/>
      <c r="C1848" s="125"/>
      <c r="D1848" s="132"/>
      <c r="E1848" s="132"/>
    </row>
    <row r="1849" spans="1:5">
      <c r="A1849" s="122"/>
      <c r="B1849" s="125"/>
      <c r="C1849" s="125"/>
      <c r="D1849" s="132"/>
      <c r="E1849" s="132"/>
    </row>
    <row r="1850" spans="1:5">
      <c r="A1850" s="122"/>
      <c r="B1850" s="125"/>
      <c r="C1850" s="125"/>
      <c r="D1850" s="132"/>
      <c r="E1850" s="132"/>
    </row>
    <row r="1851" spans="1:5">
      <c r="A1851" s="122"/>
      <c r="B1851" s="125"/>
      <c r="C1851" s="125"/>
      <c r="D1851" s="132"/>
      <c r="E1851" s="132"/>
    </row>
    <row r="1852" spans="1:5">
      <c r="A1852" s="122"/>
      <c r="B1852" s="125"/>
      <c r="C1852" s="125"/>
      <c r="D1852" s="132"/>
      <c r="E1852" s="132"/>
    </row>
    <row r="1853" spans="1:5">
      <c r="A1853" s="122"/>
      <c r="B1853" s="125"/>
      <c r="C1853" s="125"/>
      <c r="D1853" s="132"/>
      <c r="E1853" s="132"/>
    </row>
    <row r="1854" spans="1:5">
      <c r="A1854" s="122"/>
      <c r="B1854" s="125"/>
      <c r="C1854" s="125"/>
      <c r="D1854" s="132"/>
      <c r="E1854" s="132"/>
    </row>
    <row r="1855" spans="1:5">
      <c r="A1855" s="122"/>
      <c r="B1855" s="125"/>
      <c r="C1855" s="125"/>
      <c r="D1855" s="132"/>
      <c r="E1855" s="132"/>
    </row>
    <row r="1856" spans="1:5">
      <c r="A1856" s="122"/>
      <c r="B1856" s="125"/>
      <c r="C1856" s="125"/>
      <c r="D1856" s="132"/>
      <c r="E1856" s="132"/>
    </row>
    <row r="1857" spans="1:5">
      <c r="A1857" s="122"/>
      <c r="B1857" s="125"/>
      <c r="C1857" s="125"/>
      <c r="D1857" s="132"/>
      <c r="E1857" s="132"/>
    </row>
    <row r="1858" spans="1:5">
      <c r="A1858" s="122"/>
      <c r="B1858" s="125"/>
      <c r="C1858" s="125"/>
      <c r="D1858" s="132"/>
      <c r="E1858" s="132"/>
    </row>
    <row r="1859" spans="1:5">
      <c r="A1859" s="122"/>
      <c r="B1859" s="125"/>
      <c r="C1859" s="125"/>
      <c r="D1859" s="132"/>
      <c r="E1859" s="132"/>
    </row>
    <row r="1860" spans="1:5">
      <c r="A1860" s="122"/>
      <c r="B1860" s="125"/>
      <c r="C1860" s="125"/>
      <c r="D1860" s="132"/>
      <c r="E1860" s="132"/>
    </row>
    <row r="1861" spans="1:5">
      <c r="A1861" s="122"/>
      <c r="B1861" s="125"/>
      <c r="C1861" s="125"/>
      <c r="D1861" s="132"/>
      <c r="E1861" s="132"/>
    </row>
    <row r="1862" spans="1:5">
      <c r="A1862" s="122"/>
      <c r="B1862" s="125"/>
      <c r="C1862" s="125"/>
      <c r="D1862" s="132"/>
      <c r="E1862" s="132"/>
    </row>
    <row r="1863" spans="1:5">
      <c r="A1863" s="122"/>
      <c r="B1863" s="125"/>
      <c r="C1863" s="125"/>
      <c r="D1863" s="132"/>
      <c r="E1863" s="132"/>
    </row>
    <row r="1864" spans="1:5">
      <c r="A1864" s="122"/>
      <c r="B1864" s="125"/>
      <c r="C1864" s="125"/>
      <c r="D1864" s="132"/>
      <c r="E1864" s="132"/>
    </row>
    <row r="1865" spans="1:5">
      <c r="A1865" s="122"/>
      <c r="B1865" s="125"/>
      <c r="C1865" s="125"/>
      <c r="D1865" s="132"/>
      <c r="E1865" s="132"/>
    </row>
    <row r="1866" spans="1:5">
      <c r="A1866" s="122"/>
      <c r="B1866" s="125"/>
      <c r="C1866" s="125"/>
      <c r="D1866" s="132"/>
      <c r="E1866" s="132"/>
    </row>
    <row r="1867" spans="1:5">
      <c r="A1867" s="122"/>
      <c r="B1867" s="125"/>
      <c r="C1867" s="125"/>
      <c r="D1867" s="132"/>
      <c r="E1867" s="132"/>
    </row>
    <row r="1868" spans="1:5">
      <c r="A1868" s="122"/>
      <c r="B1868" s="125"/>
      <c r="C1868" s="125"/>
      <c r="D1868" s="132"/>
      <c r="E1868" s="132"/>
    </row>
    <row r="1869" spans="1:5">
      <c r="A1869" s="122"/>
      <c r="B1869" s="125"/>
      <c r="C1869" s="125"/>
      <c r="D1869" s="132"/>
      <c r="E1869" s="132"/>
    </row>
    <row r="1870" spans="1:5">
      <c r="A1870" s="122"/>
      <c r="B1870" s="125"/>
      <c r="C1870" s="125"/>
      <c r="D1870" s="132"/>
      <c r="E1870" s="132"/>
    </row>
    <row r="1871" spans="1:5">
      <c r="A1871" s="122"/>
      <c r="B1871" s="125"/>
      <c r="C1871" s="125"/>
      <c r="D1871" s="132"/>
      <c r="E1871" s="132"/>
    </row>
    <row r="1872" spans="1:5">
      <c r="A1872" s="122"/>
      <c r="B1872" s="125"/>
      <c r="C1872" s="125"/>
      <c r="D1872" s="132"/>
      <c r="E1872" s="132"/>
    </row>
    <row r="1873" spans="1:5">
      <c r="A1873" s="122"/>
      <c r="B1873" s="125"/>
      <c r="C1873" s="125"/>
      <c r="D1873" s="132"/>
      <c r="E1873" s="132"/>
    </row>
    <row r="1874" spans="1:5">
      <c r="A1874" s="122"/>
      <c r="B1874" s="125"/>
      <c r="C1874" s="125"/>
      <c r="D1874" s="132"/>
      <c r="E1874" s="132"/>
    </row>
    <row r="1875" spans="1:5">
      <c r="A1875" s="122"/>
      <c r="B1875" s="125"/>
      <c r="C1875" s="125"/>
      <c r="D1875" s="132"/>
      <c r="E1875" s="132"/>
    </row>
    <row r="1876" spans="1:5">
      <c r="A1876" s="122"/>
      <c r="B1876" s="125"/>
      <c r="C1876" s="125"/>
      <c r="D1876" s="132"/>
      <c r="E1876" s="132"/>
    </row>
    <row r="1877" spans="1:5">
      <c r="A1877" s="122"/>
      <c r="B1877" s="125"/>
      <c r="C1877" s="125"/>
      <c r="D1877" s="132"/>
      <c r="E1877" s="132"/>
    </row>
    <row r="1878" spans="1:5">
      <c r="A1878" s="122"/>
      <c r="B1878" s="125"/>
      <c r="C1878" s="125"/>
      <c r="D1878" s="132"/>
      <c r="E1878" s="132"/>
    </row>
    <row r="1879" spans="1:5">
      <c r="A1879" s="122"/>
      <c r="B1879" s="125"/>
      <c r="C1879" s="125"/>
      <c r="D1879" s="132"/>
      <c r="E1879" s="132"/>
    </row>
    <row r="1880" spans="1:5">
      <c r="A1880" s="122"/>
      <c r="B1880" s="125"/>
      <c r="C1880" s="125"/>
      <c r="D1880" s="132"/>
      <c r="E1880" s="132"/>
    </row>
    <row r="1881" spans="1:5">
      <c r="A1881" s="122"/>
      <c r="B1881" s="125"/>
      <c r="C1881" s="125"/>
      <c r="D1881" s="132"/>
      <c r="E1881" s="132"/>
    </row>
    <row r="1882" spans="1:5">
      <c r="A1882" s="122"/>
      <c r="B1882" s="125"/>
      <c r="C1882" s="125"/>
      <c r="D1882" s="132"/>
      <c r="E1882" s="132"/>
    </row>
    <row r="1883" spans="1:5">
      <c r="A1883" s="122"/>
      <c r="B1883" s="125"/>
      <c r="C1883" s="125"/>
      <c r="D1883" s="132"/>
      <c r="E1883" s="132"/>
    </row>
    <row r="1884" spans="1:5">
      <c r="A1884" s="122"/>
      <c r="B1884" s="125"/>
      <c r="C1884" s="125"/>
      <c r="D1884" s="132"/>
      <c r="E1884" s="132"/>
    </row>
    <row r="1885" spans="1:5">
      <c r="A1885" s="122"/>
      <c r="B1885" s="125"/>
      <c r="C1885" s="125"/>
      <c r="D1885" s="132"/>
      <c r="E1885" s="132"/>
    </row>
    <row r="1886" spans="1:5">
      <c r="A1886" s="122"/>
      <c r="B1886" s="125"/>
      <c r="C1886" s="125"/>
      <c r="D1886" s="132"/>
      <c r="E1886" s="132"/>
    </row>
    <row r="1887" spans="1:5">
      <c r="A1887" s="122"/>
      <c r="B1887" s="125"/>
      <c r="C1887" s="125"/>
      <c r="D1887" s="132"/>
      <c r="E1887" s="132"/>
    </row>
    <row r="1888" spans="1:5">
      <c r="A1888" s="122"/>
      <c r="B1888" s="125"/>
      <c r="C1888" s="125"/>
      <c r="D1888" s="132"/>
      <c r="E1888" s="132"/>
    </row>
    <row r="1889" spans="1:5">
      <c r="A1889" s="122"/>
      <c r="B1889" s="125"/>
      <c r="C1889" s="125"/>
      <c r="D1889" s="132"/>
      <c r="E1889" s="132"/>
    </row>
    <row r="1890" spans="1:5">
      <c r="A1890" s="122"/>
      <c r="B1890" s="125"/>
      <c r="C1890" s="125"/>
      <c r="D1890" s="132"/>
      <c r="E1890" s="132"/>
    </row>
    <row r="1891" spans="1:5">
      <c r="A1891" s="122"/>
      <c r="B1891" s="125"/>
      <c r="C1891" s="125"/>
      <c r="D1891" s="132"/>
      <c r="E1891" s="132"/>
    </row>
    <row r="1892" spans="1:5">
      <c r="A1892" s="122"/>
      <c r="B1892" s="125"/>
      <c r="C1892" s="125"/>
      <c r="D1892" s="132"/>
      <c r="E1892" s="132"/>
    </row>
    <row r="1893" spans="1:5">
      <c r="A1893" s="122"/>
      <c r="B1893" s="125"/>
      <c r="C1893" s="125"/>
      <c r="D1893" s="132"/>
      <c r="E1893" s="132"/>
    </row>
    <row r="1894" spans="1:5">
      <c r="A1894" s="122"/>
      <c r="B1894" s="125"/>
      <c r="C1894" s="125"/>
      <c r="D1894" s="132"/>
      <c r="E1894" s="132"/>
    </row>
    <row r="1895" spans="1:5">
      <c r="A1895" s="122"/>
      <c r="B1895" s="125"/>
      <c r="C1895" s="125"/>
      <c r="D1895" s="132"/>
      <c r="E1895" s="132"/>
    </row>
    <row r="1896" spans="1:5">
      <c r="A1896" s="122"/>
      <c r="B1896" s="125"/>
      <c r="C1896" s="125"/>
      <c r="D1896" s="132"/>
      <c r="E1896" s="132"/>
    </row>
    <row r="1897" spans="1:5">
      <c r="A1897" s="122"/>
      <c r="B1897" s="125"/>
      <c r="C1897" s="125"/>
      <c r="D1897" s="132"/>
      <c r="E1897" s="132"/>
    </row>
    <row r="1898" spans="1:5">
      <c r="A1898" s="122"/>
      <c r="B1898" s="125"/>
      <c r="C1898" s="125"/>
      <c r="D1898" s="132"/>
      <c r="E1898" s="132"/>
    </row>
    <row r="1899" spans="1:5">
      <c r="A1899" s="122"/>
      <c r="B1899" s="125"/>
      <c r="C1899" s="125"/>
      <c r="D1899" s="132"/>
      <c r="E1899" s="132"/>
    </row>
    <row r="1900" spans="1:5">
      <c r="A1900" s="122"/>
      <c r="B1900" s="125"/>
      <c r="C1900" s="125"/>
      <c r="D1900" s="132"/>
      <c r="E1900" s="132"/>
    </row>
    <row r="1901" spans="1:5">
      <c r="A1901" s="122"/>
      <c r="B1901" s="125"/>
      <c r="C1901" s="125"/>
      <c r="D1901" s="132"/>
      <c r="E1901" s="132"/>
    </row>
    <row r="1902" spans="1:5">
      <c r="A1902" s="122"/>
      <c r="B1902" s="125"/>
      <c r="C1902" s="125"/>
      <c r="D1902" s="132"/>
      <c r="E1902" s="132"/>
    </row>
    <row r="1903" spans="1:5">
      <c r="A1903" s="122"/>
      <c r="B1903" s="125"/>
      <c r="C1903" s="125"/>
      <c r="D1903" s="132"/>
      <c r="E1903" s="132"/>
    </row>
    <row r="1904" spans="1:5">
      <c r="A1904" s="122"/>
      <c r="B1904" s="125"/>
      <c r="C1904" s="125"/>
      <c r="D1904" s="132"/>
      <c r="E1904" s="132"/>
    </row>
    <row r="1905" spans="1:5">
      <c r="A1905" s="122"/>
      <c r="B1905" s="125"/>
      <c r="C1905" s="125"/>
      <c r="D1905" s="132"/>
      <c r="E1905" s="132"/>
    </row>
    <row r="1906" spans="1:5">
      <c r="A1906" s="122"/>
      <c r="B1906" s="125"/>
      <c r="C1906" s="125"/>
      <c r="D1906" s="132"/>
      <c r="E1906" s="132"/>
    </row>
    <row r="1907" spans="1:5">
      <c r="A1907" s="122"/>
      <c r="B1907" s="125"/>
      <c r="C1907" s="125"/>
      <c r="D1907" s="132"/>
      <c r="E1907" s="132"/>
    </row>
    <row r="1908" spans="1:5">
      <c r="A1908" s="122"/>
      <c r="B1908" s="125"/>
      <c r="C1908" s="125"/>
      <c r="D1908" s="132"/>
      <c r="E1908" s="132"/>
    </row>
    <row r="1909" spans="1:5">
      <c r="A1909" s="122"/>
      <c r="B1909" s="125"/>
      <c r="C1909" s="125"/>
      <c r="D1909" s="132"/>
      <c r="E1909" s="132"/>
    </row>
    <row r="1910" spans="1:5">
      <c r="A1910" s="122"/>
      <c r="B1910" s="125"/>
      <c r="C1910" s="125"/>
      <c r="D1910" s="132"/>
      <c r="E1910" s="132"/>
    </row>
    <row r="1911" spans="1:5">
      <c r="A1911" s="122"/>
      <c r="B1911" s="125"/>
      <c r="C1911" s="125"/>
      <c r="D1911" s="132"/>
      <c r="E1911" s="132"/>
    </row>
    <row r="1912" spans="1:5">
      <c r="A1912" s="122"/>
      <c r="B1912" s="125"/>
      <c r="C1912" s="125"/>
      <c r="D1912" s="132"/>
      <c r="E1912" s="132"/>
    </row>
    <row r="1913" spans="1:5">
      <c r="A1913" s="122"/>
      <c r="B1913" s="125"/>
      <c r="C1913" s="125"/>
      <c r="D1913" s="132"/>
      <c r="E1913" s="132"/>
    </row>
    <row r="1914" spans="1:5">
      <c r="A1914" s="122"/>
      <c r="B1914" s="125"/>
      <c r="C1914" s="125"/>
      <c r="D1914" s="132"/>
      <c r="E1914" s="132"/>
    </row>
    <row r="1915" spans="1:5">
      <c r="A1915" s="122"/>
      <c r="B1915" s="125"/>
      <c r="C1915" s="125"/>
      <c r="D1915" s="132"/>
      <c r="E1915" s="132"/>
    </row>
    <row r="1916" spans="1:5">
      <c r="A1916" s="122"/>
      <c r="B1916" s="125"/>
      <c r="C1916" s="125"/>
      <c r="D1916" s="132"/>
      <c r="E1916" s="132"/>
    </row>
    <row r="1917" spans="1:5">
      <c r="A1917" s="122"/>
      <c r="B1917" s="125"/>
      <c r="C1917" s="125"/>
      <c r="D1917" s="132"/>
      <c r="E1917" s="132"/>
    </row>
    <row r="1918" spans="1:5">
      <c r="A1918" s="122"/>
      <c r="B1918" s="125"/>
      <c r="C1918" s="125"/>
      <c r="D1918" s="132"/>
      <c r="E1918" s="132"/>
    </row>
    <row r="1919" spans="1:5">
      <c r="A1919" s="122"/>
      <c r="B1919" s="125"/>
      <c r="C1919" s="125"/>
      <c r="D1919" s="132"/>
      <c r="E1919" s="132"/>
    </row>
    <row r="1920" spans="1:5">
      <c r="A1920" s="122"/>
      <c r="B1920" s="125"/>
      <c r="C1920" s="125"/>
      <c r="D1920" s="132"/>
      <c r="E1920" s="132"/>
    </row>
    <row r="1921" spans="1:5">
      <c r="A1921" s="122"/>
      <c r="B1921" s="125"/>
      <c r="C1921" s="125"/>
      <c r="D1921" s="132"/>
      <c r="E1921" s="132"/>
    </row>
    <row r="1922" spans="1:5">
      <c r="A1922" s="122"/>
      <c r="B1922" s="125"/>
      <c r="C1922" s="125"/>
      <c r="D1922" s="132"/>
      <c r="E1922" s="132"/>
    </row>
    <row r="1923" spans="1:5">
      <c r="A1923" s="122"/>
      <c r="B1923" s="125"/>
      <c r="C1923" s="125"/>
      <c r="D1923" s="132"/>
      <c r="E1923" s="132"/>
    </row>
    <row r="1924" spans="1:5">
      <c r="A1924" s="122"/>
      <c r="B1924" s="125"/>
      <c r="C1924" s="125"/>
      <c r="D1924" s="132"/>
      <c r="E1924" s="132"/>
    </row>
    <row r="1925" spans="1:5">
      <c r="A1925" s="122"/>
      <c r="B1925" s="125"/>
      <c r="C1925" s="125"/>
      <c r="D1925" s="132"/>
      <c r="E1925" s="132"/>
    </row>
    <row r="1926" spans="1:5">
      <c r="A1926" s="122"/>
      <c r="B1926" s="125"/>
      <c r="C1926" s="125"/>
      <c r="D1926" s="132"/>
      <c r="E1926" s="132"/>
    </row>
    <row r="1927" spans="1:5">
      <c r="A1927" s="122"/>
      <c r="B1927" s="125"/>
      <c r="C1927" s="125"/>
      <c r="D1927" s="132"/>
      <c r="E1927" s="132"/>
    </row>
    <row r="1928" spans="1:5">
      <c r="A1928" s="122"/>
      <c r="B1928" s="125"/>
      <c r="C1928" s="125"/>
      <c r="D1928" s="132"/>
      <c r="E1928" s="132"/>
    </row>
    <row r="1929" spans="1:5">
      <c r="A1929" s="122"/>
      <c r="B1929" s="125"/>
      <c r="C1929" s="125"/>
      <c r="D1929" s="132"/>
      <c r="E1929" s="132"/>
    </row>
    <row r="1930" spans="1:5">
      <c r="A1930" s="122"/>
      <c r="B1930" s="125"/>
      <c r="C1930" s="125"/>
      <c r="D1930" s="132"/>
      <c r="E1930" s="132"/>
    </row>
    <row r="1931" spans="1:5">
      <c r="A1931" s="122"/>
      <c r="B1931" s="125"/>
      <c r="C1931" s="125"/>
      <c r="D1931" s="132"/>
      <c r="E1931" s="132"/>
    </row>
    <row r="1932" spans="1:5">
      <c r="A1932" s="122"/>
      <c r="B1932" s="125"/>
      <c r="C1932" s="125"/>
      <c r="D1932" s="132"/>
      <c r="E1932" s="132"/>
    </row>
    <row r="1933" spans="1:5">
      <c r="A1933" s="122"/>
      <c r="B1933" s="125"/>
      <c r="C1933" s="125"/>
      <c r="D1933" s="132"/>
      <c r="E1933" s="132"/>
    </row>
    <row r="1934" spans="1:5">
      <c r="A1934" s="122"/>
      <c r="B1934" s="125"/>
      <c r="C1934" s="125"/>
      <c r="D1934" s="132"/>
      <c r="E1934" s="132"/>
    </row>
    <row r="1935" spans="1:5">
      <c r="A1935" s="122"/>
      <c r="B1935" s="125"/>
      <c r="C1935" s="125"/>
      <c r="D1935" s="132"/>
      <c r="E1935" s="132"/>
    </row>
    <row r="1936" spans="1:5">
      <c r="A1936" s="122"/>
      <c r="B1936" s="125"/>
      <c r="C1936" s="125"/>
      <c r="D1936" s="132"/>
      <c r="E1936" s="132"/>
    </row>
    <row r="1937" spans="1:5">
      <c r="A1937" s="122"/>
      <c r="B1937" s="125"/>
      <c r="C1937" s="125"/>
      <c r="D1937" s="132"/>
      <c r="E1937" s="132"/>
    </row>
    <row r="1938" spans="1:5">
      <c r="A1938" s="122"/>
      <c r="B1938" s="125"/>
      <c r="C1938" s="125"/>
      <c r="D1938" s="132"/>
      <c r="E1938" s="132"/>
    </row>
    <row r="1939" spans="1:5">
      <c r="A1939" s="122"/>
      <c r="B1939" s="125"/>
      <c r="C1939" s="125"/>
      <c r="D1939" s="132"/>
      <c r="E1939" s="132"/>
    </row>
    <row r="1940" spans="1:5">
      <c r="A1940" s="122"/>
      <c r="B1940" s="125"/>
      <c r="C1940" s="125"/>
      <c r="D1940" s="132"/>
      <c r="E1940" s="132"/>
    </row>
    <row r="1941" spans="1:5">
      <c r="A1941" s="122"/>
      <c r="B1941" s="125"/>
      <c r="C1941" s="125"/>
      <c r="D1941" s="132"/>
      <c r="E1941" s="132"/>
    </row>
    <row r="1942" spans="1:5">
      <c r="A1942" s="122"/>
      <c r="B1942" s="125"/>
      <c r="C1942" s="125"/>
      <c r="D1942" s="132"/>
      <c r="E1942" s="132"/>
    </row>
    <row r="1943" spans="1:5">
      <c r="A1943" s="122"/>
      <c r="B1943" s="125"/>
      <c r="C1943" s="125"/>
      <c r="D1943" s="132"/>
      <c r="E1943" s="132"/>
    </row>
    <row r="1944" spans="1:5">
      <c r="A1944" s="122"/>
      <c r="B1944" s="125"/>
      <c r="C1944" s="125"/>
      <c r="D1944" s="132"/>
      <c r="E1944" s="132"/>
    </row>
    <row r="1945" spans="1:5">
      <c r="A1945" s="122"/>
      <c r="B1945" s="125"/>
      <c r="C1945" s="125"/>
      <c r="D1945" s="132"/>
      <c r="E1945" s="132"/>
    </row>
    <row r="1946" spans="1:5">
      <c r="A1946" s="122"/>
      <c r="B1946" s="125"/>
      <c r="C1946" s="125"/>
      <c r="D1946" s="132"/>
      <c r="E1946" s="132"/>
    </row>
    <row r="1947" spans="1:5">
      <c r="A1947" s="122"/>
      <c r="B1947" s="125"/>
      <c r="C1947" s="125"/>
      <c r="D1947" s="132"/>
      <c r="E1947" s="132"/>
    </row>
    <row r="1948" spans="1:5">
      <c r="A1948" s="122"/>
      <c r="B1948" s="125"/>
      <c r="C1948" s="125"/>
      <c r="D1948" s="132"/>
      <c r="E1948" s="132"/>
    </row>
    <row r="1949" spans="1:5">
      <c r="A1949" s="122"/>
      <c r="B1949" s="125"/>
      <c r="C1949" s="125"/>
      <c r="D1949" s="132"/>
      <c r="E1949" s="132"/>
    </row>
    <row r="1950" spans="1:5">
      <c r="A1950" s="122"/>
      <c r="B1950" s="125"/>
      <c r="C1950" s="125"/>
      <c r="D1950" s="132"/>
      <c r="E1950" s="132"/>
    </row>
    <row r="1951" spans="1:5">
      <c r="A1951" s="122"/>
      <c r="B1951" s="125"/>
      <c r="C1951" s="125"/>
      <c r="D1951" s="132"/>
      <c r="E1951" s="132"/>
    </row>
    <row r="1952" spans="1:5">
      <c r="A1952" s="122"/>
      <c r="B1952" s="125"/>
      <c r="C1952" s="125"/>
      <c r="D1952" s="132"/>
      <c r="E1952" s="132"/>
    </row>
    <row r="1953" spans="1:5">
      <c r="A1953" s="122"/>
      <c r="B1953" s="125"/>
      <c r="C1953" s="125"/>
      <c r="D1953" s="132"/>
      <c r="E1953" s="132"/>
    </row>
    <row r="1954" spans="1:5">
      <c r="A1954" s="122"/>
      <c r="B1954" s="125"/>
      <c r="C1954" s="125"/>
      <c r="D1954" s="132"/>
      <c r="E1954" s="132"/>
    </row>
    <row r="1955" spans="1:5">
      <c r="A1955" s="122"/>
      <c r="B1955" s="125"/>
      <c r="C1955" s="125"/>
      <c r="D1955" s="132"/>
      <c r="E1955" s="132"/>
    </row>
    <row r="1956" spans="1:5">
      <c r="A1956" s="122"/>
      <c r="B1956" s="125"/>
      <c r="C1956" s="125"/>
      <c r="D1956" s="132"/>
      <c r="E1956" s="132"/>
    </row>
    <row r="1957" spans="1:5">
      <c r="A1957" s="122"/>
      <c r="B1957" s="125"/>
      <c r="C1957" s="125"/>
      <c r="D1957" s="132"/>
      <c r="E1957" s="132"/>
    </row>
    <row r="1958" spans="1:5">
      <c r="A1958" s="122"/>
      <c r="B1958" s="125"/>
      <c r="C1958" s="125"/>
      <c r="D1958" s="132"/>
      <c r="E1958" s="132"/>
    </row>
    <row r="1959" spans="1:5">
      <c r="A1959" s="122"/>
      <c r="B1959" s="125"/>
      <c r="C1959" s="125"/>
      <c r="D1959" s="132"/>
      <c r="E1959" s="132"/>
    </row>
    <row r="1960" spans="1:5">
      <c r="A1960" s="122"/>
      <c r="B1960" s="125"/>
      <c r="C1960" s="125"/>
      <c r="D1960" s="132"/>
      <c r="E1960" s="132"/>
    </row>
    <row r="1961" spans="1:5">
      <c r="A1961" s="122"/>
      <c r="B1961" s="125"/>
      <c r="C1961" s="125"/>
      <c r="D1961" s="132"/>
      <c r="E1961" s="132"/>
    </row>
    <row r="1962" spans="1:5">
      <c r="A1962" s="122"/>
      <c r="B1962" s="125"/>
      <c r="C1962" s="125"/>
      <c r="D1962" s="132"/>
      <c r="E1962" s="132"/>
    </row>
    <row r="1963" spans="1:5">
      <c r="A1963" s="122"/>
      <c r="B1963" s="125"/>
      <c r="C1963" s="125"/>
      <c r="D1963" s="132"/>
      <c r="E1963" s="132"/>
    </row>
    <row r="1964" spans="1:5">
      <c r="A1964" s="122"/>
      <c r="B1964" s="125"/>
      <c r="C1964" s="125"/>
      <c r="D1964" s="132"/>
      <c r="E1964" s="132"/>
    </row>
    <row r="1965" spans="1:5">
      <c r="A1965" s="122"/>
      <c r="B1965" s="125"/>
      <c r="C1965" s="125"/>
      <c r="D1965" s="132"/>
      <c r="E1965" s="132"/>
    </row>
    <row r="1966" spans="1:5">
      <c r="A1966" s="122"/>
      <c r="B1966" s="125"/>
      <c r="C1966" s="125"/>
      <c r="D1966" s="132"/>
      <c r="E1966" s="132"/>
    </row>
    <row r="1967" spans="1:5">
      <c r="A1967" s="122"/>
      <c r="B1967" s="125"/>
      <c r="C1967" s="125"/>
      <c r="D1967" s="132"/>
      <c r="E1967" s="132"/>
    </row>
    <row r="1968" spans="1:5">
      <c r="A1968" s="122"/>
      <c r="B1968" s="125"/>
      <c r="C1968" s="125"/>
      <c r="D1968" s="132"/>
      <c r="E1968" s="132"/>
    </row>
    <row r="1969" spans="1:5">
      <c r="A1969" s="122"/>
      <c r="B1969" s="125"/>
      <c r="C1969" s="125"/>
      <c r="D1969" s="132"/>
      <c r="E1969" s="132"/>
    </row>
    <row r="1970" spans="1:5">
      <c r="A1970" s="122"/>
      <c r="B1970" s="125"/>
      <c r="C1970" s="125"/>
      <c r="D1970" s="132"/>
      <c r="E1970" s="132"/>
    </row>
    <row r="1971" spans="1:5">
      <c r="A1971" s="122"/>
      <c r="B1971" s="125"/>
      <c r="C1971" s="125"/>
      <c r="D1971" s="132"/>
      <c r="E1971" s="132"/>
    </row>
    <row r="1972" spans="1:5">
      <c r="A1972" s="122"/>
      <c r="B1972" s="125"/>
      <c r="C1972" s="125"/>
      <c r="D1972" s="132"/>
      <c r="E1972" s="132"/>
    </row>
    <row r="1973" spans="1:5">
      <c r="A1973" s="122"/>
      <c r="B1973" s="125"/>
      <c r="C1973" s="125"/>
      <c r="D1973" s="132"/>
      <c r="E1973" s="132"/>
    </row>
    <row r="1974" spans="1:5">
      <c r="A1974" s="122"/>
      <c r="B1974" s="125"/>
      <c r="C1974" s="125"/>
      <c r="D1974" s="132"/>
      <c r="E1974" s="132"/>
    </row>
    <row r="1975" spans="1:5">
      <c r="A1975" s="122"/>
      <c r="B1975" s="125"/>
      <c r="C1975" s="125"/>
      <c r="D1975" s="132"/>
      <c r="E1975" s="132"/>
    </row>
    <row r="1976" spans="1:5">
      <c r="A1976" s="122"/>
      <c r="B1976" s="125"/>
      <c r="C1976" s="125"/>
      <c r="D1976" s="132"/>
      <c r="E1976" s="132"/>
    </row>
    <row r="1977" spans="1:5">
      <c r="A1977" s="122"/>
      <c r="B1977" s="125"/>
      <c r="C1977" s="125"/>
      <c r="D1977" s="132"/>
      <c r="E1977" s="132"/>
    </row>
    <row r="1978" spans="1:5">
      <c r="A1978" s="122"/>
      <c r="B1978" s="125"/>
      <c r="C1978" s="125"/>
      <c r="D1978" s="132"/>
      <c r="E1978" s="132"/>
    </row>
    <row r="1979" spans="1:5">
      <c r="A1979" s="122"/>
      <c r="B1979" s="125"/>
      <c r="C1979" s="125"/>
      <c r="D1979" s="132"/>
      <c r="E1979" s="132"/>
    </row>
    <row r="1980" spans="1:5">
      <c r="A1980" s="122"/>
      <c r="B1980" s="125"/>
      <c r="C1980" s="125"/>
      <c r="D1980" s="132"/>
      <c r="E1980" s="132"/>
    </row>
    <row r="1981" spans="1:5">
      <c r="A1981" s="122"/>
      <c r="B1981" s="125"/>
      <c r="C1981" s="125"/>
      <c r="D1981" s="132"/>
      <c r="E1981" s="132"/>
    </row>
    <row r="1982" spans="1:5">
      <c r="A1982" s="122"/>
      <c r="B1982" s="125"/>
      <c r="C1982" s="125"/>
      <c r="D1982" s="132"/>
      <c r="E1982" s="132"/>
    </row>
    <row r="1983" spans="1:5">
      <c r="A1983" s="122"/>
      <c r="B1983" s="125"/>
      <c r="C1983" s="125"/>
      <c r="D1983" s="132"/>
      <c r="E1983" s="132"/>
    </row>
    <row r="1984" spans="1:5">
      <c r="A1984" s="122"/>
      <c r="B1984" s="125"/>
      <c r="C1984" s="125"/>
      <c r="D1984" s="132"/>
      <c r="E1984" s="132"/>
    </row>
    <row r="1985" spans="1:5">
      <c r="A1985" s="122"/>
      <c r="B1985" s="125"/>
      <c r="C1985" s="125"/>
      <c r="D1985" s="132"/>
      <c r="E1985" s="132"/>
    </row>
    <row r="1986" spans="1:5">
      <c r="A1986" s="122"/>
      <c r="B1986" s="125"/>
      <c r="C1986" s="125"/>
      <c r="D1986" s="132"/>
      <c r="E1986" s="132"/>
    </row>
    <row r="1987" spans="1:5">
      <c r="A1987" s="122"/>
      <c r="B1987" s="125"/>
      <c r="C1987" s="125"/>
      <c r="D1987" s="132"/>
      <c r="E1987" s="132"/>
    </row>
    <row r="1988" spans="1:5">
      <c r="A1988" s="122"/>
      <c r="B1988" s="125"/>
      <c r="C1988" s="125"/>
      <c r="D1988" s="132"/>
      <c r="E1988" s="132"/>
    </row>
    <row r="1989" spans="1:5">
      <c r="A1989" s="122"/>
      <c r="B1989" s="125"/>
      <c r="C1989" s="125"/>
      <c r="D1989" s="132"/>
      <c r="E1989" s="132"/>
    </row>
    <row r="1990" spans="1:5">
      <c r="A1990" s="122"/>
      <c r="B1990" s="125"/>
      <c r="C1990" s="125"/>
      <c r="D1990" s="132"/>
      <c r="E1990" s="132"/>
    </row>
    <row r="1991" spans="1:5">
      <c r="A1991" s="122"/>
      <c r="B1991" s="125"/>
      <c r="C1991" s="125"/>
      <c r="D1991" s="132"/>
      <c r="E1991" s="132"/>
    </row>
    <row r="1992" spans="1:5">
      <c r="A1992" s="122"/>
      <c r="B1992" s="125"/>
      <c r="C1992" s="125"/>
      <c r="D1992" s="132"/>
      <c r="E1992" s="132"/>
    </row>
    <row r="1993" spans="1:5">
      <c r="A1993" s="122"/>
      <c r="B1993" s="125"/>
      <c r="C1993" s="125"/>
      <c r="D1993" s="132"/>
      <c r="E1993" s="132"/>
    </row>
    <row r="1994" spans="1:5">
      <c r="A1994" s="122"/>
      <c r="B1994" s="125"/>
      <c r="C1994" s="125"/>
      <c r="D1994" s="132"/>
      <c r="E1994" s="132"/>
    </row>
    <row r="1995" spans="1:5">
      <c r="A1995" s="122"/>
      <c r="B1995" s="125"/>
      <c r="C1995" s="125"/>
      <c r="D1995" s="132"/>
      <c r="E1995" s="132"/>
    </row>
    <row r="1996" spans="1:5">
      <c r="A1996" s="122"/>
      <c r="B1996" s="125"/>
      <c r="C1996" s="125"/>
      <c r="D1996" s="132"/>
      <c r="E1996" s="132"/>
    </row>
    <row r="1997" spans="1:5">
      <c r="A1997" s="122"/>
      <c r="B1997" s="125"/>
      <c r="C1997" s="125"/>
      <c r="D1997" s="132"/>
      <c r="E1997" s="132"/>
    </row>
    <row r="1998" spans="1:5">
      <c r="A1998" s="122"/>
      <c r="B1998" s="125"/>
      <c r="C1998" s="125"/>
      <c r="D1998" s="132"/>
      <c r="E1998" s="132"/>
    </row>
    <row r="1999" spans="1:5">
      <c r="A1999" s="122"/>
      <c r="B1999" s="125"/>
      <c r="C1999" s="125"/>
      <c r="D1999" s="132"/>
      <c r="E1999" s="132"/>
    </row>
    <row r="2000" spans="1:5">
      <c r="A2000" s="122"/>
      <c r="B2000" s="125"/>
      <c r="C2000" s="125"/>
      <c r="D2000" s="132"/>
      <c r="E2000" s="132"/>
    </row>
    <row r="2001" spans="1:5">
      <c r="A2001" s="122"/>
      <c r="B2001" s="125"/>
      <c r="C2001" s="125"/>
      <c r="D2001" s="132"/>
      <c r="E2001" s="132"/>
    </row>
    <row r="2002" spans="1:5">
      <c r="A2002" s="122"/>
      <c r="B2002" s="125"/>
      <c r="C2002" s="125"/>
      <c r="D2002" s="132"/>
      <c r="E2002" s="132"/>
    </row>
    <row r="2003" spans="1:5">
      <c r="A2003" s="122"/>
      <c r="B2003" s="125"/>
      <c r="C2003" s="125"/>
      <c r="D2003" s="132"/>
      <c r="E2003" s="132"/>
    </row>
    <row r="2004" spans="1:5">
      <c r="A2004" s="122"/>
      <c r="B2004" s="125"/>
      <c r="C2004" s="125"/>
      <c r="D2004" s="132"/>
      <c r="E2004" s="132"/>
    </row>
    <row r="2005" spans="1:5">
      <c r="A2005" s="122"/>
      <c r="B2005" s="125"/>
      <c r="C2005" s="125"/>
      <c r="D2005" s="132"/>
      <c r="E2005" s="132"/>
    </row>
    <row r="2006" spans="1:5">
      <c r="A2006" s="122"/>
      <c r="B2006" s="125"/>
      <c r="C2006" s="125"/>
      <c r="D2006" s="132"/>
      <c r="E2006" s="132"/>
    </row>
    <row r="2007" spans="1:5">
      <c r="A2007" s="122"/>
      <c r="B2007" s="125"/>
      <c r="C2007" s="125"/>
      <c r="D2007" s="132"/>
      <c r="E2007" s="132"/>
    </row>
    <row r="2008" spans="1:5">
      <c r="A2008" s="122"/>
      <c r="B2008" s="125"/>
      <c r="C2008" s="125"/>
      <c r="D2008" s="132"/>
      <c r="E2008" s="132"/>
    </row>
    <row r="2009" spans="1:5">
      <c r="A2009" s="122"/>
      <c r="B2009" s="125"/>
      <c r="C2009" s="125"/>
      <c r="D2009" s="132"/>
      <c r="E2009" s="132"/>
    </row>
    <row r="2010" spans="1:5">
      <c r="A2010" s="122"/>
      <c r="B2010" s="125"/>
      <c r="C2010" s="125"/>
      <c r="D2010" s="132"/>
      <c r="E2010" s="132"/>
    </row>
    <row r="2011" spans="1:5">
      <c r="A2011" s="122"/>
      <c r="B2011" s="125"/>
      <c r="C2011" s="125"/>
      <c r="D2011" s="132"/>
      <c r="E2011" s="132"/>
    </row>
    <row r="2012" spans="1:5">
      <c r="A2012" s="122"/>
      <c r="B2012" s="125"/>
      <c r="C2012" s="125"/>
      <c r="D2012" s="132"/>
      <c r="E2012" s="132"/>
    </row>
    <row r="2013" spans="1:5">
      <c r="A2013" s="122"/>
      <c r="B2013" s="125"/>
      <c r="C2013" s="125"/>
      <c r="D2013" s="132"/>
      <c r="E2013" s="132"/>
    </row>
    <row r="2014" spans="1:5">
      <c r="A2014" s="122"/>
      <c r="B2014" s="125"/>
      <c r="C2014" s="125"/>
      <c r="D2014" s="132"/>
      <c r="E2014" s="132"/>
    </row>
    <row r="2015" spans="1:5">
      <c r="A2015" s="122"/>
      <c r="B2015" s="125"/>
      <c r="C2015" s="125"/>
      <c r="D2015" s="132"/>
      <c r="E2015" s="132"/>
    </row>
    <row r="2016" spans="1:5">
      <c r="A2016" s="122"/>
      <c r="B2016" s="125"/>
      <c r="C2016" s="125"/>
      <c r="D2016" s="132"/>
      <c r="E2016" s="132"/>
    </row>
    <row r="2017" spans="1:5">
      <c r="A2017" s="122"/>
      <c r="B2017" s="125"/>
      <c r="C2017" s="125"/>
      <c r="D2017" s="132"/>
      <c r="E2017" s="132"/>
    </row>
    <row r="2018" spans="1:5">
      <c r="A2018" s="122"/>
      <c r="B2018" s="125"/>
      <c r="C2018" s="125"/>
      <c r="D2018" s="132"/>
      <c r="E2018" s="132"/>
    </row>
    <row r="2019" spans="1:5">
      <c r="A2019" s="122"/>
      <c r="B2019" s="125"/>
      <c r="C2019" s="125"/>
      <c r="D2019" s="132"/>
      <c r="E2019" s="132"/>
    </row>
    <row r="2020" spans="1:5">
      <c r="A2020" s="122"/>
      <c r="B2020" s="125"/>
      <c r="C2020" s="125"/>
      <c r="D2020" s="132"/>
      <c r="E2020" s="132"/>
    </row>
    <row r="2021" spans="1:5">
      <c r="A2021" s="122"/>
      <c r="B2021" s="125"/>
      <c r="C2021" s="125"/>
      <c r="D2021" s="132"/>
      <c r="E2021" s="132"/>
    </row>
    <row r="2022" spans="1:5">
      <c r="A2022" s="122"/>
      <c r="B2022" s="125"/>
      <c r="C2022" s="125"/>
      <c r="D2022" s="132"/>
      <c r="E2022" s="132"/>
    </row>
    <row r="2023" spans="1:5">
      <c r="A2023" s="122"/>
      <c r="B2023" s="125"/>
      <c r="C2023" s="125"/>
      <c r="D2023" s="132"/>
      <c r="E2023" s="132"/>
    </row>
    <row r="2024" spans="1:5">
      <c r="A2024" s="122"/>
      <c r="B2024" s="125"/>
      <c r="C2024" s="125"/>
      <c r="D2024" s="132"/>
      <c r="E2024" s="132"/>
    </row>
    <row r="2025" spans="1:5">
      <c r="A2025" s="122"/>
      <c r="B2025" s="125"/>
      <c r="C2025" s="125"/>
      <c r="D2025" s="132"/>
      <c r="E2025" s="132"/>
    </row>
    <row r="2026" spans="1:5">
      <c r="A2026" s="122"/>
      <c r="B2026" s="125"/>
      <c r="C2026" s="125"/>
      <c r="D2026" s="132"/>
      <c r="E2026" s="132"/>
    </row>
    <row r="2027" spans="1:5">
      <c r="A2027" s="122"/>
      <c r="B2027" s="125"/>
      <c r="C2027" s="125"/>
      <c r="D2027" s="132"/>
      <c r="E2027" s="132"/>
    </row>
    <row r="2028" spans="1:5">
      <c r="A2028" s="122"/>
      <c r="B2028" s="125"/>
      <c r="C2028" s="125"/>
      <c r="D2028" s="132"/>
      <c r="E2028" s="132"/>
    </row>
    <row r="2029" spans="1:5">
      <c r="A2029" s="122"/>
      <c r="B2029" s="125"/>
      <c r="C2029" s="125"/>
      <c r="D2029" s="132"/>
      <c r="E2029" s="132"/>
    </row>
    <row r="2030" spans="1:5">
      <c r="A2030" s="122"/>
      <c r="B2030" s="125"/>
      <c r="C2030" s="125"/>
      <c r="D2030" s="132"/>
      <c r="E2030" s="132"/>
    </row>
    <row r="2031" spans="1:5">
      <c r="A2031" s="122"/>
      <c r="B2031" s="125"/>
      <c r="C2031" s="125"/>
      <c r="D2031" s="132"/>
      <c r="E2031" s="132"/>
    </row>
    <row r="2032" spans="1:5">
      <c r="A2032" s="122"/>
      <c r="B2032" s="125"/>
      <c r="C2032" s="125"/>
      <c r="D2032" s="132"/>
      <c r="E2032" s="132"/>
    </row>
    <row r="2033" spans="1:5">
      <c r="A2033" s="122"/>
      <c r="B2033" s="125"/>
      <c r="C2033" s="125"/>
      <c r="D2033" s="132"/>
      <c r="E2033" s="132"/>
    </row>
    <row r="2034" spans="1:5">
      <c r="A2034" s="122"/>
      <c r="B2034" s="125"/>
      <c r="C2034" s="125"/>
      <c r="D2034" s="132"/>
      <c r="E2034" s="132"/>
    </row>
    <row r="2035" spans="1:5">
      <c r="A2035" s="122"/>
      <c r="B2035" s="125"/>
      <c r="C2035" s="125"/>
      <c r="D2035" s="132"/>
      <c r="E2035" s="132"/>
    </row>
    <row r="2036" spans="1:5">
      <c r="A2036" s="122"/>
      <c r="B2036" s="125"/>
      <c r="C2036" s="125"/>
      <c r="D2036" s="132"/>
      <c r="E2036" s="132"/>
    </row>
    <row r="2037" spans="1:5">
      <c r="A2037" s="122"/>
      <c r="B2037" s="125"/>
      <c r="C2037" s="125"/>
      <c r="D2037" s="132"/>
      <c r="E2037" s="132"/>
    </row>
    <row r="2038" spans="1:5">
      <c r="A2038" s="122"/>
      <c r="B2038" s="125"/>
      <c r="C2038" s="125"/>
      <c r="D2038" s="132"/>
      <c r="E2038" s="132"/>
    </row>
    <row r="2039" spans="1:5">
      <c r="A2039" s="122"/>
      <c r="B2039" s="125"/>
      <c r="C2039" s="125"/>
      <c r="D2039" s="132"/>
      <c r="E2039" s="132"/>
    </row>
    <row r="2040" spans="1:5">
      <c r="A2040" s="122"/>
      <c r="B2040" s="125"/>
      <c r="C2040" s="125"/>
      <c r="D2040" s="132"/>
      <c r="E2040" s="132"/>
    </row>
    <row r="2041" spans="1:5">
      <c r="A2041" s="122"/>
      <c r="B2041" s="125"/>
      <c r="C2041" s="125"/>
      <c r="D2041" s="132"/>
      <c r="E2041" s="132"/>
    </row>
    <row r="2042" spans="1:5">
      <c r="A2042" s="122"/>
      <c r="B2042" s="125"/>
      <c r="C2042" s="125"/>
      <c r="D2042" s="132"/>
      <c r="E2042" s="132"/>
    </row>
    <row r="2043" spans="1:5">
      <c r="A2043" s="122"/>
      <c r="B2043" s="125"/>
      <c r="C2043" s="125"/>
      <c r="D2043" s="132"/>
      <c r="E2043" s="132"/>
    </row>
    <row r="2044" spans="1:5">
      <c r="A2044" s="122"/>
      <c r="B2044" s="125"/>
      <c r="C2044" s="125"/>
      <c r="D2044" s="132"/>
      <c r="E2044" s="132"/>
    </row>
    <row r="2045" spans="1:5">
      <c r="A2045" s="122"/>
      <c r="B2045" s="125"/>
      <c r="C2045" s="125"/>
      <c r="D2045" s="132"/>
      <c r="E2045" s="132"/>
    </row>
    <row r="2046" spans="1:5">
      <c r="A2046" s="122"/>
      <c r="B2046" s="125"/>
      <c r="C2046" s="125"/>
      <c r="D2046" s="132"/>
      <c r="E2046" s="132"/>
    </row>
    <row r="2047" spans="1:5">
      <c r="A2047" s="122"/>
      <c r="B2047" s="125"/>
      <c r="C2047" s="125"/>
      <c r="D2047" s="132"/>
      <c r="E2047" s="132"/>
    </row>
    <row r="2048" spans="1:5">
      <c r="A2048" s="122"/>
      <c r="B2048" s="125"/>
      <c r="C2048" s="125"/>
      <c r="D2048" s="132"/>
      <c r="E2048" s="132"/>
    </row>
    <row r="2049" spans="1:5">
      <c r="A2049" s="122"/>
      <c r="B2049" s="125"/>
      <c r="C2049" s="125"/>
      <c r="D2049" s="132"/>
      <c r="E2049" s="132"/>
    </row>
    <row r="2050" spans="1:5">
      <c r="A2050" s="122"/>
      <c r="B2050" s="125"/>
      <c r="C2050" s="125"/>
      <c r="D2050" s="132"/>
      <c r="E2050" s="132"/>
    </row>
    <row r="2051" spans="1:5">
      <c r="A2051" s="122"/>
      <c r="B2051" s="125"/>
      <c r="C2051" s="125"/>
      <c r="D2051" s="132"/>
      <c r="E2051" s="132"/>
    </row>
    <row r="2052" spans="1:5">
      <c r="A2052" s="122"/>
      <c r="B2052" s="125"/>
      <c r="C2052" s="125"/>
      <c r="D2052" s="132"/>
      <c r="E2052" s="132"/>
    </row>
    <row r="2053" spans="1:5">
      <c r="A2053" s="122"/>
      <c r="B2053" s="125"/>
      <c r="C2053" s="125"/>
      <c r="D2053" s="132"/>
      <c r="E2053" s="132"/>
    </row>
    <row r="2054" spans="1:5">
      <c r="A2054" s="122"/>
      <c r="B2054" s="125"/>
      <c r="C2054" s="125"/>
      <c r="D2054" s="132"/>
      <c r="E2054" s="132"/>
    </row>
    <row r="2055" spans="1:5">
      <c r="A2055" s="122"/>
      <c r="B2055" s="125"/>
      <c r="C2055" s="125"/>
      <c r="D2055" s="132"/>
      <c r="E2055" s="132"/>
    </row>
    <row r="2056" spans="1:5">
      <c r="A2056" s="122"/>
      <c r="B2056" s="125"/>
      <c r="C2056" s="125"/>
      <c r="D2056" s="132"/>
      <c r="E2056" s="132"/>
    </row>
    <row r="2057" spans="1:5">
      <c r="A2057" s="122"/>
      <c r="B2057" s="125"/>
      <c r="C2057" s="125"/>
      <c r="D2057" s="132"/>
      <c r="E2057" s="132"/>
    </row>
    <row r="2058" spans="1:5">
      <c r="A2058" s="122"/>
      <c r="B2058" s="125"/>
      <c r="C2058" s="125"/>
      <c r="D2058" s="132"/>
      <c r="E2058" s="132"/>
    </row>
    <row r="2059" spans="1:5">
      <c r="A2059" s="122"/>
      <c r="B2059" s="125"/>
      <c r="C2059" s="125"/>
      <c r="D2059" s="132"/>
      <c r="E2059" s="132"/>
    </row>
    <row r="2060" spans="1:5">
      <c r="A2060" s="122"/>
      <c r="B2060" s="125"/>
      <c r="C2060" s="125"/>
      <c r="D2060" s="132"/>
      <c r="E2060" s="132"/>
    </row>
    <row r="2061" spans="1:5">
      <c r="A2061" s="122"/>
      <c r="B2061" s="125"/>
      <c r="C2061" s="125"/>
      <c r="D2061" s="132"/>
      <c r="E2061" s="132"/>
    </row>
    <row r="2062" spans="1:5">
      <c r="A2062" s="122"/>
      <c r="B2062" s="125"/>
      <c r="C2062" s="125"/>
      <c r="D2062" s="132"/>
      <c r="E2062" s="132"/>
    </row>
    <row r="2063" spans="1:5">
      <c r="A2063" s="122"/>
      <c r="B2063" s="125"/>
      <c r="C2063" s="125"/>
      <c r="D2063" s="132"/>
      <c r="E2063" s="132"/>
    </row>
    <row r="2064" spans="1:5">
      <c r="A2064" s="122"/>
      <c r="B2064" s="125"/>
      <c r="C2064" s="125"/>
      <c r="D2064" s="132"/>
      <c r="E2064" s="132"/>
    </row>
    <row r="2065" spans="1:5">
      <c r="A2065" s="122"/>
      <c r="B2065" s="125"/>
      <c r="C2065" s="125"/>
      <c r="D2065" s="132"/>
      <c r="E2065" s="132"/>
    </row>
    <row r="2066" spans="1:5">
      <c r="A2066" s="122"/>
      <c r="B2066" s="125"/>
      <c r="C2066" s="125"/>
      <c r="D2066" s="132"/>
      <c r="E2066" s="132"/>
    </row>
    <row r="2067" spans="1:5">
      <c r="A2067" s="122"/>
      <c r="B2067" s="125"/>
      <c r="C2067" s="125"/>
      <c r="D2067" s="132"/>
      <c r="E2067" s="132"/>
    </row>
    <row r="2068" spans="1:5">
      <c r="A2068" s="122"/>
      <c r="B2068" s="125"/>
      <c r="C2068" s="125"/>
      <c r="D2068" s="132"/>
      <c r="E2068" s="132"/>
    </row>
    <row r="2069" spans="1:5">
      <c r="A2069" s="122"/>
      <c r="B2069" s="125"/>
      <c r="C2069" s="125"/>
      <c r="D2069" s="132"/>
      <c r="E2069" s="132"/>
    </row>
    <row r="2070" spans="1:5">
      <c r="A2070" s="122"/>
      <c r="B2070" s="125"/>
      <c r="C2070" s="125"/>
      <c r="D2070" s="132"/>
      <c r="E2070" s="132"/>
    </row>
    <row r="2071" spans="1:5">
      <c r="A2071" s="122"/>
      <c r="B2071" s="125"/>
      <c r="C2071" s="125"/>
      <c r="D2071" s="132"/>
      <c r="E2071" s="132"/>
    </row>
    <row r="2072" spans="1:5">
      <c r="A2072" s="122"/>
      <c r="B2072" s="125"/>
      <c r="C2072" s="125"/>
      <c r="D2072" s="132"/>
      <c r="E2072" s="132"/>
    </row>
    <row r="2073" spans="1:5">
      <c r="A2073" s="122"/>
      <c r="B2073" s="125"/>
      <c r="C2073" s="125"/>
      <c r="D2073" s="132"/>
      <c r="E2073" s="132"/>
    </row>
    <row r="2074" spans="1:5">
      <c r="A2074" s="122"/>
      <c r="B2074" s="125"/>
      <c r="C2074" s="125"/>
      <c r="D2074" s="132"/>
      <c r="E2074" s="132"/>
    </row>
    <row r="2075" spans="1:5">
      <c r="A2075" s="122"/>
      <c r="B2075" s="125"/>
      <c r="C2075" s="125"/>
      <c r="D2075" s="132"/>
      <c r="E2075" s="132"/>
    </row>
    <row r="2076" spans="1:5">
      <c r="A2076" s="122"/>
      <c r="B2076" s="125"/>
      <c r="C2076" s="125"/>
      <c r="D2076" s="132"/>
      <c r="E2076" s="132"/>
    </row>
    <row r="2077" spans="1:5">
      <c r="A2077" s="122"/>
      <c r="B2077" s="125"/>
      <c r="C2077" s="125"/>
      <c r="D2077" s="132"/>
      <c r="E2077" s="132"/>
    </row>
    <row r="2078" spans="1:5">
      <c r="A2078" s="122"/>
      <c r="B2078" s="125"/>
      <c r="C2078" s="125"/>
      <c r="D2078" s="132"/>
      <c r="E2078" s="132"/>
    </row>
    <row r="2079" spans="1:5">
      <c r="A2079" s="122"/>
      <c r="B2079" s="125"/>
      <c r="C2079" s="125"/>
      <c r="D2079" s="132"/>
      <c r="E2079" s="132"/>
    </row>
    <row r="2080" spans="1:5">
      <c r="A2080" s="122"/>
      <c r="B2080" s="125"/>
      <c r="C2080" s="125"/>
      <c r="D2080" s="132"/>
      <c r="E2080" s="132"/>
    </row>
    <row r="2081" spans="1:5">
      <c r="A2081" s="122"/>
      <c r="B2081" s="125"/>
      <c r="C2081" s="125"/>
      <c r="D2081" s="132"/>
      <c r="E2081" s="132"/>
    </row>
    <row r="2082" spans="1:5">
      <c r="A2082" s="122"/>
      <c r="B2082" s="125"/>
      <c r="C2082" s="125"/>
      <c r="D2082" s="132"/>
      <c r="E2082" s="132"/>
    </row>
    <row r="2083" spans="1:5">
      <c r="A2083" s="122"/>
      <c r="B2083" s="125"/>
      <c r="C2083" s="125"/>
      <c r="D2083" s="132"/>
      <c r="E2083" s="132"/>
    </row>
    <row r="2084" spans="1:5">
      <c r="A2084" s="122"/>
      <c r="B2084" s="125"/>
      <c r="C2084" s="125"/>
      <c r="D2084" s="132"/>
      <c r="E2084" s="132"/>
    </row>
    <row r="2085" spans="1:5">
      <c r="A2085" s="122"/>
      <c r="B2085" s="125"/>
      <c r="C2085" s="125"/>
      <c r="D2085" s="132"/>
      <c r="E2085" s="132"/>
    </row>
    <row r="2086" spans="1:5">
      <c r="A2086" s="122"/>
      <c r="B2086" s="125"/>
      <c r="C2086" s="125"/>
      <c r="D2086" s="132"/>
      <c r="E2086" s="132"/>
    </row>
    <row r="2087" spans="1:5">
      <c r="A2087" s="122"/>
      <c r="B2087" s="125"/>
      <c r="C2087" s="125"/>
      <c r="D2087" s="132"/>
      <c r="E2087" s="132"/>
    </row>
    <row r="2088" spans="1:5">
      <c r="A2088" s="122"/>
      <c r="B2088" s="125"/>
      <c r="C2088" s="125"/>
      <c r="D2088" s="132"/>
      <c r="E2088" s="132"/>
    </row>
    <row r="2089" spans="1:5">
      <c r="A2089" s="122"/>
      <c r="B2089" s="125"/>
      <c r="C2089" s="125"/>
      <c r="D2089" s="132"/>
      <c r="E2089" s="132"/>
    </row>
    <row r="2090" spans="1:5">
      <c r="A2090" s="122"/>
      <c r="B2090" s="125"/>
      <c r="C2090" s="125"/>
      <c r="D2090" s="132"/>
      <c r="E2090" s="132"/>
    </row>
    <row r="2091" spans="1:5">
      <c r="A2091" s="122"/>
      <c r="B2091" s="125"/>
      <c r="C2091" s="125"/>
      <c r="D2091" s="132"/>
      <c r="E2091" s="132"/>
    </row>
    <row r="2092" spans="1:5">
      <c r="A2092" s="122"/>
      <c r="B2092" s="125"/>
      <c r="C2092" s="125"/>
      <c r="D2092" s="132"/>
      <c r="E2092" s="132"/>
    </row>
    <row r="2093" spans="1:5">
      <c r="A2093" s="122"/>
      <c r="B2093" s="125"/>
      <c r="C2093" s="125"/>
      <c r="D2093" s="132"/>
      <c r="E2093" s="132"/>
    </row>
    <row r="2094" spans="1:5">
      <c r="A2094" s="122"/>
      <c r="B2094" s="125"/>
      <c r="C2094" s="125"/>
      <c r="D2094" s="132"/>
      <c r="E2094" s="132"/>
    </row>
    <row r="2095" spans="1:5">
      <c r="A2095" s="122"/>
      <c r="B2095" s="125"/>
      <c r="C2095" s="125"/>
      <c r="D2095" s="132"/>
      <c r="E2095" s="132"/>
    </row>
    <row r="2096" spans="1:5">
      <c r="A2096" s="122"/>
      <c r="B2096" s="125"/>
      <c r="C2096" s="125"/>
      <c r="D2096" s="132"/>
      <c r="E2096" s="132"/>
    </row>
    <row r="2097" spans="1:5">
      <c r="A2097" s="122"/>
      <c r="B2097" s="125"/>
      <c r="C2097" s="125"/>
      <c r="D2097" s="132"/>
      <c r="E2097" s="132"/>
    </row>
    <row r="2098" spans="1:5">
      <c r="A2098" s="122"/>
      <c r="B2098" s="125"/>
      <c r="C2098" s="125"/>
      <c r="D2098" s="132"/>
      <c r="E2098" s="132"/>
    </row>
    <row r="2099" spans="1:5">
      <c r="A2099" s="122"/>
      <c r="B2099" s="125"/>
      <c r="C2099" s="125"/>
      <c r="D2099" s="132"/>
      <c r="E2099" s="132"/>
    </row>
    <row r="2100" spans="1:5">
      <c r="A2100" s="122"/>
      <c r="B2100" s="125"/>
      <c r="C2100" s="125"/>
      <c r="D2100" s="132"/>
      <c r="E2100" s="132"/>
    </row>
    <row r="2101" spans="1:5">
      <c r="A2101" s="122"/>
      <c r="B2101" s="125"/>
      <c r="C2101" s="125"/>
      <c r="D2101" s="132"/>
      <c r="E2101" s="132"/>
    </row>
    <row r="2102" spans="1:5">
      <c r="A2102" s="122"/>
      <c r="B2102" s="125"/>
      <c r="C2102" s="125"/>
      <c r="D2102" s="132"/>
      <c r="E2102" s="132"/>
    </row>
    <row r="2103" spans="1:5">
      <c r="A2103" s="122"/>
      <c r="B2103" s="125"/>
      <c r="C2103" s="125"/>
      <c r="D2103" s="132"/>
      <c r="E2103" s="132"/>
    </row>
    <row r="2104" spans="1:5">
      <c r="A2104" s="122"/>
      <c r="B2104" s="125"/>
      <c r="C2104" s="125"/>
      <c r="D2104" s="132"/>
      <c r="E2104" s="132"/>
    </row>
    <row r="2105" spans="1:5">
      <c r="A2105" s="122"/>
      <c r="B2105" s="125"/>
      <c r="C2105" s="125"/>
      <c r="D2105" s="132"/>
      <c r="E2105" s="132"/>
    </row>
    <row r="2106" spans="1:5">
      <c r="A2106" s="122"/>
      <c r="B2106" s="125"/>
      <c r="C2106" s="125"/>
      <c r="D2106" s="132"/>
      <c r="E2106" s="132"/>
    </row>
    <row r="2107" spans="1:5">
      <c r="A2107" s="122"/>
      <c r="B2107" s="125"/>
      <c r="C2107" s="125"/>
      <c r="D2107" s="132"/>
      <c r="E2107" s="132"/>
    </row>
    <row r="2108" spans="1:5">
      <c r="A2108" s="122"/>
      <c r="B2108" s="125"/>
      <c r="C2108" s="125"/>
      <c r="D2108" s="132"/>
      <c r="E2108" s="132"/>
    </row>
    <row r="2109" spans="1:5">
      <c r="A2109" s="122"/>
      <c r="B2109" s="125"/>
      <c r="C2109" s="125"/>
      <c r="D2109" s="132"/>
      <c r="E2109" s="132"/>
    </row>
    <row r="2110" spans="1:5">
      <c r="A2110" s="122"/>
      <c r="B2110" s="125"/>
      <c r="C2110" s="125"/>
      <c r="D2110" s="132"/>
      <c r="E2110" s="132"/>
    </row>
    <row r="2111" spans="1:5">
      <c r="A2111" s="122"/>
      <c r="B2111" s="125"/>
      <c r="C2111" s="125"/>
      <c r="D2111" s="132"/>
      <c r="E2111" s="132"/>
    </row>
    <row r="2112" spans="1:5">
      <c r="A2112" s="122"/>
      <c r="B2112" s="125"/>
      <c r="C2112" s="125"/>
      <c r="D2112" s="132"/>
      <c r="E2112" s="132"/>
    </row>
    <row r="2113" spans="1:5">
      <c r="A2113" s="122"/>
      <c r="B2113" s="125"/>
      <c r="C2113" s="125"/>
      <c r="D2113" s="132"/>
      <c r="E2113" s="132"/>
    </row>
    <row r="2114" spans="1:5">
      <c r="A2114" s="122"/>
      <c r="B2114" s="125"/>
      <c r="C2114" s="125"/>
      <c r="D2114" s="132"/>
      <c r="E2114" s="132"/>
    </row>
    <row r="2115" spans="1:5">
      <c r="A2115" s="122"/>
      <c r="B2115" s="125"/>
      <c r="C2115" s="125"/>
      <c r="D2115" s="132"/>
      <c r="E2115" s="132"/>
    </row>
    <row r="2116" spans="1:5">
      <c r="A2116" s="122"/>
      <c r="B2116" s="125"/>
      <c r="C2116" s="125"/>
      <c r="D2116" s="132"/>
      <c r="E2116" s="132"/>
    </row>
    <row r="2117" spans="1:5">
      <c r="A2117" s="122"/>
      <c r="B2117" s="125"/>
      <c r="C2117" s="125"/>
      <c r="D2117" s="132"/>
      <c r="E2117" s="132"/>
    </row>
    <row r="2118" spans="1:5">
      <c r="A2118" s="122"/>
      <c r="B2118" s="125"/>
      <c r="C2118" s="125"/>
      <c r="D2118" s="132"/>
      <c r="E2118" s="132"/>
    </row>
    <row r="2119" spans="1:5">
      <c r="A2119" s="122"/>
      <c r="B2119" s="125"/>
      <c r="C2119" s="125"/>
      <c r="D2119" s="132"/>
      <c r="E2119" s="132"/>
    </row>
    <row r="2120" spans="1:5">
      <c r="A2120" s="122"/>
      <c r="B2120" s="125"/>
      <c r="C2120" s="125"/>
      <c r="D2120" s="132"/>
      <c r="E2120" s="132"/>
    </row>
    <row r="2121" spans="1:5">
      <c r="A2121" s="122"/>
      <c r="B2121" s="125"/>
      <c r="C2121" s="125"/>
      <c r="D2121" s="132"/>
      <c r="E2121" s="132"/>
    </row>
    <row r="2122" spans="1:5">
      <c r="A2122" s="122"/>
      <c r="B2122" s="125"/>
      <c r="C2122" s="125"/>
      <c r="D2122" s="132"/>
      <c r="E2122" s="132"/>
    </row>
    <row r="2123" spans="1:5">
      <c r="A2123" s="122"/>
      <c r="B2123" s="125"/>
      <c r="C2123" s="125"/>
      <c r="D2123" s="132"/>
      <c r="E2123" s="132"/>
    </row>
    <row r="2124" spans="1:5">
      <c r="A2124" s="122"/>
      <c r="B2124" s="125"/>
      <c r="C2124" s="125"/>
      <c r="D2124" s="132"/>
      <c r="E2124" s="132"/>
    </row>
    <row r="2125" spans="1:5">
      <c r="A2125" s="122"/>
      <c r="B2125" s="125"/>
      <c r="C2125" s="125"/>
      <c r="D2125" s="132"/>
      <c r="E2125" s="132"/>
    </row>
    <row r="2126" spans="1:5">
      <c r="A2126" s="122"/>
      <c r="B2126" s="125"/>
      <c r="C2126" s="125"/>
      <c r="D2126" s="132"/>
      <c r="E2126" s="132"/>
    </row>
    <row r="2127" spans="1:5">
      <c r="A2127" s="122"/>
      <c r="B2127" s="125"/>
      <c r="C2127" s="125"/>
      <c r="D2127" s="132"/>
      <c r="E2127" s="132"/>
    </row>
    <row r="2128" spans="1:5">
      <c r="A2128" s="122"/>
      <c r="B2128" s="125"/>
      <c r="C2128" s="125"/>
      <c r="D2128" s="132"/>
      <c r="E2128" s="132"/>
    </row>
    <row r="2129" spans="1:5">
      <c r="A2129" s="122"/>
      <c r="B2129" s="125"/>
      <c r="C2129" s="125"/>
      <c r="D2129" s="132"/>
      <c r="E2129" s="132"/>
    </row>
    <row r="2130" spans="1:5">
      <c r="A2130" s="122"/>
      <c r="B2130" s="125"/>
      <c r="C2130" s="125"/>
      <c r="D2130" s="132"/>
      <c r="E2130" s="132"/>
    </row>
    <row r="2131" spans="1:5">
      <c r="A2131" s="122"/>
      <c r="B2131" s="125"/>
      <c r="C2131" s="125"/>
      <c r="D2131" s="132"/>
      <c r="E2131" s="132"/>
    </row>
    <row r="2132" spans="1:5">
      <c r="A2132" s="122"/>
      <c r="B2132" s="125"/>
      <c r="C2132" s="125"/>
      <c r="D2132" s="132"/>
      <c r="E2132" s="132"/>
    </row>
    <row r="2133" spans="1:5">
      <c r="A2133" s="122"/>
      <c r="B2133" s="125"/>
      <c r="C2133" s="125"/>
      <c r="D2133" s="132"/>
      <c r="E2133" s="132"/>
    </row>
    <row r="2134" spans="1:5">
      <c r="A2134" s="122"/>
      <c r="B2134" s="125"/>
      <c r="C2134" s="125"/>
      <c r="D2134" s="132"/>
      <c r="E2134" s="132"/>
    </row>
    <row r="2135" spans="1:5">
      <c r="A2135" s="122"/>
      <c r="B2135" s="125"/>
      <c r="C2135" s="125"/>
      <c r="D2135" s="132"/>
      <c r="E2135" s="132"/>
    </row>
    <row r="2136" spans="1:5">
      <c r="A2136" s="122"/>
      <c r="B2136" s="125"/>
      <c r="C2136" s="125"/>
      <c r="D2136" s="132"/>
      <c r="E2136" s="132"/>
    </row>
    <row r="2137" spans="1:5">
      <c r="A2137" s="122"/>
      <c r="B2137" s="125"/>
      <c r="C2137" s="125"/>
      <c r="D2137" s="132"/>
      <c r="E2137" s="132"/>
    </row>
    <row r="2138" spans="1:5">
      <c r="A2138" s="122"/>
      <c r="B2138" s="125"/>
      <c r="C2138" s="125"/>
      <c r="D2138" s="132"/>
      <c r="E2138" s="132"/>
    </row>
    <row r="2139" spans="1:5">
      <c r="A2139" s="122"/>
      <c r="B2139" s="125"/>
      <c r="C2139" s="125"/>
      <c r="D2139" s="132"/>
      <c r="E2139" s="132"/>
    </row>
    <row r="2140" spans="1:5">
      <c r="A2140" s="122"/>
      <c r="B2140" s="125"/>
      <c r="C2140" s="125"/>
      <c r="D2140" s="132"/>
      <c r="E2140" s="132"/>
    </row>
    <row r="2141" spans="1:5">
      <c r="A2141" s="122"/>
      <c r="B2141" s="125"/>
      <c r="C2141" s="125"/>
      <c r="D2141" s="132"/>
      <c r="E2141" s="132"/>
    </row>
    <row r="2142" spans="1:5">
      <c r="A2142" s="122"/>
      <c r="B2142" s="125"/>
      <c r="C2142" s="125"/>
      <c r="D2142" s="132"/>
      <c r="E2142" s="132"/>
    </row>
    <row r="2143" spans="1:5">
      <c r="A2143" s="122"/>
      <c r="B2143" s="125"/>
      <c r="C2143" s="125"/>
      <c r="D2143" s="132"/>
      <c r="E2143" s="132"/>
    </row>
    <row r="2144" spans="1:5">
      <c r="A2144" s="122"/>
      <c r="B2144" s="125"/>
      <c r="C2144" s="125"/>
      <c r="D2144" s="132"/>
      <c r="E2144" s="132"/>
    </row>
    <row r="2145" spans="1:5">
      <c r="A2145" s="122"/>
      <c r="B2145" s="125"/>
      <c r="C2145" s="125"/>
      <c r="D2145" s="132"/>
      <c r="E2145" s="132"/>
    </row>
    <row r="2146" spans="1:5">
      <c r="A2146" s="122"/>
      <c r="B2146" s="125"/>
      <c r="C2146" s="125"/>
      <c r="D2146" s="132"/>
      <c r="E2146" s="132"/>
    </row>
    <row r="2147" spans="1:5">
      <c r="A2147" s="122"/>
      <c r="B2147" s="125"/>
      <c r="C2147" s="125"/>
      <c r="D2147" s="132"/>
      <c r="E2147" s="132"/>
    </row>
    <row r="2148" spans="1:5">
      <c r="A2148" s="122"/>
      <c r="B2148" s="125"/>
      <c r="C2148" s="125"/>
      <c r="D2148" s="132"/>
      <c r="E2148" s="132"/>
    </row>
    <row r="2149" spans="1:5">
      <c r="A2149" s="122"/>
      <c r="B2149" s="125"/>
      <c r="C2149" s="125"/>
      <c r="D2149" s="132"/>
      <c r="E2149" s="132"/>
    </row>
    <row r="2150" spans="1:5">
      <c r="A2150" s="122"/>
      <c r="B2150" s="125"/>
      <c r="C2150" s="125"/>
      <c r="D2150" s="132"/>
      <c r="E2150" s="132"/>
    </row>
    <row r="2151" spans="1:5">
      <c r="A2151" s="122"/>
      <c r="B2151" s="125"/>
      <c r="C2151" s="125"/>
      <c r="D2151" s="132"/>
      <c r="E2151" s="132"/>
    </row>
    <row r="2152" spans="1:5">
      <c r="A2152" s="122"/>
      <c r="B2152" s="125"/>
      <c r="C2152" s="125"/>
      <c r="D2152" s="132"/>
      <c r="E2152" s="132"/>
    </row>
    <row r="2153" spans="1:5">
      <c r="A2153" s="122"/>
      <c r="B2153" s="125"/>
      <c r="C2153" s="125"/>
      <c r="D2153" s="132"/>
      <c r="E2153" s="132"/>
    </row>
    <row r="2154" spans="1:5">
      <c r="A2154" s="122"/>
      <c r="B2154" s="125"/>
      <c r="C2154" s="125"/>
      <c r="D2154" s="132"/>
      <c r="E2154" s="132"/>
    </row>
    <row r="2155" spans="1:5">
      <c r="A2155" s="122"/>
      <c r="B2155" s="125"/>
      <c r="C2155" s="125"/>
      <c r="D2155" s="132"/>
      <c r="E2155" s="132"/>
    </row>
    <row r="2156" spans="1:5">
      <c r="A2156" s="122"/>
      <c r="B2156" s="125"/>
      <c r="C2156" s="125"/>
      <c r="D2156" s="132"/>
      <c r="E2156" s="132"/>
    </row>
    <row r="2157" spans="1:5">
      <c r="A2157" s="122"/>
      <c r="B2157" s="125"/>
      <c r="C2157" s="125"/>
      <c r="D2157" s="132"/>
      <c r="E2157" s="132"/>
    </row>
    <row r="2158" spans="1:5">
      <c r="A2158" s="122"/>
      <c r="B2158" s="125"/>
      <c r="C2158" s="125"/>
      <c r="D2158" s="132"/>
      <c r="E2158" s="132"/>
    </row>
    <row r="2159" spans="1:5">
      <c r="A2159" s="122"/>
      <c r="B2159" s="125"/>
      <c r="C2159" s="125"/>
      <c r="D2159" s="132"/>
      <c r="E2159" s="132"/>
    </row>
    <row r="2160" spans="1:5">
      <c r="A2160" s="122"/>
      <c r="B2160" s="125"/>
      <c r="C2160" s="125"/>
      <c r="D2160" s="132"/>
      <c r="E2160" s="132"/>
    </row>
    <row r="2161" spans="1:5">
      <c r="A2161" s="122"/>
      <c r="B2161" s="125"/>
      <c r="C2161" s="125"/>
      <c r="D2161" s="132"/>
      <c r="E2161" s="132"/>
    </row>
    <row r="2162" spans="1:5">
      <c r="A2162" s="122"/>
      <c r="B2162" s="125"/>
      <c r="C2162" s="125"/>
      <c r="D2162" s="132"/>
      <c r="E2162" s="132"/>
    </row>
    <row r="2163" spans="1:5">
      <c r="A2163" s="122"/>
      <c r="B2163" s="125"/>
      <c r="C2163" s="125"/>
      <c r="D2163" s="132"/>
      <c r="E2163" s="132"/>
    </row>
    <row r="2164" spans="1:5">
      <c r="A2164" s="122"/>
      <c r="B2164" s="125"/>
      <c r="C2164" s="125"/>
      <c r="D2164" s="132"/>
      <c r="E2164" s="132"/>
    </row>
    <row r="2165" spans="1:5">
      <c r="A2165" s="122"/>
      <c r="B2165" s="125"/>
      <c r="C2165" s="125"/>
      <c r="D2165" s="132"/>
      <c r="E2165" s="132"/>
    </row>
    <row r="2166" spans="1:5">
      <c r="A2166" s="122"/>
      <c r="B2166" s="125"/>
      <c r="C2166" s="125"/>
      <c r="D2166" s="132"/>
      <c r="E2166" s="132"/>
    </row>
    <row r="2167" spans="1:5">
      <c r="A2167" s="122"/>
      <c r="B2167" s="125"/>
      <c r="C2167" s="125"/>
      <c r="D2167" s="132"/>
      <c r="E2167" s="132"/>
    </row>
    <row r="2168" spans="1:5">
      <c r="A2168" s="122"/>
      <c r="B2168" s="125"/>
      <c r="C2168" s="125"/>
      <c r="D2168" s="132"/>
      <c r="E2168" s="132"/>
    </row>
    <row r="2169" spans="1:5">
      <c r="A2169" s="122"/>
      <c r="B2169" s="125"/>
      <c r="C2169" s="125"/>
      <c r="D2169" s="132"/>
      <c r="E2169" s="132"/>
    </row>
    <row r="2170" spans="1:5">
      <c r="A2170" s="122"/>
      <c r="B2170" s="125"/>
      <c r="C2170" s="125"/>
      <c r="D2170" s="132"/>
      <c r="E2170" s="132"/>
    </row>
    <row r="2171" spans="1:5">
      <c r="A2171" s="122"/>
      <c r="B2171" s="125"/>
      <c r="C2171" s="125"/>
      <c r="D2171" s="132"/>
      <c r="E2171" s="132"/>
    </row>
    <row r="2172" spans="1:5">
      <c r="A2172" s="122"/>
      <c r="B2172" s="125"/>
      <c r="C2172" s="125"/>
      <c r="D2172" s="132"/>
      <c r="E2172" s="132"/>
    </row>
    <row r="2173" spans="1:5">
      <c r="A2173" s="122"/>
      <c r="B2173" s="125"/>
      <c r="C2173" s="125"/>
      <c r="D2173" s="132"/>
      <c r="E2173" s="132"/>
    </row>
    <row r="2174" spans="1:5">
      <c r="A2174" s="122"/>
      <c r="B2174" s="125"/>
      <c r="C2174" s="125"/>
      <c r="D2174" s="132"/>
      <c r="E2174" s="132"/>
    </row>
    <row r="2175" spans="1:5">
      <c r="A2175" s="122"/>
      <c r="B2175" s="125"/>
      <c r="C2175" s="125"/>
      <c r="D2175" s="132"/>
      <c r="E2175" s="132"/>
    </row>
    <row r="2176" spans="1:5">
      <c r="A2176" s="122"/>
      <c r="B2176" s="125"/>
      <c r="C2176" s="125"/>
      <c r="D2176" s="132"/>
      <c r="E2176" s="132"/>
    </row>
    <row r="2177" spans="1:5">
      <c r="A2177" s="122"/>
      <c r="B2177" s="125"/>
      <c r="C2177" s="125"/>
      <c r="D2177" s="132"/>
      <c r="E2177" s="132"/>
    </row>
    <row r="2178" spans="1:5">
      <c r="A2178" s="122"/>
      <c r="B2178" s="125"/>
      <c r="C2178" s="125"/>
      <c r="D2178" s="132"/>
      <c r="E2178" s="132"/>
    </row>
    <row r="2179" spans="1:5">
      <c r="A2179" s="122"/>
      <c r="B2179" s="125"/>
      <c r="C2179" s="125"/>
      <c r="D2179" s="132"/>
      <c r="E2179" s="132"/>
    </row>
    <row r="2180" spans="1:5">
      <c r="A2180" s="122"/>
      <c r="B2180" s="125"/>
      <c r="C2180" s="125"/>
      <c r="D2180" s="132"/>
      <c r="E2180" s="132"/>
    </row>
    <row r="2181" spans="1:5">
      <c r="A2181" s="122"/>
      <c r="B2181" s="125"/>
      <c r="C2181" s="125"/>
      <c r="D2181" s="132"/>
      <c r="E2181" s="132"/>
    </row>
    <row r="2182" spans="1:5">
      <c r="A2182" s="122"/>
      <c r="B2182" s="125"/>
      <c r="C2182" s="125"/>
      <c r="D2182" s="132"/>
      <c r="E2182" s="132"/>
    </row>
    <row r="2183" spans="1:5">
      <c r="A2183" s="122"/>
      <c r="B2183" s="125"/>
      <c r="C2183" s="125"/>
      <c r="D2183" s="132"/>
      <c r="E2183" s="132"/>
    </row>
    <row r="2184" spans="1:5">
      <c r="A2184" s="122"/>
      <c r="B2184" s="125"/>
      <c r="C2184" s="125"/>
      <c r="D2184" s="132"/>
      <c r="E2184" s="132"/>
    </row>
    <row r="2185" spans="1:5">
      <c r="A2185" s="122"/>
      <c r="B2185" s="125"/>
      <c r="C2185" s="125"/>
      <c r="D2185" s="132"/>
      <c r="E2185" s="132"/>
    </row>
    <row r="2186" spans="1:5">
      <c r="A2186" s="122"/>
      <c r="B2186" s="125"/>
      <c r="C2186" s="125"/>
      <c r="D2186" s="132"/>
      <c r="E2186" s="132"/>
    </row>
    <row r="2187" spans="1:5">
      <c r="A2187" s="122"/>
      <c r="B2187" s="125"/>
      <c r="C2187" s="125"/>
      <c r="D2187" s="132"/>
      <c r="E2187" s="132"/>
    </row>
    <row r="2188" spans="1:5">
      <c r="A2188" s="122"/>
      <c r="B2188" s="125"/>
      <c r="C2188" s="125"/>
      <c r="D2188" s="132"/>
      <c r="E2188" s="132"/>
    </row>
    <row r="2189" spans="1:5">
      <c r="A2189" s="122"/>
      <c r="B2189" s="125"/>
      <c r="C2189" s="125"/>
      <c r="D2189" s="132"/>
      <c r="E2189" s="132"/>
    </row>
    <row r="2190" spans="1:5">
      <c r="A2190" s="122"/>
      <c r="B2190" s="125"/>
      <c r="C2190" s="125"/>
      <c r="D2190" s="132"/>
      <c r="E2190" s="132"/>
    </row>
    <row r="2191" spans="1:5">
      <c r="A2191" s="122"/>
      <c r="B2191" s="125"/>
      <c r="C2191" s="125"/>
      <c r="D2191" s="132"/>
      <c r="E2191" s="132"/>
    </row>
    <row r="2192" spans="1:5">
      <c r="A2192" s="122"/>
      <c r="B2192" s="125"/>
      <c r="C2192" s="125"/>
      <c r="D2192" s="132"/>
      <c r="E2192" s="132"/>
    </row>
    <row r="2193" spans="1:5">
      <c r="A2193" s="122"/>
      <c r="B2193" s="125"/>
      <c r="C2193" s="125"/>
      <c r="D2193" s="132"/>
      <c r="E2193" s="132"/>
    </row>
    <row r="2194" spans="1:5">
      <c r="A2194" s="122"/>
      <c r="B2194" s="125"/>
      <c r="C2194" s="125"/>
      <c r="D2194" s="132"/>
      <c r="E2194" s="132"/>
    </row>
    <row r="2195" spans="1:5">
      <c r="A2195" s="122"/>
      <c r="B2195" s="125"/>
      <c r="C2195" s="125"/>
      <c r="D2195" s="132"/>
      <c r="E2195" s="132"/>
    </row>
    <row r="2196" spans="1:5">
      <c r="A2196" s="122"/>
      <c r="B2196" s="125"/>
      <c r="C2196" s="125"/>
      <c r="D2196" s="132"/>
      <c r="E2196" s="132"/>
    </row>
    <row r="2197" spans="1:5">
      <c r="A2197" s="122"/>
      <c r="B2197" s="125"/>
      <c r="C2197" s="125"/>
      <c r="D2197" s="132"/>
      <c r="E2197" s="132"/>
    </row>
    <row r="2198" spans="1:5">
      <c r="A2198" s="122"/>
      <c r="B2198" s="125"/>
      <c r="C2198" s="125"/>
      <c r="D2198" s="132"/>
      <c r="E2198" s="132"/>
    </row>
    <row r="2199" spans="1:5">
      <c r="A2199" s="122"/>
      <c r="B2199" s="125"/>
      <c r="C2199" s="125"/>
      <c r="D2199" s="132"/>
      <c r="E2199" s="132"/>
    </row>
    <row r="2200" spans="1:5">
      <c r="A2200" s="122"/>
      <c r="B2200" s="125"/>
      <c r="C2200" s="125"/>
      <c r="D2200" s="132"/>
      <c r="E2200" s="132"/>
    </row>
    <row r="2201" spans="1:5">
      <c r="A2201" s="122"/>
      <c r="B2201" s="125"/>
      <c r="C2201" s="125"/>
      <c r="D2201" s="132"/>
      <c r="E2201" s="132"/>
    </row>
    <row r="2202" spans="1:5">
      <c r="A2202" s="122"/>
      <c r="B2202" s="125"/>
      <c r="C2202" s="125"/>
      <c r="D2202" s="132"/>
      <c r="E2202" s="132"/>
    </row>
    <row r="2203" spans="1:5">
      <c r="A2203" s="122"/>
      <c r="B2203" s="125"/>
      <c r="C2203" s="125"/>
      <c r="D2203" s="132"/>
      <c r="E2203" s="132"/>
    </row>
    <row r="2204" spans="1:5">
      <c r="A2204" s="122"/>
      <c r="B2204" s="125"/>
      <c r="C2204" s="125"/>
      <c r="D2204" s="132"/>
      <c r="E2204" s="132"/>
    </row>
    <row r="2205" spans="1:5">
      <c r="A2205" s="122"/>
      <c r="B2205" s="125"/>
      <c r="C2205" s="125"/>
      <c r="D2205" s="132"/>
      <c r="E2205" s="132"/>
    </row>
    <row r="2206" spans="1:5">
      <c r="A2206" s="122"/>
      <c r="B2206" s="125"/>
      <c r="C2206" s="125"/>
      <c r="D2206" s="132"/>
      <c r="E2206" s="132"/>
    </row>
    <row r="2207" spans="1:5">
      <c r="A2207" s="122"/>
      <c r="B2207" s="125"/>
      <c r="C2207" s="125"/>
      <c r="D2207" s="132"/>
      <c r="E2207" s="132"/>
    </row>
    <row r="2208" spans="1:5">
      <c r="A2208" s="122"/>
      <c r="B2208" s="125"/>
      <c r="C2208" s="125"/>
      <c r="D2208" s="132"/>
      <c r="E2208" s="132"/>
    </row>
    <row r="2209" spans="1:5">
      <c r="A2209" s="122"/>
      <c r="B2209" s="125"/>
      <c r="C2209" s="125"/>
      <c r="D2209" s="132"/>
      <c r="E2209" s="132"/>
    </row>
    <row r="2210" spans="1:5">
      <c r="A2210" s="122"/>
      <c r="B2210" s="125"/>
      <c r="C2210" s="125"/>
      <c r="D2210" s="132"/>
      <c r="E2210" s="132"/>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8A706-EBF2-45BC-A5FE-46CE83CD7589}">
  <dimension ref="A1:E22"/>
  <sheetViews>
    <sheetView workbookViewId="0">
      <selection activeCell="A2" sqref="A2"/>
    </sheetView>
  </sheetViews>
  <sheetFormatPr defaultColWidth="8.85546875" defaultRowHeight="15"/>
  <cols>
    <col min="1" max="1" width="16.85546875" bestFit="1" customWidth="1"/>
    <col min="2" max="2" width="27.42578125" customWidth="1"/>
    <col min="3" max="3" width="25.28515625" customWidth="1"/>
    <col min="4" max="4" width="62.28515625" customWidth="1"/>
    <col min="5" max="5" width="62.42578125" customWidth="1"/>
  </cols>
  <sheetData>
    <row r="1" spans="1:5" ht="15.95">
      <c r="A1" s="91" t="s">
        <v>329</v>
      </c>
      <c r="B1" s="91" t="s">
        <v>330</v>
      </c>
      <c r="C1" s="92" t="s">
        <v>331</v>
      </c>
      <c r="D1" s="91" t="s">
        <v>332</v>
      </c>
      <c r="E1" s="91" t="s">
        <v>1613</v>
      </c>
    </row>
    <row r="2" spans="1:5" ht="96">
      <c r="A2" s="66" t="s">
        <v>858</v>
      </c>
      <c r="B2" s="104" t="s">
        <v>965</v>
      </c>
      <c r="C2" s="22" t="s">
        <v>858</v>
      </c>
      <c r="D2" s="18" t="s">
        <v>1614</v>
      </c>
      <c r="E2" s="22" t="s">
        <v>967</v>
      </c>
    </row>
    <row r="3" spans="1:5" ht="202.5" customHeight="1">
      <c r="A3" s="66" t="s">
        <v>858</v>
      </c>
      <c r="B3" s="66" t="s">
        <v>983</v>
      </c>
      <c r="C3" s="67" t="s">
        <v>984</v>
      </c>
      <c r="D3" s="67" t="s">
        <v>985</v>
      </c>
      <c r="E3" s="62" t="s">
        <v>986</v>
      </c>
    </row>
    <row r="4" spans="1:5" ht="15.95">
      <c r="A4" s="66" t="s">
        <v>858</v>
      </c>
      <c r="B4" s="66" t="s">
        <v>987</v>
      </c>
      <c r="C4" s="67" t="s">
        <v>988</v>
      </c>
      <c r="D4" t="s">
        <v>989</v>
      </c>
      <c r="E4" s="62" t="s">
        <v>990</v>
      </c>
    </row>
    <row r="5" spans="1:5">
      <c r="A5" s="66" t="s">
        <v>858</v>
      </c>
      <c r="B5" t="s">
        <v>991</v>
      </c>
      <c r="C5" t="s">
        <v>992</v>
      </c>
      <c r="D5" t="s">
        <v>993</v>
      </c>
    </row>
    <row r="6" spans="1:5">
      <c r="A6" s="66" t="s">
        <v>858</v>
      </c>
      <c r="B6" t="s">
        <v>994</v>
      </c>
      <c r="C6" t="s">
        <v>995</v>
      </c>
      <c r="D6" t="s">
        <v>313</v>
      </c>
    </row>
    <row r="7" spans="1:5">
      <c r="A7" s="66" t="s">
        <v>858</v>
      </c>
      <c r="B7" t="s">
        <v>994</v>
      </c>
      <c r="C7" t="s">
        <v>241</v>
      </c>
      <c r="D7" t="s">
        <v>996</v>
      </c>
    </row>
    <row r="8" spans="1:5">
      <c r="A8" s="66" t="s">
        <v>858</v>
      </c>
      <c r="B8" t="s">
        <v>994</v>
      </c>
      <c r="C8" t="s">
        <v>997</v>
      </c>
      <c r="D8" t="s">
        <v>998</v>
      </c>
    </row>
    <row r="9" spans="1:5" ht="32.1">
      <c r="A9" s="66" t="s">
        <v>858</v>
      </c>
      <c r="B9" t="s">
        <v>994</v>
      </c>
      <c r="C9" t="s">
        <v>969</v>
      </c>
      <c r="D9" s="67" t="s">
        <v>999</v>
      </c>
    </row>
    <row r="10" spans="1:5">
      <c r="A10" s="66" t="s">
        <v>858</v>
      </c>
      <c r="B10" t="s">
        <v>1000</v>
      </c>
      <c r="C10" t="s">
        <v>468</v>
      </c>
      <c r="D10" t="s">
        <v>1615</v>
      </c>
    </row>
    <row r="11" spans="1:5">
      <c r="A11" s="66" t="s">
        <v>858</v>
      </c>
      <c r="B11" s="60" t="s">
        <v>994</v>
      </c>
      <c r="C11" s="60" t="s">
        <v>981</v>
      </c>
      <c r="D11" s="60" t="s">
        <v>1002</v>
      </c>
      <c r="E11" s="60" t="s">
        <v>1003</v>
      </c>
    </row>
    <row r="12" spans="1:5">
      <c r="A12" s="66" t="s">
        <v>858</v>
      </c>
      <c r="B12" t="s">
        <v>1004</v>
      </c>
      <c r="C12" t="s">
        <v>969</v>
      </c>
      <c r="D12" s="93" t="s">
        <v>1005</v>
      </c>
    </row>
    <row r="13" spans="1:5">
      <c r="A13" s="66" t="s">
        <v>858</v>
      </c>
      <c r="B13" t="s">
        <v>1006</v>
      </c>
      <c r="C13" t="s">
        <v>969</v>
      </c>
      <c r="D13" s="11" t="s">
        <v>1007</v>
      </c>
      <c r="E13" t="s">
        <v>1008</v>
      </c>
    </row>
    <row r="14" spans="1:5">
      <c r="A14" s="66" t="s">
        <v>858</v>
      </c>
    </row>
    <row r="15" spans="1:5">
      <c r="A15" s="66" t="s">
        <v>858</v>
      </c>
    </row>
    <row r="16" spans="1:5">
      <c r="A16" s="66" t="s">
        <v>858</v>
      </c>
    </row>
    <row r="17" spans="1:1">
      <c r="A17" s="66" t="s">
        <v>858</v>
      </c>
    </row>
    <row r="18" spans="1:1">
      <c r="A18" s="66" t="s">
        <v>858</v>
      </c>
    </row>
    <row r="19" spans="1:1">
      <c r="A19" s="66" t="s">
        <v>858</v>
      </c>
    </row>
    <row r="20" spans="1:1">
      <c r="A20" s="66" t="s">
        <v>858</v>
      </c>
    </row>
    <row r="21" spans="1:1">
      <c r="A21" s="66" t="s">
        <v>858</v>
      </c>
    </row>
    <row r="22" spans="1:1">
      <c r="A22" s="66" t="s">
        <v>858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D540-9F6D-4C4C-8E13-F668DC08BDE4}">
  <dimension ref="A1:X27"/>
  <sheetViews>
    <sheetView workbookViewId="0">
      <selection activeCell="P3" sqref="P3"/>
    </sheetView>
  </sheetViews>
  <sheetFormatPr defaultColWidth="8.85546875" defaultRowHeight="15"/>
  <cols>
    <col min="1" max="1" width="18.42578125" customWidth="1"/>
    <col min="2" max="2" width="14.42578125" customWidth="1"/>
    <col min="4" max="4" width="11.140625" customWidth="1"/>
    <col min="6" max="6" width="27.7109375" customWidth="1"/>
    <col min="7" max="7" width="16.42578125" customWidth="1"/>
    <col min="8" max="8" width="15.28515625" customWidth="1"/>
    <col min="9" max="9" width="20.42578125" customWidth="1"/>
    <col min="10" max="10" width="35.140625" customWidth="1"/>
    <col min="11" max="13" width="20.42578125" customWidth="1"/>
    <col min="16" max="16" width="9.85546875" bestFit="1" customWidth="1"/>
  </cols>
  <sheetData>
    <row r="1" spans="1:24">
      <c r="A1" t="s">
        <v>1616</v>
      </c>
      <c r="J1" t="s">
        <v>1617</v>
      </c>
      <c r="K1">
        <v>120</v>
      </c>
      <c r="N1" t="s">
        <v>914</v>
      </c>
      <c r="R1" t="s">
        <v>917</v>
      </c>
    </row>
    <row r="2" spans="1:24">
      <c r="A2" t="s">
        <v>1618</v>
      </c>
      <c r="B2" t="s">
        <v>1619</v>
      </c>
      <c r="C2" s="58" t="s">
        <v>60</v>
      </c>
      <c r="D2" s="58" t="s">
        <v>89</v>
      </c>
      <c r="E2" s="58" t="s">
        <v>1620</v>
      </c>
      <c r="F2" s="58" t="s">
        <v>774</v>
      </c>
      <c r="G2" t="s">
        <v>1621</v>
      </c>
      <c r="H2" t="s">
        <v>1471</v>
      </c>
      <c r="I2" t="s">
        <v>219</v>
      </c>
      <c r="K2" t="s">
        <v>1622</v>
      </c>
      <c r="L2" t="s">
        <v>1623</v>
      </c>
      <c r="M2" t="s">
        <v>1556</v>
      </c>
      <c r="N2" s="58" t="s">
        <v>1624</v>
      </c>
      <c r="O2" s="58" t="s">
        <v>1625</v>
      </c>
      <c r="P2" s="58" t="s">
        <v>1626</v>
      </c>
      <c r="R2" s="58" t="s">
        <v>1624</v>
      </c>
      <c r="S2" s="58" t="s">
        <v>1625</v>
      </c>
      <c r="T2" s="58" t="s">
        <v>1626</v>
      </c>
    </row>
    <row r="3" spans="1:24">
      <c r="A3">
        <v>1</v>
      </c>
      <c r="B3">
        <v>1</v>
      </c>
      <c r="C3" t="s">
        <v>1627</v>
      </c>
      <c r="D3" t="s">
        <v>1628</v>
      </c>
      <c r="E3" t="s">
        <v>1629</v>
      </c>
      <c r="F3" t="s">
        <v>1630</v>
      </c>
      <c r="G3">
        <f ca="1">RANDBETWEEN(100,300)</f>
        <v>231</v>
      </c>
      <c r="H3">
        <f ca="1">RANDBETWEEN(50,250)</f>
        <v>203</v>
      </c>
      <c r="I3">
        <f ca="1">RANDBETWEEN(1,10)</f>
        <v>2</v>
      </c>
      <c r="K3">
        <f ca="1">RANDBETWEEN(30,90)</f>
        <v>64</v>
      </c>
      <c r="L3" s="101">
        <f ca="1">$K$1*K3/60</f>
        <v>128</v>
      </c>
      <c r="M3" s="101">
        <f ca="1">L3+H3</f>
        <v>331</v>
      </c>
      <c r="N3" s="101">
        <f ca="1">(G3-H3)/I3</f>
        <v>14</v>
      </c>
      <c r="O3" s="102">
        <f ca="1">(G3-H3)/G3</f>
        <v>0.12121212121212122</v>
      </c>
      <c r="P3" s="101">
        <f ca="1">(G3-H3)</f>
        <v>28</v>
      </c>
      <c r="R3" s="101">
        <f ca="1">T3/I3</f>
        <v>-50</v>
      </c>
      <c r="S3" s="102">
        <f ca="1">T3/G3</f>
        <v>-0.4329004329004329</v>
      </c>
      <c r="T3" s="101">
        <f ca="1">G3-M3</f>
        <v>-100</v>
      </c>
      <c r="X3" t="str">
        <f t="shared" ref="X3:X11" si="0">C3&amp;D3&amp;E3&amp;F3</f>
        <v>PlantACustomerAProductAShiptoA</v>
      </c>
    </row>
    <row r="4" spans="1:24">
      <c r="A4">
        <v>2</v>
      </c>
      <c r="B4">
        <v>1</v>
      </c>
      <c r="C4" t="s">
        <v>1627</v>
      </c>
      <c r="D4" t="s">
        <v>1628</v>
      </c>
      <c r="E4" t="s">
        <v>1629</v>
      </c>
      <c r="F4" t="s">
        <v>1630</v>
      </c>
      <c r="G4">
        <f t="shared" ref="G4:H10" ca="1" si="1">RANDBETWEEN(100,300)</f>
        <v>249</v>
      </c>
      <c r="H4">
        <f t="shared" ca="1" si="1"/>
        <v>263</v>
      </c>
      <c r="I4">
        <f t="shared" ref="I4:I10" ca="1" si="2">RANDBETWEEN(1,10)</f>
        <v>8</v>
      </c>
      <c r="K4">
        <f t="shared" ref="K4:K10" ca="1" si="3">RANDBETWEEN(30,90)</f>
        <v>81</v>
      </c>
      <c r="L4" s="101">
        <f t="shared" ref="L4:L10" ca="1" si="4">$K$1*K4/60</f>
        <v>162</v>
      </c>
      <c r="M4" s="101">
        <f t="shared" ref="M4:M10" ca="1" si="5">L4+H4</f>
        <v>425</v>
      </c>
      <c r="N4" s="101">
        <f t="shared" ref="N4:N10" ca="1" si="6">(G4-H4)/I4</f>
        <v>-1.75</v>
      </c>
      <c r="O4" s="102">
        <f t="shared" ref="O4:O10" ca="1" si="7">(G4-H4)/G4</f>
        <v>-5.6224899598393573E-2</v>
      </c>
      <c r="P4" s="101">
        <f t="shared" ref="P4:P10" ca="1" si="8">(G4-H4)</f>
        <v>-14</v>
      </c>
      <c r="R4" s="101">
        <f t="shared" ref="R4:R10" ca="1" si="9">T4/I4</f>
        <v>-22</v>
      </c>
      <c r="S4" s="102">
        <f t="shared" ref="S4:S10" ca="1" si="10">T4/G4</f>
        <v>-0.70682730923694781</v>
      </c>
      <c r="T4" s="101">
        <f t="shared" ref="T4:T10" ca="1" si="11">G4-M4</f>
        <v>-176</v>
      </c>
      <c r="X4" t="str">
        <f t="shared" si="0"/>
        <v>PlantACustomerAProductAShiptoA</v>
      </c>
    </row>
    <row r="5" spans="1:24">
      <c r="A5">
        <v>3</v>
      </c>
      <c r="B5">
        <v>1</v>
      </c>
      <c r="C5" t="s">
        <v>1627</v>
      </c>
      <c r="D5" t="s">
        <v>1628</v>
      </c>
      <c r="E5" t="s">
        <v>1629</v>
      </c>
      <c r="F5" t="s">
        <v>1631</v>
      </c>
      <c r="G5">
        <f t="shared" ca="1" si="1"/>
        <v>217</v>
      </c>
      <c r="H5">
        <f t="shared" ca="1" si="1"/>
        <v>247</v>
      </c>
      <c r="I5">
        <f t="shared" ca="1" si="2"/>
        <v>1</v>
      </c>
      <c r="K5">
        <f t="shared" ca="1" si="3"/>
        <v>63</v>
      </c>
      <c r="L5" s="101">
        <f t="shared" ca="1" si="4"/>
        <v>126</v>
      </c>
      <c r="M5" s="101">
        <f t="shared" ca="1" si="5"/>
        <v>373</v>
      </c>
      <c r="N5" s="101">
        <f t="shared" ca="1" si="6"/>
        <v>-30</v>
      </c>
      <c r="O5" s="102">
        <f t="shared" ca="1" si="7"/>
        <v>-0.13824884792626729</v>
      </c>
      <c r="P5" s="101">
        <f t="shared" ca="1" si="8"/>
        <v>-30</v>
      </c>
      <c r="R5" s="101">
        <f t="shared" ca="1" si="9"/>
        <v>-156</v>
      </c>
      <c r="S5" s="102">
        <f t="shared" ca="1" si="10"/>
        <v>-0.71889400921658986</v>
      </c>
      <c r="T5" s="101">
        <f t="shared" ca="1" si="11"/>
        <v>-156</v>
      </c>
      <c r="X5" t="str">
        <f t="shared" si="0"/>
        <v>PlantACustomerAProductAShiptoC</v>
      </c>
    </row>
    <row r="6" spans="1:24">
      <c r="A6">
        <v>4</v>
      </c>
      <c r="B6">
        <v>1</v>
      </c>
      <c r="C6" t="s">
        <v>1627</v>
      </c>
      <c r="D6" t="s">
        <v>1628</v>
      </c>
      <c r="E6" t="s">
        <v>1629</v>
      </c>
      <c r="F6" t="s">
        <v>1632</v>
      </c>
      <c r="G6">
        <f t="shared" ca="1" si="1"/>
        <v>204</v>
      </c>
      <c r="H6">
        <f t="shared" ca="1" si="1"/>
        <v>231</v>
      </c>
      <c r="I6">
        <f t="shared" ca="1" si="2"/>
        <v>4</v>
      </c>
      <c r="K6">
        <f t="shared" ca="1" si="3"/>
        <v>56</v>
      </c>
      <c r="L6" s="101">
        <f t="shared" ca="1" si="4"/>
        <v>112</v>
      </c>
      <c r="M6" s="101">
        <f t="shared" ca="1" si="5"/>
        <v>343</v>
      </c>
      <c r="N6" s="101">
        <f t="shared" ca="1" si="6"/>
        <v>-6.75</v>
      </c>
      <c r="O6" s="102">
        <f t="shared" ca="1" si="7"/>
        <v>-0.13235294117647059</v>
      </c>
      <c r="P6" s="101">
        <f t="shared" ca="1" si="8"/>
        <v>-27</v>
      </c>
      <c r="R6" s="101">
        <f t="shared" ca="1" si="9"/>
        <v>-34.75</v>
      </c>
      <c r="S6" s="102">
        <f t="shared" ca="1" si="10"/>
        <v>-0.68137254901960786</v>
      </c>
      <c r="T6" s="101">
        <f t="shared" ca="1" si="11"/>
        <v>-139</v>
      </c>
      <c r="X6" t="str">
        <f t="shared" si="0"/>
        <v>PlantACustomerAProductAShiptoB</v>
      </c>
    </row>
    <row r="7" spans="1:24">
      <c r="A7">
        <v>5</v>
      </c>
      <c r="B7">
        <v>1</v>
      </c>
      <c r="C7" t="s">
        <v>1633</v>
      </c>
      <c r="D7" t="s">
        <v>1628</v>
      </c>
      <c r="E7" t="s">
        <v>1629</v>
      </c>
      <c r="F7" t="s">
        <v>1630</v>
      </c>
      <c r="G7">
        <f t="shared" ca="1" si="1"/>
        <v>139</v>
      </c>
      <c r="H7">
        <f t="shared" ca="1" si="1"/>
        <v>161</v>
      </c>
      <c r="I7">
        <f t="shared" ca="1" si="2"/>
        <v>3</v>
      </c>
      <c r="K7">
        <f t="shared" ca="1" si="3"/>
        <v>35</v>
      </c>
      <c r="L7" s="101">
        <f t="shared" ca="1" si="4"/>
        <v>70</v>
      </c>
      <c r="M7" s="101">
        <f t="shared" ca="1" si="5"/>
        <v>231</v>
      </c>
      <c r="N7" s="101">
        <f t="shared" ca="1" si="6"/>
        <v>-7.333333333333333</v>
      </c>
      <c r="O7" s="102">
        <f t="shared" ca="1" si="7"/>
        <v>-0.15827338129496402</v>
      </c>
      <c r="P7" s="101">
        <f t="shared" ca="1" si="8"/>
        <v>-22</v>
      </c>
      <c r="R7" s="101">
        <f t="shared" ca="1" si="9"/>
        <v>-30.666666666666668</v>
      </c>
      <c r="S7" s="102">
        <f t="shared" ca="1" si="10"/>
        <v>-0.66187050359712229</v>
      </c>
      <c r="T7" s="101">
        <f t="shared" ca="1" si="11"/>
        <v>-92</v>
      </c>
      <c r="X7" t="str">
        <f t="shared" si="0"/>
        <v>PlantBCustomerAProductAShiptoA</v>
      </c>
    </row>
    <row r="8" spans="1:24">
      <c r="A8">
        <v>6</v>
      </c>
      <c r="B8">
        <v>1</v>
      </c>
      <c r="C8" t="s">
        <v>1627</v>
      </c>
      <c r="D8" t="s">
        <v>1628</v>
      </c>
      <c r="E8" t="s">
        <v>1629</v>
      </c>
      <c r="F8" t="s">
        <v>1632</v>
      </c>
      <c r="G8">
        <f t="shared" ca="1" si="1"/>
        <v>114</v>
      </c>
      <c r="H8">
        <f t="shared" ca="1" si="1"/>
        <v>283</v>
      </c>
      <c r="I8">
        <f t="shared" ca="1" si="2"/>
        <v>7</v>
      </c>
      <c r="K8">
        <f t="shared" ca="1" si="3"/>
        <v>70</v>
      </c>
      <c r="L8" s="101">
        <f t="shared" ca="1" si="4"/>
        <v>140</v>
      </c>
      <c r="M8" s="101">
        <f t="shared" ca="1" si="5"/>
        <v>423</v>
      </c>
      <c r="N8" s="101">
        <f t="shared" ca="1" si="6"/>
        <v>-24.142857142857142</v>
      </c>
      <c r="O8" s="102">
        <f t="shared" ca="1" si="7"/>
        <v>-1.4824561403508771</v>
      </c>
      <c r="P8" s="101">
        <f t="shared" ca="1" si="8"/>
        <v>-169</v>
      </c>
      <c r="R8" s="101">
        <f t="shared" ca="1" si="9"/>
        <v>-44.142857142857146</v>
      </c>
      <c r="S8" s="102">
        <f t="shared" ca="1" si="10"/>
        <v>-2.7105263157894739</v>
      </c>
      <c r="T8" s="101">
        <f t="shared" ca="1" si="11"/>
        <v>-309</v>
      </c>
      <c r="X8" t="str">
        <f t="shared" si="0"/>
        <v>PlantACustomerAProductAShiptoB</v>
      </c>
    </row>
    <row r="9" spans="1:24">
      <c r="A9">
        <v>7</v>
      </c>
      <c r="B9">
        <v>1</v>
      </c>
      <c r="C9" t="s">
        <v>1633</v>
      </c>
      <c r="D9" t="s">
        <v>1628</v>
      </c>
      <c r="E9" t="s">
        <v>1629</v>
      </c>
      <c r="F9" t="s">
        <v>1632</v>
      </c>
      <c r="G9">
        <f t="shared" ca="1" si="1"/>
        <v>151</v>
      </c>
      <c r="H9">
        <f t="shared" ca="1" si="1"/>
        <v>288</v>
      </c>
      <c r="I9">
        <f t="shared" ca="1" si="2"/>
        <v>3</v>
      </c>
      <c r="K9">
        <f t="shared" ca="1" si="3"/>
        <v>70</v>
      </c>
      <c r="L9" s="101">
        <f t="shared" ca="1" si="4"/>
        <v>140</v>
      </c>
      <c r="M9" s="101">
        <f t="shared" ca="1" si="5"/>
        <v>428</v>
      </c>
      <c r="N9" s="101">
        <f t="shared" ca="1" si="6"/>
        <v>-45.666666666666664</v>
      </c>
      <c r="O9" s="102">
        <f t="shared" ca="1" si="7"/>
        <v>-0.9072847682119205</v>
      </c>
      <c r="P9" s="101">
        <f t="shared" ca="1" si="8"/>
        <v>-137</v>
      </c>
      <c r="R9" s="101">
        <f t="shared" ca="1" si="9"/>
        <v>-92.333333333333329</v>
      </c>
      <c r="S9" s="102">
        <f t="shared" ca="1" si="10"/>
        <v>-1.8344370860927153</v>
      </c>
      <c r="T9" s="101">
        <f t="shared" ca="1" si="11"/>
        <v>-277</v>
      </c>
      <c r="X9" t="str">
        <f t="shared" si="0"/>
        <v>PlantBCustomerAProductAShiptoB</v>
      </c>
    </row>
    <row r="10" spans="1:24">
      <c r="A10">
        <v>8</v>
      </c>
      <c r="B10">
        <v>1</v>
      </c>
      <c r="C10" t="s">
        <v>1633</v>
      </c>
      <c r="D10" t="s">
        <v>1628</v>
      </c>
      <c r="E10" t="s">
        <v>1629</v>
      </c>
      <c r="F10" t="s">
        <v>1630</v>
      </c>
      <c r="G10">
        <f t="shared" ca="1" si="1"/>
        <v>118</v>
      </c>
      <c r="H10">
        <f t="shared" ca="1" si="1"/>
        <v>206</v>
      </c>
      <c r="I10">
        <f t="shared" ca="1" si="2"/>
        <v>5</v>
      </c>
      <c r="K10">
        <f t="shared" ca="1" si="3"/>
        <v>46</v>
      </c>
      <c r="L10" s="101">
        <f t="shared" ca="1" si="4"/>
        <v>92</v>
      </c>
      <c r="M10" s="101">
        <f t="shared" ca="1" si="5"/>
        <v>298</v>
      </c>
      <c r="N10" s="101">
        <f t="shared" ca="1" si="6"/>
        <v>-17.600000000000001</v>
      </c>
      <c r="O10" s="102">
        <f t="shared" ca="1" si="7"/>
        <v>-0.74576271186440679</v>
      </c>
      <c r="P10" s="101">
        <f t="shared" ca="1" si="8"/>
        <v>-88</v>
      </c>
      <c r="R10" s="101">
        <f t="shared" ca="1" si="9"/>
        <v>-36</v>
      </c>
      <c r="S10" s="102">
        <f t="shared" ca="1" si="10"/>
        <v>-1.5254237288135593</v>
      </c>
      <c r="T10" s="101">
        <f t="shared" ca="1" si="11"/>
        <v>-180</v>
      </c>
      <c r="X10" t="str">
        <f t="shared" si="0"/>
        <v>PlantBCustomerAProductAShiptoA</v>
      </c>
    </row>
    <row r="11" spans="1:24">
      <c r="X11" t="str">
        <f t="shared" si="0"/>
        <v/>
      </c>
    </row>
    <row r="12" spans="1:24">
      <c r="A12" t="s">
        <v>1634</v>
      </c>
    </row>
    <row r="13" spans="1:24">
      <c r="A13" s="58"/>
      <c r="B13" s="58"/>
      <c r="C13" s="58" t="s">
        <v>60</v>
      </c>
      <c r="D13" s="58" t="s">
        <v>89</v>
      </c>
      <c r="E13" s="58" t="s">
        <v>1620</v>
      </c>
      <c r="F13" s="58" t="s">
        <v>774</v>
      </c>
      <c r="G13" s="58" t="s">
        <v>1474</v>
      </c>
      <c r="H13" s="58" t="s">
        <v>380</v>
      </c>
      <c r="I13" s="58" t="s">
        <v>1124</v>
      </c>
      <c r="J13" s="58" t="s">
        <v>1621</v>
      </c>
      <c r="K13" s="58" t="s">
        <v>1622</v>
      </c>
      <c r="L13" s="58" t="s">
        <v>1623</v>
      </c>
      <c r="M13" s="58" t="s">
        <v>1556</v>
      </c>
      <c r="N13" s="58" t="s">
        <v>1624</v>
      </c>
      <c r="O13" s="58" t="s">
        <v>1625</v>
      </c>
      <c r="P13" s="58" t="s">
        <v>1626</v>
      </c>
    </row>
    <row r="14" spans="1:24">
      <c r="C14" t="s">
        <v>1627</v>
      </c>
      <c r="D14" t="s">
        <v>1628</v>
      </c>
      <c r="E14" t="s">
        <v>1629</v>
      </c>
      <c r="F14" t="s">
        <v>1630</v>
      </c>
      <c r="G14">
        <f ca="1">SUMIF($X$3:$X$10,$X14,$G$3:$G$10)-SUMIF($X$3:$X$10,$X14,$H$3:$H$10)</f>
        <v>14</v>
      </c>
      <c r="H14">
        <f ca="1">SUMIF($X$3:$X$10,$X14,$I$3:$I$10)</f>
        <v>10</v>
      </c>
      <c r="I14" s="101">
        <f ca="1">($H$20-(G14/H14))*H14</f>
        <v>-110.36363636363637</v>
      </c>
      <c r="J14">
        <f ca="1">SUMIF($X$3:$X$10,$X14,$G$3:$G$10)</f>
        <v>480</v>
      </c>
      <c r="N14">
        <f ca="1">G14/H14</f>
        <v>1.4</v>
      </c>
      <c r="O14" s="102">
        <f ca="1">G14/J14</f>
        <v>2.9166666666666667E-2</v>
      </c>
      <c r="P14" s="101">
        <f ca="1">G14</f>
        <v>14</v>
      </c>
      <c r="X14" t="str">
        <f>C14&amp;D14&amp;E14&amp;F14</f>
        <v>PlantACustomerAProductAShiptoA</v>
      </c>
    </row>
    <row r="15" spans="1:24">
      <c r="C15" t="s">
        <v>1627</v>
      </c>
      <c r="D15" t="s">
        <v>1628</v>
      </c>
      <c r="E15" t="s">
        <v>1629</v>
      </c>
      <c r="F15" t="s">
        <v>1632</v>
      </c>
      <c r="G15">
        <f ca="1">SUMIF($X$3:$X$10,$X15,$G$3:$G$10)-SUMIF($X$3:$X$10,$X15,$H$3:$H$10)</f>
        <v>-196</v>
      </c>
      <c r="H15">
        <f ca="1">SUMIF($X$3:$X$10,$X15,$I$3:$I$10)</f>
        <v>11</v>
      </c>
      <c r="I15" s="101">
        <f ca="1">($H$20-(G15/H15))*H15</f>
        <v>89.999999999999972</v>
      </c>
      <c r="J15">
        <f ca="1">SUMIF($X$3:$X$10,$X15,$G$3:$G$10)</f>
        <v>318</v>
      </c>
      <c r="N15">
        <f t="shared" ref="N15:N17" ca="1" si="12">G15/H15</f>
        <v>-17.818181818181817</v>
      </c>
      <c r="O15" s="102">
        <f t="shared" ref="O15:O18" ca="1" si="13">G15/J15</f>
        <v>-0.61635220125786161</v>
      </c>
      <c r="P15" s="101">
        <f t="shared" ref="P15:P18" ca="1" si="14">G15</f>
        <v>-196</v>
      </c>
      <c r="X15" t="str">
        <f>C15&amp;D15&amp;E15&amp;F15</f>
        <v>PlantACustomerAProductAShiptoB</v>
      </c>
    </row>
    <row r="16" spans="1:24">
      <c r="C16" t="s">
        <v>1627</v>
      </c>
      <c r="D16" t="s">
        <v>1628</v>
      </c>
      <c r="E16" t="s">
        <v>1629</v>
      </c>
      <c r="F16" t="s">
        <v>1631</v>
      </c>
      <c r="G16">
        <f ca="1">SUMIF($X$3:$X$10,$X16,$G$3:$G$10)-SUMIF($X$3:$X$10,$X16,$H$3:$H$10)</f>
        <v>-30</v>
      </c>
      <c r="H16">
        <f ca="1">SUMIF($X$3:$X$10,$X16,$I$3:$I$10)</f>
        <v>1</v>
      </c>
      <c r="I16" s="101">
        <f ca="1">($H$20-(G16/H16))*H16</f>
        <v>20.363636363636363</v>
      </c>
      <c r="J16">
        <f ca="1">SUMIF($X$3:$X$10,$X16,$G$3:$G$10)</f>
        <v>217</v>
      </c>
      <c r="N16">
        <f t="shared" ref="N16" ca="1" si="15">G16/H16</f>
        <v>-30</v>
      </c>
      <c r="O16" s="102">
        <f t="shared" ca="1" si="13"/>
        <v>-0.13824884792626729</v>
      </c>
      <c r="P16" s="101">
        <f t="shared" ca="1" si="14"/>
        <v>-30</v>
      </c>
      <c r="X16" t="str">
        <f>C16&amp;D16&amp;E16&amp;F16</f>
        <v>PlantACustomerAProductAShiptoC</v>
      </c>
    </row>
    <row r="17" spans="1:24">
      <c r="C17" t="s">
        <v>1633</v>
      </c>
      <c r="D17" t="s">
        <v>1628</v>
      </c>
      <c r="E17" t="s">
        <v>1629</v>
      </c>
      <c r="F17" t="s">
        <v>1630</v>
      </c>
      <c r="G17">
        <f ca="1">SUMIF($X$3:$X$10,$X17,$G$3:$G$10)-SUMIF($X$3:$X$10,$X17,$H$3:$H$10)</f>
        <v>-110</v>
      </c>
      <c r="H17">
        <f ca="1">SUMIF($X$3:$X$10,$X17,$I$3:$I$10)</f>
        <v>8</v>
      </c>
      <c r="I17" s="101">
        <f ca="1">($H$21-(G17/H17))*H17</f>
        <v>-69.636363636363626</v>
      </c>
      <c r="J17">
        <f ca="1">SUMIF($X$3:$X$10,$X17,$G$3:$G$10)</f>
        <v>257</v>
      </c>
      <c r="N17">
        <f t="shared" ca="1" si="12"/>
        <v>-13.75</v>
      </c>
      <c r="O17" s="102">
        <f t="shared" ca="1" si="13"/>
        <v>-0.42801556420233461</v>
      </c>
      <c r="P17" s="101">
        <f t="shared" ca="1" si="14"/>
        <v>-110</v>
      </c>
      <c r="X17" t="str">
        <f>C17&amp;D17&amp;E17&amp;F17</f>
        <v>PlantBCustomerAProductAShiptoA</v>
      </c>
    </row>
    <row r="18" spans="1:24">
      <c r="C18" t="s">
        <v>1633</v>
      </c>
      <c r="D18" t="s">
        <v>1628</v>
      </c>
      <c r="E18" t="s">
        <v>1629</v>
      </c>
      <c r="F18" t="s">
        <v>1632</v>
      </c>
      <c r="G18">
        <f ca="1">SUMIF($X$3:$X$10,$X18,$G$3:$G$10)-SUMIF($X$3:$X$10,$X18,$H$3:$H$10)</f>
        <v>-137</v>
      </c>
      <c r="H18">
        <f ca="1">SUMIF($X$3:$X$10,$X18,$I$3:$I$10)</f>
        <v>3</v>
      </c>
      <c r="I18" s="101">
        <f ca="1">($H$21-(G18/H18))*H18</f>
        <v>69.636363636363626</v>
      </c>
      <c r="J18">
        <f ca="1">SUMIF($X$3:$X$10,$X18,$G$3:$G$10)</f>
        <v>151</v>
      </c>
      <c r="N18">
        <f t="shared" ref="N18" ca="1" si="16">G18/H18</f>
        <v>-45.666666666666664</v>
      </c>
      <c r="O18" s="102">
        <f t="shared" ca="1" si="13"/>
        <v>-0.9072847682119205</v>
      </c>
      <c r="P18" s="101">
        <f t="shared" ca="1" si="14"/>
        <v>-137</v>
      </c>
      <c r="X18" t="str">
        <f>C18&amp;D18&amp;E18&amp;F18</f>
        <v>PlantBCustomerAProductAShiptoB</v>
      </c>
    </row>
    <row r="20" spans="1:24">
      <c r="F20" t="s">
        <v>1624</v>
      </c>
      <c r="G20" t="s">
        <v>1635</v>
      </c>
      <c r="H20" s="101">
        <f ca="1">(SUMIF($C$3:$C$10,"PlantA",$G$3:$G$10)-SUMIF($C$3:$C$10,"PlantA",$H$3:$H$10))/SUMIF($C$3:$C$10,"PlantA",I3:I10)</f>
        <v>-9.6363636363636367</v>
      </c>
      <c r="I20" t="s">
        <v>1636</v>
      </c>
    </row>
    <row r="21" spans="1:24">
      <c r="F21" t="s">
        <v>1624</v>
      </c>
      <c r="G21" t="s">
        <v>1637</v>
      </c>
      <c r="H21" s="101">
        <f ca="1">(SUMIF($C$3:$C$10,"PlantB",$G$3:$G$10)-SUMIF($C$3:$C$10,"PlantB",$H$3:$H$10))/SUMIF($C$3:$C$10,"PlantB",I3:I10)</f>
        <v>-22.454545454545453</v>
      </c>
      <c r="I21" t="s">
        <v>1636</v>
      </c>
    </row>
    <row r="24" spans="1:24">
      <c r="A24" t="s">
        <v>1638</v>
      </c>
      <c r="B24" t="s">
        <v>1639</v>
      </c>
      <c r="C24" t="s">
        <v>1640</v>
      </c>
      <c r="R24">
        <f ca="1">SUM(G3:G10)-SUM(H3:H10)</f>
        <v>-459</v>
      </c>
    </row>
    <row r="25" spans="1:24">
      <c r="A25" t="s">
        <v>1641</v>
      </c>
    </row>
    <row r="27" spans="1:24">
      <c r="A27" t="s">
        <v>1642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FEFA4-F939-4FBC-ACDB-DE6D4C3E7C07}">
  <dimension ref="A1:M21"/>
  <sheetViews>
    <sheetView workbookViewId="0">
      <selection activeCell="A6" sqref="A6"/>
    </sheetView>
  </sheetViews>
  <sheetFormatPr defaultColWidth="11.42578125" defaultRowHeight="15"/>
  <cols>
    <col min="1" max="1" width="36.28515625" customWidth="1"/>
    <col min="2" max="2" width="18.85546875" customWidth="1"/>
    <col min="3" max="4" width="12.140625" style="197" customWidth="1"/>
    <col min="5" max="5" width="10.28515625" bestFit="1" customWidth="1"/>
    <col min="6" max="6" width="11.85546875" bestFit="1" customWidth="1"/>
    <col min="7" max="7" width="56.85546875" customWidth="1"/>
    <col min="8" max="8" width="35.140625" customWidth="1"/>
    <col min="9" max="9" width="24.140625" customWidth="1"/>
  </cols>
  <sheetData>
    <row r="1" spans="1:13" ht="15.75">
      <c r="A1" s="156" t="s">
        <v>1026</v>
      </c>
      <c r="B1" s="156" t="s">
        <v>1506</v>
      </c>
      <c r="C1" s="195" t="s">
        <v>1643</v>
      </c>
      <c r="D1" s="195" t="s">
        <v>1644</v>
      </c>
      <c r="E1" s="156" t="s">
        <v>1645</v>
      </c>
      <c r="F1" s="156" t="s">
        <v>1389</v>
      </c>
      <c r="G1" s="156" t="s">
        <v>1646</v>
      </c>
      <c r="H1" s="58" t="s">
        <v>1647</v>
      </c>
      <c r="I1" t="s">
        <v>1648</v>
      </c>
    </row>
    <row r="2" spans="1:13" ht="45.75">
      <c r="A2" t="s">
        <v>1038</v>
      </c>
      <c r="B2" s="155" t="s">
        <v>1649</v>
      </c>
      <c r="C2" s="196">
        <v>1</v>
      </c>
      <c r="D2" s="196" t="s">
        <v>1650</v>
      </c>
      <c r="E2" s="155" t="s">
        <v>1651</v>
      </c>
      <c r="F2" s="155" t="s">
        <v>96</v>
      </c>
      <c r="G2" s="155" t="s">
        <v>1652</v>
      </c>
      <c r="H2" s="62" t="s">
        <v>1653</v>
      </c>
      <c r="I2" t="s">
        <v>1654</v>
      </c>
    </row>
    <row r="3" spans="1:13" ht="45.75">
      <c r="A3" t="s">
        <v>803</v>
      </c>
      <c r="B3" s="155" t="s">
        <v>1655</v>
      </c>
      <c r="C3" s="196">
        <v>0</v>
      </c>
      <c r="D3" s="196" t="s">
        <v>1656</v>
      </c>
      <c r="E3" s="155" t="s">
        <v>1651</v>
      </c>
      <c r="F3" s="155" t="s">
        <v>96</v>
      </c>
      <c r="G3" s="155" t="s">
        <v>1657</v>
      </c>
      <c r="H3" s="62" t="s">
        <v>1658</v>
      </c>
      <c r="I3" t="s">
        <v>1654</v>
      </c>
      <c r="M3" s="198" t="s">
        <v>1659</v>
      </c>
    </row>
    <row r="4" spans="1:13" ht="30.75">
      <c r="A4" t="s">
        <v>1042</v>
      </c>
      <c r="B4" s="155" t="s">
        <v>1655</v>
      </c>
      <c r="C4" s="196">
        <v>0</v>
      </c>
      <c r="D4" s="196" t="s">
        <v>1656</v>
      </c>
      <c r="E4" s="155" t="s">
        <v>1651</v>
      </c>
      <c r="F4" s="155" t="s">
        <v>96</v>
      </c>
      <c r="G4" s="155" t="s">
        <v>1652</v>
      </c>
      <c r="H4" s="62" t="s">
        <v>1660</v>
      </c>
      <c r="I4" t="s">
        <v>1654</v>
      </c>
      <c r="M4" s="198" t="s">
        <v>1661</v>
      </c>
    </row>
    <row r="5" spans="1:13" ht="30.75">
      <c r="A5" t="s">
        <v>1044</v>
      </c>
      <c r="B5" s="155" t="s">
        <v>1655</v>
      </c>
      <c r="C5" s="196">
        <v>0</v>
      </c>
      <c r="D5" s="196" t="s">
        <v>1656</v>
      </c>
      <c r="E5" s="155" t="s">
        <v>1651</v>
      </c>
      <c r="F5" s="155" t="s">
        <v>96</v>
      </c>
      <c r="G5" s="155" t="s">
        <v>1652</v>
      </c>
      <c r="H5" s="62" t="s">
        <v>1662</v>
      </c>
      <c r="I5" t="s">
        <v>1654</v>
      </c>
      <c r="M5" s="198" t="s">
        <v>473</v>
      </c>
    </row>
    <row r="6" spans="1:13" ht="45.75">
      <c r="A6" t="s">
        <v>1663</v>
      </c>
      <c r="B6" s="155" t="s">
        <v>1664</v>
      </c>
      <c r="C6" s="196">
        <v>1</v>
      </c>
      <c r="D6" s="196" t="s">
        <v>1650</v>
      </c>
      <c r="E6" s="155" t="s">
        <v>1651</v>
      </c>
      <c r="F6" s="155" t="s">
        <v>96</v>
      </c>
      <c r="G6" s="133" t="s">
        <v>1665</v>
      </c>
      <c r="H6" s="62" t="s">
        <v>1666</v>
      </c>
      <c r="I6" t="s">
        <v>1654</v>
      </c>
      <c r="M6" s="198" t="s">
        <v>858</v>
      </c>
    </row>
    <row r="7" spans="1:13" ht="45.75">
      <c r="A7" t="s">
        <v>1667</v>
      </c>
      <c r="B7" s="155" t="s">
        <v>1668</v>
      </c>
      <c r="C7" s="196">
        <v>0</v>
      </c>
      <c r="D7" s="196" t="s">
        <v>1650</v>
      </c>
      <c r="E7" s="155" t="s">
        <v>1651</v>
      </c>
      <c r="F7" s="155" t="s">
        <v>96</v>
      </c>
      <c r="G7" s="133" t="s">
        <v>1669</v>
      </c>
      <c r="H7" s="62" t="s">
        <v>1666</v>
      </c>
      <c r="I7" t="s">
        <v>1654</v>
      </c>
    </row>
    <row r="8" spans="1:13" ht="45.75">
      <c r="A8" t="s">
        <v>1670</v>
      </c>
      <c r="B8" s="155" t="s">
        <v>1668</v>
      </c>
      <c r="C8" s="196">
        <v>0</v>
      </c>
      <c r="D8" s="196" t="s">
        <v>1650</v>
      </c>
      <c r="E8" s="155" t="s">
        <v>1651</v>
      </c>
      <c r="F8" s="155" t="s">
        <v>96</v>
      </c>
      <c r="G8" s="155" t="s">
        <v>1671</v>
      </c>
      <c r="H8" s="62" t="s">
        <v>1666</v>
      </c>
      <c r="I8" t="s">
        <v>1654</v>
      </c>
    </row>
    <row r="9" spans="1:13" ht="45.75">
      <c r="A9" t="s">
        <v>1057</v>
      </c>
      <c r="B9" s="155" t="s">
        <v>1625</v>
      </c>
      <c r="C9" s="196">
        <v>0</v>
      </c>
      <c r="D9" s="196" t="s">
        <v>1656</v>
      </c>
      <c r="E9" s="155" t="s">
        <v>1651</v>
      </c>
      <c r="F9" s="155" t="s">
        <v>96</v>
      </c>
      <c r="G9" s="155" t="s">
        <v>1671</v>
      </c>
      <c r="H9" s="62" t="s">
        <v>1653</v>
      </c>
      <c r="I9" t="s">
        <v>1654</v>
      </c>
    </row>
    <row r="10" spans="1:13" ht="15.75">
      <c r="A10" t="s">
        <v>1060</v>
      </c>
      <c r="B10" s="155" t="s">
        <v>1625</v>
      </c>
      <c r="C10" s="196">
        <v>0</v>
      </c>
      <c r="D10" s="196" t="s">
        <v>1650</v>
      </c>
      <c r="E10" s="155" t="s">
        <v>1651</v>
      </c>
      <c r="F10" s="155" t="s">
        <v>96</v>
      </c>
      <c r="G10" s="155" t="s">
        <v>1672</v>
      </c>
      <c r="H10" t="s">
        <v>675</v>
      </c>
      <c r="I10" t="s">
        <v>1654</v>
      </c>
    </row>
    <row r="11" spans="1:13" ht="15.75">
      <c r="A11" t="s">
        <v>1673</v>
      </c>
      <c r="B11" s="155" t="s">
        <v>1625</v>
      </c>
      <c r="C11" s="196">
        <v>0</v>
      </c>
      <c r="D11" s="196" t="s">
        <v>1650</v>
      </c>
      <c r="E11" s="155" t="s">
        <v>1674</v>
      </c>
      <c r="F11" s="155" t="s">
        <v>1675</v>
      </c>
      <c r="G11" s="155" t="s">
        <v>1676</v>
      </c>
      <c r="H11" t="s">
        <v>382</v>
      </c>
      <c r="I11" t="s">
        <v>46</v>
      </c>
    </row>
    <row r="12" spans="1:13" ht="15.75">
      <c r="A12" t="s">
        <v>1661</v>
      </c>
      <c r="B12" s="155" t="s">
        <v>1668</v>
      </c>
      <c r="C12" s="196">
        <v>0</v>
      </c>
      <c r="D12" s="196" t="s">
        <v>1650</v>
      </c>
      <c r="E12" s="155" t="s">
        <v>1674</v>
      </c>
      <c r="F12" s="155" t="s">
        <v>1675</v>
      </c>
      <c r="G12" s="155" t="s">
        <v>1677</v>
      </c>
      <c r="I12" t="s">
        <v>1654</v>
      </c>
    </row>
    <row r="13" spans="1:13" ht="15.75">
      <c r="A13" t="s">
        <v>1031</v>
      </c>
      <c r="B13" s="155" t="s">
        <v>1625</v>
      </c>
      <c r="C13" s="196">
        <v>0</v>
      </c>
      <c r="D13" s="196" t="s">
        <v>1656</v>
      </c>
      <c r="E13" s="155" t="s">
        <v>1674</v>
      </c>
      <c r="F13" s="155" t="s">
        <v>1392</v>
      </c>
      <c r="G13" s="155" t="s">
        <v>1678</v>
      </c>
      <c r="H13" t="s">
        <v>336</v>
      </c>
      <c r="I13" t="s">
        <v>46</v>
      </c>
    </row>
    <row r="14" spans="1:13" ht="45.75">
      <c r="A14" t="s">
        <v>473</v>
      </c>
      <c r="B14" s="155" t="s">
        <v>1668</v>
      </c>
      <c r="C14" s="196">
        <v>1</v>
      </c>
      <c r="D14" s="196" t="s">
        <v>1650</v>
      </c>
      <c r="E14" s="155" t="s">
        <v>1674</v>
      </c>
      <c r="F14" s="155" t="s">
        <v>96</v>
      </c>
      <c r="G14" s="155" t="s">
        <v>1652</v>
      </c>
      <c r="H14" s="62" t="s">
        <v>1679</v>
      </c>
      <c r="I14" t="s">
        <v>1654</v>
      </c>
    </row>
    <row r="15" spans="1:13" ht="15.75">
      <c r="A15" t="s">
        <v>1046</v>
      </c>
      <c r="B15" s="155" t="s">
        <v>1655</v>
      </c>
      <c r="C15" s="196">
        <v>0</v>
      </c>
      <c r="D15" s="196" t="s">
        <v>1656</v>
      </c>
      <c r="E15" s="155" t="s">
        <v>1674</v>
      </c>
      <c r="F15" s="155" t="s">
        <v>96</v>
      </c>
      <c r="G15" s="155" t="s">
        <v>1680</v>
      </c>
      <c r="I15" t="s">
        <v>1654</v>
      </c>
    </row>
    <row r="16" spans="1:13" ht="15.75">
      <c r="A16" t="s">
        <v>858</v>
      </c>
      <c r="B16" s="155" t="s">
        <v>1625</v>
      </c>
      <c r="C16" s="196">
        <v>0</v>
      </c>
      <c r="D16" s="196" t="s">
        <v>1650</v>
      </c>
      <c r="E16" s="155" t="s">
        <v>1674</v>
      </c>
      <c r="F16" s="155" t="s">
        <v>96</v>
      </c>
      <c r="G16" s="155" t="s">
        <v>1681</v>
      </c>
      <c r="I16" t="s">
        <v>1654</v>
      </c>
    </row>
    <row r="17" spans="1:9" ht="15.75">
      <c r="A17" t="s">
        <v>1062</v>
      </c>
      <c r="B17" s="155" t="s">
        <v>1655</v>
      </c>
      <c r="C17" s="196">
        <v>0</v>
      </c>
      <c r="D17" s="196" t="s">
        <v>1656</v>
      </c>
      <c r="E17" s="155" t="s">
        <v>1674</v>
      </c>
      <c r="F17" s="155" t="s">
        <v>96</v>
      </c>
      <c r="G17" s="155" t="s">
        <v>1682</v>
      </c>
      <c r="I17" t="s">
        <v>1654</v>
      </c>
    </row>
    <row r="18" spans="1:9" ht="15.75">
      <c r="A18" t="s">
        <v>1064</v>
      </c>
      <c r="B18" s="155" t="s">
        <v>1655</v>
      </c>
      <c r="C18" s="196">
        <v>0</v>
      </c>
      <c r="D18" s="196" t="s">
        <v>1656</v>
      </c>
      <c r="E18" s="155" t="s">
        <v>1674</v>
      </c>
      <c r="F18" s="155" t="s">
        <v>96</v>
      </c>
      <c r="G18" s="155" t="s">
        <v>1682</v>
      </c>
      <c r="I18" t="s">
        <v>1654</v>
      </c>
    </row>
    <row r="19" spans="1:9" ht="45.75">
      <c r="A19" s="155" t="s">
        <v>940</v>
      </c>
      <c r="B19" s="155" t="s">
        <v>1625</v>
      </c>
      <c r="C19" s="196">
        <v>2</v>
      </c>
      <c r="D19" s="196" t="s">
        <v>1650</v>
      </c>
      <c r="E19" s="155" t="s">
        <v>1683</v>
      </c>
      <c r="F19" s="155" t="s">
        <v>1684</v>
      </c>
      <c r="G19" s="155" t="s">
        <v>1685</v>
      </c>
      <c r="H19" s="62" t="s">
        <v>1686</v>
      </c>
      <c r="I19" t="s">
        <v>1138</v>
      </c>
    </row>
    <row r="20" spans="1:9" ht="45.75">
      <c r="A20" s="155" t="s">
        <v>1034</v>
      </c>
      <c r="B20" s="155" t="s">
        <v>1625</v>
      </c>
      <c r="C20" s="196">
        <v>2</v>
      </c>
      <c r="D20" s="196" t="s">
        <v>1650</v>
      </c>
      <c r="E20" s="155" t="s">
        <v>1683</v>
      </c>
      <c r="F20" s="155" t="s">
        <v>1684</v>
      </c>
      <c r="G20" s="155" t="s">
        <v>1685</v>
      </c>
      <c r="H20" s="62" t="s">
        <v>1686</v>
      </c>
      <c r="I20" t="s">
        <v>1138</v>
      </c>
    </row>
    <row r="21" spans="1:9" ht="45.75">
      <c r="A21" s="155" t="s">
        <v>1036</v>
      </c>
      <c r="B21" s="155" t="s">
        <v>1625</v>
      </c>
      <c r="C21" s="196">
        <v>2</v>
      </c>
      <c r="D21" s="196" t="s">
        <v>1656</v>
      </c>
      <c r="E21" s="155" t="s">
        <v>1683</v>
      </c>
      <c r="F21" s="155" t="s">
        <v>1684</v>
      </c>
      <c r="G21" s="155" t="s">
        <v>1685</v>
      </c>
      <c r="H21" s="62" t="s">
        <v>1687</v>
      </c>
      <c r="I21" t="s">
        <v>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55defb-e857-4a1b-b2ad-1d9f6bc20cf1">
      <Terms xmlns="http://schemas.microsoft.com/office/infopath/2007/PartnerControls"/>
    </lcf76f155ced4ddcb4097134ff3c332f>
    <TaxCatchAll xmlns="70297e87-b55f-46a8-878f-4cc5264b47f5" xsi:nil="true"/>
    <SharedWithUsers xmlns="70297e87-b55f-46a8-878f-4cc5264b47f5">
      <UserInfo>
        <DisplayName>nathan eckel</DisplayName>
        <AccountId>111</AccountId>
        <AccountType/>
      </UserInfo>
      <UserInfo>
        <DisplayName>Trevor Panas</DisplayName>
        <AccountId>43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26DF034AB0C7034188256B41C1749472" ma:contentTypeVersion="14" ma:contentTypeDescription="Ein neues Dokument erstellen." ma:contentTypeScope="" ma:versionID="c1dec84aeea9079bfdcea5950ca5a7a1">
  <xsd:schema xmlns:xsd="http://www.w3.org/2001/XMLSchema" xmlns:xs="http://www.w3.org/2001/XMLSchema" xmlns:p="http://schemas.microsoft.com/office/2006/metadata/properties" xmlns:ns2="9955defb-e857-4a1b-b2ad-1d9f6bc20cf1" xmlns:ns3="70297e87-b55f-46a8-878f-4cc5264b47f5" targetNamespace="http://schemas.microsoft.com/office/2006/metadata/properties" ma:root="true" ma:fieldsID="bf528e6aaf19ae8f6c6193b420bc55a3" ns2:_="" ns3:_="">
    <xsd:import namespace="9955defb-e857-4a1b-b2ad-1d9f6bc20cf1"/>
    <xsd:import namespace="70297e87-b55f-46a8-878f-4cc5264b47f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55defb-e857-4a1b-b2ad-1d9f6bc20c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ef3f2f01-a3cd-4f5a-a3d2-e4f0be731f5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297e87-b55f-46a8-878f-4cc5264b47f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2a19302-a3e5-43c1-889e-a080f8701932}" ma:internalName="TaxCatchAll" ma:showField="CatchAllData" ma:web="70297e87-b55f-46a8-878f-4cc5264b47f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B4C365-7306-4268-92EC-5B56F4BE0F7E}"/>
</file>

<file path=customXml/itemProps2.xml><?xml version="1.0" encoding="utf-8"?>
<ds:datastoreItem xmlns:ds="http://schemas.openxmlformats.org/officeDocument/2006/customXml" ds:itemID="{53744713-6025-486D-8136-C5445E9FAFE8}"/>
</file>

<file path=customXml/itemProps3.xml><?xml version="1.0" encoding="utf-8"?>
<ds:datastoreItem xmlns:ds="http://schemas.openxmlformats.org/officeDocument/2006/customXml" ds:itemID="{D85F4FA2-7DBF-412B-B5BF-DF6099D7A2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Mitch Gibbs</dc:creator>
  <cp:keywords/>
  <dc:description/>
  <cp:lastModifiedBy/>
  <cp:revision/>
  <dcterms:created xsi:type="dcterms:W3CDTF">2022-09-07T15:04:23Z</dcterms:created>
  <dcterms:modified xsi:type="dcterms:W3CDTF">2024-10-22T08:24:45Z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0x01010026DF034AB0C7034188256B41C1749472</vt:lpwstr>
  </property>
</Properties>
</file>