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tromanfredi/Desktop/My stuff/Excel/LBOs/with Mgmt. options/"/>
    </mc:Choice>
  </mc:AlternateContent>
  <xr:revisionPtr revIDLastSave="0" documentId="13_ncr:1_{D8BE6651-9C2D-C047-9E01-E0E497D8205F}" xr6:coauthVersionLast="47" xr6:coauthVersionMax="47" xr10:uidLastSave="{00000000-0000-0000-0000-000000000000}"/>
  <bookViews>
    <workbookView xWindow="0" yWindow="720" windowWidth="29400" windowHeight="18400" xr2:uid="{2981B576-108C-714A-B54B-A8B20FE28292}"/>
  </bookViews>
  <sheets>
    <sheet name="LBO model" sheetId="5" r:id="rId1"/>
    <sheet name="Prompt" sheetId="1" r:id="rId2"/>
  </sheets>
  <definedNames>
    <definedName name="CIRC">#REF!</definedName>
    <definedName name="toggle">'LBO model'!$M$1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9" i="5" l="1"/>
  <c r="H149" i="5"/>
  <c r="G149" i="5"/>
  <c r="F149" i="5"/>
  <c r="F142" i="5"/>
  <c r="F143" i="5" s="1"/>
  <c r="F141" i="5"/>
  <c r="F98" i="5"/>
  <c r="F96" i="5"/>
  <c r="F94" i="5"/>
  <c r="G89" i="5"/>
  <c r="F89" i="5"/>
  <c r="I89" i="5"/>
  <c r="H88" i="5"/>
  <c r="G88" i="5"/>
  <c r="F88" i="5"/>
  <c r="E88" i="5"/>
  <c r="F84" i="5"/>
  <c r="J83" i="5"/>
  <c r="I83" i="5"/>
  <c r="H83" i="5"/>
  <c r="G83" i="5"/>
  <c r="F83" i="5"/>
  <c r="H82" i="5"/>
  <c r="G82" i="5"/>
  <c r="F82" i="5"/>
  <c r="F81" i="5"/>
  <c r="G68" i="5"/>
  <c r="F68" i="5"/>
  <c r="J69" i="5"/>
  <c r="I69" i="5"/>
  <c r="H69" i="5"/>
  <c r="G69" i="5"/>
  <c r="F69" i="5"/>
  <c r="J70" i="5"/>
  <c r="I70" i="5"/>
  <c r="H70" i="5"/>
  <c r="G70" i="5"/>
  <c r="F70" i="5"/>
  <c r="J72" i="5"/>
  <c r="I72" i="5"/>
  <c r="H72" i="5"/>
  <c r="E74" i="5"/>
  <c r="E75" i="5" s="1"/>
  <c r="I30" i="5"/>
  <c r="I31" i="5"/>
  <c r="F134" i="5"/>
  <c r="E173" i="5"/>
  <c r="F173" i="5" s="1"/>
  <c r="E161" i="5"/>
  <c r="F161" i="5" s="1"/>
  <c r="G140" i="5"/>
  <c r="H140" i="5" s="1"/>
  <c r="I140" i="5" s="1"/>
  <c r="J140" i="5" s="1"/>
  <c r="J149" i="5"/>
  <c r="F112" i="5"/>
  <c r="F113" i="5" s="1"/>
  <c r="G96" i="5"/>
  <c r="H96" i="5"/>
  <c r="I96" i="5"/>
  <c r="J96" i="5"/>
  <c r="D55" i="5"/>
  <c r="I59" i="5"/>
  <c r="I57" i="5"/>
  <c r="I56" i="5"/>
  <c r="E67" i="5"/>
  <c r="D49" i="5"/>
  <c r="D48" i="5"/>
  <c r="D46" i="5"/>
  <c r="G41" i="5"/>
  <c r="G116" i="5" s="1"/>
  <c r="F41" i="5"/>
  <c r="H39" i="5"/>
  <c r="I39" i="5" s="1"/>
  <c r="J39" i="5" s="1"/>
  <c r="J41" i="5" s="1"/>
  <c r="J134" i="5" s="1"/>
  <c r="F1" i="5"/>
  <c r="G1" i="5" s="1"/>
  <c r="H1" i="5" s="1"/>
  <c r="I1" i="5" s="1"/>
  <c r="J1" i="5" s="1"/>
  <c r="G142" i="5" l="1"/>
  <c r="H142" i="5" s="1"/>
  <c r="I142" i="5" s="1"/>
  <c r="J142" i="5" s="1"/>
  <c r="G173" i="5"/>
  <c r="H173" i="5" s="1"/>
  <c r="I173" i="5" s="1"/>
  <c r="J173" i="5" s="1"/>
  <c r="C174" i="5" a="1"/>
  <c r="C174" i="5" s="1"/>
  <c r="G161" i="5"/>
  <c r="H161" i="5" s="1"/>
  <c r="I161" i="5" s="1"/>
  <c r="J161" i="5" s="1"/>
  <c r="C162" i="5" a="1"/>
  <c r="C162" i="5" s="1"/>
  <c r="F116" i="5"/>
  <c r="J116" i="5"/>
  <c r="F125" i="5"/>
  <c r="J125" i="5"/>
  <c r="G125" i="5"/>
  <c r="G134" i="5"/>
  <c r="G112" i="5"/>
  <c r="H112" i="5" s="1"/>
  <c r="I112" i="5" s="1"/>
  <c r="J112" i="5" s="1"/>
  <c r="E69" i="5"/>
  <c r="E71" i="5"/>
  <c r="E76" i="5" s="1"/>
  <c r="F67" i="5"/>
  <c r="H41" i="5"/>
  <c r="I41" i="5"/>
  <c r="D41" i="1"/>
  <c r="E41" i="1" s="1"/>
  <c r="F41" i="1" s="1"/>
  <c r="G41" i="1" s="1"/>
  <c r="E42" i="1"/>
  <c r="F42" i="1" s="1"/>
  <c r="G42" i="1" s="1"/>
  <c r="I125" i="5" l="1"/>
  <c r="I134" i="5"/>
  <c r="I116" i="5"/>
  <c r="H125" i="5"/>
  <c r="H116" i="5"/>
  <c r="H134" i="5"/>
  <c r="F30" i="5"/>
  <c r="F31" i="5"/>
  <c r="F129" i="5" s="1"/>
  <c r="E70" i="5"/>
  <c r="D45" i="5"/>
  <c r="C55" i="5" s="1"/>
  <c r="F71" i="5"/>
  <c r="G67" i="5"/>
  <c r="E68" i="5"/>
  <c r="D56" i="5" l="1"/>
  <c r="C56" i="5" s="1"/>
  <c r="F120" i="5"/>
  <c r="G84" i="5"/>
  <c r="D47" i="5"/>
  <c r="D50" i="5" s="1"/>
  <c r="I55" i="5" s="1"/>
  <c r="H56" i="5"/>
  <c r="H57" i="5"/>
  <c r="H59" i="5"/>
  <c r="F130" i="5"/>
  <c r="D57" i="5"/>
  <c r="H67" i="5"/>
  <c r="G141" i="5"/>
  <c r="G143" i="5" s="1"/>
  <c r="G71" i="5"/>
  <c r="F32" i="5"/>
  <c r="D36" i="5" s="1"/>
  <c r="F121" i="5" l="1"/>
  <c r="H89" i="5"/>
  <c r="H84" i="5" s="1"/>
  <c r="I32" i="5"/>
  <c r="C57" i="5"/>
  <c r="D58" i="5"/>
  <c r="D37" i="5"/>
  <c r="G72" i="5" s="1"/>
  <c r="I58" i="5"/>
  <c r="I62" i="5" s="1"/>
  <c r="J55" i="5" s="1"/>
  <c r="H55" i="5"/>
  <c r="G81" i="5"/>
  <c r="H71" i="5"/>
  <c r="I67" i="5"/>
  <c r="H141" i="5"/>
  <c r="H143" i="5" s="1"/>
  <c r="I88" i="5" l="1"/>
  <c r="I84" i="5" s="1"/>
  <c r="F72" i="5"/>
  <c r="I82" i="5"/>
  <c r="J82" i="5"/>
  <c r="H81" i="5"/>
  <c r="J58" i="5"/>
  <c r="H58" i="5"/>
  <c r="J57" i="5"/>
  <c r="J56" i="5"/>
  <c r="D62" i="5"/>
  <c r="J59" i="5"/>
  <c r="H68" i="5"/>
  <c r="I71" i="5"/>
  <c r="J67" i="5"/>
  <c r="I68" i="5" l="1"/>
  <c r="I141" i="5"/>
  <c r="I143" i="5" s="1"/>
  <c r="J88" i="5"/>
  <c r="J89" i="5" s="1"/>
  <c r="J84" i="5" s="1"/>
  <c r="J62" i="5"/>
  <c r="E55" i="5"/>
  <c r="D60" i="5"/>
  <c r="E147" i="5" s="1"/>
  <c r="E56" i="5"/>
  <c r="E57" i="5"/>
  <c r="I81" i="5"/>
  <c r="J71" i="5"/>
  <c r="J68" i="5" l="1"/>
  <c r="J141" i="5"/>
  <c r="J143" i="5" s="1"/>
  <c r="J81" i="5"/>
  <c r="E60" i="5"/>
  <c r="E62" i="5" s="1"/>
  <c r="C60" i="5"/>
  <c r="F73" i="5"/>
  <c r="G73" i="5"/>
  <c r="H73" i="5"/>
  <c r="I73" i="5"/>
  <c r="J73" i="5"/>
  <c r="F74" i="5"/>
  <c r="G74" i="5"/>
  <c r="H74" i="5"/>
  <c r="I74" i="5"/>
  <c r="J74" i="5"/>
  <c r="F75" i="5"/>
  <c r="G75" i="5"/>
  <c r="H75" i="5"/>
  <c r="I75" i="5"/>
  <c r="J75" i="5"/>
  <c r="F76" i="5"/>
  <c r="G76" i="5"/>
  <c r="H76" i="5"/>
  <c r="I76" i="5"/>
  <c r="J76" i="5"/>
  <c r="F80" i="5"/>
  <c r="G80" i="5"/>
  <c r="H80" i="5"/>
  <c r="I80" i="5"/>
  <c r="J80" i="5"/>
  <c r="F85" i="5"/>
  <c r="G85" i="5"/>
  <c r="H85" i="5"/>
  <c r="I85" i="5"/>
  <c r="J85" i="5"/>
  <c r="G94" i="5"/>
  <c r="H94" i="5"/>
  <c r="I94" i="5"/>
  <c r="J94" i="5"/>
  <c r="F95" i="5"/>
  <c r="G95" i="5"/>
  <c r="H95" i="5"/>
  <c r="I95" i="5"/>
  <c r="J95" i="5"/>
  <c r="F97" i="5"/>
  <c r="G97" i="5"/>
  <c r="H97" i="5"/>
  <c r="I97" i="5"/>
  <c r="J97" i="5"/>
  <c r="G98" i="5"/>
  <c r="H98" i="5"/>
  <c r="I98" i="5"/>
  <c r="J98" i="5"/>
  <c r="F99" i="5"/>
  <c r="G99" i="5"/>
  <c r="H99" i="5"/>
  <c r="I99" i="5"/>
  <c r="J99" i="5"/>
  <c r="F100" i="5"/>
  <c r="G100" i="5"/>
  <c r="H100" i="5"/>
  <c r="I100" i="5"/>
  <c r="J100" i="5"/>
  <c r="F101" i="5"/>
  <c r="G101" i="5"/>
  <c r="H101" i="5"/>
  <c r="I101" i="5"/>
  <c r="J101" i="5"/>
  <c r="F102" i="5"/>
  <c r="G102" i="5"/>
  <c r="H102" i="5"/>
  <c r="I102" i="5"/>
  <c r="J102" i="5"/>
  <c r="F103" i="5"/>
  <c r="G103" i="5"/>
  <c r="H103" i="5"/>
  <c r="I103" i="5"/>
  <c r="J103" i="5"/>
  <c r="F105" i="5"/>
  <c r="G105" i="5"/>
  <c r="H105" i="5"/>
  <c r="I105" i="5"/>
  <c r="J105" i="5"/>
  <c r="G108" i="5"/>
  <c r="H108" i="5"/>
  <c r="I108" i="5"/>
  <c r="J108" i="5"/>
  <c r="F109" i="5"/>
  <c r="G109" i="5"/>
  <c r="H109" i="5"/>
  <c r="I109" i="5"/>
  <c r="J109" i="5"/>
  <c r="F110" i="5"/>
  <c r="G110" i="5"/>
  <c r="H110" i="5"/>
  <c r="I110" i="5"/>
  <c r="J110" i="5"/>
  <c r="G113" i="5"/>
  <c r="H113" i="5"/>
  <c r="I113" i="5"/>
  <c r="J113" i="5"/>
  <c r="F114" i="5"/>
  <c r="G114" i="5"/>
  <c r="H114" i="5"/>
  <c r="I114" i="5"/>
  <c r="J114" i="5"/>
  <c r="F117" i="5"/>
  <c r="G117" i="5"/>
  <c r="H117" i="5"/>
  <c r="I117" i="5"/>
  <c r="J117" i="5"/>
  <c r="G120" i="5"/>
  <c r="H120" i="5"/>
  <c r="I120" i="5"/>
  <c r="J120" i="5"/>
  <c r="G121" i="5"/>
  <c r="H121" i="5"/>
  <c r="I121" i="5"/>
  <c r="J121" i="5"/>
  <c r="F122" i="5"/>
  <c r="G122" i="5"/>
  <c r="H122" i="5"/>
  <c r="I122" i="5"/>
  <c r="J122" i="5"/>
  <c r="F123" i="5"/>
  <c r="G123" i="5"/>
  <c r="H123" i="5"/>
  <c r="I123" i="5"/>
  <c r="J123" i="5"/>
  <c r="F126" i="5"/>
  <c r="G126" i="5"/>
  <c r="H126" i="5"/>
  <c r="I126" i="5"/>
  <c r="J126" i="5"/>
  <c r="G129" i="5"/>
  <c r="H129" i="5"/>
  <c r="I129" i="5"/>
  <c r="J129" i="5"/>
  <c r="G130" i="5"/>
  <c r="H130" i="5"/>
  <c r="I130" i="5"/>
  <c r="J130" i="5"/>
  <c r="F131" i="5"/>
  <c r="G131" i="5"/>
  <c r="H131" i="5"/>
  <c r="I131" i="5"/>
  <c r="J131" i="5"/>
  <c r="F132" i="5"/>
  <c r="G132" i="5"/>
  <c r="H132" i="5"/>
  <c r="I132" i="5"/>
  <c r="J132" i="5"/>
  <c r="F135" i="5"/>
  <c r="G135" i="5"/>
  <c r="H135" i="5"/>
  <c r="I135" i="5"/>
  <c r="J135" i="5"/>
  <c r="F137" i="5"/>
  <c r="G137" i="5"/>
  <c r="H137" i="5"/>
  <c r="I137" i="5"/>
  <c r="J137" i="5"/>
  <c r="F144" i="5"/>
  <c r="G144" i="5"/>
  <c r="H144" i="5"/>
  <c r="I144" i="5"/>
  <c r="J144" i="5"/>
  <c r="F145" i="5"/>
  <c r="G145" i="5"/>
  <c r="H145" i="5"/>
  <c r="I145" i="5"/>
  <c r="J145" i="5"/>
  <c r="F146" i="5"/>
  <c r="G146" i="5"/>
  <c r="H146" i="5"/>
  <c r="I146" i="5"/>
  <c r="J146" i="5"/>
  <c r="F148" i="5"/>
  <c r="G148" i="5"/>
  <c r="H148" i="5"/>
  <c r="I148" i="5"/>
  <c r="J148" i="5"/>
  <c r="F150" i="5"/>
  <c r="G150" i="5"/>
  <c r="H150" i="5"/>
  <c r="I150" i="5"/>
  <c r="J150" i="5"/>
  <c r="F151" i="5"/>
  <c r="G151" i="5"/>
  <c r="H151" i="5"/>
  <c r="I151" i="5"/>
  <c r="J151" i="5"/>
  <c r="F153" i="5"/>
  <c r="G153" i="5"/>
  <c r="H153" i="5"/>
  <c r="I153" i="5"/>
  <c r="J153" i="5"/>
  <c r="F154" i="5"/>
  <c r="G154" i="5"/>
  <c r="H154" i="5"/>
  <c r="I154" i="5"/>
  <c r="J154" i="5"/>
  <c r="C161" i="5"/>
  <c r="C173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<sst xmlns="http://schemas.openxmlformats.org/spreadsheetml/2006/main" count="194" uniqueCount="134">
  <si>
    <t>1 hour LBO model test</t>
  </si>
  <si>
    <t>Transaction</t>
  </si>
  <si>
    <t>Company</t>
  </si>
  <si>
    <t>Unexciting Corp.</t>
  </si>
  <si>
    <t>Tax Rate</t>
  </si>
  <si>
    <t>Date</t>
  </si>
  <si>
    <t>Minimum Cash</t>
  </si>
  <si>
    <t>Exit Multiple</t>
  </si>
  <si>
    <t>Entry Multiple</t>
  </si>
  <si>
    <t>Transaction fees</t>
  </si>
  <si>
    <t>Mgmt. options</t>
  </si>
  <si>
    <t>Financing</t>
  </si>
  <si>
    <t>Senior Leverage</t>
  </si>
  <si>
    <t>Total Leverage</t>
  </si>
  <si>
    <t>Revolver Max cap</t>
  </si>
  <si>
    <t>Revolver Cost %</t>
  </si>
  <si>
    <t>TLA cost</t>
  </si>
  <si>
    <t>TLA Amortization %</t>
  </si>
  <si>
    <t xml:space="preserve">TLA Cash sweep </t>
  </si>
  <si>
    <t>Second lien Debt cost</t>
  </si>
  <si>
    <t>Second lien Debt Amortization %</t>
  </si>
  <si>
    <t>Second lien Cash sweep %</t>
  </si>
  <si>
    <t>Financing fees % debt raised</t>
  </si>
  <si>
    <t>Financing fees Term (Yrs)</t>
  </si>
  <si>
    <t>Financials</t>
  </si>
  <si>
    <t>LTM Revenue</t>
  </si>
  <si>
    <t>Existing Cash on B/S</t>
  </si>
  <si>
    <t>Existing Debt to be Refinanced</t>
  </si>
  <si>
    <t>Operating assumptions</t>
  </si>
  <si>
    <t>Rev growth</t>
  </si>
  <si>
    <t>Operating income margin</t>
  </si>
  <si>
    <t>Capex % sales</t>
  </si>
  <si>
    <t>NWC % sales</t>
  </si>
  <si>
    <t>SOFR rate</t>
  </si>
  <si>
    <t>SOFR floor</t>
  </si>
  <si>
    <t>SOFR curve</t>
  </si>
  <si>
    <t>X</t>
  </si>
  <si>
    <t>Assumptions</t>
  </si>
  <si>
    <t>Purchase price calculation</t>
  </si>
  <si>
    <t>Sources and Uses</t>
  </si>
  <si>
    <t>Income statement</t>
  </si>
  <si>
    <t>TLA</t>
  </si>
  <si>
    <t>xEBITDA</t>
  </si>
  <si>
    <t>Amount</t>
  </si>
  <si>
    <t>Cost %</t>
  </si>
  <si>
    <t>Am. Fee %</t>
  </si>
  <si>
    <t>Am. Fee</t>
  </si>
  <si>
    <t>Revolver</t>
  </si>
  <si>
    <t>LTM EBITDA</t>
  </si>
  <si>
    <t>TEV</t>
  </si>
  <si>
    <t>Plus: Cash</t>
  </si>
  <si>
    <t>Less: Debt</t>
  </si>
  <si>
    <t>Equity value</t>
  </si>
  <si>
    <t>Max Cap</t>
  </si>
  <si>
    <t>Fin fees</t>
  </si>
  <si>
    <t>EBITDA margin</t>
  </si>
  <si>
    <t>Unexciting Corp LBO</t>
  </si>
  <si>
    <t>Second lien debt</t>
  </si>
  <si>
    <t>EBITDA</t>
  </si>
  <si>
    <t>Less: D&amp;A</t>
  </si>
  <si>
    <t>EBIT</t>
  </si>
  <si>
    <t>Net income</t>
  </si>
  <si>
    <t>Fin fee amount</t>
  </si>
  <si>
    <t>Sources</t>
  </si>
  <si>
    <t>% Cap</t>
  </si>
  <si>
    <t>Uses</t>
  </si>
  <si>
    <t>Tot sources</t>
  </si>
  <si>
    <t>Tot uses</t>
  </si>
  <si>
    <t>Sponsor equity</t>
  </si>
  <si>
    <t>Purchase price</t>
  </si>
  <si>
    <t>Min cash to BS</t>
  </si>
  <si>
    <t>Plus: D&amp;A</t>
  </si>
  <si>
    <t>Less: Amortization of fin fees</t>
  </si>
  <si>
    <t>Less: Capex</t>
  </si>
  <si>
    <t>Less: Change in WC</t>
  </si>
  <si>
    <t>Levered FCF</t>
  </si>
  <si>
    <t>Change in WC calc</t>
  </si>
  <si>
    <t>WC</t>
  </si>
  <si>
    <t>Change</t>
  </si>
  <si>
    <t>Cash schedule</t>
  </si>
  <si>
    <t>Beg cash</t>
  </si>
  <si>
    <t>Plus: Levered FCF</t>
  </si>
  <si>
    <t>Cash available for debt service</t>
  </si>
  <si>
    <t>Less: Mandatory payments</t>
  </si>
  <si>
    <t>Cash pre-revolver</t>
  </si>
  <si>
    <t>Less: Cash sweep</t>
  </si>
  <si>
    <t>Net change in cash</t>
  </si>
  <si>
    <t>End cash balance</t>
  </si>
  <si>
    <t>Beg balance</t>
  </si>
  <si>
    <t>End balance</t>
  </si>
  <si>
    <t>Interest %</t>
  </si>
  <si>
    <t>OFF</t>
  </si>
  <si>
    <t>Final rate</t>
  </si>
  <si>
    <t>Net proceeds to sponsor</t>
  </si>
  <si>
    <t>MOIC</t>
  </si>
  <si>
    <t>IRR</t>
  </si>
  <si>
    <t>Sensitivity analysis</t>
  </si>
  <si>
    <t>Exit multiple &gt;&gt;</t>
  </si>
  <si>
    <t>Entry multiple &gt;&gt;</t>
  </si>
  <si>
    <t>Sensitivity on MOIC</t>
  </si>
  <si>
    <t>Sensitivity on IRR</t>
  </si>
  <si>
    <t>Cash flow statement</t>
  </si>
  <si>
    <t>Cash &amp; debt schedule</t>
  </si>
  <si>
    <t>Returns calc</t>
  </si>
  <si>
    <t>Total debt</t>
  </si>
  <si>
    <t>Cash sweep</t>
  </si>
  <si>
    <t>Fin fee / yr</t>
  </si>
  <si>
    <t>xEBITDA at entry</t>
  </si>
  <si>
    <t>Revenue</t>
  </si>
  <si>
    <t>Less: expenses</t>
  </si>
  <si>
    <t>Less: interests</t>
  </si>
  <si>
    <t>Taxable income</t>
  </si>
  <si>
    <t>Less: taxes</t>
  </si>
  <si>
    <t>Net Debt to refinance</t>
  </si>
  <si>
    <t>Plus: Am of fin fees</t>
  </si>
  <si>
    <t>Less: Min cash to BS</t>
  </si>
  <si>
    <t>Less/Plus: drawdown / paydown</t>
  </si>
  <si>
    <t>Cash post-revolver (for optional)</t>
  </si>
  <si>
    <t>Cash paydown / drawdown</t>
  </si>
  <si>
    <t>Max cap</t>
  </si>
  <si>
    <t>Beg cap</t>
  </si>
  <si>
    <t>End cap</t>
  </si>
  <si>
    <t>Interest exp</t>
  </si>
  <si>
    <t>Less: mandatory paym</t>
  </si>
  <si>
    <t>Less: cash sweep</t>
  </si>
  <si>
    <t>Circ</t>
  </si>
  <si>
    <t>Total interest expense</t>
  </si>
  <si>
    <t>xEBITDA at exit</t>
  </si>
  <si>
    <t>TEV at exit</t>
  </si>
  <si>
    <t>Equity value at exit</t>
  </si>
  <si>
    <t>Excess cash</t>
  </si>
  <si>
    <t>Less: Equity injected at entry</t>
  </si>
  <si>
    <t>Mgmt. options %</t>
  </si>
  <si>
    <t>Mgmt. options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</si>
</sst>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_);\(0.0%\);0.0%_);@_)"/>
    <numFmt numFmtId="165" formatCode="&quot;$&quot;#,##0_);\(&quot;$&quot;#,##0\);&quot;$&quot;\ \-_);@_)"/>
    <numFmt numFmtId="166" formatCode="0.0\x_);\(0.0\x\);0.0\x_);@_)"/>
    <numFmt numFmtId="167" formatCode="&quot;SOFR + &quot;0.00%"/>
    <numFmt numFmtId="168" formatCode="0\ &quot;yrs&quot;"/>
    <numFmt numFmtId="169" formatCode="_(#,##0.0%_);\(#,##0.0%\);_(&quot;–&quot;_)_%;_(@_)_%"/>
    <numFmt numFmtId="170" formatCode="General&quot;F&quot;"/>
    <numFmt numFmtId="171" formatCode="General&quot;A&quot;"/>
    <numFmt numFmtId="172" formatCode="#,##0;\(#,##0\);&quot;--&quot;"/>
    <numFmt numFmtId="173" formatCode="0.00&quot;x&quot;"/>
    <numFmt numFmtId="174" formatCode="0.0%"/>
    <numFmt numFmtId="175" formatCode="#,##0.0;\(#,##0.0\);&quot;--&quot;"/>
    <numFmt numFmtId="176" formatCode="0.0&quot;x&quot;"/>
  </numFmts>
  <fonts count="2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FF"/>
      <name val="Arial"/>
      <family val="2"/>
    </font>
    <font>
      <b/>
      <u/>
      <sz val="10"/>
      <color theme="1"/>
      <name val="Arial"/>
      <family val="2"/>
    </font>
    <font>
      <sz val="10"/>
      <color rgb="FF0E2741"/>
      <name val="Arial"/>
      <family val="2"/>
    </font>
    <font>
      <b/>
      <sz val="16"/>
      <color theme="1"/>
      <name val="Arial"/>
      <family val="2"/>
    </font>
    <font>
      <sz val="10"/>
      <color rgb="FF0432FF"/>
      <name val="Arial"/>
      <family val="2"/>
    </font>
    <font>
      <b/>
      <u/>
      <sz val="10"/>
      <color rgb="FF0432FF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4"/>
      <color rgb="FF0000FF"/>
      <name val="Arial"/>
      <family val="2"/>
    </font>
    <font>
      <sz val="14"/>
      <color rgb="FF0432FF"/>
      <name val="Arial"/>
      <family val="2"/>
    </font>
    <font>
      <sz val="14"/>
      <color rgb="FF000000"/>
      <name val="Arial"/>
      <family val="2"/>
    </font>
    <font>
      <b/>
      <sz val="14"/>
      <color rgb="FFFFFFFF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E2741"/>
        <bgColor indexed="64"/>
      </patternFill>
    </fill>
    <fill>
      <patternFill patternType="solid">
        <fgColor rgb="FF0E9ED5"/>
        <bgColor indexed="64"/>
      </patternFill>
    </fill>
    <fill>
      <patternFill patternType="solid">
        <fgColor rgb="FF747474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vertical="center"/>
    </xf>
    <xf numFmtId="169" fontId="1" fillId="0" borderId="0" xfId="0" applyNumberFormat="1" applyFont="1"/>
    <xf numFmtId="0" fontId="5" fillId="0" borderId="0" xfId="0" applyFont="1"/>
    <xf numFmtId="0" fontId="6" fillId="2" borderId="0" xfId="0" applyFont="1" applyFill="1"/>
    <xf numFmtId="0" fontId="7" fillId="0" borderId="1" xfId="0" applyFont="1" applyBorder="1"/>
    <xf numFmtId="16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9" fontId="8" fillId="0" borderId="0" xfId="0" applyNumberFormat="1" applyFont="1"/>
    <xf numFmtId="0" fontId="9" fillId="0" borderId="0" xfId="0" applyFont="1"/>
    <xf numFmtId="169" fontId="8" fillId="0" borderId="0" xfId="0" applyNumberFormat="1" applyFont="1"/>
    <xf numFmtId="10" fontId="8" fillId="0" borderId="0" xfId="0" applyNumberFormat="1" applyFont="1"/>
    <xf numFmtId="0" fontId="10" fillId="0" borderId="0" xfId="0" applyFont="1"/>
    <xf numFmtId="0" fontId="11" fillId="0" borderId="1" xfId="0" applyFont="1" applyBorder="1"/>
    <xf numFmtId="0" fontId="11" fillId="0" borderId="0" xfId="0" applyFont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0" applyFont="1"/>
    <xf numFmtId="172" fontId="13" fillId="0" borderId="0" xfId="0" applyNumberFormat="1" applyFont="1"/>
    <xf numFmtId="172" fontId="13" fillId="0" borderId="1" xfId="0" applyNumberFormat="1" applyFont="1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/>
    </xf>
    <xf numFmtId="0" fontId="16" fillId="0" borderId="0" xfId="0" applyFont="1"/>
    <xf numFmtId="165" fontId="15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171" fontId="17" fillId="3" borderId="0" xfId="0" applyNumberFormat="1" applyFont="1" applyFill="1"/>
    <xf numFmtId="170" fontId="17" fillId="2" borderId="0" xfId="0" applyNumberFormat="1" applyFont="1" applyFill="1"/>
    <xf numFmtId="0" fontId="17" fillId="2" borderId="0" xfId="0" applyFont="1" applyFill="1"/>
    <xf numFmtId="0" fontId="13" fillId="2" borderId="0" xfId="0" applyFont="1" applyFill="1"/>
    <xf numFmtId="0" fontId="17" fillId="4" borderId="0" xfId="0" applyFont="1" applyFill="1"/>
    <xf numFmtId="0" fontId="13" fillId="4" borderId="0" xfId="0" applyFont="1" applyFill="1"/>
    <xf numFmtId="166" fontId="15" fillId="0" borderId="0" xfId="0" applyNumberFormat="1" applyFont="1" applyAlignment="1">
      <alignment vertical="center"/>
    </xf>
    <xf numFmtId="168" fontId="15" fillId="0" borderId="0" xfId="0" applyNumberFormat="1" applyFont="1" applyAlignment="1">
      <alignment horizontal="right"/>
    </xf>
    <xf numFmtId="0" fontId="18" fillId="0" borderId="0" xfId="0" applyFont="1"/>
    <xf numFmtId="0" fontId="13" fillId="0" borderId="1" xfId="0" applyFont="1" applyBorder="1"/>
    <xf numFmtId="166" fontId="15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164" fontId="15" fillId="0" borderId="1" xfId="0" applyNumberFormat="1" applyFont="1" applyBorder="1" applyAlignment="1">
      <alignment horizontal="right"/>
    </xf>
    <xf numFmtId="167" fontId="8" fillId="0" borderId="1" xfId="0" applyNumberFormat="1" applyFont="1" applyBorder="1" applyAlignment="1">
      <alignment horizontal="right"/>
    </xf>
    <xf numFmtId="169" fontId="15" fillId="0" borderId="0" xfId="0" applyNumberFormat="1" applyFont="1"/>
    <xf numFmtId="169" fontId="13" fillId="0" borderId="0" xfId="0" applyNumberFormat="1" applyFont="1"/>
    <xf numFmtId="0" fontId="13" fillId="0" borderId="1" xfId="0" applyFont="1" applyBorder="1" applyAlignment="1">
      <alignment horizontal="center"/>
    </xf>
    <xf numFmtId="10" fontId="15" fillId="0" borderId="1" xfId="0" applyNumberFormat="1" applyFont="1" applyBorder="1"/>
    <xf numFmtId="9" fontId="15" fillId="0" borderId="0" xfId="0" applyNumberFormat="1" applyFont="1"/>
    <xf numFmtId="166" fontId="13" fillId="0" borderId="1" xfId="0" applyNumberFormat="1" applyFont="1" applyBorder="1"/>
    <xf numFmtId="165" fontId="13" fillId="0" borderId="0" xfId="0" applyNumberFormat="1" applyFont="1"/>
    <xf numFmtId="165" fontId="13" fillId="0" borderId="1" xfId="0" applyNumberFormat="1" applyFont="1" applyBorder="1"/>
    <xf numFmtId="175" fontId="13" fillId="0" borderId="0" xfId="0" applyNumberFormat="1" applyFont="1" applyAlignment="1">
      <alignment horizontal="center"/>
    </xf>
    <xf numFmtId="175" fontId="13" fillId="0" borderId="0" xfId="0" applyNumberFormat="1" applyFont="1"/>
    <xf numFmtId="175" fontId="13" fillId="0" borderId="1" xfId="0" applyNumberFormat="1" applyFont="1" applyBorder="1"/>
    <xf numFmtId="175" fontId="18" fillId="0" borderId="0" xfId="0" applyNumberFormat="1" applyFont="1"/>
    <xf numFmtId="175" fontId="17" fillId="2" borderId="0" xfId="0" applyNumberFormat="1" applyFont="1" applyFill="1"/>
    <xf numFmtId="175" fontId="13" fillId="2" borderId="0" xfId="0" applyNumberFormat="1" applyFont="1" applyFill="1"/>
    <xf numFmtId="2" fontId="13" fillId="0" borderId="0" xfId="0" applyNumberFormat="1" applyFont="1" applyAlignment="1">
      <alignment horizontal="right"/>
    </xf>
    <xf numFmtId="10" fontId="20" fillId="0" borderId="0" xfId="0" applyNumberFormat="1" applyFont="1"/>
    <xf numFmtId="0" fontId="19" fillId="0" borderId="0" xfId="0" applyFont="1"/>
    <xf numFmtId="0" fontId="18" fillId="0" borderId="3" xfId="0" applyFont="1" applyBorder="1"/>
    <xf numFmtId="9" fontId="13" fillId="0" borderId="0" xfId="0" applyNumberFormat="1" applyFont="1"/>
    <xf numFmtId="176" fontId="13" fillId="0" borderId="0" xfId="0" applyNumberFormat="1" applyFont="1"/>
    <xf numFmtId="0" fontId="13" fillId="0" borderId="2" xfId="0" applyFont="1" applyBorder="1"/>
    <xf numFmtId="9" fontId="13" fillId="0" borderId="1" xfId="0" applyNumberFormat="1" applyFont="1" applyBorder="1"/>
    <xf numFmtId="9" fontId="18" fillId="0" borderId="3" xfId="0" applyNumberFormat="1" applyFont="1" applyBorder="1"/>
    <xf numFmtId="175" fontId="18" fillId="0" borderId="0" xfId="0" applyNumberFormat="1" applyFont="1" applyAlignment="1">
      <alignment horizontal="center"/>
    </xf>
    <xf numFmtId="175" fontId="13" fillId="0" borderId="0" xfId="0" applyNumberFormat="1" applyFont="1" applyAlignment="1">
      <alignment horizontal="left" indent="1"/>
    </xf>
    <xf numFmtId="175" fontId="13" fillId="0" borderId="1" xfId="0" applyNumberFormat="1" applyFont="1" applyBorder="1" applyAlignment="1">
      <alignment horizontal="left" indent="1"/>
    </xf>
    <xf numFmtId="175" fontId="18" fillId="0" borderId="0" xfId="0" applyNumberFormat="1" applyFont="1" applyAlignment="1">
      <alignment horizontal="left" indent="1"/>
    </xf>
    <xf numFmtId="175" fontId="18" fillId="0" borderId="5" xfId="0" applyNumberFormat="1" applyFont="1" applyBorder="1"/>
    <xf numFmtId="175" fontId="18" fillId="0" borderId="2" xfId="0" applyNumberFormat="1" applyFont="1" applyBorder="1"/>
    <xf numFmtId="175" fontId="18" fillId="0" borderId="6" xfId="0" applyNumberFormat="1" applyFont="1" applyBorder="1"/>
    <xf numFmtId="175" fontId="13" fillId="0" borderId="7" xfId="0" applyNumberFormat="1" applyFont="1" applyBorder="1" applyAlignment="1">
      <alignment horizontal="left" indent="1"/>
    </xf>
    <xf numFmtId="175" fontId="18" fillId="0" borderId="0" xfId="0" applyNumberFormat="1" applyFont="1" applyBorder="1"/>
    <xf numFmtId="175" fontId="13" fillId="0" borderId="0" xfId="0" applyNumberFormat="1" applyFont="1" applyBorder="1"/>
    <xf numFmtId="175" fontId="13" fillId="0" borderId="9" xfId="0" applyNumberFormat="1" applyFont="1" applyBorder="1" applyAlignment="1">
      <alignment horizontal="left" indent="1"/>
    </xf>
    <xf numFmtId="175" fontId="18" fillId="0" borderId="1" xfId="0" applyNumberFormat="1" applyFont="1" applyBorder="1"/>
    <xf numFmtId="172" fontId="18" fillId="0" borderId="0" xfId="0" applyNumberFormat="1" applyFont="1"/>
    <xf numFmtId="172" fontId="13" fillId="0" borderId="0" xfId="0" applyNumberFormat="1" applyFont="1" applyBorder="1"/>
    <xf numFmtId="172" fontId="13" fillId="0" borderId="8" xfId="0" applyNumberFormat="1" applyFont="1" applyBorder="1"/>
    <xf numFmtId="172" fontId="18" fillId="0" borderId="1" xfId="0" applyNumberFormat="1" applyFont="1" applyBorder="1"/>
    <xf numFmtId="172" fontId="18" fillId="0" borderId="10" xfId="0" applyNumberFormat="1" applyFont="1" applyBorder="1"/>
    <xf numFmtId="172" fontId="13" fillId="5" borderId="1" xfId="0" applyNumberFormat="1" applyFont="1" applyFill="1" applyBorder="1"/>
    <xf numFmtId="1" fontId="13" fillId="0" borderId="0" xfId="0" applyNumberFormat="1" applyFont="1"/>
    <xf numFmtId="1" fontId="18" fillId="0" borderId="3" xfId="0" applyNumberFormat="1" applyFont="1" applyBorder="1"/>
    <xf numFmtId="175" fontId="19" fillId="0" borderId="0" xfId="0" applyNumberFormat="1" applyFont="1"/>
    <xf numFmtId="175" fontId="18" fillId="0" borderId="11" xfId="0" applyNumberFormat="1" applyFont="1" applyBorder="1"/>
    <xf numFmtId="175" fontId="13" fillId="0" borderId="12" xfId="0" applyNumberFormat="1" applyFont="1" applyBorder="1"/>
    <xf numFmtId="175" fontId="18" fillId="0" borderId="12" xfId="0" applyNumberFormat="1" applyFont="1" applyBorder="1"/>
    <xf numFmtId="175" fontId="19" fillId="0" borderId="0" xfId="0" applyNumberFormat="1" applyFont="1" applyBorder="1"/>
    <xf numFmtId="175" fontId="13" fillId="5" borderId="0" xfId="0" applyNumberFormat="1" applyFont="1" applyFill="1"/>
    <xf numFmtId="175" fontId="13" fillId="0" borderId="4" xfId="0" applyNumberFormat="1" applyFont="1" applyBorder="1"/>
    <xf numFmtId="175" fontId="13" fillId="0" borderId="7" xfId="0" applyNumberFormat="1" applyFont="1" applyBorder="1"/>
    <xf numFmtId="0" fontId="13" fillId="5" borderId="14" xfId="0" applyFont="1" applyFill="1" applyBorder="1"/>
    <xf numFmtId="174" fontId="13" fillId="5" borderId="0" xfId="0" applyNumberFormat="1" applyFont="1" applyFill="1"/>
    <xf numFmtId="175" fontId="18" fillId="0" borderId="13" xfId="0" applyNumberFormat="1" applyFont="1" applyBorder="1"/>
    <xf numFmtId="175" fontId="13" fillId="0" borderId="15" xfId="0" applyNumberFormat="1" applyFont="1" applyBorder="1"/>
    <xf numFmtId="172" fontId="13" fillId="0" borderId="16" xfId="0" applyNumberFormat="1" applyFont="1" applyBorder="1"/>
    <xf numFmtId="173" fontId="13" fillId="0" borderId="1" xfId="0" applyNumberFormat="1" applyFont="1" applyBorder="1"/>
    <xf numFmtId="175" fontId="21" fillId="0" borderId="0" xfId="0" applyNumberFormat="1" applyFont="1"/>
    <xf numFmtId="175" fontId="17" fillId="4" borderId="5" xfId="0" applyNumberFormat="1" applyFont="1" applyFill="1" applyBorder="1"/>
    <xf numFmtId="175" fontId="21" fillId="4" borderId="2" xfId="0" applyNumberFormat="1" applyFont="1" applyFill="1" applyBorder="1"/>
    <xf numFmtId="173" fontId="17" fillId="4" borderId="2" xfId="0" applyNumberFormat="1" applyFont="1" applyFill="1" applyBorder="1"/>
    <xf numFmtId="173" fontId="17" fillId="4" borderId="6" xfId="0" applyNumberFormat="1" applyFont="1" applyFill="1" applyBorder="1"/>
    <xf numFmtId="175" fontId="17" fillId="4" borderId="9" xfId="0" applyNumberFormat="1" applyFont="1" applyFill="1" applyBorder="1"/>
    <xf numFmtId="175" fontId="21" fillId="4" borderId="1" xfId="0" applyNumberFormat="1" applyFont="1" applyFill="1" applyBorder="1"/>
    <xf numFmtId="9" fontId="17" fillId="4" borderId="1" xfId="0" applyNumberFormat="1" applyFont="1" applyFill="1" applyBorder="1"/>
    <xf numFmtId="9" fontId="17" fillId="4" borderId="10" xfId="0" applyNumberFormat="1" applyFont="1" applyFill="1" applyBorder="1"/>
    <xf numFmtId="173" fontId="13" fillId="0" borderId="1" xfId="0" applyNumberFormat="1" applyFont="1" applyBorder="1" applyAlignment="1">
      <alignment horizontal="center"/>
    </xf>
    <xf numFmtId="173" fontId="13" fillId="0" borderId="8" xfId="0" applyNumberFormat="1" applyFont="1" applyBorder="1" applyAlignment="1">
      <alignment horizontal="center"/>
    </xf>
    <xf numFmtId="173" fontId="13" fillId="0" borderId="0" xfId="0" applyNumberFormat="1" applyFont="1" applyAlignment="1">
      <alignment horizontal="center"/>
    </xf>
    <xf numFmtId="9" fontId="17" fillId="4" borderId="4" xfId="0" applyNumberFormat="1" applyFont="1" applyFill="1" applyBorder="1" applyAlignment="1">
      <alignment horizontal="center"/>
    </xf>
    <xf numFmtId="173" fontId="17" fillId="4" borderId="4" xfId="0" applyNumberFormat="1" applyFont="1" applyFill="1" applyBorder="1" applyAlignment="1">
      <alignment horizontal="center"/>
    </xf>
    <xf numFmtId="9" fontId="13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747474"/>
      <color rgb="FFFFFFCC"/>
      <color rgb="FF000000"/>
      <color rgb="FF0E2741"/>
      <color rgb="FF0E9ED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9006-EB19-DA43-9250-5223B58CE9DF}">
  <dimension ref="A1:M180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9" sqref="L19"/>
    </sheetView>
  </sheetViews>
  <sheetFormatPr baseColWidth="10" defaultRowHeight="18" x14ac:dyDescent="0.2"/>
  <cols>
    <col min="1" max="1" width="2.83203125" style="61" customWidth="1"/>
    <col min="2" max="2" width="36.33203125" style="62" bestFit="1" customWidth="1"/>
    <col min="3" max="3" width="10.83203125" style="62"/>
    <col min="4" max="4" width="18.83203125" style="62" bestFit="1" customWidth="1"/>
    <col min="5" max="10" width="12.83203125" style="62" customWidth="1"/>
    <col min="11" max="16384" width="10.83203125" style="62"/>
  </cols>
  <sheetData>
    <row r="1" spans="1:13" s="29" customFormat="1" x14ac:dyDescent="0.2">
      <c r="A1" s="28"/>
      <c r="E1" s="38">
        <v>2024</v>
      </c>
      <c r="F1" s="39">
        <f>+E1+1</f>
        <v>2025</v>
      </c>
      <c r="G1" s="39">
        <f t="shared" ref="G1:J1" si="0">+F1+1</f>
        <v>2026</v>
      </c>
      <c r="H1" s="39">
        <f t="shared" si="0"/>
        <v>2027</v>
      </c>
      <c r="I1" s="39">
        <f t="shared" si="0"/>
        <v>2028</v>
      </c>
      <c r="J1" s="39">
        <f t="shared" si="0"/>
        <v>2029</v>
      </c>
      <c r="L1" s="29" t="s">
        <v>125</v>
      </c>
      <c r="M1" s="104" t="s">
        <v>91</v>
      </c>
    </row>
    <row r="2" spans="1:13" s="25" customFormat="1" ht="23" x14ac:dyDescent="0.25">
      <c r="A2" s="26"/>
      <c r="B2" s="27" t="s">
        <v>56</v>
      </c>
    </row>
    <row r="3" spans="1:13" s="29" customFormat="1" x14ac:dyDescent="0.2">
      <c r="A3" s="28"/>
    </row>
    <row r="4" spans="1:13" s="29" customFormat="1" x14ac:dyDescent="0.2">
      <c r="A4" s="28" t="s">
        <v>36</v>
      </c>
      <c r="B4" s="40" t="s">
        <v>37</v>
      </c>
      <c r="C4" s="41"/>
      <c r="D4" s="41"/>
      <c r="E4" s="41"/>
      <c r="F4" s="41"/>
      <c r="G4" s="41"/>
      <c r="H4" s="41"/>
      <c r="I4" s="41"/>
      <c r="J4" s="41"/>
    </row>
    <row r="5" spans="1:13" s="29" customFormat="1" x14ac:dyDescent="0.2">
      <c r="A5" s="28"/>
    </row>
    <row r="6" spans="1:13" s="29" customFormat="1" x14ac:dyDescent="0.2">
      <c r="A6" s="28"/>
      <c r="B6" s="42" t="s">
        <v>1</v>
      </c>
      <c r="C6" s="43"/>
      <c r="D6" s="43"/>
      <c r="E6" s="43"/>
      <c r="F6" s="43"/>
      <c r="G6" s="43"/>
      <c r="H6" s="43"/>
      <c r="I6" s="43"/>
      <c r="J6" s="43"/>
    </row>
    <row r="7" spans="1:13" s="29" customFormat="1" x14ac:dyDescent="0.2">
      <c r="B7" s="32" t="s">
        <v>2</v>
      </c>
      <c r="C7" s="32"/>
      <c r="D7" s="33" t="s">
        <v>3</v>
      </c>
    </row>
    <row r="8" spans="1:13" s="29" customFormat="1" x14ac:dyDescent="0.2">
      <c r="B8" s="29" t="s">
        <v>6</v>
      </c>
      <c r="C8" s="35"/>
      <c r="D8" s="36">
        <v>5</v>
      </c>
    </row>
    <row r="9" spans="1:13" s="29" customFormat="1" x14ac:dyDescent="0.2">
      <c r="B9" s="29" t="s">
        <v>7</v>
      </c>
      <c r="D9" s="37">
        <v>9</v>
      </c>
    </row>
    <row r="10" spans="1:13" s="29" customFormat="1" x14ac:dyDescent="0.2">
      <c r="B10" s="29" t="s">
        <v>8</v>
      </c>
      <c r="D10" s="37">
        <v>10</v>
      </c>
    </row>
    <row r="11" spans="1:13" s="29" customFormat="1" x14ac:dyDescent="0.2">
      <c r="B11" s="29" t="s">
        <v>9</v>
      </c>
      <c r="D11" s="36">
        <v>10</v>
      </c>
    </row>
    <row r="12" spans="1:13" s="29" customFormat="1" x14ac:dyDescent="0.2">
      <c r="B12" s="29" t="s">
        <v>10</v>
      </c>
      <c r="D12" s="34">
        <v>0.1</v>
      </c>
    </row>
    <row r="13" spans="1:13" s="29" customFormat="1" x14ac:dyDescent="0.2">
      <c r="A13" s="28"/>
    </row>
    <row r="14" spans="1:13" s="29" customFormat="1" x14ac:dyDescent="0.2">
      <c r="A14" s="28"/>
      <c r="B14" s="42" t="s">
        <v>24</v>
      </c>
      <c r="C14" s="43"/>
      <c r="D14" s="43"/>
      <c r="E14" s="43"/>
      <c r="F14" s="43"/>
      <c r="G14" s="43"/>
      <c r="H14" s="43"/>
      <c r="I14" s="43"/>
      <c r="J14" s="43"/>
    </row>
    <row r="15" spans="1:13" s="29" customFormat="1" x14ac:dyDescent="0.2">
      <c r="B15" s="29" t="s">
        <v>25</v>
      </c>
      <c r="D15" s="36">
        <v>150</v>
      </c>
    </row>
    <row r="16" spans="1:13" s="29" customFormat="1" x14ac:dyDescent="0.2">
      <c r="B16" s="29" t="s">
        <v>26</v>
      </c>
      <c r="D16" s="36">
        <v>10</v>
      </c>
    </row>
    <row r="17" spans="1:10" s="29" customFormat="1" x14ac:dyDescent="0.2">
      <c r="B17" s="29" t="s">
        <v>27</v>
      </c>
      <c r="D17" s="36">
        <v>100</v>
      </c>
    </row>
    <row r="18" spans="1:10" s="29" customFormat="1" x14ac:dyDescent="0.2">
      <c r="A18" s="28"/>
    </row>
    <row r="19" spans="1:10" s="29" customFormat="1" x14ac:dyDescent="0.2">
      <c r="A19" s="28"/>
      <c r="B19" s="42" t="s">
        <v>28</v>
      </c>
      <c r="C19" s="43"/>
      <c r="D19" s="43"/>
      <c r="E19" s="43"/>
      <c r="F19" s="43"/>
      <c r="G19" s="43"/>
      <c r="H19" s="43"/>
      <c r="I19" s="43"/>
      <c r="J19" s="43"/>
    </row>
    <row r="20" spans="1:10" s="29" customFormat="1" x14ac:dyDescent="0.2">
      <c r="B20" s="29" t="s">
        <v>4</v>
      </c>
      <c r="D20" s="34">
        <v>0.3</v>
      </c>
    </row>
    <row r="21" spans="1:10" s="29" customFormat="1" x14ac:dyDescent="0.2">
      <c r="B21" s="29" t="s">
        <v>29</v>
      </c>
      <c r="D21" s="57">
        <v>0.15</v>
      </c>
    </row>
    <row r="22" spans="1:10" s="29" customFormat="1" x14ac:dyDescent="0.2">
      <c r="B22" s="29" t="s">
        <v>55</v>
      </c>
      <c r="D22" s="57">
        <v>0.3</v>
      </c>
    </row>
    <row r="23" spans="1:10" s="29" customFormat="1" x14ac:dyDescent="0.2">
      <c r="B23" s="29" t="s">
        <v>30</v>
      </c>
      <c r="D23" s="57">
        <v>0.2</v>
      </c>
    </row>
    <row r="24" spans="1:10" s="29" customFormat="1" x14ac:dyDescent="0.2">
      <c r="B24" s="29" t="s">
        <v>31</v>
      </c>
      <c r="D24" s="57">
        <v>0.06</v>
      </c>
    </row>
    <row r="25" spans="1:10" s="29" customFormat="1" x14ac:dyDescent="0.2">
      <c r="B25" s="29" t="s">
        <v>32</v>
      </c>
      <c r="D25" s="57">
        <v>0.1</v>
      </c>
    </row>
    <row r="26" spans="1:10" s="29" customFormat="1" x14ac:dyDescent="0.2">
      <c r="A26" s="28"/>
    </row>
    <row r="27" spans="1:10" s="29" customFormat="1" x14ac:dyDescent="0.2">
      <c r="A27" s="28"/>
      <c r="B27" s="42" t="s">
        <v>11</v>
      </c>
      <c r="C27" s="43"/>
      <c r="D27" s="43"/>
      <c r="E27" s="43"/>
      <c r="F27" s="43"/>
      <c r="G27" s="43"/>
      <c r="H27" s="43"/>
      <c r="I27" s="43"/>
      <c r="J27" s="43"/>
    </row>
    <row r="28" spans="1:10" s="29" customFormat="1" x14ac:dyDescent="0.2">
      <c r="D28" s="50" t="s">
        <v>105</v>
      </c>
      <c r="E28" s="50" t="s">
        <v>42</v>
      </c>
      <c r="F28" s="50" t="s">
        <v>43</v>
      </c>
      <c r="G28" s="50" t="s">
        <v>44</v>
      </c>
      <c r="H28" s="50" t="s">
        <v>45</v>
      </c>
      <c r="I28" s="50" t="s">
        <v>46</v>
      </c>
      <c r="J28" s="50" t="s">
        <v>53</v>
      </c>
    </row>
    <row r="29" spans="1:10" s="29" customFormat="1" x14ac:dyDescent="0.2">
      <c r="B29" s="29" t="s">
        <v>47</v>
      </c>
      <c r="D29" s="34">
        <v>1</v>
      </c>
      <c r="E29" s="29">
        <v>0</v>
      </c>
      <c r="F29" s="29">
        <v>0</v>
      </c>
      <c r="G29" s="18">
        <v>0.04</v>
      </c>
      <c r="J29" s="29">
        <v>40</v>
      </c>
    </row>
    <row r="30" spans="1:10" s="29" customFormat="1" x14ac:dyDescent="0.2">
      <c r="B30" s="29" t="s">
        <v>41</v>
      </c>
      <c r="D30" s="34">
        <v>1</v>
      </c>
      <c r="E30" s="44">
        <v>3</v>
      </c>
      <c r="F30" s="29">
        <f>E30*$E$69</f>
        <v>135</v>
      </c>
      <c r="G30" s="18">
        <v>0.04</v>
      </c>
      <c r="H30" s="34">
        <v>0.05</v>
      </c>
      <c r="I30" s="29">
        <f>H30*F30</f>
        <v>6.75</v>
      </c>
    </row>
    <row r="31" spans="1:10" s="29" customFormat="1" x14ac:dyDescent="0.2">
      <c r="B31" s="47" t="s">
        <v>57</v>
      </c>
      <c r="C31" s="47"/>
      <c r="D31" s="51">
        <v>1</v>
      </c>
      <c r="E31" s="48">
        <v>2</v>
      </c>
      <c r="F31" s="47">
        <f>E31*$E$69</f>
        <v>90</v>
      </c>
      <c r="G31" s="52">
        <v>7.0000000000000007E-2</v>
      </c>
      <c r="H31" s="51">
        <v>0.01</v>
      </c>
      <c r="I31" s="47">
        <f>H31*F31</f>
        <v>0.9</v>
      </c>
      <c r="J31" s="47"/>
    </row>
    <row r="32" spans="1:10" s="29" customFormat="1" x14ac:dyDescent="0.2">
      <c r="B32" s="46" t="s">
        <v>104</v>
      </c>
      <c r="D32" s="44"/>
      <c r="F32" s="46">
        <f>SUM(F29:F31)</f>
        <v>225</v>
      </c>
      <c r="I32" s="46">
        <f>SUM(I30:I31)</f>
        <v>7.65</v>
      </c>
    </row>
    <row r="33" spans="1:10" s="29" customFormat="1" x14ac:dyDescent="0.2">
      <c r="B33" s="46"/>
      <c r="D33" s="44"/>
    </row>
    <row r="34" spans="1:10" s="29" customFormat="1" x14ac:dyDescent="0.2">
      <c r="B34" s="29" t="s">
        <v>22</v>
      </c>
      <c r="D34" s="34">
        <v>0.02</v>
      </c>
      <c r="H34" s="46"/>
    </row>
    <row r="35" spans="1:10" s="29" customFormat="1" x14ac:dyDescent="0.2">
      <c r="B35" s="29" t="s">
        <v>23</v>
      </c>
      <c r="D35" s="45">
        <v>8</v>
      </c>
    </row>
    <row r="36" spans="1:10" s="28" customFormat="1" x14ac:dyDescent="0.2">
      <c r="B36" s="29" t="s">
        <v>62</v>
      </c>
      <c r="D36" s="49">
        <f>F32*D34</f>
        <v>4.5</v>
      </c>
    </row>
    <row r="37" spans="1:10" s="28" customFormat="1" x14ac:dyDescent="0.2">
      <c r="B37" s="29" t="s">
        <v>106</v>
      </c>
      <c r="D37" s="67">
        <f>D36/D35</f>
        <v>0.5625</v>
      </c>
    </row>
    <row r="38" spans="1:10" s="28" customFormat="1" x14ac:dyDescent="0.2">
      <c r="B38" s="29"/>
      <c r="D38" s="49"/>
    </row>
    <row r="39" spans="1:10" s="28" customFormat="1" x14ac:dyDescent="0.2">
      <c r="B39" s="29" t="s">
        <v>33</v>
      </c>
      <c r="F39" s="53">
        <v>0.01</v>
      </c>
      <c r="G39" s="53">
        <v>1.4999999999999999E-2</v>
      </c>
      <c r="H39" s="54">
        <f t="shared" ref="H39:J39" si="1">G39+0.25%</f>
        <v>1.7499999999999998E-2</v>
      </c>
      <c r="I39" s="54">
        <f t="shared" si="1"/>
        <v>1.9999999999999997E-2</v>
      </c>
      <c r="J39" s="54">
        <f t="shared" si="1"/>
        <v>2.2499999999999996E-2</v>
      </c>
    </row>
    <row r="40" spans="1:10" s="28" customFormat="1" x14ac:dyDescent="0.2">
      <c r="B40" s="47" t="s">
        <v>34</v>
      </c>
      <c r="C40" s="55"/>
      <c r="D40" s="55"/>
      <c r="E40" s="55"/>
      <c r="F40" s="56">
        <v>1.4999999999999999E-2</v>
      </c>
      <c r="G40" s="56">
        <v>1.4999999999999999E-2</v>
      </c>
      <c r="H40" s="56">
        <v>1.4999999999999999E-2</v>
      </c>
      <c r="I40" s="56">
        <v>1.4999999999999999E-2</v>
      </c>
      <c r="J40" s="56">
        <v>1.4999999999999999E-2</v>
      </c>
    </row>
    <row r="41" spans="1:10" s="28" customFormat="1" x14ac:dyDescent="0.2">
      <c r="B41" s="46" t="s">
        <v>92</v>
      </c>
      <c r="F41" s="68">
        <f>MAX(F39:F40)</f>
        <v>1.4999999999999999E-2</v>
      </c>
      <c r="G41" s="68">
        <f t="shared" ref="G41:J41" si="2">MAX(G39:G40)</f>
        <v>1.4999999999999999E-2</v>
      </c>
      <c r="H41" s="68">
        <f t="shared" si="2"/>
        <v>1.7499999999999998E-2</v>
      </c>
      <c r="I41" s="68">
        <f t="shared" si="2"/>
        <v>1.9999999999999997E-2</v>
      </c>
      <c r="J41" s="68">
        <f t="shared" si="2"/>
        <v>2.2499999999999996E-2</v>
      </c>
    </row>
    <row r="42" spans="1:10" s="29" customFormat="1" x14ac:dyDescent="0.2">
      <c r="A42" s="28"/>
    </row>
    <row r="43" spans="1:10" s="29" customFormat="1" x14ac:dyDescent="0.2">
      <c r="A43" s="28" t="s">
        <v>36</v>
      </c>
      <c r="B43" s="40" t="s">
        <v>38</v>
      </c>
      <c r="C43" s="41"/>
      <c r="D43" s="41"/>
      <c r="E43" s="41"/>
      <c r="F43" s="41"/>
      <c r="G43" s="41"/>
      <c r="H43" s="41"/>
      <c r="I43" s="41"/>
      <c r="J43" s="41"/>
    </row>
    <row r="44" spans="1:10" s="29" customFormat="1" x14ac:dyDescent="0.2">
      <c r="A44" s="28"/>
    </row>
    <row r="45" spans="1:10" s="29" customFormat="1" x14ac:dyDescent="0.2">
      <c r="A45" s="28"/>
      <c r="B45" s="29" t="s">
        <v>48</v>
      </c>
      <c r="D45" s="62">
        <f>E69</f>
        <v>45</v>
      </c>
    </row>
    <row r="46" spans="1:10" s="29" customFormat="1" x14ac:dyDescent="0.2">
      <c r="A46" s="28"/>
      <c r="B46" s="47" t="s">
        <v>107</v>
      </c>
      <c r="C46" s="47"/>
      <c r="D46" s="58">
        <f>D10</f>
        <v>10</v>
      </c>
    </row>
    <row r="47" spans="1:10" s="29" customFormat="1" x14ac:dyDescent="0.2">
      <c r="A47" s="28"/>
      <c r="B47" s="46" t="s">
        <v>49</v>
      </c>
      <c r="D47" s="29">
        <f>PRODUCT(D45:D46)</f>
        <v>450</v>
      </c>
    </row>
    <row r="48" spans="1:10" s="29" customFormat="1" x14ac:dyDescent="0.2">
      <c r="A48" s="28"/>
      <c r="B48" s="29" t="s">
        <v>50</v>
      </c>
      <c r="D48" s="59">
        <f>D16</f>
        <v>10</v>
      </c>
    </row>
    <row r="49" spans="1:10" s="29" customFormat="1" x14ac:dyDescent="0.2">
      <c r="A49" s="28"/>
      <c r="B49" s="47" t="s">
        <v>51</v>
      </c>
      <c r="C49" s="47"/>
      <c r="D49" s="60">
        <f>-D17</f>
        <v>-100</v>
      </c>
    </row>
    <row r="50" spans="1:10" s="29" customFormat="1" x14ac:dyDescent="0.2">
      <c r="A50" s="28"/>
      <c r="B50" s="46" t="s">
        <v>52</v>
      </c>
      <c r="D50" s="46">
        <f>SUM(D47:D49)</f>
        <v>360</v>
      </c>
    </row>
    <row r="51" spans="1:10" s="29" customFormat="1" x14ac:dyDescent="0.2">
      <c r="A51" s="28"/>
    </row>
    <row r="52" spans="1:10" s="29" customFormat="1" x14ac:dyDescent="0.2">
      <c r="A52" s="28" t="s">
        <v>36</v>
      </c>
      <c r="B52" s="40" t="s">
        <v>39</v>
      </c>
      <c r="C52" s="41"/>
      <c r="D52" s="41"/>
      <c r="E52" s="41"/>
      <c r="F52" s="41"/>
      <c r="G52" s="41"/>
      <c r="H52" s="41"/>
      <c r="I52" s="41"/>
      <c r="J52" s="41"/>
    </row>
    <row r="53" spans="1:10" s="29" customFormat="1" x14ac:dyDescent="0.2">
      <c r="A53" s="28"/>
    </row>
    <row r="54" spans="1:10" s="29" customFormat="1" x14ac:dyDescent="0.2">
      <c r="A54" s="28"/>
      <c r="B54" s="69" t="s">
        <v>63</v>
      </c>
      <c r="C54" s="50" t="s">
        <v>42</v>
      </c>
      <c r="D54" s="50" t="s">
        <v>43</v>
      </c>
      <c r="E54" s="50" t="s">
        <v>64</v>
      </c>
      <c r="G54" s="69" t="s">
        <v>65</v>
      </c>
      <c r="H54" s="50" t="s">
        <v>42</v>
      </c>
      <c r="I54" s="50" t="s">
        <v>43</v>
      </c>
      <c r="J54" s="50" t="s">
        <v>64</v>
      </c>
    </row>
    <row r="55" spans="1:10" s="29" customFormat="1" x14ac:dyDescent="0.2">
      <c r="A55" s="28"/>
      <c r="B55" s="29" t="s">
        <v>47</v>
      </c>
      <c r="C55" s="72">
        <f>D55/$D$45</f>
        <v>0</v>
      </c>
      <c r="D55" s="29">
        <f>F29</f>
        <v>0</v>
      </c>
      <c r="E55" s="71">
        <f>D55/$D$62</f>
        <v>0</v>
      </c>
      <c r="G55" s="29" t="s">
        <v>69</v>
      </c>
      <c r="H55" s="72">
        <f>I55/$D$45</f>
        <v>8</v>
      </c>
      <c r="I55" s="29">
        <f>D50</f>
        <v>360</v>
      </c>
      <c r="J55" s="71">
        <f>I55/$I$62</f>
        <v>0.76677316293929709</v>
      </c>
    </row>
    <row r="56" spans="1:10" s="29" customFormat="1" x14ac:dyDescent="0.2">
      <c r="A56" s="28"/>
      <c r="B56" s="29" t="s">
        <v>41</v>
      </c>
      <c r="C56" s="72">
        <f t="shared" ref="C56:C57" si="3">D56/$D$45</f>
        <v>3</v>
      </c>
      <c r="D56" s="29">
        <f t="shared" ref="D56:D57" si="4">F30</f>
        <v>135</v>
      </c>
      <c r="E56" s="71">
        <f t="shared" ref="E56:E57" si="5">D56/$D$62</f>
        <v>0.28753993610223644</v>
      </c>
      <c r="G56" s="29" t="s">
        <v>70</v>
      </c>
      <c r="H56" s="72">
        <f>I56/$D$45</f>
        <v>0.1111111111111111</v>
      </c>
      <c r="I56" s="29">
        <f>D8</f>
        <v>5</v>
      </c>
      <c r="J56" s="71">
        <f t="shared" ref="J56:J59" si="6">I56/$I$62</f>
        <v>1.0649627263045794E-2</v>
      </c>
    </row>
    <row r="57" spans="1:10" s="29" customFormat="1" x14ac:dyDescent="0.2">
      <c r="A57" s="28"/>
      <c r="B57" s="47" t="s">
        <v>57</v>
      </c>
      <c r="C57" s="72">
        <f t="shared" si="3"/>
        <v>2</v>
      </c>
      <c r="D57" s="47">
        <f t="shared" si="4"/>
        <v>90</v>
      </c>
      <c r="E57" s="74">
        <f t="shared" si="5"/>
        <v>0.19169329073482427</v>
      </c>
      <c r="G57" s="29" t="s">
        <v>9</v>
      </c>
      <c r="H57" s="72">
        <f>I57/$D$45</f>
        <v>0.22222222222222221</v>
      </c>
      <c r="I57" s="29">
        <f>D11</f>
        <v>10</v>
      </c>
      <c r="J57" s="71">
        <f t="shared" si="6"/>
        <v>2.1299254526091587E-2</v>
      </c>
    </row>
    <row r="58" spans="1:10" s="29" customFormat="1" x14ac:dyDescent="0.2">
      <c r="A58" s="28"/>
      <c r="B58" s="46" t="s">
        <v>104</v>
      </c>
      <c r="C58" s="73"/>
      <c r="D58" s="46">
        <f>SUM(D55:D57)</f>
        <v>225</v>
      </c>
      <c r="E58" s="71"/>
      <c r="G58" s="29" t="s">
        <v>54</v>
      </c>
      <c r="H58" s="72">
        <f>I58/$D$45</f>
        <v>0.1</v>
      </c>
      <c r="I58" s="29">
        <f>D36</f>
        <v>4.5</v>
      </c>
      <c r="J58" s="71">
        <f t="shared" si="6"/>
        <v>9.5846645367412137E-3</v>
      </c>
    </row>
    <row r="59" spans="1:10" s="29" customFormat="1" x14ac:dyDescent="0.2">
      <c r="A59" s="28"/>
      <c r="E59" s="71"/>
      <c r="G59" s="29" t="s">
        <v>113</v>
      </c>
      <c r="H59" s="72">
        <f>I59/$D$45</f>
        <v>2</v>
      </c>
      <c r="I59" s="29">
        <f>D17-D16</f>
        <v>90</v>
      </c>
      <c r="J59" s="71">
        <f t="shared" si="6"/>
        <v>0.19169329073482427</v>
      </c>
    </row>
    <row r="60" spans="1:10" s="29" customFormat="1" x14ac:dyDescent="0.2">
      <c r="A60" s="28"/>
      <c r="B60" s="29" t="s">
        <v>68</v>
      </c>
      <c r="C60" s="72">
        <f t="shared" ref="C60" si="7">D60/$D$45</f>
        <v>5.4333333333333336</v>
      </c>
      <c r="D60" s="94">
        <f>D62-D58</f>
        <v>244.5</v>
      </c>
      <c r="E60" s="71">
        <f t="shared" ref="E60" si="8">D60/$D$62</f>
        <v>0.52076677316293929</v>
      </c>
      <c r="H60" s="72"/>
      <c r="J60" s="71"/>
    </row>
    <row r="61" spans="1:10" s="29" customFormat="1" x14ac:dyDescent="0.2">
      <c r="A61" s="28"/>
    </row>
    <row r="62" spans="1:10" s="29" customFormat="1" ht="19" thickBot="1" x14ac:dyDescent="0.25">
      <c r="A62" s="28"/>
      <c r="B62" s="70" t="s">
        <v>66</v>
      </c>
      <c r="C62" s="70"/>
      <c r="D62" s="95">
        <f>I62</f>
        <v>469.5</v>
      </c>
      <c r="E62" s="75">
        <f>SUM(E55:E60)</f>
        <v>1</v>
      </c>
      <c r="G62" s="70" t="s">
        <v>67</v>
      </c>
      <c r="H62" s="70"/>
      <c r="I62" s="95">
        <f>SUM(I55:I61)</f>
        <v>469.5</v>
      </c>
      <c r="J62" s="75">
        <f>SUM(J55:J61)</f>
        <v>1</v>
      </c>
    </row>
    <row r="63" spans="1:10" s="29" customFormat="1" ht="19" thickTop="1" x14ac:dyDescent="0.2">
      <c r="A63" s="28"/>
    </row>
    <row r="64" spans="1:10" s="29" customFormat="1" x14ac:dyDescent="0.2">
      <c r="A64" s="28"/>
    </row>
    <row r="65" spans="1:10" s="29" customFormat="1" x14ac:dyDescent="0.2">
      <c r="A65" s="28" t="s">
        <v>36</v>
      </c>
      <c r="B65" s="40" t="s">
        <v>40</v>
      </c>
      <c r="C65" s="41"/>
      <c r="D65" s="41"/>
      <c r="E65" s="41"/>
      <c r="F65" s="41"/>
      <c r="G65" s="41"/>
      <c r="H65" s="41"/>
      <c r="I65" s="41"/>
      <c r="J65" s="41"/>
    </row>
    <row r="67" spans="1:10" x14ac:dyDescent="0.2">
      <c r="B67" s="62" t="s">
        <v>108</v>
      </c>
      <c r="E67" s="30">
        <f>D15</f>
        <v>150</v>
      </c>
      <c r="F67" s="30">
        <f>E67*(1+$D$21)</f>
        <v>172.5</v>
      </c>
      <c r="G67" s="30">
        <f t="shared" ref="G67:J67" si="9">F67*(1+$D$21)</f>
        <v>198.37499999999997</v>
      </c>
      <c r="H67" s="30">
        <f t="shared" si="9"/>
        <v>228.13124999999994</v>
      </c>
      <c r="I67" s="30">
        <f t="shared" si="9"/>
        <v>262.35093749999993</v>
      </c>
      <c r="J67" s="30">
        <f t="shared" si="9"/>
        <v>301.70357812499992</v>
      </c>
    </row>
    <row r="68" spans="1:10" x14ac:dyDescent="0.2">
      <c r="B68" s="63" t="s">
        <v>109</v>
      </c>
      <c r="C68" s="63"/>
      <c r="D68" s="63"/>
      <c r="E68" s="31">
        <f>-(E67-E69)</f>
        <v>-105</v>
      </c>
      <c r="F68" s="31">
        <f>-(F67-F69)</f>
        <v>-120.75</v>
      </c>
      <c r="G68" s="31">
        <f>-(G67-G69)</f>
        <v>-138.86249999999998</v>
      </c>
      <c r="H68" s="31">
        <f t="shared" ref="F68:J68" si="10">-(H67-H69)</f>
        <v>-159.69187499999995</v>
      </c>
      <c r="I68" s="31">
        <f t="shared" si="10"/>
        <v>-183.64565624999994</v>
      </c>
      <c r="J68" s="31">
        <f t="shared" si="10"/>
        <v>-211.19250468749993</v>
      </c>
    </row>
    <row r="69" spans="1:10" x14ac:dyDescent="0.2">
      <c r="B69" s="64" t="s">
        <v>58</v>
      </c>
      <c r="E69" s="88">
        <f>E67*$D$22</f>
        <v>45</v>
      </c>
      <c r="F69" s="88">
        <f>F67*$D$22</f>
        <v>51.75</v>
      </c>
      <c r="G69" s="88">
        <f>G67*$D$22</f>
        <v>59.512499999999989</v>
      </c>
      <c r="H69" s="88">
        <f>H67*$D$22</f>
        <v>68.439374999999984</v>
      </c>
      <c r="I69" s="88">
        <f>I67*$D$22</f>
        <v>78.70528124999997</v>
      </c>
      <c r="J69" s="88">
        <f>J67*$D$22</f>
        <v>90.511073437499974</v>
      </c>
    </row>
    <row r="70" spans="1:10" x14ac:dyDescent="0.2">
      <c r="B70" s="63" t="s">
        <v>59</v>
      </c>
      <c r="C70" s="63"/>
      <c r="D70" s="63"/>
      <c r="E70" s="31">
        <f>-(E69-E71)</f>
        <v>-15</v>
      </c>
      <c r="F70" s="31">
        <f>-(F69-F71)</f>
        <v>-17.25</v>
      </c>
      <c r="G70" s="31">
        <f>-(G69-G71)</f>
        <v>-19.837499999999991</v>
      </c>
      <c r="H70" s="31">
        <f>-(H69-H71)</f>
        <v>-22.813124999999992</v>
      </c>
      <c r="I70" s="31">
        <f>-(I69-I71)</f>
        <v>-26.235093749999983</v>
      </c>
      <c r="J70" s="31">
        <f>-(J69-J71)</f>
        <v>-30.170357812499986</v>
      </c>
    </row>
    <row r="71" spans="1:10" x14ac:dyDescent="0.2">
      <c r="B71" s="64" t="s">
        <v>60</v>
      </c>
      <c r="E71" s="88">
        <f>E67*$D$23</f>
        <v>30</v>
      </c>
      <c r="F71" s="88">
        <f t="shared" ref="F71:J71" si="11">F67*$D$23</f>
        <v>34.5</v>
      </c>
      <c r="G71" s="88">
        <f t="shared" si="11"/>
        <v>39.674999999999997</v>
      </c>
      <c r="H71" s="88">
        <f t="shared" si="11"/>
        <v>45.626249999999992</v>
      </c>
      <c r="I71" s="88">
        <f t="shared" si="11"/>
        <v>52.470187499999987</v>
      </c>
      <c r="J71" s="88">
        <f t="shared" si="11"/>
        <v>60.340715624999987</v>
      </c>
    </row>
    <row r="72" spans="1:10" x14ac:dyDescent="0.2">
      <c r="B72" s="62" t="s">
        <v>72</v>
      </c>
      <c r="E72" s="30">
        <v>0</v>
      </c>
      <c r="F72" s="30">
        <f>-$D$37</f>
        <v>-0.5625</v>
      </c>
      <c r="G72" s="30">
        <f t="shared" ref="G72:J72" si="12">-$D$37</f>
        <v>-0.5625</v>
      </c>
      <c r="H72" s="30">
        <f>-$D$37</f>
        <v>-0.5625</v>
      </c>
      <c r="I72" s="30">
        <f>-$D$37</f>
        <v>-0.5625</v>
      </c>
      <c r="J72" s="30">
        <f>-$D$37</f>
        <v>-0.5625</v>
      </c>
    </row>
    <row r="73" spans="1:10" x14ac:dyDescent="0.2">
      <c r="B73" s="63" t="s">
        <v>110</v>
      </c>
      <c r="C73" s="63"/>
      <c r="D73" s="63"/>
      <c r="E73" s="31">
        <v>0</v>
      </c>
      <c r="F73" s="93">
        <f ca="1">-F137</f>
        <v>-14.544847693092022</v>
      </c>
      <c r="G73" s="93">
        <f t="shared" ref="G73:J73" ca="1" si="13">-G137</f>
        <v>-13.342599807477994</v>
      </c>
      <c r="H73" s="93">
        <f t="shared" ca="1" si="13"/>
        <v>-12.259504476997517</v>
      </c>
      <c r="I73" s="93">
        <f t="shared" ca="1" si="13"/>
        <v>-10.66569814408359</v>
      </c>
      <c r="J73" s="93">
        <f t="shared" ca="1" si="13"/>
        <v>-8.2212424819527961</v>
      </c>
    </row>
    <row r="74" spans="1:10" x14ac:dyDescent="0.2">
      <c r="B74" s="64" t="s">
        <v>111</v>
      </c>
      <c r="E74" s="88">
        <f>SUM(E71:E73)</f>
        <v>30</v>
      </c>
      <c r="F74" s="88">
        <f ca="1">SUM(F71:F73)</f>
        <v>19.392652306907976</v>
      </c>
      <c r="G74" s="88">
        <f ca="1">SUM(G71:G73)</f>
        <v>25.769900192522002</v>
      </c>
      <c r="H74" s="88">
        <f ca="1">SUM(H71:H73)</f>
        <v>32.804245523002479</v>
      </c>
      <c r="I74" s="88">
        <f ca="1">SUM(I71:I73)</f>
        <v>41.241989355916395</v>
      </c>
      <c r="J74" s="88">
        <f ca="1">SUM(J71:J73)</f>
        <v>51.556973143047188</v>
      </c>
    </row>
    <row r="75" spans="1:10" x14ac:dyDescent="0.2">
      <c r="B75" s="63" t="s">
        <v>112</v>
      </c>
      <c r="C75" s="63"/>
      <c r="D75" s="63"/>
      <c r="E75" s="31">
        <f>-E74*$D$20</f>
        <v>-9</v>
      </c>
      <c r="F75" s="31">
        <f t="shared" ref="F75:J75" ca="1" si="14">-F74*$D$20</f>
        <v>-5.8177956920723926</v>
      </c>
      <c r="G75" s="31">
        <f t="shared" ca="1" si="14"/>
        <v>-7.7309700577566005</v>
      </c>
      <c r="H75" s="31">
        <f t="shared" ca="1" si="14"/>
        <v>-9.8412736569007428</v>
      </c>
      <c r="I75" s="31">
        <f t="shared" ca="1" si="14"/>
        <v>-12.372596806774919</v>
      </c>
      <c r="J75" s="31">
        <f t="shared" ca="1" si="14"/>
        <v>-15.467091942914156</v>
      </c>
    </row>
    <row r="76" spans="1:10" x14ac:dyDescent="0.2">
      <c r="B76" s="64" t="s">
        <v>61</v>
      </c>
      <c r="E76" s="88">
        <f>SUM(E74:E75)</f>
        <v>21</v>
      </c>
      <c r="F76" s="88">
        <f ca="1">SUM(F74:F75)</f>
        <v>13.574856614835584</v>
      </c>
      <c r="G76" s="88">
        <f t="shared" ref="F76:J76" ca="1" si="15">SUM(G74:G75)</f>
        <v>18.038930134765401</v>
      </c>
      <c r="H76" s="88">
        <f t="shared" ca="1" si="15"/>
        <v>22.962971866101736</v>
      </c>
      <c r="I76" s="88">
        <f t="shared" ca="1" si="15"/>
        <v>28.869392549141477</v>
      </c>
      <c r="J76" s="88">
        <f t="shared" ca="1" si="15"/>
        <v>36.089881200133036</v>
      </c>
    </row>
    <row r="78" spans="1:10" x14ac:dyDescent="0.2">
      <c r="A78" s="61" t="s">
        <v>36</v>
      </c>
      <c r="B78" s="65" t="s">
        <v>101</v>
      </c>
      <c r="C78" s="66"/>
      <c r="D78" s="66"/>
      <c r="E78" s="66"/>
      <c r="F78" s="66"/>
      <c r="G78" s="66"/>
      <c r="H78" s="66"/>
      <c r="I78" s="66"/>
      <c r="J78" s="66"/>
    </row>
    <row r="80" spans="1:10" x14ac:dyDescent="0.2">
      <c r="B80" s="62" t="s">
        <v>61</v>
      </c>
      <c r="F80" s="30">
        <f ca="1">F76</f>
        <v>13.574856614835584</v>
      </c>
      <c r="G80" s="30">
        <f ca="1">G76</f>
        <v>18.038930134765401</v>
      </c>
      <c r="H80" s="30">
        <f ca="1">H76</f>
        <v>22.962971866101736</v>
      </c>
      <c r="I80" s="30">
        <f ca="1">I76</f>
        <v>28.869392549141477</v>
      </c>
      <c r="J80" s="30">
        <f ca="1">J76</f>
        <v>36.089881200133036</v>
      </c>
    </row>
    <row r="81" spans="1:10" x14ac:dyDescent="0.2">
      <c r="B81" s="77" t="s">
        <v>71</v>
      </c>
      <c r="F81" s="30">
        <f>-F70</f>
        <v>17.25</v>
      </c>
      <c r="G81" s="30">
        <f t="shared" ref="G81:J81" si="16">-G70</f>
        <v>19.837499999999991</v>
      </c>
      <c r="H81" s="30">
        <f t="shared" si="16"/>
        <v>22.813124999999992</v>
      </c>
      <c r="I81" s="30">
        <f t="shared" si="16"/>
        <v>26.235093749999983</v>
      </c>
      <c r="J81" s="30">
        <f t="shared" si="16"/>
        <v>30.170357812499986</v>
      </c>
    </row>
    <row r="82" spans="1:10" x14ac:dyDescent="0.2">
      <c r="B82" s="77" t="s">
        <v>114</v>
      </c>
      <c r="F82" s="30">
        <f>-F72</f>
        <v>0.5625</v>
      </c>
      <c r="G82" s="30">
        <f>-G72</f>
        <v>0.5625</v>
      </c>
      <c r="H82" s="30">
        <f>-H72</f>
        <v>0.5625</v>
      </c>
      <c r="I82" s="30">
        <f t="shared" ref="G82:J82" si="17">-I72</f>
        <v>0.5625</v>
      </c>
      <c r="J82" s="30">
        <f t="shared" si="17"/>
        <v>0.5625</v>
      </c>
    </row>
    <row r="83" spans="1:10" x14ac:dyDescent="0.2">
      <c r="B83" s="77" t="s">
        <v>73</v>
      </c>
      <c r="F83" s="30">
        <f>-F67*$D$24</f>
        <v>-10.35</v>
      </c>
      <c r="G83" s="30">
        <f>-G67*$D$24</f>
        <v>-11.902499999999998</v>
      </c>
      <c r="H83" s="30">
        <f>-H67*$D$24</f>
        <v>-13.687874999999996</v>
      </c>
      <c r="I83" s="30">
        <f>-I67*$D$24</f>
        <v>-15.741056249999994</v>
      </c>
      <c r="J83" s="30">
        <f>-J67*$D$24</f>
        <v>-18.102214687499995</v>
      </c>
    </row>
    <row r="84" spans="1:10" x14ac:dyDescent="0.2">
      <c r="B84" s="78" t="s">
        <v>74</v>
      </c>
      <c r="C84" s="63"/>
      <c r="D84" s="63"/>
      <c r="E84" s="63"/>
      <c r="F84" s="31">
        <f>-F89</f>
        <v>-2.25</v>
      </c>
      <c r="G84" s="31">
        <f t="shared" ref="G84:J84" si="18">-G89</f>
        <v>-2.5874999999999986</v>
      </c>
      <c r="H84" s="31">
        <f t="shared" si="18"/>
        <v>-2.9756249999999973</v>
      </c>
      <c r="I84" s="31">
        <f t="shared" si="18"/>
        <v>-3.4219687499999978</v>
      </c>
      <c r="J84" s="31">
        <f t="shared" si="18"/>
        <v>-3.9352640624999999</v>
      </c>
    </row>
    <row r="85" spans="1:10" s="64" customFormat="1" x14ac:dyDescent="0.2">
      <c r="A85" s="76"/>
      <c r="B85" s="79" t="s">
        <v>75</v>
      </c>
      <c r="F85" s="88">
        <f ca="1">SUM(F80:F84)</f>
        <v>18.787356614835581</v>
      </c>
      <c r="G85" s="88">
        <f t="shared" ref="G85:J85" ca="1" si="19">SUM(G80:G84)</f>
        <v>23.948930134765398</v>
      </c>
      <c r="H85" s="88">
        <f t="shared" ca="1" si="19"/>
        <v>29.675096866101729</v>
      </c>
      <c r="I85" s="88">
        <f t="shared" ca="1" si="19"/>
        <v>36.503961299141466</v>
      </c>
      <c r="J85" s="88">
        <f t="shared" ca="1" si="19"/>
        <v>44.785260262633031</v>
      </c>
    </row>
    <row r="86" spans="1:10" s="64" customFormat="1" x14ac:dyDescent="0.2">
      <c r="A86" s="76"/>
      <c r="B86" s="79"/>
    </row>
    <row r="87" spans="1:10" s="64" customFormat="1" x14ac:dyDescent="0.2">
      <c r="A87" s="76"/>
      <c r="B87" s="80" t="s">
        <v>76</v>
      </c>
      <c r="C87" s="81"/>
      <c r="D87" s="81"/>
      <c r="E87" s="81"/>
      <c r="F87" s="81"/>
      <c r="G87" s="81"/>
      <c r="H87" s="81"/>
      <c r="I87" s="81"/>
      <c r="J87" s="82"/>
    </row>
    <row r="88" spans="1:10" s="64" customFormat="1" x14ac:dyDescent="0.2">
      <c r="A88" s="76"/>
      <c r="B88" s="83" t="s">
        <v>77</v>
      </c>
      <c r="C88" s="84"/>
      <c r="D88" s="84"/>
      <c r="E88" s="89">
        <f>$D$25*E67</f>
        <v>15</v>
      </c>
      <c r="F88" s="89">
        <f>$D$25*F67</f>
        <v>17.25</v>
      </c>
      <c r="G88" s="89">
        <f>$D$25*G67</f>
        <v>19.837499999999999</v>
      </c>
      <c r="H88" s="89">
        <f>$D$25*H67</f>
        <v>22.813124999999996</v>
      </c>
      <c r="I88" s="89">
        <f t="shared" ref="F88:J88" si="20">$D$25*I67</f>
        <v>26.235093749999994</v>
      </c>
      <c r="J88" s="90">
        <f t="shared" si="20"/>
        <v>30.170357812499994</v>
      </c>
    </row>
    <row r="89" spans="1:10" s="64" customFormat="1" x14ac:dyDescent="0.2">
      <c r="A89" s="76"/>
      <c r="B89" s="86" t="s">
        <v>78</v>
      </c>
      <c r="C89" s="87"/>
      <c r="D89" s="87"/>
      <c r="E89" s="91"/>
      <c r="F89" s="91">
        <f>F88-E88</f>
        <v>2.25</v>
      </c>
      <c r="G89" s="91">
        <f>G88-F88</f>
        <v>2.5874999999999986</v>
      </c>
      <c r="H89" s="91">
        <f t="shared" ref="G89:J89" si="21">H88-G88</f>
        <v>2.9756249999999973</v>
      </c>
      <c r="I89" s="91">
        <f>I88-H88</f>
        <v>3.4219687499999978</v>
      </c>
      <c r="J89" s="92">
        <f t="shared" si="21"/>
        <v>3.9352640624999999</v>
      </c>
    </row>
    <row r="91" spans="1:10" x14ac:dyDescent="0.2">
      <c r="A91" s="61" t="s">
        <v>36</v>
      </c>
      <c r="B91" s="65" t="s">
        <v>102</v>
      </c>
      <c r="C91" s="66"/>
      <c r="D91" s="66"/>
      <c r="E91" s="66"/>
      <c r="F91" s="66"/>
      <c r="G91" s="66"/>
      <c r="H91" s="66"/>
      <c r="I91" s="66"/>
      <c r="J91" s="66"/>
    </row>
    <row r="93" spans="1:10" x14ac:dyDescent="0.2">
      <c r="B93" s="96" t="s">
        <v>79</v>
      </c>
    </row>
    <row r="94" spans="1:10" x14ac:dyDescent="0.2">
      <c r="B94" s="62" t="s">
        <v>80</v>
      </c>
      <c r="F94" s="64">
        <f>D8</f>
        <v>5</v>
      </c>
      <c r="G94" s="64">
        <f ca="1">F105</f>
        <v>5</v>
      </c>
      <c r="H94" s="64">
        <f t="shared" ref="H94:J94" ca="1" si="22">G105</f>
        <v>5</v>
      </c>
      <c r="I94" s="64">
        <f t="shared" ca="1" si="22"/>
        <v>5</v>
      </c>
      <c r="J94" s="64">
        <f t="shared" ca="1" si="22"/>
        <v>5</v>
      </c>
    </row>
    <row r="95" spans="1:10" x14ac:dyDescent="0.2">
      <c r="B95" s="77" t="s">
        <v>81</v>
      </c>
      <c r="F95" s="62">
        <f ca="1">F85</f>
        <v>18.787356614835581</v>
      </c>
      <c r="G95" s="62">
        <f t="shared" ref="G95:J95" ca="1" si="23">G85</f>
        <v>23.948930134765398</v>
      </c>
      <c r="H95" s="62">
        <f t="shared" ca="1" si="23"/>
        <v>29.675096866101729</v>
      </c>
      <c r="I95" s="62">
        <f t="shared" ca="1" si="23"/>
        <v>36.503961299141466</v>
      </c>
      <c r="J95" s="62">
        <f t="shared" ca="1" si="23"/>
        <v>44.785260262633031</v>
      </c>
    </row>
    <row r="96" spans="1:10" x14ac:dyDescent="0.2">
      <c r="B96" s="78" t="s">
        <v>115</v>
      </c>
      <c r="C96" s="63"/>
      <c r="D96" s="63"/>
      <c r="E96" s="63"/>
      <c r="F96" s="63">
        <f>-$D$8</f>
        <v>-5</v>
      </c>
      <c r="G96" s="63">
        <f t="shared" ref="G96:J96" si="24">-$D$8</f>
        <v>-5</v>
      </c>
      <c r="H96" s="63">
        <f t="shared" si="24"/>
        <v>-5</v>
      </c>
      <c r="I96" s="63">
        <f t="shared" si="24"/>
        <v>-5</v>
      </c>
      <c r="J96" s="63">
        <f t="shared" si="24"/>
        <v>-5</v>
      </c>
    </row>
    <row r="97" spans="2:11" x14ac:dyDescent="0.2">
      <c r="B97" s="79" t="s">
        <v>82</v>
      </c>
      <c r="F97" s="64">
        <f ca="1">SUM(F94:F96)</f>
        <v>18.787356614835581</v>
      </c>
      <c r="G97" s="64">
        <f ca="1">SUM(G94:G96)</f>
        <v>23.948930134765398</v>
      </c>
      <c r="H97" s="64">
        <f ca="1">SUM(H94:H96)</f>
        <v>29.675096866101725</v>
      </c>
      <c r="I97" s="64">
        <f ca="1">SUM(I94:I96)</f>
        <v>36.503961299141466</v>
      </c>
      <c r="J97" s="64">
        <f ca="1">SUM(J94:J96)</f>
        <v>44.785260262633031</v>
      </c>
    </row>
    <row r="98" spans="2:11" x14ac:dyDescent="0.2">
      <c r="B98" s="78" t="s">
        <v>83</v>
      </c>
      <c r="C98" s="63"/>
      <c r="D98" s="63"/>
      <c r="E98" s="63"/>
      <c r="F98" s="63">
        <f>F121+F130</f>
        <v>-7.65</v>
      </c>
      <c r="G98" s="63">
        <f ca="1">G121+G130</f>
        <v>-7.65</v>
      </c>
      <c r="H98" s="63">
        <f ca="1">H121+H130</f>
        <v>-7.65</v>
      </c>
      <c r="I98" s="63">
        <f t="shared" ref="G98:J98" ca="1" si="25">I121+I130</f>
        <v>-7.65</v>
      </c>
      <c r="J98" s="63">
        <f t="shared" ca="1" si="25"/>
        <v>-7.65</v>
      </c>
    </row>
    <row r="99" spans="2:11" x14ac:dyDescent="0.2">
      <c r="B99" s="79" t="s">
        <v>84</v>
      </c>
      <c r="F99" s="64">
        <f ca="1">SUM(F97:F98)</f>
        <v>11.13735661483558</v>
      </c>
      <c r="G99" s="64">
        <f t="shared" ref="G99:J99" ca="1" si="26">SUM(G97:G98)</f>
        <v>16.298930134765399</v>
      </c>
      <c r="H99" s="64">
        <f t="shared" ca="1" si="26"/>
        <v>22.025096866101727</v>
      </c>
      <c r="I99" s="64">
        <f t="shared" ca="1" si="26"/>
        <v>28.853961299141467</v>
      </c>
      <c r="J99" s="64">
        <f t="shared" ca="1" si="26"/>
        <v>37.135260262633032</v>
      </c>
    </row>
    <row r="100" spans="2:11" x14ac:dyDescent="0.2">
      <c r="B100" s="78" t="s">
        <v>116</v>
      </c>
      <c r="C100" s="63"/>
      <c r="D100" s="63"/>
      <c r="E100" s="63"/>
      <c r="F100" s="63">
        <f ca="1">F109</f>
        <v>0</v>
      </c>
      <c r="G100" s="63">
        <f t="shared" ref="G100:J100" ca="1" si="27">G109</f>
        <v>0</v>
      </c>
      <c r="H100" s="63">
        <f t="shared" ca="1" si="27"/>
        <v>0</v>
      </c>
      <c r="I100" s="63">
        <f t="shared" ca="1" si="27"/>
        <v>0</v>
      </c>
      <c r="J100" s="63">
        <f t="shared" ca="1" si="27"/>
        <v>0</v>
      </c>
    </row>
    <row r="101" spans="2:11" x14ac:dyDescent="0.2">
      <c r="B101" s="79" t="s">
        <v>117</v>
      </c>
      <c r="F101" s="64">
        <f ca="1">SUM(F99:F100)</f>
        <v>11.13735661483558</v>
      </c>
      <c r="G101" s="64">
        <f t="shared" ref="G101:J101" ca="1" si="28">SUM(G99:G100)</f>
        <v>16.298930134765399</v>
      </c>
      <c r="H101" s="64">
        <f t="shared" ca="1" si="28"/>
        <v>22.025096866101727</v>
      </c>
      <c r="I101" s="64">
        <f t="shared" ca="1" si="28"/>
        <v>28.853961299141467</v>
      </c>
      <c r="J101" s="64">
        <f t="shared" ca="1" si="28"/>
        <v>37.135260262633032</v>
      </c>
    </row>
    <row r="102" spans="2:11" x14ac:dyDescent="0.2">
      <c r="B102" s="78" t="s">
        <v>85</v>
      </c>
      <c r="C102" s="63"/>
      <c r="D102" s="63"/>
      <c r="E102" s="63"/>
      <c r="F102" s="63">
        <f ca="1">F122+F131</f>
        <v>-11.13735661483558</v>
      </c>
      <c r="G102" s="63">
        <f t="shared" ref="G102:J102" ca="1" si="29">G122+G131</f>
        <v>-16.298930134765399</v>
      </c>
      <c r="H102" s="63">
        <f t="shared" ca="1" si="29"/>
        <v>-22.025096866101727</v>
      </c>
      <c r="I102" s="63">
        <f t="shared" ca="1" si="29"/>
        <v>-28.853961299141467</v>
      </c>
      <c r="J102" s="63">
        <f t="shared" ca="1" si="29"/>
        <v>-37.135260262633032</v>
      </c>
    </row>
    <row r="103" spans="2:11" x14ac:dyDescent="0.2">
      <c r="B103" s="79" t="s">
        <v>86</v>
      </c>
      <c r="F103" s="64">
        <f ca="1">SUM(F101:F102)</f>
        <v>0</v>
      </c>
      <c r="G103" s="64">
        <f t="shared" ref="G103" ca="1" si="30">SUM(G101:G102)</f>
        <v>0</v>
      </c>
      <c r="H103" s="64">
        <f t="shared" ref="H103" ca="1" si="31">SUM(H101:H102)</f>
        <v>0</v>
      </c>
      <c r="I103" s="64">
        <f t="shared" ref="I103" ca="1" si="32">SUM(I101:I102)</f>
        <v>0</v>
      </c>
      <c r="J103" s="64">
        <f t="shared" ref="J103" ca="1" si="33">SUM(J101:J102)</f>
        <v>0</v>
      </c>
    </row>
    <row r="104" spans="2:11" x14ac:dyDescent="0.2">
      <c r="B104" s="64"/>
    </row>
    <row r="105" spans="2:11" x14ac:dyDescent="0.2">
      <c r="B105" s="97" t="s">
        <v>87</v>
      </c>
      <c r="C105" s="98"/>
      <c r="D105" s="98"/>
      <c r="E105" s="98"/>
      <c r="F105" s="99">
        <f ca="1">F103-F96</f>
        <v>5</v>
      </c>
      <c r="G105" s="99">
        <f t="shared" ref="G105:J105" ca="1" si="34">G103-G96</f>
        <v>5</v>
      </c>
      <c r="H105" s="99">
        <f t="shared" ca="1" si="34"/>
        <v>5</v>
      </c>
      <c r="I105" s="99">
        <f t="shared" ca="1" si="34"/>
        <v>5</v>
      </c>
      <c r="J105" s="99">
        <f t="shared" ca="1" si="34"/>
        <v>5</v>
      </c>
      <c r="K105" s="103"/>
    </row>
    <row r="106" spans="2:11" x14ac:dyDescent="0.2">
      <c r="B106" s="84"/>
      <c r="C106" s="85"/>
      <c r="D106" s="85"/>
      <c r="E106" s="85"/>
      <c r="F106" s="84"/>
      <c r="G106" s="84"/>
      <c r="H106" s="84"/>
      <c r="I106" s="84"/>
      <c r="J106" s="84"/>
    </row>
    <row r="107" spans="2:11" x14ac:dyDescent="0.2">
      <c r="B107" s="100" t="s">
        <v>47</v>
      </c>
      <c r="C107" s="85"/>
      <c r="D107" s="85"/>
      <c r="E107" s="85"/>
      <c r="F107" s="84"/>
      <c r="G107" s="84"/>
      <c r="H107" s="84"/>
      <c r="I107" s="84"/>
      <c r="J107" s="84"/>
    </row>
    <row r="108" spans="2:11" x14ac:dyDescent="0.2">
      <c r="B108" s="85" t="s">
        <v>88</v>
      </c>
      <c r="C108" s="85"/>
      <c r="D108" s="85"/>
      <c r="E108" s="85"/>
      <c r="F108" s="85">
        <v>0</v>
      </c>
      <c r="G108" s="85">
        <f ca="1">F110</f>
        <v>0</v>
      </c>
      <c r="H108" s="85">
        <f t="shared" ref="H108:J108" ca="1" si="35">G110</f>
        <v>0</v>
      </c>
      <c r="I108" s="85">
        <f t="shared" ca="1" si="35"/>
        <v>0</v>
      </c>
      <c r="J108" s="85">
        <f t="shared" ca="1" si="35"/>
        <v>0</v>
      </c>
    </row>
    <row r="109" spans="2:11" x14ac:dyDescent="0.2">
      <c r="B109" s="78" t="s">
        <v>118</v>
      </c>
      <c r="C109" s="63"/>
      <c r="D109" s="63"/>
      <c r="E109" s="63"/>
      <c r="F109" s="63">
        <f ca="1">MIN(F113,-MIN(F108,F99))</f>
        <v>0</v>
      </c>
      <c r="G109" s="63">
        <f t="shared" ref="G109:J109" ca="1" si="36">MIN(G113,-MIN(G108,G99))</f>
        <v>0</v>
      </c>
      <c r="H109" s="63">
        <f t="shared" ca="1" si="36"/>
        <v>0</v>
      </c>
      <c r="I109" s="63">
        <f t="shared" ca="1" si="36"/>
        <v>0</v>
      </c>
      <c r="J109" s="63">
        <f t="shared" ca="1" si="36"/>
        <v>0</v>
      </c>
    </row>
    <row r="110" spans="2:11" x14ac:dyDescent="0.2">
      <c r="B110" s="79" t="s">
        <v>89</v>
      </c>
      <c r="F110" s="64">
        <f ca="1">SUM(F108:F109)</f>
        <v>0</v>
      </c>
      <c r="G110" s="64">
        <f t="shared" ref="G110:J110" ca="1" si="37">SUM(G108:G109)</f>
        <v>0</v>
      </c>
      <c r="H110" s="64">
        <f t="shared" ca="1" si="37"/>
        <v>0</v>
      </c>
      <c r="I110" s="64">
        <f t="shared" ca="1" si="37"/>
        <v>0</v>
      </c>
      <c r="J110" s="64">
        <f t="shared" ca="1" si="37"/>
        <v>0</v>
      </c>
    </row>
    <row r="112" spans="2:11" x14ac:dyDescent="0.2">
      <c r="B112" s="62" t="s">
        <v>119</v>
      </c>
      <c r="F112" s="62">
        <f>J29</f>
        <v>40</v>
      </c>
      <c r="G112" s="62">
        <f>F112</f>
        <v>40</v>
      </c>
      <c r="H112" s="62">
        <f t="shared" ref="H112:J112" si="38">G112</f>
        <v>40</v>
      </c>
      <c r="I112" s="62">
        <f t="shared" si="38"/>
        <v>40</v>
      </c>
      <c r="J112" s="62">
        <f t="shared" si="38"/>
        <v>40</v>
      </c>
    </row>
    <row r="113" spans="1:10" x14ac:dyDescent="0.2">
      <c r="B113" s="62" t="s">
        <v>120</v>
      </c>
      <c r="F113" s="62">
        <f>F112-F108</f>
        <v>40</v>
      </c>
      <c r="G113" s="62">
        <f ca="1">F114</f>
        <v>40</v>
      </c>
      <c r="H113" s="62">
        <f t="shared" ref="H113:J113" ca="1" si="39">G114</f>
        <v>40</v>
      </c>
      <c r="I113" s="62">
        <f t="shared" ca="1" si="39"/>
        <v>40</v>
      </c>
      <c r="J113" s="62">
        <f t="shared" ca="1" si="39"/>
        <v>40</v>
      </c>
    </row>
    <row r="114" spans="1:10" x14ac:dyDescent="0.2">
      <c r="B114" s="62" t="s">
        <v>121</v>
      </c>
      <c r="F114" s="62">
        <f ca="1">F113-F110</f>
        <v>40</v>
      </c>
      <c r="G114" s="62">
        <f t="shared" ref="G114:J114" ca="1" si="40">G113-G110</f>
        <v>40</v>
      </c>
      <c r="H114" s="62">
        <f t="shared" ca="1" si="40"/>
        <v>40</v>
      </c>
      <c r="I114" s="62">
        <f t="shared" ca="1" si="40"/>
        <v>40</v>
      </c>
      <c r="J114" s="62">
        <f t="shared" ca="1" si="40"/>
        <v>40</v>
      </c>
    </row>
    <row r="116" spans="1:10" x14ac:dyDescent="0.2">
      <c r="B116" s="62" t="s">
        <v>90</v>
      </c>
      <c r="F116" s="105">
        <f>$G$29+F41</f>
        <v>5.5E-2</v>
      </c>
      <c r="G116" s="105">
        <f t="shared" ref="G116:J116" si="41">$G$29+G41</f>
        <v>5.5E-2</v>
      </c>
      <c r="H116" s="105">
        <f t="shared" si="41"/>
        <v>5.7499999999999996E-2</v>
      </c>
      <c r="I116" s="105">
        <f t="shared" si="41"/>
        <v>0.06</v>
      </c>
      <c r="J116" s="105">
        <f t="shared" si="41"/>
        <v>6.25E-2</v>
      </c>
    </row>
    <row r="117" spans="1:10" x14ac:dyDescent="0.2">
      <c r="B117" s="62" t="s">
        <v>122</v>
      </c>
      <c r="F117" s="101">
        <f ca="1">IF(toggle="OFF",F116*AVERAGE(F108,F110),0)</f>
        <v>0</v>
      </c>
      <c r="G117" s="101">
        <f ca="1">IF(toggle="OFF",G116*AVERAGE(G108,G110),0)</f>
        <v>0</v>
      </c>
      <c r="H117" s="101">
        <f ca="1">IF(toggle="OFF",H116*AVERAGE(H108,H110),0)</f>
        <v>0</v>
      </c>
      <c r="I117" s="101">
        <f ca="1">IF(toggle="OFF",I116*AVERAGE(I108,I110),0)</f>
        <v>0</v>
      </c>
      <c r="J117" s="101">
        <f ca="1">IF(toggle="OFF",J116*AVERAGE(J108,J110),0)</f>
        <v>0</v>
      </c>
    </row>
    <row r="119" spans="1:10" x14ac:dyDescent="0.2">
      <c r="B119" s="96" t="s">
        <v>41</v>
      </c>
    </row>
    <row r="120" spans="1:10" x14ac:dyDescent="0.2">
      <c r="B120" s="62" t="s">
        <v>88</v>
      </c>
      <c r="F120" s="102">
        <f>F30</f>
        <v>135</v>
      </c>
      <c r="G120" s="62">
        <f ca="1">F123</f>
        <v>117.11264338516442</v>
      </c>
      <c r="H120" s="62">
        <f t="shared" ref="H120:J120" ca="1" si="42">G123</f>
        <v>94.063713250399019</v>
      </c>
      <c r="I120" s="62">
        <f t="shared" ca="1" si="42"/>
        <v>65.288616384297285</v>
      </c>
      <c r="J120" s="62">
        <f t="shared" ca="1" si="42"/>
        <v>29.684655085155818</v>
      </c>
    </row>
    <row r="121" spans="1:10" x14ac:dyDescent="0.2">
      <c r="B121" s="77" t="s">
        <v>123</v>
      </c>
      <c r="F121" s="62">
        <f>-MIN($I$30,F120)</f>
        <v>-6.75</v>
      </c>
      <c r="G121" s="62">
        <f t="shared" ref="G121:J121" ca="1" si="43">-MIN($I$30,G120)</f>
        <v>-6.75</v>
      </c>
      <c r="H121" s="62">
        <f t="shared" ca="1" si="43"/>
        <v>-6.75</v>
      </c>
      <c r="I121" s="62">
        <f t="shared" ca="1" si="43"/>
        <v>-6.75</v>
      </c>
      <c r="J121" s="62">
        <f t="shared" ca="1" si="43"/>
        <v>-6.75</v>
      </c>
    </row>
    <row r="122" spans="1:10" x14ac:dyDescent="0.2">
      <c r="B122" s="78" t="s">
        <v>124</v>
      </c>
      <c r="C122" s="63"/>
      <c r="D122" s="63"/>
      <c r="E122" s="63"/>
      <c r="F122" s="63">
        <f ca="1">-MIN(SUM(F120:F121),F101)</f>
        <v>-11.13735661483558</v>
      </c>
      <c r="G122" s="63">
        <f ca="1">-MIN(SUM(G120:G121),G101)</f>
        <v>-16.298930134765399</v>
      </c>
      <c r="H122" s="63">
        <f t="shared" ref="H122:J122" ca="1" si="44">-MIN(SUM(H120:H121),H101)</f>
        <v>-22.025096866101727</v>
      </c>
      <c r="I122" s="63">
        <f t="shared" ca="1" si="44"/>
        <v>-28.853961299141467</v>
      </c>
      <c r="J122" s="63">
        <f t="shared" ca="1" si="44"/>
        <v>-22.934655085155818</v>
      </c>
    </row>
    <row r="123" spans="1:10" x14ac:dyDescent="0.2">
      <c r="B123" s="79" t="s">
        <v>89</v>
      </c>
      <c r="F123" s="64">
        <f ca="1">SUM(F120:F122)</f>
        <v>117.11264338516442</v>
      </c>
      <c r="G123" s="64">
        <f t="shared" ref="G123:J123" ca="1" si="45">SUM(G120:G122)</f>
        <v>94.063713250399019</v>
      </c>
      <c r="H123" s="64">
        <f t="shared" ca="1" si="45"/>
        <v>65.288616384297285</v>
      </c>
      <c r="I123" s="64">
        <f t="shared" ca="1" si="45"/>
        <v>29.684655085155818</v>
      </c>
      <c r="J123" s="64">
        <f t="shared" ca="1" si="45"/>
        <v>0</v>
      </c>
    </row>
    <row r="125" spans="1:10" x14ac:dyDescent="0.2">
      <c r="B125" s="62" t="s">
        <v>90</v>
      </c>
      <c r="F125" s="105">
        <f>$G$30+F41</f>
        <v>5.5E-2</v>
      </c>
      <c r="G125" s="105">
        <f t="shared" ref="G125:J125" si="46">$G$30+G41</f>
        <v>5.5E-2</v>
      </c>
      <c r="H125" s="105">
        <f t="shared" si="46"/>
        <v>5.7499999999999996E-2</v>
      </c>
      <c r="I125" s="105">
        <f t="shared" si="46"/>
        <v>0.06</v>
      </c>
      <c r="J125" s="105">
        <f t="shared" si="46"/>
        <v>6.25E-2</v>
      </c>
    </row>
    <row r="126" spans="1:10" x14ac:dyDescent="0.2">
      <c r="B126" s="62" t="s">
        <v>122</v>
      </c>
      <c r="F126" s="101">
        <f ca="1">IF(toggle="OFF",F125*AVERAGE(F120,F123),0)</f>
        <v>6.9330976930920212</v>
      </c>
      <c r="G126" s="101">
        <f ca="1">IF(toggle="OFF",G125*AVERAGE(G120,G123),0)</f>
        <v>5.8073498074779941</v>
      </c>
      <c r="H126" s="101">
        <f ca="1">IF(toggle="OFF",H125*AVERAGE(H120,H123),0)</f>
        <v>4.581379476997518</v>
      </c>
      <c r="I126" s="101">
        <f ca="1">IF(toggle="OFF",I125*AVERAGE(I120,I123),0)</f>
        <v>2.849198144083593</v>
      </c>
      <c r="J126" s="101">
        <f ca="1">IF(toggle="OFF",J125*AVERAGE(J120,J123),0)</f>
        <v>0.9276454714111193</v>
      </c>
    </row>
    <row r="127" spans="1:10" x14ac:dyDescent="0.2">
      <c r="A127" s="62"/>
    </row>
    <row r="128" spans="1:10" x14ac:dyDescent="0.2">
      <c r="B128" s="96" t="s">
        <v>57</v>
      </c>
    </row>
    <row r="129" spans="1:10" x14ac:dyDescent="0.2">
      <c r="B129" s="62" t="s">
        <v>88</v>
      </c>
      <c r="F129" s="102">
        <f>F31</f>
        <v>90</v>
      </c>
      <c r="G129" s="62">
        <f ca="1">F132</f>
        <v>89.1</v>
      </c>
      <c r="H129" s="62">
        <f t="shared" ref="H129:J129" ca="1" si="47">G132</f>
        <v>88.199999999999989</v>
      </c>
      <c r="I129" s="62">
        <f t="shared" ca="1" si="47"/>
        <v>87.299999999999983</v>
      </c>
      <c r="J129" s="62">
        <f t="shared" ca="1" si="47"/>
        <v>86.399999999999977</v>
      </c>
    </row>
    <row r="130" spans="1:10" x14ac:dyDescent="0.2">
      <c r="B130" s="77" t="s">
        <v>123</v>
      </c>
      <c r="F130" s="62">
        <f>-MIN($I$31,F129)</f>
        <v>-0.9</v>
      </c>
      <c r="G130" s="62">
        <f t="shared" ref="G130:J130" ca="1" si="48">-MIN($I$31,G129)</f>
        <v>-0.9</v>
      </c>
      <c r="H130" s="62">
        <f t="shared" ca="1" si="48"/>
        <v>-0.9</v>
      </c>
      <c r="I130" s="62">
        <f t="shared" ca="1" si="48"/>
        <v>-0.9</v>
      </c>
      <c r="J130" s="62">
        <f t="shared" ca="1" si="48"/>
        <v>-0.9</v>
      </c>
    </row>
    <row r="131" spans="1:10" x14ac:dyDescent="0.2">
      <c r="B131" s="78" t="s">
        <v>124</v>
      </c>
      <c r="C131" s="63"/>
      <c r="D131" s="63"/>
      <c r="E131" s="63"/>
      <c r="F131" s="63">
        <f ca="1">-MIN(SUM(F129:F130),F101+F122)</f>
        <v>0</v>
      </c>
      <c r="G131" s="63">
        <f t="shared" ref="G131:J131" ca="1" si="49">-MIN(SUM(G129:G130),G101+G122)</f>
        <v>0</v>
      </c>
      <c r="H131" s="63">
        <f t="shared" ca="1" si="49"/>
        <v>0</v>
      </c>
      <c r="I131" s="63">
        <f t="shared" ca="1" si="49"/>
        <v>0</v>
      </c>
      <c r="J131" s="63">
        <f t="shared" ca="1" si="49"/>
        <v>-14.200605177477215</v>
      </c>
    </row>
    <row r="132" spans="1:10" x14ac:dyDescent="0.2">
      <c r="B132" s="79" t="s">
        <v>89</v>
      </c>
      <c r="F132" s="64">
        <f ca="1">SUM(F129:F131)</f>
        <v>89.1</v>
      </c>
      <c r="G132" s="64">
        <f t="shared" ref="G132:J132" ca="1" si="50">SUM(G129:G131)</f>
        <v>88.199999999999989</v>
      </c>
      <c r="H132" s="64">
        <f t="shared" ca="1" si="50"/>
        <v>87.299999999999983</v>
      </c>
      <c r="I132" s="64">
        <f t="shared" ca="1" si="50"/>
        <v>86.399999999999977</v>
      </c>
      <c r="J132" s="64">
        <f t="shared" ca="1" si="50"/>
        <v>71.299394822522757</v>
      </c>
    </row>
    <row r="133" spans="1:10" x14ac:dyDescent="0.2">
      <c r="B133" s="79"/>
      <c r="F133" s="64"/>
      <c r="G133" s="64"/>
      <c r="H133" s="64"/>
      <c r="I133" s="64"/>
      <c r="J133" s="64"/>
    </row>
    <row r="134" spans="1:10" x14ac:dyDescent="0.2">
      <c r="B134" s="62" t="s">
        <v>90</v>
      </c>
      <c r="F134" s="105">
        <f>$G$31+F41</f>
        <v>8.5000000000000006E-2</v>
      </c>
      <c r="G134" s="105">
        <f t="shared" ref="G134:J134" si="51">$G$31+G41</f>
        <v>8.5000000000000006E-2</v>
      </c>
      <c r="H134" s="105">
        <f t="shared" si="51"/>
        <v>8.7500000000000008E-2</v>
      </c>
      <c r="I134" s="105">
        <f t="shared" si="51"/>
        <v>0.09</v>
      </c>
      <c r="J134" s="105">
        <f t="shared" si="51"/>
        <v>9.2499999999999999E-2</v>
      </c>
    </row>
    <row r="135" spans="1:10" x14ac:dyDescent="0.2">
      <c r="B135" s="62" t="s">
        <v>122</v>
      </c>
      <c r="F135" s="101">
        <f ca="1">IF(toggle="OFF",F134*AVERAGE(F129,F132),0)</f>
        <v>7.6117500000000007</v>
      </c>
      <c r="G135" s="101">
        <f ca="1">IF(toggle="OFF",G134*AVERAGE(G129,G132),0)</f>
        <v>7.5352499999999996</v>
      </c>
      <c r="H135" s="101">
        <f ca="1">IF(toggle="OFF",H134*AVERAGE(H129,H132),0)</f>
        <v>7.6781249999999996</v>
      </c>
      <c r="I135" s="101">
        <f ca="1">IF(toggle="OFF",I134*AVERAGE(I129,I132),0)</f>
        <v>7.8164999999999978</v>
      </c>
      <c r="J135" s="101">
        <f ca="1">IF(toggle="OFF",J134*AVERAGE(J129,J132),0)</f>
        <v>7.2935970105416761</v>
      </c>
    </row>
    <row r="137" spans="1:10" x14ac:dyDescent="0.2">
      <c r="B137" s="97" t="s">
        <v>126</v>
      </c>
      <c r="C137" s="98"/>
      <c r="D137" s="98"/>
      <c r="E137" s="98"/>
      <c r="F137" s="99">
        <f ca="1">F135+F126+F117</f>
        <v>14.544847693092022</v>
      </c>
      <c r="G137" s="99">
        <f ca="1">G135+G126+G117</f>
        <v>13.342599807477994</v>
      </c>
      <c r="H137" s="99">
        <f ca="1">H135+H126+H117</f>
        <v>12.259504476997517</v>
      </c>
      <c r="I137" s="99">
        <f ca="1">I135+I126+I117</f>
        <v>10.66569814408359</v>
      </c>
      <c r="J137" s="106">
        <f ca="1">J135+J126+J117</f>
        <v>8.2212424819527961</v>
      </c>
    </row>
    <row r="139" spans="1:10" x14ac:dyDescent="0.2">
      <c r="A139" s="61" t="s">
        <v>36</v>
      </c>
      <c r="B139" s="65" t="s">
        <v>103</v>
      </c>
      <c r="C139" s="66"/>
      <c r="D139" s="66"/>
      <c r="E139" s="66"/>
      <c r="F139" s="66"/>
      <c r="G139" s="66"/>
      <c r="H139" s="66"/>
      <c r="I139" s="66"/>
      <c r="J139" s="66"/>
    </row>
    <row r="140" spans="1:10" x14ac:dyDescent="0.2">
      <c r="F140" s="110">
        <v>1</v>
      </c>
      <c r="G140" s="110">
        <f>+F140+1</f>
        <v>2</v>
      </c>
      <c r="H140" s="110">
        <f t="shared" ref="H140:J140" si="52">+G140+1</f>
        <v>3</v>
      </c>
      <c r="I140" s="110">
        <f t="shared" si="52"/>
        <v>4</v>
      </c>
      <c r="J140" s="110">
        <f t="shared" si="52"/>
        <v>5</v>
      </c>
    </row>
    <row r="141" spans="1:10" x14ac:dyDescent="0.2">
      <c r="B141" s="62" t="s">
        <v>58</v>
      </c>
      <c r="F141" s="62">
        <f>F69</f>
        <v>51.75</v>
      </c>
      <c r="G141" s="62">
        <f t="shared" ref="G141:J141" si="53">G69</f>
        <v>59.512499999999989</v>
      </c>
      <c r="H141" s="62">
        <f t="shared" si="53"/>
        <v>68.439374999999984</v>
      </c>
      <c r="I141" s="62">
        <f t="shared" si="53"/>
        <v>78.70528124999997</v>
      </c>
      <c r="J141" s="62">
        <f t="shared" si="53"/>
        <v>90.511073437499974</v>
      </c>
    </row>
    <row r="142" spans="1:10" x14ac:dyDescent="0.2">
      <c r="B142" s="63" t="s">
        <v>127</v>
      </c>
      <c r="C142" s="63"/>
      <c r="D142" s="63"/>
      <c r="E142" s="63"/>
      <c r="F142" s="109">
        <f>D9</f>
        <v>9</v>
      </c>
      <c r="G142" s="109">
        <f>F142</f>
        <v>9</v>
      </c>
      <c r="H142" s="109">
        <f t="shared" ref="H142:J142" si="54">G142</f>
        <v>9</v>
      </c>
      <c r="I142" s="109">
        <f t="shared" si="54"/>
        <v>9</v>
      </c>
      <c r="J142" s="109">
        <f t="shared" si="54"/>
        <v>9</v>
      </c>
    </row>
    <row r="143" spans="1:10" x14ac:dyDescent="0.2">
      <c r="B143" s="64" t="s">
        <v>128</v>
      </c>
      <c r="F143" s="64">
        <f>PRODUCT(F141:F142)</f>
        <v>465.75</v>
      </c>
      <c r="G143" s="64">
        <f t="shared" ref="G143:J143" si="55">PRODUCT(G141:G142)</f>
        <v>535.61249999999995</v>
      </c>
      <c r="H143" s="64">
        <f t="shared" si="55"/>
        <v>615.9543749999998</v>
      </c>
      <c r="I143" s="64">
        <f t="shared" si="55"/>
        <v>708.34753124999975</v>
      </c>
      <c r="J143" s="64">
        <f t="shared" si="55"/>
        <v>814.59966093749972</v>
      </c>
    </row>
    <row r="144" spans="1:10" x14ac:dyDescent="0.2">
      <c r="B144" s="62" t="s">
        <v>50</v>
      </c>
      <c r="F144" s="62">
        <f ca="1">F105</f>
        <v>5</v>
      </c>
      <c r="G144" s="62">
        <f t="shared" ref="G144:J144" ca="1" si="56">G105</f>
        <v>5</v>
      </c>
      <c r="H144" s="62">
        <f t="shared" ca="1" si="56"/>
        <v>5</v>
      </c>
      <c r="I144" s="62">
        <f t="shared" ca="1" si="56"/>
        <v>5</v>
      </c>
      <c r="J144" s="62">
        <f t="shared" ca="1" si="56"/>
        <v>5</v>
      </c>
    </row>
    <row r="145" spans="1:10" x14ac:dyDescent="0.2">
      <c r="B145" s="63" t="s">
        <v>51</v>
      </c>
      <c r="C145" s="63"/>
      <c r="D145" s="63"/>
      <c r="E145" s="63"/>
      <c r="F145" s="63">
        <f ca="1">-(F132+F123+F110)</f>
        <v>-206.21264338516443</v>
      </c>
      <c r="G145" s="63">
        <f t="shared" ref="G145:J145" ca="1" si="57">-(G132+G123+G110)</f>
        <v>-182.26371325039901</v>
      </c>
      <c r="H145" s="63">
        <f t="shared" ca="1" si="57"/>
        <v>-152.58861638429727</v>
      </c>
      <c r="I145" s="63">
        <f t="shared" ca="1" si="57"/>
        <v>-116.08465508515579</v>
      </c>
      <c r="J145" s="63">
        <f t="shared" ca="1" si="57"/>
        <v>-71.299394822522757</v>
      </c>
    </row>
    <row r="146" spans="1:10" x14ac:dyDescent="0.2">
      <c r="B146" s="64" t="s">
        <v>129</v>
      </c>
      <c r="F146" s="64">
        <f ca="1">SUM(F143:F145)</f>
        <v>264.53735661483557</v>
      </c>
      <c r="G146" s="64">
        <f t="shared" ref="G146:J146" ca="1" si="58">SUM(G143:G145)</f>
        <v>358.34878674960095</v>
      </c>
      <c r="H146" s="64">
        <f t="shared" ca="1" si="58"/>
        <v>468.36575861570253</v>
      </c>
      <c r="I146" s="64">
        <f t="shared" ca="1" si="58"/>
        <v>597.26287616484399</v>
      </c>
      <c r="J146" s="64">
        <f t="shared" ca="1" si="58"/>
        <v>748.30026611497692</v>
      </c>
    </row>
    <row r="147" spans="1:10" x14ac:dyDescent="0.2">
      <c r="B147" s="107" t="s">
        <v>131</v>
      </c>
      <c r="C147" s="107"/>
      <c r="D147" s="107"/>
      <c r="E147" s="108">
        <f>D60</f>
        <v>244.5</v>
      </c>
      <c r="F147" s="107"/>
      <c r="G147" s="107"/>
      <c r="H147" s="107"/>
      <c r="I147" s="107"/>
      <c r="J147" s="107"/>
    </row>
    <row r="148" spans="1:10" x14ac:dyDescent="0.2">
      <c r="B148" s="64" t="s">
        <v>130</v>
      </c>
      <c r="F148" s="64">
        <f ca="1">F146-$E$147</f>
        <v>20.037356614835574</v>
      </c>
      <c r="G148" s="64">
        <f ca="1">G146-$E$147</f>
        <v>113.84878674960095</v>
      </c>
      <c r="H148" s="64">
        <f ca="1">H146-$E$147</f>
        <v>223.86575861570253</v>
      </c>
      <c r="I148" s="64">
        <f ca="1">I146-$E$147</f>
        <v>352.76287616484399</v>
      </c>
      <c r="J148" s="64">
        <f ca="1">J146-$E$147</f>
        <v>503.80026611497692</v>
      </c>
    </row>
    <row r="149" spans="1:10" x14ac:dyDescent="0.2">
      <c r="B149" s="62" t="s">
        <v>132</v>
      </c>
      <c r="F149" s="71">
        <f>$D$12</f>
        <v>0.1</v>
      </c>
      <c r="G149" s="71">
        <f>$D$12</f>
        <v>0.1</v>
      </c>
      <c r="H149" s="71">
        <f>$D$12</f>
        <v>0.1</v>
      </c>
      <c r="I149" s="71">
        <f>$D$12</f>
        <v>0.1</v>
      </c>
      <c r="J149" s="71">
        <f t="shared" ref="G149:J149" si="59">$D$12</f>
        <v>0.1</v>
      </c>
    </row>
    <row r="150" spans="1:10" x14ac:dyDescent="0.2">
      <c r="B150" s="63" t="s">
        <v>133</v>
      </c>
      <c r="C150" s="63"/>
      <c r="D150" s="63"/>
      <c r="E150" s="63"/>
      <c r="F150" s="63">
        <f ca="1">-F148*F149</f>
        <v>-2.0037356614835575</v>
      </c>
      <c r="G150" s="63">
        <f ca="1">-G148*G149</f>
        <v>-11.384878674960095</v>
      </c>
      <c r="H150" s="63">
        <f ca="1">-H148*H149</f>
        <v>-22.386575861570254</v>
      </c>
      <c r="I150" s="63">
        <f ca="1">-I148*I149</f>
        <v>-35.276287616484403</v>
      </c>
      <c r="J150" s="63">
        <f ca="1">-J148*J149</f>
        <v>-50.380026611497698</v>
      </c>
    </row>
    <row r="151" spans="1:10" x14ac:dyDescent="0.2">
      <c r="B151" s="64" t="s">
        <v>93</v>
      </c>
      <c r="F151" s="64">
        <f ca="1">F146+F150</f>
        <v>262.533620953352</v>
      </c>
      <c r="G151" s="64">
        <f ca="1">G146+G150</f>
        <v>346.96390807464087</v>
      </c>
      <c r="H151" s="64">
        <f ca="1">H146+H150</f>
        <v>445.9791827541323</v>
      </c>
      <c r="I151" s="64">
        <f ca="1">I146+I150</f>
        <v>561.98658854835958</v>
      </c>
      <c r="J151" s="64">
        <f ca="1">J146+J150</f>
        <v>697.92023950347925</v>
      </c>
    </row>
    <row r="153" spans="1:10" x14ac:dyDescent="0.2">
      <c r="B153" s="111" t="s">
        <v>94</v>
      </c>
      <c r="C153" s="112"/>
      <c r="D153" s="112"/>
      <c r="E153" s="112"/>
      <c r="F153" s="113">
        <f ca="1">F151/$E$147</f>
        <v>1.0737571409135052</v>
      </c>
      <c r="G153" s="113">
        <f ca="1">G151/$E$147</f>
        <v>1.4190752886488378</v>
      </c>
      <c r="H153" s="113">
        <f ca="1">H151/$E$147</f>
        <v>1.8240457372357148</v>
      </c>
      <c r="I153" s="113">
        <f ca="1">I151/$E$147</f>
        <v>2.2985136545945175</v>
      </c>
      <c r="J153" s="114">
        <f ca="1">J151/$E$147</f>
        <v>2.8544795071716944</v>
      </c>
    </row>
    <row r="154" spans="1:10" x14ac:dyDescent="0.2">
      <c r="B154" s="115" t="s">
        <v>95</v>
      </c>
      <c r="C154" s="116"/>
      <c r="D154" s="116"/>
      <c r="E154" s="116"/>
      <c r="F154" s="117">
        <f ca="1">F153^(1/F140)-1</f>
        <v>7.3757140913505159E-2</v>
      </c>
      <c r="G154" s="117">
        <f t="shared" ref="G154:J154" ca="1" si="60">G153^(1/G140)-1</f>
        <v>0.19124946532992726</v>
      </c>
      <c r="H154" s="117">
        <f t="shared" ca="1" si="60"/>
        <v>0.22183316127333219</v>
      </c>
      <c r="I154" s="117">
        <f t="shared" ca="1" si="60"/>
        <v>0.23129402501867857</v>
      </c>
      <c r="J154" s="118">
        <f t="shared" ca="1" si="60"/>
        <v>0.23340409474420554</v>
      </c>
    </row>
    <row r="156" spans="1:10" x14ac:dyDescent="0.2">
      <c r="A156" s="61" t="s">
        <v>36</v>
      </c>
      <c r="B156" s="65" t="s">
        <v>96</v>
      </c>
      <c r="C156" s="66"/>
      <c r="D156" s="66"/>
      <c r="E156" s="66"/>
      <c r="F156" s="66"/>
      <c r="G156" s="66"/>
      <c r="H156" s="66"/>
      <c r="I156" s="66"/>
      <c r="J156" s="66"/>
    </row>
    <row r="158" spans="1:10" x14ac:dyDescent="0.2">
      <c r="D158" s="97" t="s">
        <v>99</v>
      </c>
      <c r="E158" s="99"/>
      <c r="F158" s="99"/>
      <c r="G158" s="99"/>
      <c r="H158" s="99"/>
      <c r="I158" s="99"/>
      <c r="J158" s="106"/>
    </row>
    <row r="159" spans="1:10" x14ac:dyDescent="0.2">
      <c r="D159" s="84"/>
      <c r="E159" s="84"/>
      <c r="F159" s="84"/>
      <c r="G159" s="84"/>
      <c r="H159" s="84"/>
      <c r="I159" s="84"/>
      <c r="J159" s="84"/>
    </row>
    <row r="160" spans="1:10" x14ac:dyDescent="0.2">
      <c r="D160" s="62" t="s">
        <v>97</v>
      </c>
    </row>
    <row r="161" spans="2:10" x14ac:dyDescent="0.2">
      <c r="C161" s="123">
        <f ca="1">J153</f>
        <v>2.8544795071716944</v>
      </c>
      <c r="D161" s="119">
        <v>7.5</v>
      </c>
      <c r="E161" s="119">
        <f>+D161+0.5</f>
        <v>8</v>
      </c>
      <c r="F161" s="119">
        <f t="shared" ref="F161:J161" si="61">+E161+0.5</f>
        <v>8.5</v>
      </c>
      <c r="G161" s="119">
        <f t="shared" si="61"/>
        <v>9</v>
      </c>
      <c r="H161" s="119">
        <f t="shared" si="61"/>
        <v>9.5</v>
      </c>
      <c r="I161" s="119">
        <f t="shared" si="61"/>
        <v>10</v>
      </c>
      <c r="J161" s="119">
        <f t="shared" si="61"/>
        <v>10.5</v>
      </c>
    </row>
    <row r="162" spans="2:10" x14ac:dyDescent="0.2">
      <c r="B162" s="62" t="s">
        <v>98</v>
      </c>
      <c r="C162" s="120" cm="1">
        <f t="array" ref="C162:C168">TRANSPOSE(D161:J161)</f>
        <v>7.5</v>
      </c>
      <c r="D162" s="121">
        <f t="dataTable" ref="D162:J168" dt2D="1" dtr="1" r1="D9" r2="D10" ca="1"/>
        <v>4.2763658360822294</v>
      </c>
      <c r="E162" s="121">
        <v>4.5849263137100706</v>
      </c>
      <c r="F162" s="121">
        <v>4.893486791337911</v>
      </c>
      <c r="G162" s="121">
        <v>5.2020472689657522</v>
      </c>
      <c r="H162" s="121">
        <v>5.5106077465935925</v>
      </c>
      <c r="I162" s="121">
        <v>5.8191682242214338</v>
      </c>
      <c r="J162" s="121">
        <v>6.1277287018492741</v>
      </c>
    </row>
    <row r="163" spans="2:10" x14ac:dyDescent="0.2">
      <c r="C163" s="120">
        <v>8</v>
      </c>
      <c r="D163" s="121">
        <v>3.6681572191770502</v>
      </c>
      <c r="E163" s="121">
        <v>3.9317817049173418</v>
      </c>
      <c r="F163" s="121">
        <v>4.195406190657633</v>
      </c>
      <c r="G163" s="121">
        <v>4.4590306763979237</v>
      </c>
      <c r="H163" s="121">
        <v>4.7226551621382153</v>
      </c>
      <c r="I163" s="121">
        <v>4.986279647878507</v>
      </c>
      <c r="J163" s="121">
        <v>5.2499041336187968</v>
      </c>
    </row>
    <row r="164" spans="2:10" x14ac:dyDescent="0.2">
      <c r="C164" s="120">
        <v>8.5</v>
      </c>
      <c r="D164" s="121">
        <v>3.2145779116545437</v>
      </c>
      <c r="E164" s="121">
        <v>3.4446908102244596</v>
      </c>
      <c r="F164" s="121">
        <v>3.6748037087943746</v>
      </c>
      <c r="G164" s="121">
        <v>3.9049166073642896</v>
      </c>
      <c r="H164" s="121">
        <v>4.135029505934205</v>
      </c>
      <c r="I164" s="121">
        <v>4.3651424045041205</v>
      </c>
      <c r="J164" s="121">
        <v>4.5952553030740351</v>
      </c>
    </row>
    <row r="165" spans="2:10" x14ac:dyDescent="0.2">
      <c r="C165" s="120">
        <v>9</v>
      </c>
      <c r="D165" s="121">
        <v>2.8633097261295952</v>
      </c>
      <c r="E165" s="121">
        <v>3.0674700421540315</v>
      </c>
      <c r="F165" s="121">
        <v>3.2716303581784678</v>
      </c>
      <c r="G165" s="121">
        <v>3.4757906742029037</v>
      </c>
      <c r="H165" s="121">
        <v>3.6799509902273395</v>
      </c>
      <c r="I165" s="121">
        <v>3.8841113062517758</v>
      </c>
      <c r="J165" s="121">
        <v>4.0882716222762117</v>
      </c>
    </row>
    <row r="166" spans="2:10" x14ac:dyDescent="0.2">
      <c r="C166" s="120">
        <v>9.5</v>
      </c>
      <c r="D166" s="121">
        <v>2.5832445511840283</v>
      </c>
      <c r="E166" s="121">
        <v>2.766712943287069</v>
      </c>
      <c r="F166" s="121">
        <v>2.9501813353901096</v>
      </c>
      <c r="G166" s="121">
        <v>3.1336497274931499</v>
      </c>
      <c r="H166" s="121">
        <v>3.3171181195961901</v>
      </c>
      <c r="I166" s="121">
        <v>3.5005865116992312</v>
      </c>
      <c r="J166" s="121">
        <v>3.684054903802271</v>
      </c>
    </row>
    <row r="167" spans="2:10" x14ac:dyDescent="0.2">
      <c r="C167" s="120">
        <v>10</v>
      </c>
      <c r="D167" s="121">
        <v>2.3547251139585041</v>
      </c>
      <c r="E167" s="121">
        <v>2.5213099116962345</v>
      </c>
      <c r="F167" s="121">
        <v>2.6878947094339645</v>
      </c>
      <c r="G167" s="121">
        <v>2.8544795071716944</v>
      </c>
      <c r="H167" s="121">
        <v>3.0210643049094243</v>
      </c>
      <c r="I167" s="121">
        <v>3.1876491026471547</v>
      </c>
      <c r="J167" s="121">
        <v>3.3542339003848842</v>
      </c>
    </row>
    <row r="168" spans="2:10" x14ac:dyDescent="0.2">
      <c r="C168" s="120">
        <v>10.5</v>
      </c>
      <c r="D168" s="121">
        <v>2.1647201886249223</v>
      </c>
      <c r="E168" s="121">
        <v>2.3172669416094731</v>
      </c>
      <c r="F168" s="121">
        <v>2.4698136945940234</v>
      </c>
      <c r="G168" s="121">
        <v>2.6223604475785738</v>
      </c>
      <c r="H168" s="121">
        <v>2.7749072005631246</v>
      </c>
      <c r="I168" s="121">
        <v>2.9274539535476753</v>
      </c>
      <c r="J168" s="121">
        <v>3.0800007065322252</v>
      </c>
    </row>
    <row r="170" spans="2:10" x14ac:dyDescent="0.2">
      <c r="D170" s="97" t="s">
        <v>100</v>
      </c>
      <c r="E170" s="99"/>
      <c r="F170" s="99"/>
      <c r="G170" s="99"/>
      <c r="H170" s="99"/>
      <c r="I170" s="99"/>
      <c r="J170" s="106"/>
    </row>
    <row r="171" spans="2:10" x14ac:dyDescent="0.2">
      <c r="D171" s="84"/>
      <c r="E171" s="84"/>
      <c r="F171" s="84"/>
      <c r="G171" s="84"/>
      <c r="H171" s="84"/>
      <c r="I171" s="84"/>
      <c r="J171" s="84"/>
    </row>
    <row r="172" spans="2:10" x14ac:dyDescent="0.2">
      <c r="D172" s="62" t="s">
        <v>97</v>
      </c>
    </row>
    <row r="173" spans="2:10" x14ac:dyDescent="0.2">
      <c r="C173" s="122">
        <f ca="1">J154</f>
        <v>0.23340409474420554</v>
      </c>
      <c r="D173" s="119">
        <v>7.5</v>
      </c>
      <c r="E173" s="119">
        <f>+D173+0.5</f>
        <v>8</v>
      </c>
      <c r="F173" s="119">
        <f t="shared" ref="F173:J173" si="62">+E173+0.5</f>
        <v>8.5</v>
      </c>
      <c r="G173" s="119">
        <f t="shared" si="62"/>
        <v>9</v>
      </c>
      <c r="H173" s="119">
        <f t="shared" si="62"/>
        <v>9.5</v>
      </c>
      <c r="I173" s="119">
        <f t="shared" si="62"/>
        <v>10</v>
      </c>
      <c r="J173" s="119">
        <f t="shared" si="62"/>
        <v>10.5</v>
      </c>
    </row>
    <row r="174" spans="2:10" x14ac:dyDescent="0.2">
      <c r="B174" s="62" t="s">
        <v>98</v>
      </c>
      <c r="C174" s="120" cm="1">
        <f t="array" ref="C174:C180">TRANSPOSE(D173:J173)</f>
        <v>7.5</v>
      </c>
      <c r="D174" s="124">
        <f t="dataTable" ref="D174:J180" dt2D="1" dtr="1" r1="D9" r2="D10" ca="1"/>
        <v>0.33725727814621309</v>
      </c>
      <c r="E174" s="124">
        <v>0.35602117731193084</v>
      </c>
      <c r="F174" s="124">
        <v>0.37380054420788245</v>
      </c>
      <c r="G174" s="124">
        <v>0.39070449646408956</v>
      </c>
      <c r="H174" s="124">
        <v>0.40682442446341338</v>
      </c>
      <c r="I174" s="124">
        <v>0.42223768663556038</v>
      </c>
      <c r="J174" s="124">
        <v>0.43701038209878162</v>
      </c>
    </row>
    <row r="175" spans="2:10" x14ac:dyDescent="0.2">
      <c r="C175" s="120">
        <v>8</v>
      </c>
      <c r="D175" s="124">
        <v>0.29684952798125508</v>
      </c>
      <c r="E175" s="124">
        <v>0.31497616058787314</v>
      </c>
      <c r="F175" s="124">
        <v>0.3321551342788498</v>
      </c>
      <c r="G175" s="124">
        <v>0.34849112347189104</v>
      </c>
      <c r="H175" s="124">
        <v>0.36407185159611233</v>
      </c>
      <c r="I175" s="124">
        <v>0.37897161387805411</v>
      </c>
      <c r="J175" s="124">
        <v>0.39325392307322526</v>
      </c>
    </row>
    <row r="176" spans="2:10" x14ac:dyDescent="0.2">
      <c r="C176" s="120">
        <v>8.5</v>
      </c>
      <c r="D176" s="124">
        <v>0.26306235459367788</v>
      </c>
      <c r="E176" s="124">
        <v>0.28064880706180628</v>
      </c>
      <c r="F176" s="124">
        <v>0.2973191510632911</v>
      </c>
      <c r="G176" s="124">
        <v>0.31317423382128418</v>
      </c>
      <c r="H176" s="124">
        <v>0.3282986234366092</v>
      </c>
      <c r="I176" s="124">
        <v>0.3427639818365571</v>
      </c>
      <c r="J176" s="124">
        <v>0.35663160037781361</v>
      </c>
    </row>
    <row r="177" spans="3:10" x14ac:dyDescent="0.2">
      <c r="C177" s="120">
        <v>9</v>
      </c>
      <c r="D177" s="124">
        <v>0.2341662495622534</v>
      </c>
      <c r="E177" s="124">
        <v>0.25128450322143658</v>
      </c>
      <c r="F177" s="124">
        <v>0.26751423631696913</v>
      </c>
      <c r="G177" s="124">
        <v>0.28295292941854044</v>
      </c>
      <c r="H177" s="124">
        <v>0.29768237746108328</v>
      </c>
      <c r="I177" s="124">
        <v>0.31177192994881309</v>
      </c>
      <c r="J177" s="124">
        <v>0.32528092906411055</v>
      </c>
    </row>
    <row r="178" spans="3:10" x14ac:dyDescent="0.2">
      <c r="C178" s="120">
        <v>9.5</v>
      </c>
      <c r="D178" s="124">
        <v>0.20901894001826915</v>
      </c>
      <c r="E178" s="124">
        <v>0.2257243685454704</v>
      </c>
      <c r="F178" s="124">
        <v>0.24156580329376443</v>
      </c>
      <c r="G178" s="124">
        <v>0.25663771551399894</v>
      </c>
      <c r="H178" s="124">
        <v>0.27101942323078965</v>
      </c>
      <c r="I178" s="124">
        <v>0.28477821207757015</v>
      </c>
      <c r="J178" s="124">
        <v>0.29797168578478495</v>
      </c>
    </row>
    <row r="179" spans="3:10" x14ac:dyDescent="0.2">
      <c r="C179" s="120">
        <v>10</v>
      </c>
      <c r="D179" s="124">
        <v>0.18682870881353519</v>
      </c>
      <c r="E179" s="124">
        <v>0.20316515622534226</v>
      </c>
      <c r="F179" s="124">
        <v>0.21865970241537069</v>
      </c>
      <c r="G179" s="124">
        <v>0.23340409474420554</v>
      </c>
      <c r="H179" s="124">
        <v>0.24747541075196122</v>
      </c>
      <c r="I179" s="124">
        <v>0.26093907040039022</v>
      </c>
      <c r="J179" s="124">
        <v>0.27385110688376946</v>
      </c>
    </row>
    <row r="180" spans="3:10" x14ac:dyDescent="0.2">
      <c r="C180" s="120">
        <v>10.5</v>
      </c>
      <c r="D180" s="124">
        <v>0.16702552104037349</v>
      </c>
      <c r="E180" s="124">
        <v>0.18302851628656547</v>
      </c>
      <c r="F180" s="124">
        <v>0.19820972155528915</v>
      </c>
      <c r="G180" s="124">
        <v>0.21265839369530681</v>
      </c>
      <c r="H180" s="124">
        <v>0.22644956289720763</v>
      </c>
      <c r="I180" s="124">
        <v>0.23964694522899821</v>
      </c>
      <c r="J180" s="124">
        <v>0.25230514031127882</v>
      </c>
    </row>
  </sheetData>
  <conditionalFormatting sqref="D162:J168">
    <cfRule type="cellIs" dxfId="2" priority="3" operator="greaterThan">
      <formula>3</formula>
    </cfRule>
  </conditionalFormatting>
  <conditionalFormatting sqref="D174:J180">
    <cfRule type="cellIs" dxfId="1" priority="2" operator="greaterThan">
      <formula>3</formula>
    </cfRule>
    <cfRule type="cellIs" dxfId="0" priority="1" operator="greaterThan">
      <formula>0.2</formula>
    </cfRule>
  </conditionalFormatting>
  <dataValidations count="1">
    <dataValidation type="list" allowBlank="1" showInputMessage="1" showErrorMessage="1" sqref="M1" xr:uid="{5E1240E0-E711-D946-AF56-89C9BCBB8768}">
      <formula1>"ON, 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0884-ABFB-2243-8A28-86FB2B1BC643}">
  <dimension ref="A2:G43"/>
  <sheetViews>
    <sheetView showGridLines="0" topLeftCell="A7" zoomScale="150" workbookViewId="0">
      <selection activeCell="B34" sqref="A34:XFD38"/>
    </sheetView>
  </sheetViews>
  <sheetFormatPr baseColWidth="10" defaultRowHeight="13" x14ac:dyDescent="0.15"/>
  <cols>
    <col min="1" max="1" width="2.5" style="1" customWidth="1"/>
    <col min="2" max="2" width="25.6640625" style="1" bestFit="1" customWidth="1"/>
    <col min="3" max="3" width="10.83203125" style="1"/>
    <col min="4" max="4" width="14" style="1" bestFit="1" customWidth="1"/>
    <col min="5" max="16384" width="10.83203125" style="1"/>
  </cols>
  <sheetData>
    <row r="2" spans="1:7" s="2" customFormat="1" ht="20" x14ac:dyDescent="0.2">
      <c r="A2" s="1"/>
      <c r="B2" s="12" t="s">
        <v>0</v>
      </c>
    </row>
    <row r="4" spans="1:7" x14ac:dyDescent="0.15">
      <c r="B4" s="3" t="s">
        <v>1</v>
      </c>
      <c r="C4" s="4"/>
      <c r="D4" s="4"/>
      <c r="E4" s="4"/>
      <c r="F4" s="4"/>
      <c r="G4" s="4"/>
    </row>
    <row r="5" spans="1:7" x14ac:dyDescent="0.15">
      <c r="B5" s="5" t="s">
        <v>2</v>
      </c>
      <c r="C5" s="5"/>
      <c r="D5" s="6" t="s">
        <v>3</v>
      </c>
    </row>
    <row r="6" spans="1:7" x14ac:dyDescent="0.15">
      <c r="B6" s="1" t="s">
        <v>4</v>
      </c>
      <c r="D6" s="13">
        <v>0.3</v>
      </c>
    </row>
    <row r="7" spans="1:7" x14ac:dyDescent="0.15">
      <c r="B7" s="1" t="s">
        <v>5</v>
      </c>
      <c r="D7" s="14">
        <v>45657</v>
      </c>
    </row>
    <row r="8" spans="1:7" x14ac:dyDescent="0.15">
      <c r="B8" s="1" t="s">
        <v>6</v>
      </c>
      <c r="C8" s="24"/>
      <c r="D8" s="15">
        <v>5</v>
      </c>
    </row>
    <row r="9" spans="1:7" x14ac:dyDescent="0.15">
      <c r="B9" s="1" t="s">
        <v>7</v>
      </c>
      <c r="D9" s="16">
        <v>9</v>
      </c>
    </row>
    <row r="10" spans="1:7" x14ac:dyDescent="0.15">
      <c r="B10" s="1" t="s">
        <v>8</v>
      </c>
      <c r="D10" s="16">
        <v>10</v>
      </c>
    </row>
    <row r="11" spans="1:7" x14ac:dyDescent="0.15">
      <c r="B11" s="1" t="s">
        <v>9</v>
      </c>
      <c r="D11" s="15">
        <v>10</v>
      </c>
    </row>
    <row r="12" spans="1:7" x14ac:dyDescent="0.15">
      <c r="B12" s="1" t="s">
        <v>10</v>
      </c>
      <c r="D12" s="13">
        <v>0.1</v>
      </c>
    </row>
    <row r="13" spans="1:7" x14ac:dyDescent="0.15">
      <c r="D13" s="7"/>
    </row>
    <row r="14" spans="1:7" x14ac:dyDescent="0.15">
      <c r="B14" s="3" t="s">
        <v>11</v>
      </c>
      <c r="C14" s="4"/>
      <c r="D14" s="4"/>
      <c r="E14" s="4"/>
      <c r="F14" s="4"/>
      <c r="G14" s="4"/>
    </row>
    <row r="15" spans="1:7" x14ac:dyDescent="0.15">
      <c r="B15" s="1" t="s">
        <v>12</v>
      </c>
      <c r="D15" s="17">
        <v>3</v>
      </c>
    </row>
    <row r="16" spans="1:7" x14ac:dyDescent="0.15">
      <c r="B16" s="1" t="s">
        <v>13</v>
      </c>
      <c r="D16" s="17">
        <v>5</v>
      </c>
    </row>
    <row r="17" spans="2:7" x14ac:dyDescent="0.15">
      <c r="B17" s="1" t="s">
        <v>14</v>
      </c>
      <c r="D17" s="15">
        <v>40</v>
      </c>
    </row>
    <row r="18" spans="2:7" x14ac:dyDescent="0.15">
      <c r="B18" s="1" t="s">
        <v>15</v>
      </c>
      <c r="D18" s="18">
        <v>0.03</v>
      </c>
    </row>
    <row r="19" spans="2:7" x14ac:dyDescent="0.15">
      <c r="B19" s="1" t="s">
        <v>16</v>
      </c>
      <c r="D19" s="18">
        <v>0.03</v>
      </c>
    </row>
    <row r="20" spans="2:7" x14ac:dyDescent="0.15">
      <c r="B20" s="1" t="s">
        <v>17</v>
      </c>
      <c r="D20" s="13">
        <v>0.05</v>
      </c>
    </row>
    <row r="21" spans="2:7" x14ac:dyDescent="0.15">
      <c r="B21" s="1" t="s">
        <v>18</v>
      </c>
      <c r="D21" s="13">
        <v>1</v>
      </c>
    </row>
    <row r="22" spans="2:7" x14ac:dyDescent="0.15">
      <c r="B22" s="1" t="s">
        <v>19</v>
      </c>
      <c r="D22" s="18">
        <v>0.05</v>
      </c>
    </row>
    <row r="23" spans="2:7" x14ac:dyDescent="0.15">
      <c r="B23" s="1" t="s">
        <v>20</v>
      </c>
      <c r="D23" s="13">
        <v>0.01</v>
      </c>
    </row>
    <row r="24" spans="2:7" x14ac:dyDescent="0.15">
      <c r="B24" s="1" t="s">
        <v>21</v>
      </c>
      <c r="D24" s="13">
        <v>1</v>
      </c>
    </row>
    <row r="25" spans="2:7" x14ac:dyDescent="0.15">
      <c r="B25" s="1" t="s">
        <v>22</v>
      </c>
      <c r="D25" s="13">
        <v>0.02</v>
      </c>
    </row>
    <row r="26" spans="2:7" x14ac:dyDescent="0.15">
      <c r="B26" s="1" t="s">
        <v>23</v>
      </c>
      <c r="D26" s="19">
        <v>8</v>
      </c>
    </row>
    <row r="27" spans="2:7" x14ac:dyDescent="0.15">
      <c r="D27" s="8"/>
    </row>
    <row r="28" spans="2:7" x14ac:dyDescent="0.15">
      <c r="B28" s="3" t="s">
        <v>24</v>
      </c>
      <c r="C28" s="4"/>
      <c r="D28" s="4"/>
      <c r="E28" s="4"/>
      <c r="F28" s="4"/>
      <c r="G28" s="4"/>
    </row>
    <row r="29" spans="2:7" x14ac:dyDescent="0.15">
      <c r="B29" s="1" t="s">
        <v>25</v>
      </c>
      <c r="D29" s="15">
        <v>150</v>
      </c>
    </row>
    <row r="30" spans="2:7" x14ac:dyDescent="0.15">
      <c r="B30" s="1" t="s">
        <v>26</v>
      </c>
      <c r="D30" s="15">
        <v>10</v>
      </c>
    </row>
    <row r="31" spans="2:7" x14ac:dyDescent="0.15">
      <c r="B31" s="1" t="s">
        <v>27</v>
      </c>
      <c r="D31" s="15">
        <v>100</v>
      </c>
    </row>
    <row r="33" spans="2:7" x14ac:dyDescent="0.15">
      <c r="B33" s="3" t="s">
        <v>28</v>
      </c>
      <c r="C33" s="4"/>
      <c r="D33" s="4"/>
      <c r="E33" s="4"/>
      <c r="F33" s="4"/>
      <c r="G33" s="4"/>
    </row>
    <row r="34" spans="2:7" x14ac:dyDescent="0.15">
      <c r="B34" s="1" t="s">
        <v>29</v>
      </c>
      <c r="D34" s="20">
        <v>0.15</v>
      </c>
    </row>
    <row r="35" spans="2:7" x14ac:dyDescent="0.15">
      <c r="B35" s="1" t="s">
        <v>55</v>
      </c>
      <c r="D35" s="20">
        <v>0.3</v>
      </c>
    </row>
    <row r="36" spans="2:7" x14ac:dyDescent="0.15">
      <c r="B36" s="1" t="s">
        <v>30</v>
      </c>
      <c r="D36" s="20">
        <v>0.2</v>
      </c>
    </row>
    <row r="37" spans="2:7" x14ac:dyDescent="0.15">
      <c r="B37" s="1" t="s">
        <v>31</v>
      </c>
      <c r="D37" s="20">
        <v>0.06</v>
      </c>
    </row>
    <row r="38" spans="2:7" x14ac:dyDescent="0.15">
      <c r="B38" s="1" t="s">
        <v>32</v>
      </c>
      <c r="D38" s="20">
        <v>0.1</v>
      </c>
    </row>
    <row r="40" spans="2:7" x14ac:dyDescent="0.15">
      <c r="B40" s="3" t="s">
        <v>35</v>
      </c>
      <c r="C40" s="11"/>
      <c r="D40" s="11"/>
      <c r="E40" s="11"/>
      <c r="F40" s="11"/>
      <c r="G40" s="11"/>
    </row>
    <row r="41" spans="2:7" x14ac:dyDescent="0.15">
      <c r="C41" s="21">
        <v>2024</v>
      </c>
      <c r="D41" s="10">
        <f>+C41+1</f>
        <v>2025</v>
      </c>
      <c r="E41" s="10">
        <f t="shared" ref="E41:G41" si="0">+D41+1</f>
        <v>2026</v>
      </c>
      <c r="F41" s="10">
        <f t="shared" si="0"/>
        <v>2027</v>
      </c>
      <c r="G41" s="10">
        <f t="shared" si="0"/>
        <v>2028</v>
      </c>
    </row>
    <row r="42" spans="2:7" x14ac:dyDescent="0.15">
      <c r="B42" s="1" t="s">
        <v>33</v>
      </c>
      <c r="C42" s="22">
        <v>0.01</v>
      </c>
      <c r="D42" s="22">
        <v>1.4999999999999999E-2</v>
      </c>
      <c r="E42" s="9">
        <f t="shared" ref="E42:G42" si="1">D42+0.25%</f>
        <v>1.7499999999999998E-2</v>
      </c>
      <c r="F42" s="9">
        <f t="shared" si="1"/>
        <v>1.9999999999999997E-2</v>
      </c>
      <c r="G42" s="9">
        <f t="shared" si="1"/>
        <v>2.2499999999999996E-2</v>
      </c>
    </row>
    <row r="43" spans="2:7" x14ac:dyDescent="0.15">
      <c r="B43" s="1" t="s">
        <v>34</v>
      </c>
      <c r="C43" s="23">
        <v>1.4999999999999999E-2</v>
      </c>
      <c r="D43" s="23">
        <v>1.4999999999999999E-2</v>
      </c>
      <c r="E43" s="23">
        <v>1.4999999999999999E-2</v>
      </c>
      <c r="F43" s="23">
        <v>1.4999999999999999E-2</v>
      </c>
      <c r="G43" s="23">
        <v>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LBO model</vt:lpstr>
      <vt:lpstr>Prompt</vt:lpstr>
      <vt:lpstr>toggle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Manfredi</dc:creator>
  <cp:lastModifiedBy>Pietro Manfredi</cp:lastModifiedBy>
  <dcterms:created xsi:type="dcterms:W3CDTF">2024-11-17T20:30:41Z</dcterms:created>
  <dcterms:modified xsi:type="dcterms:W3CDTF">2024-11-19T15:32:46Z</dcterms:modified>
</cp:coreProperties>
</file>