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tromanfredi/Desktop/"/>
    </mc:Choice>
  </mc:AlternateContent>
  <xr:revisionPtr revIDLastSave="0" documentId="13_ncr:1_{30649F0C-5ED3-6F41-9A6E-0F69818D3F60}" xr6:coauthVersionLast="47" xr6:coauthVersionMax="47" xr10:uidLastSave="{00000000-0000-0000-0000-000000000000}"/>
  <bookViews>
    <workbookView xWindow="0" yWindow="720" windowWidth="29400" windowHeight="18400" xr2:uid="{D20ACB51-2945-9C42-919B-7D92A7275732}"/>
  </bookViews>
  <sheets>
    <sheet name="Model" sheetId="5" r:id="rId1"/>
    <sheet name="Instructions" sheetId="2" r:id="rId2"/>
  </sheets>
  <definedNames>
    <definedName name="circ">Model!$N$1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7" i="5" l="1"/>
  <c r="C328" i="5" s="1"/>
  <c r="C329" i="5" s="1"/>
  <c r="C330" i="5" s="1"/>
  <c r="C331" i="5" s="1"/>
  <c r="C332" i="5" s="1"/>
  <c r="C333" i="5" s="1"/>
  <c r="C334" i="5" s="1"/>
  <c r="C326" i="5"/>
  <c r="C325" i="5"/>
  <c r="E323" i="5"/>
  <c r="F323" i="5" s="1"/>
  <c r="G323" i="5" s="1"/>
  <c r="H323" i="5" s="1"/>
  <c r="I323" i="5" s="1"/>
  <c r="J323" i="5" s="1"/>
  <c r="F283" i="5"/>
  <c r="C308" i="5"/>
  <c r="C309" i="5" s="1"/>
  <c r="C310" i="5" s="1"/>
  <c r="C311" i="5" s="1"/>
  <c r="C312" i="5" s="1"/>
  <c r="C313" i="5" s="1"/>
  <c r="C314" i="5" s="1"/>
  <c r="C315" i="5" s="1"/>
  <c r="C316" i="5" s="1"/>
  <c r="C317" i="5" s="1"/>
  <c r="E306" i="5"/>
  <c r="F306" i="5" s="1"/>
  <c r="G306" i="5" s="1"/>
  <c r="H306" i="5" s="1"/>
  <c r="I306" i="5" s="1"/>
  <c r="J306" i="5" s="1"/>
  <c r="G281" i="5"/>
  <c r="H281" i="5" s="1"/>
  <c r="I281" i="5" s="1"/>
  <c r="J281" i="5" s="1"/>
  <c r="G290" i="5"/>
  <c r="H290" i="5"/>
  <c r="I290" i="5"/>
  <c r="J290" i="5"/>
  <c r="F290" i="5"/>
  <c r="F247" i="5"/>
  <c r="F231" i="5"/>
  <c r="G274" i="5"/>
  <c r="H274" i="5"/>
  <c r="I274" i="5"/>
  <c r="J274" i="5"/>
  <c r="F274" i="5"/>
  <c r="G247" i="5"/>
  <c r="H247" i="5"/>
  <c r="I247" i="5"/>
  <c r="J247" i="5"/>
  <c r="J38" i="5"/>
  <c r="J244" i="5" s="1"/>
  <c r="I38" i="5"/>
  <c r="I244" i="5" s="1"/>
  <c r="H38" i="5"/>
  <c r="H244" i="5" s="1"/>
  <c r="G38" i="5"/>
  <c r="G244" i="5" s="1"/>
  <c r="F38" i="5"/>
  <c r="F244" i="5" s="1"/>
  <c r="F241" i="5"/>
  <c r="G240" i="5"/>
  <c r="H240" i="5" s="1"/>
  <c r="I240" i="5" s="1"/>
  <c r="J240" i="5" s="1"/>
  <c r="E132" i="5"/>
  <c r="F132" i="5" s="1"/>
  <c r="E131" i="5"/>
  <c r="E141" i="5"/>
  <c r="E190" i="5"/>
  <c r="E169" i="5"/>
  <c r="F165" i="5"/>
  <c r="G165" i="5" s="1"/>
  <c r="F167" i="5"/>
  <c r="G167" i="5" s="1"/>
  <c r="H167" i="5" s="1"/>
  <c r="I167" i="5" s="1"/>
  <c r="J167" i="5" s="1"/>
  <c r="F158" i="5"/>
  <c r="G158" i="5" s="1"/>
  <c r="H158" i="5" s="1"/>
  <c r="I158" i="5" s="1"/>
  <c r="J158" i="5" s="1"/>
  <c r="F156" i="5"/>
  <c r="G156" i="5" s="1"/>
  <c r="F152" i="5"/>
  <c r="G152" i="5" s="1"/>
  <c r="H152" i="5" s="1"/>
  <c r="I152" i="5" s="1"/>
  <c r="J152" i="5" s="1"/>
  <c r="E154" i="5"/>
  <c r="F145" i="5"/>
  <c r="G145" i="5" s="1"/>
  <c r="H145" i="5" s="1"/>
  <c r="I145" i="5" s="1"/>
  <c r="J145" i="5" s="1"/>
  <c r="F143" i="5"/>
  <c r="F144" i="5"/>
  <c r="G144" i="5" s="1"/>
  <c r="H144" i="5" s="1"/>
  <c r="I144" i="5" s="1"/>
  <c r="J144" i="5" s="1"/>
  <c r="F140" i="5"/>
  <c r="G140" i="5" s="1"/>
  <c r="H140" i="5" s="1"/>
  <c r="I140" i="5" s="1"/>
  <c r="J140" i="5" s="1"/>
  <c r="F138" i="5"/>
  <c r="F139" i="5"/>
  <c r="G139" i="5" s="1"/>
  <c r="H139" i="5" s="1"/>
  <c r="I139" i="5" s="1"/>
  <c r="J139" i="5" s="1"/>
  <c r="E185" i="5"/>
  <c r="E176" i="5"/>
  <c r="E175" i="5" s="1"/>
  <c r="E163" i="5"/>
  <c r="E148" i="5"/>
  <c r="E136" i="5"/>
  <c r="J63" i="5"/>
  <c r="C19" i="5"/>
  <c r="C7" i="5" s="1"/>
  <c r="D64" i="2"/>
  <c r="D71" i="2"/>
  <c r="D74" i="2" s="1"/>
  <c r="D25" i="2"/>
  <c r="D27" i="2" s="1"/>
  <c r="E31" i="5" s="1"/>
  <c r="E43" i="5" s="1"/>
  <c r="L104" i="5"/>
  <c r="M104" i="5" s="1"/>
  <c r="M83" i="5"/>
  <c r="C10" i="5"/>
  <c r="C11" i="5"/>
  <c r="L88" i="5"/>
  <c r="N88" i="5" s="1"/>
  <c r="D76" i="5"/>
  <c r="G73" i="5" s="1"/>
  <c r="F142" i="5" l="1"/>
  <c r="F141" i="5" s="1"/>
  <c r="G256" i="5"/>
  <c r="F256" i="5"/>
  <c r="J256" i="5"/>
  <c r="H256" i="5"/>
  <c r="F137" i="5"/>
  <c r="F136" i="5" s="1"/>
  <c r="I256" i="5"/>
  <c r="J265" i="5"/>
  <c r="G265" i="5"/>
  <c r="H265" i="5"/>
  <c r="I265" i="5"/>
  <c r="F265" i="5"/>
  <c r="F260" i="5"/>
  <c r="E32" i="5"/>
  <c r="E30" i="5"/>
  <c r="E173" i="5"/>
  <c r="E133" i="5" s="1"/>
  <c r="G132" i="5"/>
  <c r="H132" i="5" s="1"/>
  <c r="I132" i="5" s="1"/>
  <c r="J132" i="5" s="1"/>
  <c r="E135" i="5"/>
  <c r="E147" i="5"/>
  <c r="E162" i="5"/>
  <c r="E177" i="5"/>
  <c r="F177" i="5" s="1"/>
  <c r="E170" i="5"/>
  <c r="H165" i="5"/>
  <c r="H156" i="5"/>
  <c r="G143" i="5"/>
  <c r="G142" i="5" s="1"/>
  <c r="G138" i="5"/>
  <c r="G137" i="5" s="1"/>
  <c r="M87" i="5"/>
  <c r="G74" i="5"/>
  <c r="J178" i="5" s="1"/>
  <c r="J198" i="5" s="1"/>
  <c r="C13" i="5"/>
  <c r="D29" i="2"/>
  <c r="G136" i="5" l="1"/>
  <c r="E42" i="5"/>
  <c r="F251" i="5"/>
  <c r="E44" i="5"/>
  <c r="F269" i="5"/>
  <c r="E33" i="5"/>
  <c r="D31" i="2"/>
  <c r="D54" i="2" s="1"/>
  <c r="G75" i="5" s="1"/>
  <c r="G76" i="5" s="1"/>
  <c r="I178" i="5"/>
  <c r="I198" i="5" s="1"/>
  <c r="G178" i="5"/>
  <c r="G198" i="5" s="1"/>
  <c r="F178" i="5"/>
  <c r="F198" i="5" s="1"/>
  <c r="H178" i="5"/>
  <c r="H198" i="5" s="1"/>
  <c r="E160" i="5"/>
  <c r="G141" i="5"/>
  <c r="F170" i="5"/>
  <c r="G170" i="5" s="1"/>
  <c r="H170" i="5" s="1"/>
  <c r="I170" i="5" s="1"/>
  <c r="J170" i="5" s="1"/>
  <c r="G177" i="5"/>
  <c r="F176" i="5"/>
  <c r="H138" i="5"/>
  <c r="I138" i="5" s="1"/>
  <c r="I165" i="5"/>
  <c r="I156" i="5"/>
  <c r="H143" i="5"/>
  <c r="H142" i="5" s="1"/>
  <c r="M107" i="5"/>
  <c r="N107" i="5"/>
  <c r="L83" i="5"/>
  <c r="L84" i="5"/>
  <c r="O84" i="5" s="1"/>
  <c r="L85" i="5"/>
  <c r="O85" i="5" s="1"/>
  <c r="L86" i="5"/>
  <c r="O86" i="5" s="1"/>
  <c r="L87" i="5"/>
  <c r="O87" i="5" s="1"/>
  <c r="E87" i="5" s="1"/>
  <c r="L89" i="5"/>
  <c r="L92" i="5"/>
  <c r="O92" i="5" s="1"/>
  <c r="E92" i="5" s="1"/>
  <c r="L98" i="5"/>
  <c r="O98" i="5" s="1"/>
  <c r="E98" i="5" s="1"/>
  <c r="E115" i="5" s="1"/>
  <c r="L99" i="5"/>
  <c r="O99" i="5" s="1"/>
  <c r="E99" i="5" s="1"/>
  <c r="E116" i="5" s="1"/>
  <c r="L100" i="5"/>
  <c r="O100" i="5" s="1"/>
  <c r="E100" i="5" s="1"/>
  <c r="E117" i="5" s="1"/>
  <c r="L101" i="5"/>
  <c r="B107" i="5"/>
  <c r="B84" i="5"/>
  <c r="B85" i="5"/>
  <c r="B86" i="5"/>
  <c r="B87" i="5"/>
  <c r="B88" i="5"/>
  <c r="B89" i="5"/>
  <c r="B90" i="5"/>
  <c r="B92" i="5"/>
  <c r="B98" i="5"/>
  <c r="B99" i="5"/>
  <c r="B100" i="5"/>
  <c r="B101" i="5"/>
  <c r="B102" i="5"/>
  <c r="B104" i="5"/>
  <c r="B105" i="5"/>
  <c r="B83" i="5"/>
  <c r="D74" i="5"/>
  <c r="D73" i="5"/>
  <c r="I63" i="5"/>
  <c r="J62" i="5"/>
  <c r="I62" i="5" s="1"/>
  <c r="J60" i="5"/>
  <c r="I60" i="5" s="1"/>
  <c r="J59" i="5"/>
  <c r="I59" i="5" s="1"/>
  <c r="D58" i="5"/>
  <c r="C58" i="5" s="1"/>
  <c r="B44" i="5"/>
  <c r="B61" i="5" s="1"/>
  <c r="B43" i="5"/>
  <c r="B60" i="5" s="1"/>
  <c r="B42" i="5"/>
  <c r="B59" i="5" s="1"/>
  <c r="B41" i="5"/>
  <c r="J32" i="5"/>
  <c r="D61" i="5"/>
  <c r="C61" i="5" s="1"/>
  <c r="H31" i="5"/>
  <c r="H30" i="5"/>
  <c r="F1" i="5"/>
  <c r="F252" i="5" l="1"/>
  <c r="E86" i="5"/>
  <c r="E112" i="5" s="1"/>
  <c r="E85" i="5"/>
  <c r="E111" i="5" s="1"/>
  <c r="E84" i="5"/>
  <c r="E110" i="5" s="1"/>
  <c r="E113" i="5" s="1"/>
  <c r="F275" i="5"/>
  <c r="F271" i="5"/>
  <c r="F278" i="5" s="1"/>
  <c r="F186" i="5" s="1"/>
  <c r="E118" i="5"/>
  <c r="F261" i="5"/>
  <c r="F224" i="5" s="1"/>
  <c r="E45" i="5"/>
  <c r="F131" i="5"/>
  <c r="F207" i="5"/>
  <c r="D33" i="2"/>
  <c r="F197" i="5"/>
  <c r="G1" i="5"/>
  <c r="F169" i="5"/>
  <c r="H141" i="5"/>
  <c r="H137" i="5"/>
  <c r="H136" i="5" s="1"/>
  <c r="H177" i="5"/>
  <c r="G176" i="5"/>
  <c r="E172" i="5"/>
  <c r="E182" i="5" s="1"/>
  <c r="E188" i="5" s="1"/>
  <c r="E192" i="5" s="1"/>
  <c r="G169" i="5"/>
  <c r="J165" i="5"/>
  <c r="I143" i="5"/>
  <c r="J156" i="5"/>
  <c r="J138" i="5"/>
  <c r="J137" i="5" s="1"/>
  <c r="I137" i="5"/>
  <c r="L90" i="5"/>
  <c r="N83" i="5"/>
  <c r="O83" i="5" s="1"/>
  <c r="E83" i="5" s="1"/>
  <c r="L102" i="5"/>
  <c r="L105" i="5" s="1"/>
  <c r="M101" i="5"/>
  <c r="O101" i="5" s="1"/>
  <c r="E101" i="5" s="1"/>
  <c r="F101" i="5" s="1"/>
  <c r="G101" i="5" s="1"/>
  <c r="H101" i="5" s="1"/>
  <c r="I101" i="5" s="1"/>
  <c r="J101" i="5" s="1"/>
  <c r="N95" i="5"/>
  <c r="O95" i="5" s="1"/>
  <c r="E95" i="5" s="1"/>
  <c r="I14" i="5"/>
  <c r="J14" i="5" s="1"/>
  <c r="I15" i="5"/>
  <c r="J15" i="5" s="1"/>
  <c r="D59" i="5"/>
  <c r="I16" i="5"/>
  <c r="J16" i="5" s="1"/>
  <c r="G42" i="5"/>
  <c r="H32" i="5"/>
  <c r="H33" i="5" s="1"/>
  <c r="G43" i="5"/>
  <c r="D60" i="5"/>
  <c r="G44" i="5"/>
  <c r="I136" i="5" l="1"/>
  <c r="J136" i="5" s="1"/>
  <c r="F135" i="5"/>
  <c r="E120" i="5"/>
  <c r="F272" i="5"/>
  <c r="F95" i="5" s="1"/>
  <c r="G131" i="5"/>
  <c r="G207" i="5"/>
  <c r="G197" i="5"/>
  <c r="H169" i="5"/>
  <c r="H1" i="5"/>
  <c r="J143" i="5"/>
  <c r="J142" i="5" s="1"/>
  <c r="I142" i="5"/>
  <c r="I141" i="5" s="1"/>
  <c r="J141" i="5" s="1"/>
  <c r="I177" i="5"/>
  <c r="J177" i="5" s="1"/>
  <c r="H176" i="5"/>
  <c r="D62" i="5"/>
  <c r="G45" i="5"/>
  <c r="C60" i="5"/>
  <c r="N94" i="5"/>
  <c r="O94" i="5" s="1"/>
  <c r="E94" i="5" s="1"/>
  <c r="C59" i="5"/>
  <c r="N93" i="5"/>
  <c r="O93" i="5" s="1"/>
  <c r="E93" i="5" s="1"/>
  <c r="L107" i="5"/>
  <c r="I17" i="5"/>
  <c r="G8" i="5" s="1"/>
  <c r="J17" i="5"/>
  <c r="G9" i="5" s="1"/>
  <c r="M96" i="5"/>
  <c r="O96" i="5" s="1"/>
  <c r="E96" i="5" s="1"/>
  <c r="D86" i="2"/>
  <c r="D98" i="2" s="1"/>
  <c r="F157" i="5" s="1"/>
  <c r="D48" i="2"/>
  <c r="F166" i="5" s="1"/>
  <c r="D42" i="2"/>
  <c r="F150" i="5" s="1"/>
  <c r="D43" i="2"/>
  <c r="F151" i="5" s="1"/>
  <c r="G151" i="5" s="1"/>
  <c r="H151" i="5" s="1"/>
  <c r="I151" i="5" s="1"/>
  <c r="J151" i="5" s="1"/>
  <c r="J176" i="5" l="1"/>
  <c r="J197" i="5" s="1"/>
  <c r="G157" i="5"/>
  <c r="F155" i="5"/>
  <c r="F154" i="5" s="1"/>
  <c r="F173" i="5" s="1"/>
  <c r="F133" i="5" s="1"/>
  <c r="F206" i="5" s="1"/>
  <c r="G166" i="5"/>
  <c r="F164" i="5"/>
  <c r="F163" i="5" s="1"/>
  <c r="F162" i="5" s="1"/>
  <c r="J184" i="5"/>
  <c r="J200" i="5" s="1"/>
  <c r="G184" i="5"/>
  <c r="G200" i="5" s="1"/>
  <c r="H184" i="5"/>
  <c r="F184" i="5"/>
  <c r="F200" i="5" s="1"/>
  <c r="F96" i="5" s="1"/>
  <c r="F208" i="5"/>
  <c r="F203" i="5"/>
  <c r="F122" i="5" s="1"/>
  <c r="F120" i="5" s="1"/>
  <c r="F121" i="5" s="1"/>
  <c r="G135" i="5"/>
  <c r="G208" i="5" s="1"/>
  <c r="F201" i="5"/>
  <c r="G269" i="5"/>
  <c r="G206" i="5"/>
  <c r="H131" i="5"/>
  <c r="H207" i="5"/>
  <c r="H206" i="5" s="1"/>
  <c r="G150" i="5"/>
  <c r="F149" i="5"/>
  <c r="F148" i="5" s="1"/>
  <c r="H200" i="5"/>
  <c r="I184" i="5"/>
  <c r="I200" i="5" s="1"/>
  <c r="H197" i="5"/>
  <c r="I169" i="5"/>
  <c r="I1" i="5"/>
  <c r="I176" i="5"/>
  <c r="G10" i="5"/>
  <c r="G11" i="5" s="1"/>
  <c r="C8" i="5" s="1"/>
  <c r="C9" i="5" s="1"/>
  <c r="J61" i="5"/>
  <c r="I61" i="5" s="1"/>
  <c r="D88" i="2"/>
  <c r="D76" i="2"/>
  <c r="G209" i="5" l="1"/>
  <c r="H157" i="5"/>
  <c r="G155" i="5"/>
  <c r="G154" i="5" s="1"/>
  <c r="G173" i="5" s="1"/>
  <c r="G133" i="5" s="1"/>
  <c r="H166" i="5"/>
  <c r="G164" i="5"/>
  <c r="G163" i="5" s="1"/>
  <c r="G162" i="5" s="1"/>
  <c r="F147" i="5"/>
  <c r="F160" i="5" s="1"/>
  <c r="F172" i="5" s="1"/>
  <c r="G203" i="5"/>
  <c r="G122" i="5" s="1"/>
  <c r="G120" i="5" s="1"/>
  <c r="G121" i="5" s="1"/>
  <c r="F87" i="5"/>
  <c r="G87" i="5" s="1"/>
  <c r="F209" i="5"/>
  <c r="G271" i="5"/>
  <c r="G272" i="5"/>
  <c r="H135" i="5"/>
  <c r="H208" i="5" s="1"/>
  <c r="H209" i="5" s="1"/>
  <c r="F113" i="5"/>
  <c r="F117" i="5"/>
  <c r="F100" i="5" s="1"/>
  <c r="F115" i="5"/>
  <c r="F98" i="5" s="1"/>
  <c r="F110" i="5"/>
  <c r="F84" i="5" s="1"/>
  <c r="F111" i="5"/>
  <c r="F85" i="5" s="1"/>
  <c r="F118" i="5"/>
  <c r="F112" i="5"/>
  <c r="F86" i="5" s="1"/>
  <c r="F116" i="5"/>
  <c r="F99" i="5" s="1"/>
  <c r="G96" i="5"/>
  <c r="H96" i="5" s="1"/>
  <c r="I96" i="5" s="1"/>
  <c r="J96" i="5" s="1"/>
  <c r="G275" i="5"/>
  <c r="G278" i="5"/>
  <c r="G186" i="5" s="1"/>
  <c r="I131" i="5"/>
  <c r="I207" i="5"/>
  <c r="I206" i="5" s="1"/>
  <c r="G149" i="5"/>
  <c r="G148" i="5" s="1"/>
  <c r="H150" i="5"/>
  <c r="I197" i="5"/>
  <c r="J1" i="5"/>
  <c r="J207" i="5" s="1"/>
  <c r="J206" i="5" s="1"/>
  <c r="J169" i="5"/>
  <c r="D72" i="5"/>
  <c r="D75" i="5" s="1"/>
  <c r="D77" i="5" s="1"/>
  <c r="J73" i="5" s="1"/>
  <c r="C12" i="5"/>
  <c r="C14" i="5" s="1"/>
  <c r="G283" i="5" s="1"/>
  <c r="H283" i="5" s="1"/>
  <c r="I283" i="5" s="1"/>
  <c r="J283" i="5" s="1"/>
  <c r="J58" i="5"/>
  <c r="G147" i="5" l="1"/>
  <c r="G160" i="5" s="1"/>
  <c r="I166" i="5"/>
  <c r="H164" i="5"/>
  <c r="H163" i="5" s="1"/>
  <c r="H162" i="5" s="1"/>
  <c r="G172" i="5"/>
  <c r="I157" i="5"/>
  <c r="H155" i="5"/>
  <c r="H154" i="5" s="1"/>
  <c r="H173" i="5" s="1"/>
  <c r="H133" i="5" s="1"/>
  <c r="F282" i="5"/>
  <c r="F284" i="5" s="1"/>
  <c r="H203" i="5"/>
  <c r="H122" i="5" s="1"/>
  <c r="H120" i="5" s="1"/>
  <c r="H121" i="5" s="1"/>
  <c r="G113" i="5"/>
  <c r="G118" i="5"/>
  <c r="I135" i="5"/>
  <c r="I208" i="5" s="1"/>
  <c r="I209" i="5" s="1"/>
  <c r="G111" i="5"/>
  <c r="G110" i="5"/>
  <c r="G115" i="5"/>
  <c r="G117" i="5"/>
  <c r="G116" i="5"/>
  <c r="G99" i="5" s="1"/>
  <c r="G112" i="5"/>
  <c r="H87" i="5"/>
  <c r="G201" i="5"/>
  <c r="I150" i="5"/>
  <c r="H149" i="5"/>
  <c r="H148" i="5" s="1"/>
  <c r="J131" i="5"/>
  <c r="J74" i="5"/>
  <c r="J179" i="5" s="1"/>
  <c r="J75" i="5"/>
  <c r="J76" i="5" s="1"/>
  <c r="J202" i="5" s="1"/>
  <c r="J68" i="5"/>
  <c r="I58" i="5"/>
  <c r="M89" i="5"/>
  <c r="O89" i="5" s="1"/>
  <c r="E89" i="5" s="1"/>
  <c r="H113" i="5" l="1"/>
  <c r="J199" i="5"/>
  <c r="J175" i="5"/>
  <c r="J157" i="5"/>
  <c r="J155" i="5" s="1"/>
  <c r="J154" i="5" s="1"/>
  <c r="J173" i="5" s="1"/>
  <c r="J133" i="5" s="1"/>
  <c r="I155" i="5"/>
  <c r="I154" i="5" s="1"/>
  <c r="I173" i="5" s="1"/>
  <c r="I133" i="5" s="1"/>
  <c r="G282" i="5"/>
  <c r="G284" i="5" s="1"/>
  <c r="H147" i="5"/>
  <c r="H160" i="5" s="1"/>
  <c r="H172" i="5" s="1"/>
  <c r="H182" i="5" s="1"/>
  <c r="J166" i="5"/>
  <c r="J164" i="5" s="1"/>
  <c r="J163" i="5" s="1"/>
  <c r="J162" i="5" s="1"/>
  <c r="I164" i="5"/>
  <c r="I163" i="5" s="1"/>
  <c r="I162" i="5" s="1"/>
  <c r="I203" i="5"/>
  <c r="I122" i="5" s="1"/>
  <c r="I120" i="5" s="1"/>
  <c r="I121" i="5" s="1"/>
  <c r="I113" i="5" s="1"/>
  <c r="J135" i="5"/>
  <c r="J203" i="5" s="1"/>
  <c r="J122" i="5" s="1"/>
  <c r="H112" i="5"/>
  <c r="G86" i="5"/>
  <c r="H118" i="5"/>
  <c r="H115" i="5"/>
  <c r="G98" i="5"/>
  <c r="H110" i="5"/>
  <c r="G84" i="5"/>
  <c r="H116" i="5"/>
  <c r="H99" i="5" s="1"/>
  <c r="H111" i="5"/>
  <c r="G85" i="5"/>
  <c r="H117" i="5"/>
  <c r="G100" i="5"/>
  <c r="I87" i="5"/>
  <c r="H269" i="5"/>
  <c r="G95" i="5"/>
  <c r="J150" i="5"/>
  <c r="J149" i="5" s="1"/>
  <c r="J148" i="5" s="1"/>
  <c r="I149" i="5"/>
  <c r="I148" i="5" s="1"/>
  <c r="G202" i="5"/>
  <c r="H202" i="5"/>
  <c r="F202" i="5"/>
  <c r="I202" i="5"/>
  <c r="F179" i="5"/>
  <c r="F175" i="5" s="1"/>
  <c r="F182" i="5" s="1"/>
  <c r="G179" i="5"/>
  <c r="G175" i="5" s="1"/>
  <c r="G182" i="5" s="1"/>
  <c r="I179" i="5"/>
  <c r="I175" i="5" s="1"/>
  <c r="H179" i="5"/>
  <c r="H175" i="5" s="1"/>
  <c r="D68" i="5"/>
  <c r="D66" i="5" s="1"/>
  <c r="D78" i="5"/>
  <c r="I147" i="5" l="1"/>
  <c r="I160" i="5" s="1"/>
  <c r="I172" i="5" s="1"/>
  <c r="J147" i="5"/>
  <c r="H282" i="5"/>
  <c r="H284" i="5" s="1"/>
  <c r="J208" i="5"/>
  <c r="J209" i="5" s="1"/>
  <c r="J120" i="5"/>
  <c r="J121" i="5" s="1"/>
  <c r="J113" i="5" s="1"/>
  <c r="I182" i="5"/>
  <c r="I282" i="5"/>
  <c r="I284" i="5" s="1"/>
  <c r="J160" i="5"/>
  <c r="J172" i="5" s="1"/>
  <c r="I118" i="5"/>
  <c r="I117" i="5"/>
  <c r="I100" i="5" s="1"/>
  <c r="H100" i="5"/>
  <c r="I111" i="5"/>
  <c r="H85" i="5"/>
  <c r="I116" i="5"/>
  <c r="I99" i="5" s="1"/>
  <c r="H86" i="5"/>
  <c r="I112" i="5"/>
  <c r="I115" i="5"/>
  <c r="H98" i="5"/>
  <c r="I110" i="5"/>
  <c r="H84" i="5"/>
  <c r="H275" i="5"/>
  <c r="H271" i="5"/>
  <c r="H199" i="5"/>
  <c r="I199" i="5"/>
  <c r="G199" i="5"/>
  <c r="F199" i="5"/>
  <c r="F89" i="5" s="1"/>
  <c r="D64" i="5"/>
  <c r="F294" i="5" s="1"/>
  <c r="G294" i="5" s="1"/>
  <c r="H294" i="5" s="1"/>
  <c r="I294" i="5" s="1"/>
  <c r="J294" i="5" s="1"/>
  <c r="N104" i="5"/>
  <c r="O104" i="5" s="1"/>
  <c r="E104" i="5" s="1"/>
  <c r="N97" i="5"/>
  <c r="D79" i="5"/>
  <c r="J118" i="5" l="1"/>
  <c r="J87" i="5"/>
  <c r="G89" i="5"/>
  <c r="H89" i="5" s="1"/>
  <c r="I89" i="5" s="1"/>
  <c r="J89" i="5" s="1"/>
  <c r="J182" i="5"/>
  <c r="J282" i="5"/>
  <c r="J284" i="5" s="1"/>
  <c r="J110" i="5"/>
  <c r="J84" i="5" s="1"/>
  <c r="I84" i="5"/>
  <c r="J112" i="5"/>
  <c r="J86" i="5" s="1"/>
  <c r="I86" i="5"/>
  <c r="J116" i="5"/>
  <c r="J99" i="5" s="1"/>
  <c r="J111" i="5"/>
  <c r="J85" i="5" s="1"/>
  <c r="I85" i="5"/>
  <c r="J115" i="5"/>
  <c r="J98" i="5" s="1"/>
  <c r="I98" i="5"/>
  <c r="J117" i="5"/>
  <c r="J100" i="5" s="1"/>
  <c r="H272" i="5"/>
  <c r="H278" i="5"/>
  <c r="H186" i="5" s="1"/>
  <c r="D65" i="5"/>
  <c r="C64" i="5"/>
  <c r="O97" i="5"/>
  <c r="M88" i="5"/>
  <c r="O88" i="5" s="1"/>
  <c r="C65" i="5" l="1"/>
  <c r="E296" i="5"/>
  <c r="H201" i="5"/>
  <c r="I269" i="5"/>
  <c r="H95" i="5"/>
  <c r="O90" i="5"/>
  <c r="E88" i="5"/>
  <c r="F88" i="5" s="1"/>
  <c r="O102" i="5"/>
  <c r="O105" i="5" s="1"/>
  <c r="E97" i="5"/>
  <c r="F97" i="5" s="1"/>
  <c r="E102" i="5" l="1"/>
  <c r="E105" i="5" s="1"/>
  <c r="G97" i="5"/>
  <c r="H97" i="5" s="1"/>
  <c r="I97" i="5" s="1"/>
  <c r="J97" i="5" s="1"/>
  <c r="E90" i="5"/>
  <c r="G88" i="5"/>
  <c r="H88" i="5" s="1"/>
  <c r="I88" i="5" s="1"/>
  <c r="J88" i="5" s="1"/>
  <c r="I275" i="5"/>
  <c r="I271" i="5"/>
  <c r="I278" i="5" s="1"/>
  <c r="O107" i="5"/>
  <c r="E107" i="5" l="1"/>
  <c r="I201" i="5"/>
  <c r="I186" i="5"/>
  <c r="I272" i="5"/>
  <c r="J269" i="5" l="1"/>
  <c r="I95" i="5"/>
  <c r="J275" i="5" l="1"/>
  <c r="J271" i="5"/>
  <c r="J272" i="5" s="1"/>
  <c r="J95" i="5" l="1"/>
  <c r="J278" i="5"/>
  <c r="J201" i="5" l="1"/>
  <c r="J186" i="5"/>
  <c r="F83" i="5"/>
  <c r="G83" i="5"/>
  <c r="H83" i="5"/>
  <c r="I83" i="5"/>
  <c r="J83" i="5"/>
  <c r="F90" i="5"/>
  <c r="G90" i="5"/>
  <c r="H90" i="5"/>
  <c r="I90" i="5"/>
  <c r="J90" i="5"/>
  <c r="F92" i="5"/>
  <c r="G92" i="5"/>
  <c r="H92" i="5"/>
  <c r="I92" i="5"/>
  <c r="J92" i="5"/>
  <c r="F93" i="5"/>
  <c r="G93" i="5"/>
  <c r="H93" i="5"/>
  <c r="I93" i="5"/>
  <c r="J93" i="5"/>
  <c r="F94" i="5"/>
  <c r="G94" i="5"/>
  <c r="H94" i="5"/>
  <c r="I94" i="5"/>
  <c r="J94" i="5"/>
  <c r="F102" i="5"/>
  <c r="G102" i="5"/>
  <c r="H102" i="5"/>
  <c r="I102" i="5"/>
  <c r="J102" i="5"/>
  <c r="F104" i="5"/>
  <c r="G104" i="5"/>
  <c r="H104" i="5"/>
  <c r="I104" i="5"/>
  <c r="J104" i="5"/>
  <c r="F105" i="5"/>
  <c r="G105" i="5"/>
  <c r="H105" i="5"/>
  <c r="I105" i="5"/>
  <c r="J105" i="5"/>
  <c r="F107" i="5"/>
  <c r="G107" i="5"/>
  <c r="H107" i="5"/>
  <c r="I107" i="5"/>
  <c r="J107" i="5"/>
  <c r="F185" i="5"/>
  <c r="G185" i="5"/>
  <c r="H185" i="5"/>
  <c r="I185" i="5"/>
  <c r="J185" i="5"/>
  <c r="F188" i="5"/>
  <c r="G188" i="5"/>
  <c r="H188" i="5"/>
  <c r="I188" i="5"/>
  <c r="J188" i="5"/>
  <c r="F190" i="5"/>
  <c r="G190" i="5"/>
  <c r="H190" i="5"/>
  <c r="I190" i="5"/>
  <c r="J190" i="5"/>
  <c r="F192" i="5"/>
  <c r="G192" i="5"/>
  <c r="H192" i="5"/>
  <c r="I192" i="5"/>
  <c r="J192" i="5"/>
  <c r="F196" i="5"/>
  <c r="G196" i="5"/>
  <c r="H196" i="5"/>
  <c r="I196" i="5"/>
  <c r="J196" i="5"/>
  <c r="F204" i="5"/>
  <c r="G204" i="5"/>
  <c r="H204" i="5"/>
  <c r="I204" i="5"/>
  <c r="J204" i="5"/>
  <c r="F211" i="5"/>
  <c r="G211" i="5"/>
  <c r="H211" i="5"/>
  <c r="I211" i="5"/>
  <c r="J211" i="5"/>
  <c r="F212" i="5"/>
  <c r="G212" i="5"/>
  <c r="H212" i="5"/>
  <c r="I212" i="5"/>
  <c r="J212" i="5"/>
  <c r="F213" i="5"/>
  <c r="G213" i="5"/>
  <c r="H213" i="5"/>
  <c r="I213" i="5"/>
  <c r="J213" i="5"/>
  <c r="F215" i="5"/>
  <c r="G215" i="5"/>
  <c r="H215" i="5"/>
  <c r="I215" i="5"/>
  <c r="J215" i="5"/>
  <c r="F217" i="5"/>
  <c r="G217" i="5"/>
  <c r="H217" i="5"/>
  <c r="I217" i="5"/>
  <c r="J217" i="5"/>
  <c r="F218" i="5"/>
  <c r="G218" i="5"/>
  <c r="H218" i="5"/>
  <c r="I218" i="5"/>
  <c r="J218" i="5"/>
  <c r="F223" i="5"/>
  <c r="G223" i="5"/>
  <c r="H223" i="5"/>
  <c r="I223" i="5"/>
  <c r="J223" i="5"/>
  <c r="G224" i="5"/>
  <c r="H224" i="5"/>
  <c r="I224" i="5"/>
  <c r="J224" i="5"/>
  <c r="F225" i="5"/>
  <c r="G225" i="5"/>
  <c r="H225" i="5"/>
  <c r="I225" i="5"/>
  <c r="J225" i="5"/>
  <c r="F226" i="5"/>
  <c r="G226" i="5"/>
  <c r="H226" i="5"/>
  <c r="I226" i="5"/>
  <c r="J226" i="5"/>
  <c r="F227" i="5"/>
  <c r="G227" i="5"/>
  <c r="H227" i="5"/>
  <c r="I227" i="5"/>
  <c r="J227" i="5"/>
  <c r="F228" i="5"/>
  <c r="G228" i="5"/>
  <c r="H228" i="5"/>
  <c r="I228" i="5"/>
  <c r="J228" i="5"/>
  <c r="F229" i="5"/>
  <c r="G229" i="5"/>
  <c r="H229" i="5"/>
  <c r="I229" i="5"/>
  <c r="J229" i="5"/>
  <c r="G231" i="5"/>
  <c r="H231" i="5"/>
  <c r="I231" i="5"/>
  <c r="J231" i="5"/>
  <c r="F232" i="5"/>
  <c r="G232" i="5"/>
  <c r="H232" i="5"/>
  <c r="I232" i="5"/>
  <c r="J232" i="5"/>
  <c r="F233" i="5"/>
  <c r="G233" i="5"/>
  <c r="H233" i="5"/>
  <c r="I233" i="5"/>
  <c r="J233" i="5"/>
  <c r="G236" i="5"/>
  <c r="H236" i="5"/>
  <c r="I236" i="5"/>
  <c r="J236" i="5"/>
  <c r="F237" i="5"/>
  <c r="G237" i="5"/>
  <c r="H237" i="5"/>
  <c r="I237" i="5"/>
  <c r="J237" i="5"/>
  <c r="F238" i="5"/>
  <c r="G238" i="5"/>
  <c r="H238" i="5"/>
  <c r="I238" i="5"/>
  <c r="J238" i="5"/>
  <c r="G241" i="5"/>
  <c r="H241" i="5"/>
  <c r="I241" i="5"/>
  <c r="J241" i="5"/>
  <c r="F242" i="5"/>
  <c r="G242" i="5"/>
  <c r="H242" i="5"/>
  <c r="I242" i="5"/>
  <c r="J242" i="5"/>
  <c r="F245" i="5"/>
  <c r="G245" i="5"/>
  <c r="H245" i="5"/>
  <c r="I245" i="5"/>
  <c r="J245" i="5"/>
  <c r="F248" i="5"/>
  <c r="G248" i="5"/>
  <c r="H248" i="5"/>
  <c r="I248" i="5"/>
  <c r="J248" i="5"/>
  <c r="G251" i="5"/>
  <c r="H251" i="5"/>
  <c r="I251" i="5"/>
  <c r="J251" i="5"/>
  <c r="G252" i="5"/>
  <c r="H252" i="5"/>
  <c r="I252" i="5"/>
  <c r="J252" i="5"/>
  <c r="F253" i="5"/>
  <c r="G253" i="5"/>
  <c r="H253" i="5"/>
  <c r="I253" i="5"/>
  <c r="J253" i="5"/>
  <c r="F254" i="5"/>
  <c r="G254" i="5"/>
  <c r="H254" i="5"/>
  <c r="I254" i="5"/>
  <c r="J254" i="5"/>
  <c r="F257" i="5"/>
  <c r="G257" i="5"/>
  <c r="H257" i="5"/>
  <c r="I257" i="5"/>
  <c r="J257" i="5"/>
  <c r="G260" i="5"/>
  <c r="H260" i="5"/>
  <c r="I260" i="5"/>
  <c r="J260" i="5"/>
  <c r="G261" i="5"/>
  <c r="H261" i="5"/>
  <c r="I261" i="5"/>
  <c r="J261" i="5"/>
  <c r="F262" i="5"/>
  <c r="G262" i="5"/>
  <c r="H262" i="5"/>
  <c r="I262" i="5"/>
  <c r="J262" i="5"/>
  <c r="F263" i="5"/>
  <c r="G263" i="5"/>
  <c r="H263" i="5"/>
  <c r="I263" i="5"/>
  <c r="J263" i="5"/>
  <c r="F266" i="5"/>
  <c r="G266" i="5"/>
  <c r="H266" i="5"/>
  <c r="I266" i="5"/>
  <c r="J266" i="5"/>
  <c r="F277" i="5"/>
  <c r="G277" i="5"/>
  <c r="H277" i="5"/>
  <c r="I277" i="5"/>
  <c r="J277" i="5"/>
  <c r="F285" i="5"/>
  <c r="G285" i="5"/>
  <c r="H285" i="5"/>
  <c r="I285" i="5"/>
  <c r="J285" i="5"/>
  <c r="F286" i="5"/>
  <c r="G286" i="5"/>
  <c r="H286" i="5"/>
  <c r="I286" i="5"/>
  <c r="J286" i="5"/>
  <c r="F287" i="5"/>
  <c r="G287" i="5"/>
  <c r="H287" i="5"/>
  <c r="I287" i="5"/>
  <c r="J287" i="5"/>
  <c r="F289" i="5"/>
  <c r="G289" i="5"/>
  <c r="H289" i="5"/>
  <c r="I289" i="5"/>
  <c r="J289" i="5"/>
  <c r="F291" i="5"/>
  <c r="G291" i="5"/>
  <c r="H291" i="5"/>
  <c r="I291" i="5"/>
  <c r="J291" i="5"/>
  <c r="F293" i="5"/>
  <c r="G293" i="5"/>
  <c r="H293" i="5"/>
  <c r="I293" i="5"/>
  <c r="J293" i="5"/>
  <c r="F295" i="5"/>
  <c r="G295" i="5"/>
  <c r="H295" i="5"/>
  <c r="I295" i="5"/>
  <c r="J295" i="5"/>
  <c r="F298" i="5"/>
  <c r="G298" i="5"/>
  <c r="H298" i="5"/>
  <c r="I298" i="5"/>
  <c r="J298" i="5"/>
  <c r="F299" i="5"/>
  <c r="G299" i="5"/>
  <c r="H299" i="5"/>
  <c r="I299" i="5"/>
  <c r="J299" i="5"/>
  <c r="C306" i="5"/>
  <c r="C323" i="5"/>
</calcChain>
</file>

<file path=xl/sharedStrings.xml><?xml version="1.0" encoding="utf-8"?>
<sst xmlns="http://schemas.openxmlformats.org/spreadsheetml/2006/main" count="372" uniqueCount="260">
  <si>
    <t>Ink Co. to buy</t>
  </si>
  <si>
    <t>Hold for 5 years</t>
  </si>
  <si>
    <t>Date of transaction 31/12/2020</t>
  </si>
  <si>
    <t>Premium is 20%</t>
  </si>
  <si>
    <t>price per share 10$ pre closing</t>
  </si>
  <si>
    <t>But has exercisable options 4 tranches</t>
  </si>
  <si>
    <t>tranche 1 - 10 m shares -strike price of 10</t>
  </si>
  <si>
    <t>Tranche 2 - 5 m shares - strike price of 8</t>
  </si>
  <si>
    <t>tranche 3 - 5 m shares - strike price of 20</t>
  </si>
  <si>
    <t>Overview</t>
  </si>
  <si>
    <t>Financials</t>
  </si>
  <si>
    <t>Less: COGS</t>
  </si>
  <si>
    <t>Gross Profit</t>
  </si>
  <si>
    <t>Less: SG&amp;A</t>
  </si>
  <si>
    <t>EBITDA</t>
  </si>
  <si>
    <t>Less: D&amp;A</t>
  </si>
  <si>
    <t>EBIT</t>
  </si>
  <si>
    <t>Less: Interest Expense</t>
  </si>
  <si>
    <t>EBT</t>
  </si>
  <si>
    <t>Less: Taxes</t>
  </si>
  <si>
    <t>Net Income</t>
  </si>
  <si>
    <t>Revenue</t>
  </si>
  <si>
    <t>Operating assumptions</t>
  </si>
  <si>
    <t>Downside</t>
  </si>
  <si>
    <t>Base</t>
  </si>
  <si>
    <t>Rev growth</t>
  </si>
  <si>
    <t>Gross profit margin</t>
  </si>
  <si>
    <t>SG&amp;A % sales</t>
  </si>
  <si>
    <t>Taxes</t>
  </si>
  <si>
    <t>Initial balance sheet of Ink Co</t>
  </si>
  <si>
    <t>Cash</t>
  </si>
  <si>
    <t>Accounts Receivable</t>
  </si>
  <si>
    <t>Inventory</t>
  </si>
  <si>
    <t>Prepaid Expenses</t>
  </si>
  <si>
    <t>PP&amp;E</t>
  </si>
  <si>
    <t>Goodwill</t>
  </si>
  <si>
    <t>Intangible Assets</t>
  </si>
  <si>
    <t>Total Assets</t>
  </si>
  <si>
    <t>Revolver</t>
  </si>
  <si>
    <t>Accounts Payable</t>
  </si>
  <si>
    <t>Accrued Liabilities</t>
  </si>
  <si>
    <t>Deferred Revenue</t>
  </si>
  <si>
    <t>Pre-LBO Debt</t>
  </si>
  <si>
    <t>Total Liabilities</t>
  </si>
  <si>
    <t>Total Liabilities + Equity</t>
  </si>
  <si>
    <t>Equity</t>
  </si>
  <si>
    <t>Check</t>
  </si>
  <si>
    <t>Transaction</t>
  </si>
  <si>
    <t>Min cash to BS</t>
  </si>
  <si>
    <t>Transaction fees</t>
  </si>
  <si>
    <t>Other fees</t>
  </si>
  <si>
    <t>mgmt. options pool</t>
  </si>
  <si>
    <t>mgmt. rollover</t>
  </si>
  <si>
    <t>Add on during the period</t>
  </si>
  <si>
    <t>Acquisition date</t>
  </si>
  <si>
    <t>Player to acquire</t>
  </si>
  <si>
    <t>LimaInk</t>
  </si>
  <si>
    <t>LimaInk financials</t>
  </si>
  <si>
    <t>LimaInk operating assumptions</t>
  </si>
  <si>
    <t>Revenue growth</t>
  </si>
  <si>
    <t>Gross margin</t>
  </si>
  <si>
    <t>Upside</t>
  </si>
  <si>
    <t>Financing</t>
  </si>
  <si>
    <t>xEBITDA</t>
  </si>
  <si>
    <t>Revolver - max capacity 100M, cost LIIBOR + 400, Unused Fee 0,25%</t>
  </si>
  <si>
    <t>TLA - 3,5x - LIBOR + 375, Amortization fee of 5%</t>
  </si>
  <si>
    <t>TLB - 2,0x - LIBOR + 375, Amortization fee of 5%</t>
  </si>
  <si>
    <t>Senior notes - 1,5x - 12% (6,5% cash interest, remaining PIK interest)</t>
  </si>
  <si>
    <t>Cash sweep - 100%</t>
  </si>
  <si>
    <t>Financing fees of 2% on all tranches, term of 7 yrs</t>
  </si>
  <si>
    <t>Questions</t>
  </si>
  <si>
    <t>Cash on cash return</t>
  </si>
  <si>
    <t>IRR at end of period</t>
  </si>
  <si>
    <t>LBO model</t>
  </si>
  <si>
    <t>Assumptions</t>
  </si>
  <si>
    <t>X</t>
  </si>
  <si>
    <t>Sources and Uses</t>
  </si>
  <si>
    <t>Cash flow statement</t>
  </si>
  <si>
    <t>Cash &amp; Debt schedule</t>
  </si>
  <si>
    <t>Balance sheet</t>
  </si>
  <si>
    <t>LTM EBITDA</t>
  </si>
  <si>
    <t>TEV</t>
  </si>
  <si>
    <t>Price per share</t>
  </si>
  <si>
    <t>Shares out</t>
  </si>
  <si>
    <t>Equity value</t>
  </si>
  <si>
    <t>Plus: Debt</t>
  </si>
  <si>
    <t>Less: Cash</t>
  </si>
  <si>
    <t>Premium</t>
  </si>
  <si>
    <t>Number</t>
  </si>
  <si>
    <t>Strike price</t>
  </si>
  <si>
    <t>ITM amount</t>
  </si>
  <si>
    <t>Dilution</t>
  </si>
  <si>
    <t>P / S calculation</t>
  </si>
  <si>
    <t>Final price per share</t>
  </si>
  <si>
    <t>Treasury stock method</t>
  </si>
  <si>
    <t>Tranches</t>
  </si>
  <si>
    <t>Amount</t>
  </si>
  <si>
    <t>ITM shares</t>
  </si>
  <si>
    <t>Tot</t>
  </si>
  <si>
    <t>Shares buy back</t>
  </si>
  <si>
    <t>Cost %</t>
  </si>
  <si>
    <t>Am. Fee %</t>
  </si>
  <si>
    <t>Am. Fee</t>
  </si>
  <si>
    <t>Un Fee %</t>
  </si>
  <si>
    <t>TLA</t>
  </si>
  <si>
    <t>TLB</t>
  </si>
  <si>
    <t>Senior notes</t>
  </si>
  <si>
    <t>PIK %</t>
  </si>
  <si>
    <t>Fin fees</t>
  </si>
  <si>
    <t>Fin Fee %</t>
  </si>
  <si>
    <t>Fin Fee</t>
  </si>
  <si>
    <t>Yrs</t>
  </si>
  <si>
    <t>Fin Fee / yr</t>
  </si>
  <si>
    <t xml:space="preserve">Total </t>
  </si>
  <si>
    <t>Other</t>
  </si>
  <si>
    <t>Asset write up</t>
  </si>
  <si>
    <t>PPE</t>
  </si>
  <si>
    <t>Useful life</t>
  </si>
  <si>
    <t>Intangibles</t>
  </si>
  <si>
    <t xml:space="preserve">Useful life </t>
  </si>
  <si>
    <t>Total debt</t>
  </si>
  <si>
    <t>Sources</t>
  </si>
  <si>
    <t>Tot sources</t>
  </si>
  <si>
    <t>Uses</t>
  </si>
  <si>
    <t>Tot uses</t>
  </si>
  <si>
    <t>Purchase price</t>
  </si>
  <si>
    <t>Net debt ref</t>
  </si>
  <si>
    <t>Tot debt</t>
  </si>
  <si>
    <t>Mgmt. rollover</t>
  </si>
  <si>
    <t>Sponsor equity</t>
  </si>
  <si>
    <t>Tot equity</t>
  </si>
  <si>
    <t>Shares out are 350</t>
  </si>
  <si>
    <t>PF goodwill calculation</t>
  </si>
  <si>
    <t>Less: Equity</t>
  </si>
  <si>
    <t>Plus: Goodwill</t>
  </si>
  <si>
    <t>Equity step up</t>
  </si>
  <si>
    <t>Less: PPE write up</t>
  </si>
  <si>
    <t>Less: intangibles write up</t>
  </si>
  <si>
    <t>Plus: DTL</t>
  </si>
  <si>
    <t>PF Goodwill</t>
  </si>
  <si>
    <t>PPE write up</t>
  </si>
  <si>
    <t>Write up amount</t>
  </si>
  <si>
    <t>D&amp;A step up</t>
  </si>
  <si>
    <t>DTL</t>
  </si>
  <si>
    <t>unwind of DTLs</t>
  </si>
  <si>
    <t>Int write up</t>
  </si>
  <si>
    <t>Pre-Txn</t>
  </si>
  <si>
    <t>Debit</t>
  </si>
  <si>
    <t>Credit</t>
  </si>
  <si>
    <t>PF 2020A</t>
  </si>
  <si>
    <t>Cap fin fees</t>
  </si>
  <si>
    <t>DTLs</t>
  </si>
  <si>
    <t>Consolidated Income statement</t>
  </si>
  <si>
    <t>Revenue - Ink Co</t>
  </si>
  <si>
    <t>COGS</t>
  </si>
  <si>
    <t>COGS - Ink Co</t>
  </si>
  <si>
    <t>COGS - Lima Ink</t>
  </si>
  <si>
    <t>Gross profit</t>
  </si>
  <si>
    <t>SG&amp;A</t>
  </si>
  <si>
    <t>SG&amp;A - Ink Co</t>
  </si>
  <si>
    <t>SG&amp;A - Lima Ink</t>
  </si>
  <si>
    <t>Revenue - Lima Ink</t>
  </si>
  <si>
    <t>D&amp;A</t>
  </si>
  <si>
    <t>D&amp;A - Ink Co</t>
  </si>
  <si>
    <t>D&amp;A - Lima Ink</t>
  </si>
  <si>
    <t>Interests</t>
  </si>
  <si>
    <t>Net income</t>
  </si>
  <si>
    <t>Growth %</t>
  </si>
  <si>
    <t>COGS % sales</t>
  </si>
  <si>
    <t>% sales</t>
  </si>
  <si>
    <t>Ink Co. Scenario toggle</t>
  </si>
  <si>
    <t>Lima Ink Scenario toggle</t>
  </si>
  <si>
    <t>Plus: D&amp;A</t>
  </si>
  <si>
    <t>Plus: D&amp;A PPE step up</t>
  </si>
  <si>
    <t>Plus: D&amp;A Int step up</t>
  </si>
  <si>
    <t>Plus: Amortization of fin fees</t>
  </si>
  <si>
    <t>Plus: Non cash interest (PIK)</t>
  </si>
  <si>
    <t>Less: Change in NWC</t>
  </si>
  <si>
    <t>CFO</t>
  </si>
  <si>
    <t>Less: unwind of DTLs</t>
  </si>
  <si>
    <t>Less: Capex</t>
  </si>
  <si>
    <t>Less: Lima Ink acquisition</t>
  </si>
  <si>
    <t>CFI</t>
  </si>
  <si>
    <t>CFF</t>
  </si>
  <si>
    <t>Less: Revolver payments</t>
  </si>
  <si>
    <t>Less: TLA payments</t>
  </si>
  <si>
    <t>Less: TLB payments</t>
  </si>
  <si>
    <t>Less: Senior notes payments</t>
  </si>
  <si>
    <t>Net change in cash</t>
  </si>
  <si>
    <t>Levered FCF</t>
  </si>
  <si>
    <t>Acquisition year</t>
  </si>
  <si>
    <t>Acquisition year - toggle</t>
  </si>
  <si>
    <t>EBITDA - Lima Ink</t>
  </si>
  <si>
    <t xml:space="preserve">Acquisition price </t>
  </si>
  <si>
    <t>Acquisition multiple</t>
  </si>
  <si>
    <t>D&amp;A - Ink Co PPE step up</t>
  </si>
  <si>
    <t>D&amp;A - Ink Co Int step up</t>
  </si>
  <si>
    <t>Amortization of fin fees</t>
  </si>
  <si>
    <t>Non cash interests (PIK)</t>
  </si>
  <si>
    <t>toggle</t>
  </si>
  <si>
    <t>Capex % sales</t>
  </si>
  <si>
    <t>Change in WC % sales</t>
  </si>
  <si>
    <t>Cash schedule</t>
  </si>
  <si>
    <t>Less: Mandatory payments</t>
  </si>
  <si>
    <t>Cash flow pre-revolver</t>
  </si>
  <si>
    <t>Plus: paydown / drawdown</t>
  </si>
  <si>
    <t>Cash available for optional rep</t>
  </si>
  <si>
    <t xml:space="preserve">Less: cash sweep </t>
  </si>
  <si>
    <t xml:space="preserve">Beg cash </t>
  </si>
  <si>
    <t>End cash</t>
  </si>
  <si>
    <t>Beg balance</t>
  </si>
  <si>
    <t>paydown / drawdown</t>
  </si>
  <si>
    <t>End balance</t>
  </si>
  <si>
    <t>Max capacity</t>
  </si>
  <si>
    <t>Beg cap</t>
  </si>
  <si>
    <t>End cap</t>
  </si>
  <si>
    <t>Interest %</t>
  </si>
  <si>
    <t>Interest exp</t>
  </si>
  <si>
    <t>Un Fee</t>
  </si>
  <si>
    <t>LIBOR curve</t>
  </si>
  <si>
    <t>Rate</t>
  </si>
  <si>
    <t>Floor</t>
  </si>
  <si>
    <t>Final rate</t>
  </si>
  <si>
    <t>Circ switch</t>
  </si>
  <si>
    <t>Mandatory paym</t>
  </si>
  <si>
    <t>Cash sweep</t>
  </si>
  <si>
    <t>PIK interest</t>
  </si>
  <si>
    <t>OFF</t>
  </si>
  <si>
    <t>Tot interest exp</t>
  </si>
  <si>
    <t>Tot non cash interest</t>
  </si>
  <si>
    <t>WC calculation</t>
  </si>
  <si>
    <t>Accounts receivable</t>
  </si>
  <si>
    <t>Prepaid exp</t>
  </si>
  <si>
    <t>Tot current assets</t>
  </si>
  <si>
    <t>Accounts payable</t>
  </si>
  <si>
    <t>Accrued liabilities</t>
  </si>
  <si>
    <t>Deferred revenue</t>
  </si>
  <si>
    <t>Tot current liabilties</t>
  </si>
  <si>
    <t>WC</t>
  </si>
  <si>
    <t>Change in WC</t>
  </si>
  <si>
    <t>% growth</t>
  </si>
  <si>
    <t>Return calculation</t>
  </si>
  <si>
    <t>Plus: Cash</t>
  </si>
  <si>
    <t>Less: Debt</t>
  </si>
  <si>
    <t>Equity value at Exit</t>
  </si>
  <si>
    <t xml:space="preserve">Excess value </t>
  </si>
  <si>
    <t>Mgmt options %</t>
  </si>
  <si>
    <t>Mgmt. option payment amount</t>
  </si>
  <si>
    <t>Value post options payments</t>
  </si>
  <si>
    <t xml:space="preserve">% ownership mgmt. </t>
  </si>
  <si>
    <t>Net proceeds to sponsor</t>
  </si>
  <si>
    <t>Injected equity by sponsor at entry</t>
  </si>
  <si>
    <t>MOIC</t>
  </si>
  <si>
    <t>IRR</t>
  </si>
  <si>
    <t>Sensitivity analysis</t>
  </si>
  <si>
    <t>Sensitivity on MOIC - Exit multiple and Premium on P/S</t>
  </si>
  <si>
    <t>Premium &gt;&gt;</t>
  </si>
  <si>
    <t>Exit multiple &gt;&gt;</t>
  </si>
  <si>
    <t>Exit multiple</t>
  </si>
  <si>
    <t>Sensitivity on IRR - Exit multiple and Premium on 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</si>
</sst>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_);\(&quot;$&quot;#,##0\);\-\-_)"/>
    <numFmt numFmtId="165" formatCode="#,##0_);\(#,##0\);\-\-_)"/>
    <numFmt numFmtId="166" formatCode="#,##0;\(#,##0\);&quot;--&quot;"/>
    <numFmt numFmtId="167" formatCode="0.00&quot;x&quot;"/>
    <numFmt numFmtId="168" formatCode="General&quot;F&quot;"/>
    <numFmt numFmtId="169" formatCode="General&quot;A&quot;"/>
    <numFmt numFmtId="173" formatCode="0.0"/>
    <numFmt numFmtId="185" formatCode="&quot;L + &quot;0.00%"/>
    <numFmt numFmtId="186" formatCode="General\ &quot;yrs&quot;"/>
    <numFmt numFmtId="187" formatCode="#,##0.0;\(#,##0.0\);&quot;--&quot;"/>
    <numFmt numFmtId="188" formatCode="#,##0.00;\(#,##0.00\);&quot;--&quot;"/>
  </numFmts>
  <fonts count="28">
    <font>
      <sz val="12"/>
      <color theme="1"/>
      <name val="Aptos Narrow"/>
      <family val="2"/>
      <scheme val="minor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rgb="FF0000FF"/>
      <name val="Arial"/>
      <family val="2"/>
    </font>
    <font>
      <sz val="12"/>
      <color theme="1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FFFF"/>
      <name val="Times New Roman"/>
      <family val="1"/>
    </font>
    <font>
      <sz val="14"/>
      <color rgb="FFFFFFFF"/>
      <name val="Times New Roman"/>
      <family val="1"/>
    </font>
    <font>
      <b/>
      <u/>
      <sz val="14"/>
      <color theme="1"/>
      <name val="Times New Roman"/>
      <family val="1"/>
    </font>
    <font>
      <b/>
      <u/>
      <sz val="14"/>
      <color rgb="FFFFFFFF"/>
      <name val="Times New Roman"/>
      <family val="1"/>
    </font>
    <font>
      <i/>
      <u/>
      <sz val="14"/>
      <color rgb="FFFFFFFF"/>
      <name val="Times New Roman"/>
      <family val="1"/>
    </font>
    <font>
      <sz val="14"/>
      <color rgb="FF0432FF"/>
      <name val="Times New Roman"/>
      <family val="1"/>
    </font>
    <font>
      <i/>
      <sz val="14"/>
      <color theme="1"/>
      <name val="Times New Roman"/>
      <family val="1"/>
    </font>
    <font>
      <sz val="12"/>
      <color rgb="FF0432FF"/>
      <name val="Times New Roman"/>
      <family val="1"/>
    </font>
    <font>
      <sz val="10"/>
      <color rgb="FF0432FF"/>
      <name val="Times New Roman"/>
      <family val="1"/>
    </font>
    <font>
      <b/>
      <i/>
      <u/>
      <sz val="12"/>
      <color theme="1"/>
      <name val="Aptos Narrow"/>
      <scheme val="minor"/>
    </font>
    <font>
      <i/>
      <sz val="14"/>
      <color rgb="FFEBEBEB"/>
      <name val="Times New Roman"/>
      <family val="1"/>
    </font>
    <font>
      <b/>
      <sz val="12"/>
      <color rgb="FF3F3F3F"/>
      <name val="Timesù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94209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FD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2" fillId="2" borderId="6" applyNumberFormat="0" applyAlignment="0" applyProtection="0"/>
    <xf numFmtId="0" fontId="11" fillId="3" borderId="7" applyNumberFormat="0" applyFont="0" applyAlignment="0" applyProtection="0"/>
  </cellStyleXfs>
  <cellXfs count="151">
    <xf numFmtId="0" fontId="0" fillId="0" borderId="0" xfId="0"/>
    <xf numFmtId="165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166" fontId="4" fillId="0" borderId="0" xfId="0" applyNumberFormat="1" applyFont="1"/>
    <xf numFmtId="164" fontId="5" fillId="0" borderId="0" xfId="0" applyNumberFormat="1" applyFont="1"/>
    <xf numFmtId="0" fontId="4" fillId="0" borderId="1" xfId="0" applyFont="1" applyBorder="1"/>
    <xf numFmtId="165" fontId="5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0" fontId="8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4" fillId="0" borderId="0" xfId="0" applyFont="1" applyAlignment="1">
      <alignment horizontal="right"/>
    </xf>
    <xf numFmtId="0" fontId="8" fillId="0" borderId="2" xfId="0" applyFont="1" applyBorder="1"/>
    <xf numFmtId="166" fontId="8" fillId="0" borderId="0" xfId="0" applyNumberFormat="1" applyFont="1"/>
    <xf numFmtId="0" fontId="8" fillId="0" borderId="1" xfId="0" applyFont="1" applyBorder="1"/>
    <xf numFmtId="165" fontId="9" fillId="0" borderId="0" xfId="0" applyNumberFormat="1" applyFont="1"/>
    <xf numFmtId="164" fontId="10" fillId="0" borderId="0" xfId="0" applyNumberFormat="1" applyFont="1"/>
    <xf numFmtId="164" fontId="2" fillId="0" borderId="0" xfId="0" applyNumberFormat="1" applyFont="1"/>
    <xf numFmtId="166" fontId="8" fillId="0" borderId="3" xfId="0" applyNumberFormat="1" applyFont="1" applyBorder="1"/>
    <xf numFmtId="166" fontId="4" fillId="0" borderId="4" xfId="0" applyNumberFormat="1" applyFont="1" applyBorder="1"/>
    <xf numFmtId="166" fontId="4" fillId="0" borderId="5" xfId="0" applyNumberFormat="1" applyFont="1" applyBorder="1"/>
    <xf numFmtId="0" fontId="0" fillId="0" borderId="1" xfId="0" applyBorder="1"/>
    <xf numFmtId="0" fontId="13" fillId="0" borderId="1" xfId="0" applyFont="1" applyBorder="1"/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9" fontId="15" fillId="0" borderId="0" xfId="0" applyNumberFormat="1" applyFont="1"/>
    <xf numFmtId="0" fontId="15" fillId="0" borderId="0" xfId="0" applyFont="1"/>
    <xf numFmtId="0" fontId="15" fillId="0" borderId="1" xfId="0" applyFont="1" applyBorder="1"/>
    <xf numFmtId="0" fontId="14" fillId="0" borderId="1" xfId="0" applyFont="1" applyBorder="1"/>
    <xf numFmtId="0" fontId="16" fillId="5" borderId="0" xfId="0" applyFont="1" applyFill="1"/>
    <xf numFmtId="0" fontId="17" fillId="5" borderId="0" xfId="0" applyFont="1" applyFill="1"/>
    <xf numFmtId="0" fontId="14" fillId="6" borderId="0" xfId="0" applyFont="1" applyFill="1" applyBorder="1"/>
    <xf numFmtId="0" fontId="18" fillId="0" borderId="0" xfId="0" applyFont="1"/>
    <xf numFmtId="1" fontId="14" fillId="0" borderId="1" xfId="0" applyNumberFormat="1" applyFont="1" applyBorder="1"/>
    <xf numFmtId="1" fontId="14" fillId="0" borderId="0" xfId="0" applyNumberFormat="1" applyFont="1"/>
    <xf numFmtId="1" fontId="15" fillId="0" borderId="0" xfId="0" applyNumberFormat="1" applyFont="1"/>
    <xf numFmtId="0" fontId="18" fillId="0" borderId="0" xfId="0" applyFont="1" applyBorder="1" applyAlignment="1">
      <alignment horizontal="right"/>
    </xf>
    <xf numFmtId="167" fontId="15" fillId="0" borderId="0" xfId="0" applyNumberFormat="1" applyFont="1"/>
    <xf numFmtId="0" fontId="14" fillId="0" borderId="0" xfId="0" applyFont="1" applyAlignment="1">
      <alignment horizontal="left"/>
    </xf>
    <xf numFmtId="9" fontId="14" fillId="0" borderId="1" xfId="0" applyNumberFormat="1" applyFont="1" applyBorder="1"/>
    <xf numFmtId="9" fontId="14" fillId="0" borderId="0" xfId="0" applyNumberFormat="1" applyFont="1"/>
    <xf numFmtId="0" fontId="18" fillId="0" borderId="0" xfId="0" applyFont="1" applyAlignment="1">
      <alignment horizontal="right"/>
    </xf>
    <xf numFmtId="10" fontId="14" fillId="0" borderId="0" xfId="0" applyNumberFormat="1" applyFont="1"/>
    <xf numFmtId="167" fontId="14" fillId="0" borderId="0" xfId="0" applyNumberFormat="1" applyFont="1"/>
    <xf numFmtId="167" fontId="14" fillId="0" borderId="1" xfId="0" applyNumberFormat="1" applyFont="1" applyBorder="1"/>
    <xf numFmtId="10" fontId="14" fillId="0" borderId="1" xfId="0" applyNumberFormat="1" applyFont="1" applyBorder="1"/>
    <xf numFmtId="10" fontId="14" fillId="6" borderId="1" xfId="0" applyNumberFormat="1" applyFont="1" applyFill="1" applyBorder="1"/>
    <xf numFmtId="10" fontId="14" fillId="6" borderId="0" xfId="0" applyNumberFormat="1" applyFont="1" applyFill="1" applyBorder="1"/>
    <xf numFmtId="167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67" fontId="14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5" fillId="0" borderId="8" xfId="0" applyFont="1" applyBorder="1"/>
    <xf numFmtId="168" fontId="16" fillId="4" borderId="0" xfId="0" applyNumberFormat="1" applyFont="1" applyFill="1"/>
    <xf numFmtId="0" fontId="14" fillId="6" borderId="2" xfId="0" applyFont="1" applyFill="1" applyBorder="1"/>
    <xf numFmtId="166" fontId="14" fillId="0" borderId="0" xfId="0" applyNumberFormat="1" applyFont="1"/>
    <xf numFmtId="166" fontId="14" fillId="0" borderId="1" xfId="0" applyNumberFormat="1" applyFont="1" applyBorder="1"/>
    <xf numFmtId="166" fontId="15" fillId="0" borderId="0" xfId="0" applyNumberFormat="1" applyFont="1"/>
    <xf numFmtId="166" fontId="14" fillId="0" borderId="0" xfId="0" applyNumberFormat="1" applyFont="1" applyBorder="1"/>
    <xf numFmtId="166" fontId="15" fillId="0" borderId="0" xfId="0" applyNumberFormat="1" applyFont="1" applyBorder="1"/>
    <xf numFmtId="0" fontId="14" fillId="0" borderId="0" xfId="0" applyFont="1" applyFill="1" applyBorder="1"/>
    <xf numFmtId="0" fontId="14" fillId="0" borderId="1" xfId="0" applyFont="1" applyFill="1" applyBorder="1"/>
    <xf numFmtId="0" fontId="15" fillId="0" borderId="0" xfId="0" applyFont="1" applyFill="1" applyBorder="1"/>
    <xf numFmtId="0" fontId="19" fillId="5" borderId="0" xfId="0" applyFont="1" applyFill="1" applyAlignment="1">
      <alignment horizontal="right"/>
    </xf>
    <xf numFmtId="0" fontId="20" fillId="5" borderId="0" xfId="0" applyFont="1" applyFill="1" applyAlignment="1">
      <alignment horizontal="right"/>
    </xf>
    <xf numFmtId="0" fontId="14" fillId="0" borderId="4" xfId="0" applyFont="1" applyBorder="1"/>
    <xf numFmtId="0" fontId="14" fillId="0" borderId="5" xfId="0" applyFont="1" applyBorder="1"/>
    <xf numFmtId="166" fontId="14" fillId="0" borderId="3" xfId="0" applyNumberFormat="1" applyFont="1" applyBorder="1"/>
    <xf numFmtId="166" fontId="14" fillId="0" borderId="4" xfId="0" applyNumberFormat="1" applyFont="1" applyBorder="1"/>
    <xf numFmtId="166" fontId="14" fillId="0" borderId="5" xfId="0" applyNumberFormat="1" applyFont="1" applyBorder="1"/>
    <xf numFmtId="0" fontId="21" fillId="3" borderId="7" xfId="2" applyFont="1"/>
    <xf numFmtId="0" fontId="21" fillId="3" borderId="7" xfId="2" applyFont="1" applyAlignment="1">
      <alignment horizontal="left"/>
    </xf>
    <xf numFmtId="9" fontId="21" fillId="3" borderId="7" xfId="2" applyNumberFormat="1" applyFont="1"/>
    <xf numFmtId="10" fontId="21" fillId="3" borderId="7" xfId="2" applyNumberFormat="1" applyFont="1"/>
    <xf numFmtId="167" fontId="21" fillId="3" borderId="7" xfId="2" applyNumberFormat="1" applyFont="1"/>
    <xf numFmtId="185" fontId="21" fillId="3" borderId="7" xfId="2" applyNumberFormat="1" applyFont="1"/>
    <xf numFmtId="186" fontId="21" fillId="3" borderId="7" xfId="2" applyNumberFormat="1" applyFont="1"/>
    <xf numFmtId="166" fontId="21" fillId="3" borderId="7" xfId="2" applyNumberFormat="1" applyFont="1"/>
    <xf numFmtId="0" fontId="22" fillId="0" borderId="3" xfId="0" applyFont="1" applyBorder="1"/>
    <xf numFmtId="0" fontId="23" fillId="3" borderId="7" xfId="2" applyFont="1"/>
    <xf numFmtId="9" fontId="23" fillId="3" borderId="7" xfId="2" applyNumberFormat="1" applyFont="1"/>
    <xf numFmtId="164" fontId="24" fillId="3" borderId="7" xfId="2" applyNumberFormat="1" applyFont="1"/>
    <xf numFmtId="167" fontId="23" fillId="3" borderId="7" xfId="2" applyNumberFormat="1" applyFont="1"/>
    <xf numFmtId="166" fontId="23" fillId="3" borderId="7" xfId="2" applyNumberFormat="1" applyFont="1"/>
    <xf numFmtId="173" fontId="14" fillId="0" borderId="0" xfId="0" applyNumberFormat="1" applyFont="1"/>
    <xf numFmtId="173" fontId="14" fillId="0" borderId="1" xfId="0" applyNumberFormat="1" applyFont="1" applyBorder="1"/>
    <xf numFmtId="166" fontId="15" fillId="0" borderId="4" xfId="0" applyNumberFormat="1" applyFont="1" applyBorder="1"/>
    <xf numFmtId="0" fontId="14" fillId="0" borderId="10" xfId="0" applyFont="1" applyBorder="1"/>
    <xf numFmtId="0" fontId="14" fillId="0" borderId="9" xfId="0" applyFont="1" applyBorder="1"/>
    <xf numFmtId="0" fontId="14" fillId="0" borderId="0" xfId="0" applyFont="1" applyAlignment="1">
      <alignment horizontal="left" indent="1"/>
    </xf>
    <xf numFmtId="0" fontId="15" fillId="0" borderId="3" xfId="0" applyFont="1" applyBorder="1"/>
    <xf numFmtId="0" fontId="15" fillId="7" borderId="3" xfId="0" applyFont="1" applyFill="1" applyBorder="1"/>
    <xf numFmtId="0" fontId="14" fillId="7" borderId="4" xfId="0" applyFont="1" applyFill="1" applyBorder="1"/>
    <xf numFmtId="166" fontId="15" fillId="7" borderId="4" xfId="0" applyNumberFormat="1" applyFont="1" applyFill="1" applyBorder="1"/>
    <xf numFmtId="0" fontId="22" fillId="0" borderId="0" xfId="0" applyFont="1" applyAlignment="1">
      <alignment horizontal="left" indent="2"/>
    </xf>
    <xf numFmtId="9" fontId="22" fillId="0" borderId="0" xfId="0" applyNumberFormat="1" applyFont="1"/>
    <xf numFmtId="0" fontId="14" fillId="0" borderId="1" xfId="0" applyFont="1" applyBorder="1" applyAlignment="1">
      <alignment horizontal="left" indent="1"/>
    </xf>
    <xf numFmtId="0" fontId="14" fillId="0" borderId="0" xfId="0" applyFont="1" applyBorder="1"/>
    <xf numFmtId="0" fontId="22" fillId="0" borderId="0" xfId="0" applyFont="1" applyAlignment="1">
      <alignment horizontal="left" indent="1"/>
    </xf>
    <xf numFmtId="166" fontId="14" fillId="8" borderId="0" xfId="0" applyNumberFormat="1" applyFont="1" applyFill="1"/>
    <xf numFmtId="0" fontId="15" fillId="0" borderId="11" xfId="0" applyFont="1" applyBorder="1"/>
    <xf numFmtId="0" fontId="14" fillId="0" borderId="2" xfId="0" applyFont="1" applyBorder="1"/>
    <xf numFmtId="0" fontId="15" fillId="0" borderId="13" xfId="0" applyFont="1" applyBorder="1"/>
    <xf numFmtId="0" fontId="22" fillId="0" borderId="0" xfId="0" applyFont="1" applyBorder="1" applyAlignment="1">
      <alignment horizontal="left" indent="1"/>
    </xf>
    <xf numFmtId="166" fontId="22" fillId="0" borderId="0" xfId="0" applyNumberFormat="1" applyFont="1" applyBorder="1"/>
    <xf numFmtId="167" fontId="14" fillId="0" borderId="0" xfId="0" applyNumberFormat="1" applyFont="1" applyBorder="1"/>
    <xf numFmtId="9" fontId="22" fillId="0" borderId="1" xfId="0" applyNumberFormat="1" applyFont="1" applyBorder="1"/>
    <xf numFmtId="166" fontId="14" fillId="8" borderId="1" xfId="0" applyNumberFormat="1" applyFont="1" applyFill="1" applyBorder="1"/>
    <xf numFmtId="166" fontId="15" fillId="0" borderId="2" xfId="0" applyNumberFormat="1" applyFont="1" applyBorder="1"/>
    <xf numFmtId="166" fontId="15" fillId="0" borderId="1" xfId="0" applyNumberFormat="1" applyFont="1" applyBorder="1"/>
    <xf numFmtId="10" fontId="15" fillId="0" borderId="0" xfId="0" applyNumberFormat="1" applyFont="1"/>
    <xf numFmtId="0" fontId="25" fillId="0" borderId="0" xfId="0" applyFont="1"/>
    <xf numFmtId="0" fontId="14" fillId="0" borderId="11" xfId="0" applyFont="1" applyBorder="1"/>
    <xf numFmtId="10" fontId="14" fillId="0" borderId="2" xfId="0" applyNumberFormat="1" applyFont="1" applyBorder="1"/>
    <xf numFmtId="10" fontId="14" fillId="0" borderId="12" xfId="0" applyNumberFormat="1" applyFont="1" applyBorder="1"/>
    <xf numFmtId="0" fontId="14" fillId="0" borderId="13" xfId="0" applyFont="1" applyBorder="1"/>
    <xf numFmtId="166" fontId="15" fillId="0" borderId="14" xfId="0" applyNumberFormat="1" applyFont="1" applyBorder="1"/>
    <xf numFmtId="0" fontId="15" fillId="0" borderId="2" xfId="0" applyFont="1" applyBorder="1"/>
    <xf numFmtId="10" fontId="15" fillId="0" borderId="2" xfId="0" applyNumberFormat="1" applyFont="1" applyBorder="1"/>
    <xf numFmtId="10" fontId="15" fillId="0" borderId="12" xfId="0" applyNumberFormat="1" applyFont="1" applyBorder="1"/>
    <xf numFmtId="0" fontId="15" fillId="0" borderId="0" xfId="0" applyFont="1" applyAlignment="1">
      <alignment horizontal="left" indent="1"/>
    </xf>
    <xf numFmtId="187" fontId="15" fillId="0" borderId="0" xfId="0" applyNumberFormat="1" applyFont="1"/>
    <xf numFmtId="188" fontId="15" fillId="0" borderId="1" xfId="0" applyNumberFormat="1" applyFont="1" applyBorder="1"/>
    <xf numFmtId="188" fontId="15" fillId="0" borderId="14" xfId="0" applyNumberFormat="1" applyFont="1" applyBorder="1"/>
    <xf numFmtId="0" fontId="15" fillId="7" borderId="11" xfId="0" applyFont="1" applyFill="1" applyBorder="1"/>
    <xf numFmtId="0" fontId="15" fillId="7" borderId="2" xfId="0" applyFont="1" applyFill="1" applyBorder="1"/>
    <xf numFmtId="4" fontId="15" fillId="7" borderId="2" xfId="0" applyNumberFormat="1" applyFont="1" applyFill="1" applyBorder="1"/>
    <xf numFmtId="4" fontId="15" fillId="7" borderId="12" xfId="0" applyNumberFormat="1" applyFont="1" applyFill="1" applyBorder="1"/>
    <xf numFmtId="0" fontId="15" fillId="7" borderId="13" xfId="0" applyFont="1" applyFill="1" applyBorder="1"/>
    <xf numFmtId="0" fontId="15" fillId="7" borderId="1" xfId="0" applyFont="1" applyFill="1" applyBorder="1"/>
    <xf numFmtId="166" fontId="15" fillId="7" borderId="1" xfId="0" applyNumberFormat="1" applyFont="1" applyFill="1" applyBorder="1"/>
    <xf numFmtId="166" fontId="15" fillId="7" borderId="14" xfId="0" applyNumberFormat="1" applyFont="1" applyFill="1" applyBorder="1"/>
    <xf numFmtId="187" fontId="14" fillId="0" borderId="0" xfId="0" applyNumberFormat="1" applyFont="1"/>
    <xf numFmtId="187" fontId="14" fillId="0" borderId="1" xfId="0" applyNumberFormat="1" applyFont="1" applyBorder="1"/>
    <xf numFmtId="166" fontId="14" fillId="0" borderId="9" xfId="0" applyNumberFormat="1" applyFont="1" applyBorder="1"/>
    <xf numFmtId="0" fontId="26" fillId="0" borderId="0" xfId="0" applyFont="1"/>
    <xf numFmtId="167" fontId="15" fillId="7" borderId="2" xfId="0" applyNumberFormat="1" applyFont="1" applyFill="1" applyBorder="1"/>
    <xf numFmtId="167" fontId="15" fillId="7" borderId="12" xfId="0" applyNumberFormat="1" applyFont="1" applyFill="1" applyBorder="1"/>
    <xf numFmtId="9" fontId="15" fillId="7" borderId="1" xfId="0" applyNumberFormat="1" applyFont="1" applyFill="1" applyBorder="1"/>
    <xf numFmtId="9" fontId="15" fillId="7" borderId="14" xfId="0" applyNumberFormat="1" applyFont="1" applyFill="1" applyBorder="1"/>
    <xf numFmtId="167" fontId="14" fillId="0" borderId="9" xfId="0" applyNumberFormat="1" applyFont="1" applyBorder="1"/>
    <xf numFmtId="167" fontId="14" fillId="0" borderId="15" xfId="0" applyNumberFormat="1" applyFont="1" applyBorder="1"/>
    <xf numFmtId="9" fontId="14" fillId="0" borderId="9" xfId="0" applyNumberFormat="1" applyFont="1" applyBorder="1"/>
    <xf numFmtId="0" fontId="27" fillId="2" borderId="6" xfId="1" applyFont="1" applyAlignment="1">
      <alignment horizontal="right"/>
    </xf>
  </cellXfs>
  <cellStyles count="3">
    <cellStyle name="Normal" xfId="0" builtinId="0"/>
    <cellStyle name="Note" xfId="2" builtinId="10"/>
    <cellStyle name="Output" xfId="1" builtinId="2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6D6D6"/>
      <color rgb="FFEBEBEB"/>
      <color rgb="FF00FDFF"/>
      <color rgb="FF0432FF"/>
      <color rgb="FFFFFFFF"/>
      <color rgb="FF000000"/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D8F1-905C-B948-91C5-292414C324EF}">
  <dimension ref="A1:O334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0" sqref="M10"/>
    </sheetView>
  </sheetViews>
  <sheetFormatPr baseColWidth="10" defaultRowHeight="18" outlineLevelRow="1"/>
  <cols>
    <col min="1" max="1" width="2.83203125" style="31" customWidth="1"/>
    <col min="2" max="2" width="25.33203125" style="31" bestFit="1" customWidth="1"/>
    <col min="3" max="3" width="10.83203125" style="31"/>
    <col min="4" max="10" width="12.83203125" style="31" customWidth="1"/>
    <col min="11" max="11" width="1.83203125" style="31" customWidth="1"/>
    <col min="12" max="16384" width="10.83203125" style="31"/>
  </cols>
  <sheetData>
    <row r="1" spans="1:14" customFormat="1">
      <c r="A1" s="29"/>
      <c r="B1" s="4"/>
      <c r="C1" s="4"/>
      <c r="D1" s="4"/>
      <c r="E1" s="32">
        <v>2020</v>
      </c>
      <c r="F1" s="60">
        <f>+E1+1</f>
        <v>2021</v>
      </c>
      <c r="G1" s="60">
        <f t="shared" ref="G1:J1" si="0">+F1+1</f>
        <v>2022</v>
      </c>
      <c r="H1" s="60">
        <f t="shared" si="0"/>
        <v>2023</v>
      </c>
      <c r="I1" s="60">
        <f t="shared" si="0"/>
        <v>2024</v>
      </c>
      <c r="J1" s="60">
        <f t="shared" si="0"/>
        <v>2025</v>
      </c>
      <c r="M1" s="118" t="s">
        <v>223</v>
      </c>
      <c r="N1" s="150" t="s">
        <v>227</v>
      </c>
    </row>
    <row r="2" spans="1:14" customFormat="1" ht="23">
      <c r="A2" s="29"/>
      <c r="B2" s="28" t="s">
        <v>73</v>
      </c>
      <c r="C2" s="8"/>
      <c r="D2" s="8"/>
      <c r="E2" s="8"/>
      <c r="F2" s="8"/>
      <c r="G2" s="8"/>
      <c r="H2" s="8"/>
      <c r="I2" s="8"/>
      <c r="J2" s="8"/>
    </row>
    <row r="3" spans="1:14" customFormat="1" ht="16">
      <c r="A3" s="29"/>
      <c r="B3" s="4"/>
      <c r="C3" s="4"/>
      <c r="D3" s="4"/>
      <c r="E3" s="4"/>
      <c r="F3" s="4"/>
      <c r="G3" s="4"/>
      <c r="H3" s="4"/>
      <c r="I3" s="4"/>
      <c r="J3" s="4"/>
    </row>
    <row r="4" spans="1:14" customFormat="1">
      <c r="A4" s="30" t="s">
        <v>75</v>
      </c>
      <c r="B4" s="36" t="s">
        <v>74</v>
      </c>
      <c r="C4" s="37"/>
      <c r="D4" s="37"/>
      <c r="E4" s="37"/>
      <c r="F4" s="37"/>
      <c r="G4" s="37"/>
      <c r="H4" s="37"/>
      <c r="I4" s="37"/>
      <c r="J4" s="37"/>
    </row>
    <row r="5" spans="1:14" customFormat="1">
      <c r="A5" s="30"/>
      <c r="B5" s="31"/>
      <c r="C5" s="31"/>
      <c r="D5" s="31"/>
      <c r="E5" s="31"/>
      <c r="F5" s="31"/>
      <c r="G5" s="31"/>
      <c r="H5" s="31"/>
      <c r="I5" s="31"/>
      <c r="J5" s="61"/>
    </row>
    <row r="6" spans="1:14" customFormat="1">
      <c r="A6" s="30"/>
      <c r="B6" s="39" t="s">
        <v>47</v>
      </c>
      <c r="C6" s="31"/>
      <c r="D6" s="31"/>
      <c r="E6" s="31"/>
      <c r="F6" s="39" t="s">
        <v>94</v>
      </c>
      <c r="G6" s="31"/>
      <c r="H6" s="31"/>
      <c r="I6" s="31"/>
      <c r="J6" s="31"/>
    </row>
    <row r="7" spans="1:14" customFormat="1">
      <c r="A7" s="30"/>
      <c r="B7" s="31" t="s">
        <v>82</v>
      </c>
      <c r="C7" s="31">
        <f>C19</f>
        <v>12</v>
      </c>
      <c r="D7" s="31"/>
      <c r="E7" s="31"/>
      <c r="F7" s="31" t="s">
        <v>83</v>
      </c>
      <c r="G7" s="77">
        <v>350</v>
      </c>
      <c r="H7" s="31"/>
      <c r="I7" s="31"/>
      <c r="J7" s="31"/>
    </row>
    <row r="8" spans="1:14" customFormat="1">
      <c r="A8" s="30"/>
      <c r="B8" s="35" t="s">
        <v>83</v>
      </c>
      <c r="C8" s="40">
        <f>G11</f>
        <v>353.33333333333331</v>
      </c>
      <c r="D8" s="31"/>
      <c r="E8" s="31"/>
      <c r="F8" s="31" t="s">
        <v>97</v>
      </c>
      <c r="G8" s="31">
        <f>I17</f>
        <v>15</v>
      </c>
      <c r="H8" s="31"/>
      <c r="I8" s="31"/>
      <c r="J8" s="31"/>
    </row>
    <row r="9" spans="1:14" customFormat="1">
      <c r="A9" s="30"/>
      <c r="B9" s="33" t="s">
        <v>84</v>
      </c>
      <c r="C9" s="33">
        <f>PRODUCT(C7:C8)</f>
        <v>4240</v>
      </c>
      <c r="D9" s="31"/>
      <c r="E9" s="31"/>
      <c r="F9" s="31" t="s">
        <v>99</v>
      </c>
      <c r="G9" s="41">
        <f>J17/C19</f>
        <v>11.666666666666666</v>
      </c>
      <c r="H9" s="31"/>
      <c r="I9" s="31"/>
      <c r="J9" s="31"/>
    </row>
    <row r="10" spans="1:14" customFormat="1">
      <c r="A10" s="30"/>
      <c r="B10" s="31" t="s">
        <v>85</v>
      </c>
      <c r="C10" s="62">
        <f>Instructions!D70</f>
        <v>300</v>
      </c>
      <c r="D10" s="31"/>
      <c r="E10" s="31"/>
      <c r="F10" s="35" t="s">
        <v>91</v>
      </c>
      <c r="G10" s="40">
        <f>G8-G9</f>
        <v>3.3333333333333339</v>
      </c>
      <c r="H10" s="31"/>
      <c r="I10" s="31"/>
      <c r="J10" s="31"/>
    </row>
    <row r="11" spans="1:14" customFormat="1">
      <c r="A11" s="30"/>
      <c r="B11" s="35" t="s">
        <v>86</v>
      </c>
      <c r="C11" s="63">
        <f>-Instructions!D57</f>
        <v>-285</v>
      </c>
      <c r="D11" s="31"/>
      <c r="E11" s="31"/>
      <c r="F11" s="33" t="s">
        <v>83</v>
      </c>
      <c r="G11" s="42">
        <f>G10+G7</f>
        <v>353.33333333333331</v>
      </c>
      <c r="H11" s="31"/>
      <c r="I11" s="31"/>
      <c r="J11" s="31"/>
    </row>
    <row r="12" spans="1:14" customFormat="1">
      <c r="A12" s="30"/>
      <c r="B12" s="33" t="s">
        <v>81</v>
      </c>
      <c r="C12" s="64">
        <f>SUM(C9:C11)</f>
        <v>4255</v>
      </c>
      <c r="D12" s="31"/>
      <c r="E12" s="31"/>
      <c r="F12" s="31"/>
      <c r="G12" s="31"/>
      <c r="H12" s="31"/>
      <c r="I12" s="31"/>
      <c r="J12" s="31"/>
    </row>
    <row r="13" spans="1:14" customFormat="1">
      <c r="A13" s="30"/>
      <c r="B13" s="35" t="s">
        <v>80</v>
      </c>
      <c r="C13" s="63">
        <f>Instructions!D27</f>
        <v>510</v>
      </c>
      <c r="D13" s="31"/>
      <c r="E13" s="31"/>
      <c r="F13" s="39" t="s">
        <v>95</v>
      </c>
      <c r="G13" s="43" t="s">
        <v>88</v>
      </c>
      <c r="H13" s="43" t="s">
        <v>89</v>
      </c>
      <c r="I13" s="43" t="s">
        <v>97</v>
      </c>
      <c r="J13" s="43" t="s">
        <v>90</v>
      </c>
    </row>
    <row r="14" spans="1:14" customFormat="1">
      <c r="A14" s="30"/>
      <c r="B14" s="33" t="s">
        <v>63</v>
      </c>
      <c r="C14" s="44">
        <f>C12/C13</f>
        <v>8.3431372549019613</v>
      </c>
      <c r="D14" s="31"/>
      <c r="E14" s="31"/>
      <c r="F14" s="78">
        <v>1</v>
      </c>
      <c r="G14" s="77">
        <v>10</v>
      </c>
      <c r="H14" s="77">
        <v>10</v>
      </c>
      <c r="I14" s="31">
        <f>IF(H14&lt;$C$19,G14,0)</f>
        <v>10</v>
      </c>
      <c r="J14" s="31">
        <f>I14*H14</f>
        <v>100</v>
      </c>
    </row>
    <row r="15" spans="1:14" customFormat="1">
      <c r="A15" s="30"/>
      <c r="B15" s="31"/>
      <c r="C15" s="31"/>
      <c r="D15" s="31"/>
      <c r="E15" s="31"/>
      <c r="F15" s="78">
        <v>2</v>
      </c>
      <c r="G15" s="77">
        <v>5</v>
      </c>
      <c r="H15" s="77">
        <v>8</v>
      </c>
      <c r="I15" s="31">
        <f t="shared" ref="I15:I16" si="1">IF(H15&lt;$C$19,G15,0)</f>
        <v>5</v>
      </c>
      <c r="J15" s="31">
        <f t="shared" ref="J15:J16" si="2">I15*H15</f>
        <v>40</v>
      </c>
    </row>
    <row r="16" spans="1:14" customFormat="1">
      <c r="A16" s="30"/>
      <c r="B16" s="39" t="s">
        <v>92</v>
      </c>
      <c r="C16" s="31"/>
      <c r="D16" s="31"/>
      <c r="E16" s="31"/>
      <c r="F16" s="78">
        <v>3</v>
      </c>
      <c r="G16" s="77">
        <v>5</v>
      </c>
      <c r="H16" s="77">
        <v>20</v>
      </c>
      <c r="I16" s="35">
        <f t="shared" si="1"/>
        <v>0</v>
      </c>
      <c r="J16" s="35">
        <f t="shared" si="2"/>
        <v>0</v>
      </c>
    </row>
    <row r="17" spans="1:10" customFormat="1">
      <c r="A17" s="30"/>
      <c r="B17" s="31" t="s">
        <v>82</v>
      </c>
      <c r="C17" s="77">
        <v>10</v>
      </c>
      <c r="D17" s="31"/>
      <c r="E17" s="31"/>
      <c r="F17" s="33" t="s">
        <v>98</v>
      </c>
      <c r="G17" s="31"/>
      <c r="H17" s="31"/>
      <c r="I17" s="33">
        <f>SUM(I14:I16)</f>
        <v>15</v>
      </c>
      <c r="J17" s="33">
        <f>SUM(J14:J16)</f>
        <v>140</v>
      </c>
    </row>
    <row r="18" spans="1:10" customFormat="1">
      <c r="A18" s="30"/>
      <c r="B18" s="35" t="s">
        <v>87</v>
      </c>
      <c r="C18" s="79">
        <v>0.2</v>
      </c>
      <c r="D18" s="31"/>
      <c r="E18" s="31"/>
      <c r="F18" s="31"/>
      <c r="G18" s="31"/>
      <c r="H18" s="31"/>
      <c r="I18" s="31"/>
      <c r="J18" s="38"/>
    </row>
    <row r="19" spans="1:10" customFormat="1">
      <c r="A19" s="30"/>
      <c r="B19" s="33" t="s">
        <v>93</v>
      </c>
      <c r="C19" s="33">
        <f>C17*(1+C18)</f>
        <v>12</v>
      </c>
      <c r="D19" s="31"/>
      <c r="E19" s="31"/>
      <c r="F19" s="31"/>
      <c r="G19" s="31"/>
      <c r="H19" s="31"/>
      <c r="I19" s="31"/>
      <c r="J19" s="38"/>
    </row>
    <row r="20" spans="1:10" customFormat="1">
      <c r="A20" s="30"/>
      <c r="B20" s="39"/>
      <c r="C20" s="33"/>
      <c r="D20" s="31"/>
      <c r="E20" s="31"/>
      <c r="F20" s="31"/>
      <c r="G20" s="31"/>
      <c r="H20" s="31"/>
      <c r="I20" s="31"/>
      <c r="J20" s="38"/>
    </row>
    <row r="21" spans="1:10" customFormat="1">
      <c r="A21" s="30"/>
      <c r="B21" s="39" t="s">
        <v>114</v>
      </c>
      <c r="C21" s="33"/>
      <c r="D21" s="31"/>
      <c r="E21" s="31"/>
      <c r="F21" s="31"/>
      <c r="G21" s="31"/>
      <c r="H21" s="31"/>
      <c r="I21" s="31"/>
      <c r="J21" s="38"/>
    </row>
    <row r="22" spans="1:10" customFormat="1">
      <c r="A22" s="30"/>
      <c r="B22" s="31" t="s">
        <v>48</v>
      </c>
      <c r="C22" s="77">
        <v>10</v>
      </c>
      <c r="D22" s="31"/>
      <c r="E22" s="31"/>
      <c r="F22" s="31"/>
      <c r="G22" s="31"/>
      <c r="H22" s="31"/>
      <c r="I22" s="31"/>
      <c r="J22" s="38"/>
    </row>
    <row r="23" spans="1:10" customFormat="1">
      <c r="A23" s="30"/>
      <c r="B23" s="31" t="s">
        <v>49</v>
      </c>
      <c r="C23" s="77">
        <v>10</v>
      </c>
      <c r="D23" s="31"/>
      <c r="E23" s="31"/>
      <c r="F23" s="31"/>
      <c r="G23" s="31"/>
      <c r="H23" s="31"/>
      <c r="I23" s="31"/>
      <c r="J23" s="38"/>
    </row>
    <row r="24" spans="1:10" customFormat="1">
      <c r="A24" s="30"/>
      <c r="B24" s="31" t="s">
        <v>50</v>
      </c>
      <c r="C24" s="77">
        <v>2</v>
      </c>
      <c r="D24" s="31"/>
      <c r="E24" s="31"/>
      <c r="F24" s="31"/>
      <c r="G24" s="31"/>
      <c r="H24" s="31"/>
      <c r="I24" s="31"/>
      <c r="J24" s="38"/>
    </row>
    <row r="25" spans="1:10" customFormat="1">
      <c r="A25" s="30"/>
      <c r="B25" s="31" t="s">
        <v>51</v>
      </c>
      <c r="C25" s="79">
        <v>0.05</v>
      </c>
      <c r="D25" s="31"/>
      <c r="E25" s="31"/>
      <c r="F25" s="31"/>
      <c r="G25" s="31"/>
      <c r="H25" s="31"/>
      <c r="I25" s="31"/>
      <c r="J25" s="38"/>
    </row>
    <row r="26" spans="1:10" customFormat="1">
      <c r="A26" s="30"/>
      <c r="B26" s="31" t="s">
        <v>52</v>
      </c>
      <c r="C26" s="79">
        <v>0.3</v>
      </c>
      <c r="D26" s="31"/>
      <c r="E26" s="31"/>
      <c r="F26" s="31"/>
      <c r="G26" s="31"/>
      <c r="H26" s="31"/>
      <c r="I26" s="31"/>
      <c r="J26" s="38"/>
    </row>
    <row r="27" spans="1:10" customFormat="1">
      <c r="A27" s="30"/>
      <c r="B27" s="33"/>
      <c r="C27" s="33"/>
      <c r="D27" s="31"/>
      <c r="E27" s="31"/>
      <c r="F27" s="31"/>
      <c r="G27" s="31"/>
      <c r="H27" s="31"/>
      <c r="I27" s="31"/>
      <c r="J27" s="38"/>
    </row>
    <row r="28" spans="1:10" customFormat="1">
      <c r="A28" s="30"/>
      <c r="B28" s="39" t="s">
        <v>62</v>
      </c>
      <c r="C28" s="33"/>
      <c r="D28" s="48" t="s">
        <v>63</v>
      </c>
      <c r="E28" s="48" t="s">
        <v>96</v>
      </c>
      <c r="F28" s="48" t="s">
        <v>100</v>
      </c>
      <c r="G28" s="48" t="s">
        <v>101</v>
      </c>
      <c r="H28" s="48" t="s">
        <v>102</v>
      </c>
      <c r="I28" s="48" t="s">
        <v>103</v>
      </c>
      <c r="J28" s="48" t="s">
        <v>107</v>
      </c>
    </row>
    <row r="29" spans="1:10" customFormat="1">
      <c r="A29" s="30"/>
      <c r="B29" s="31" t="s">
        <v>38</v>
      </c>
      <c r="C29" s="33"/>
      <c r="D29" s="77">
        <v>0</v>
      </c>
      <c r="E29" s="77">
        <v>0</v>
      </c>
      <c r="F29" s="82">
        <v>0.03</v>
      </c>
      <c r="G29" s="31"/>
      <c r="H29" s="31"/>
      <c r="I29" s="80">
        <v>2.5000000000000001E-3</v>
      </c>
      <c r="J29" s="38"/>
    </row>
    <row r="30" spans="1:10" customFormat="1">
      <c r="A30" s="30"/>
      <c r="B30" s="31" t="s">
        <v>104</v>
      </c>
      <c r="C30" s="33"/>
      <c r="D30" s="81">
        <v>1.5</v>
      </c>
      <c r="E30" s="31">
        <f>D30*Instructions!$D$27</f>
        <v>765</v>
      </c>
      <c r="F30" s="82">
        <v>0.03</v>
      </c>
      <c r="G30" s="79">
        <v>0.05</v>
      </c>
      <c r="H30" s="31">
        <f>G30*E30</f>
        <v>38.25</v>
      </c>
      <c r="I30" s="31"/>
      <c r="J30" s="38"/>
    </row>
    <row r="31" spans="1:10" customFormat="1">
      <c r="A31" s="30"/>
      <c r="B31" s="31" t="s">
        <v>105</v>
      </c>
      <c r="C31" s="33"/>
      <c r="D31" s="81">
        <v>1.5</v>
      </c>
      <c r="E31" s="31">
        <f>D31*Instructions!$D$27</f>
        <v>765</v>
      </c>
      <c r="F31" s="82">
        <v>2.5000000000000001E-2</v>
      </c>
      <c r="G31" s="79">
        <v>0.05</v>
      </c>
      <c r="H31" s="31">
        <f t="shared" ref="H31:H32" si="3">G31*E31</f>
        <v>38.25</v>
      </c>
      <c r="I31" s="31"/>
      <c r="J31" s="38"/>
    </row>
    <row r="32" spans="1:10" customFormat="1">
      <c r="A32" s="30"/>
      <c r="B32" s="35" t="s">
        <v>106</v>
      </c>
      <c r="C32" s="34"/>
      <c r="D32" s="81">
        <v>1</v>
      </c>
      <c r="E32" s="35">
        <f>D32*Instructions!$D$27</f>
        <v>510</v>
      </c>
      <c r="F32" s="80">
        <v>6.5000000000000002E-2</v>
      </c>
      <c r="G32" s="35"/>
      <c r="H32" s="35">
        <f t="shared" si="3"/>
        <v>0</v>
      </c>
      <c r="I32" s="35"/>
      <c r="J32" s="53">
        <f>12%-F32</f>
        <v>5.4999999999999993E-2</v>
      </c>
    </row>
    <row r="33" spans="1:10" customFormat="1">
      <c r="A33" s="30"/>
      <c r="B33" s="33" t="s">
        <v>120</v>
      </c>
      <c r="C33" s="33"/>
      <c r="D33" s="50"/>
      <c r="E33" s="33">
        <f>SUM(E29:E32)</f>
        <v>2040</v>
      </c>
      <c r="F33" s="49"/>
      <c r="G33" s="31"/>
      <c r="H33" s="33">
        <f>SUM(H30:H32)</f>
        <v>76.5</v>
      </c>
      <c r="I33" s="31"/>
      <c r="J33" s="54"/>
    </row>
    <row r="34" spans="1:10" customFormat="1">
      <c r="A34" s="30"/>
      <c r="B34" s="31"/>
      <c r="C34" s="33"/>
      <c r="D34" s="31"/>
      <c r="E34" s="31"/>
      <c r="F34" s="31"/>
      <c r="G34" s="31"/>
      <c r="H34" s="31"/>
      <c r="I34" s="31"/>
      <c r="J34" s="38"/>
    </row>
    <row r="35" spans="1:10" customFormat="1">
      <c r="A35" s="30"/>
      <c r="B35" s="39" t="s">
        <v>219</v>
      </c>
      <c r="C35" s="33"/>
      <c r="D35" s="31"/>
      <c r="E35" s="31"/>
      <c r="F35" s="31"/>
      <c r="G35" s="31"/>
      <c r="H35" s="31"/>
      <c r="I35" s="31"/>
      <c r="J35" s="38"/>
    </row>
    <row r="36" spans="1:10" customFormat="1">
      <c r="A36" s="30"/>
      <c r="B36" s="31" t="s">
        <v>220</v>
      </c>
      <c r="C36" s="33"/>
      <c r="D36" s="31"/>
      <c r="E36" s="31"/>
      <c r="F36" s="49">
        <v>1.4999999999999999E-2</v>
      </c>
      <c r="G36" s="49">
        <v>1.7000000000000001E-2</v>
      </c>
      <c r="H36" s="49">
        <v>1.9E-2</v>
      </c>
      <c r="I36" s="49">
        <v>2.1000000000000001E-2</v>
      </c>
      <c r="J36" s="54">
        <v>2.3E-2</v>
      </c>
    </row>
    <row r="37" spans="1:10" customFormat="1">
      <c r="A37" s="30"/>
      <c r="B37" s="35" t="s">
        <v>221</v>
      </c>
      <c r="C37" s="34"/>
      <c r="D37" s="35"/>
      <c r="E37" s="35"/>
      <c r="F37" s="52">
        <v>1.4999999999999999E-2</v>
      </c>
      <c r="G37" s="52">
        <v>1.4999999999999999E-2</v>
      </c>
      <c r="H37" s="52">
        <v>1.4999999999999999E-2</v>
      </c>
      <c r="I37" s="52">
        <v>1.4999999999999999E-2</v>
      </c>
      <c r="J37" s="52">
        <v>1.4999999999999999E-2</v>
      </c>
    </row>
    <row r="38" spans="1:10" customFormat="1">
      <c r="A38" s="30"/>
      <c r="B38" s="33" t="s">
        <v>222</v>
      </c>
      <c r="C38" s="33"/>
      <c r="D38" s="31"/>
      <c r="E38" s="31"/>
      <c r="F38" s="117">
        <f>MAX(F36:F37)</f>
        <v>1.4999999999999999E-2</v>
      </c>
      <c r="G38" s="117">
        <f t="shared" ref="G38:J38" si="4">MAX(G36:G37)</f>
        <v>1.7000000000000001E-2</v>
      </c>
      <c r="H38" s="117">
        <f t="shared" si="4"/>
        <v>1.9E-2</v>
      </c>
      <c r="I38" s="117">
        <f t="shared" si="4"/>
        <v>2.1000000000000001E-2</v>
      </c>
      <c r="J38" s="117">
        <f t="shared" si="4"/>
        <v>2.3E-2</v>
      </c>
    </row>
    <row r="39" spans="1:10" customFormat="1">
      <c r="A39" s="30"/>
      <c r="B39" s="31"/>
      <c r="C39" s="33"/>
      <c r="D39" s="31"/>
      <c r="E39" s="31"/>
      <c r="F39" s="31"/>
      <c r="G39" s="31"/>
      <c r="H39" s="31"/>
      <c r="I39" s="31"/>
      <c r="J39" s="38"/>
    </row>
    <row r="40" spans="1:10" customFormat="1">
      <c r="A40" s="30"/>
      <c r="B40" s="39" t="s">
        <v>108</v>
      </c>
      <c r="C40" s="33"/>
      <c r="D40" s="48" t="s">
        <v>109</v>
      </c>
      <c r="E40" s="48" t="s">
        <v>110</v>
      </c>
      <c r="F40" s="48" t="s">
        <v>111</v>
      </c>
      <c r="G40" s="48" t="s">
        <v>112</v>
      </c>
      <c r="H40" s="31"/>
      <c r="I40" s="31"/>
      <c r="J40" s="38"/>
    </row>
    <row r="41" spans="1:10" customFormat="1">
      <c r="A41" s="30"/>
      <c r="B41" s="31" t="str">
        <f>B29</f>
        <v>Revolver</v>
      </c>
      <c r="C41" s="33"/>
      <c r="D41" s="47"/>
      <c r="E41" s="31"/>
      <c r="F41" s="31"/>
      <c r="G41" s="31"/>
      <c r="H41" s="31"/>
      <c r="I41" s="31"/>
      <c r="J41" s="38"/>
    </row>
    <row r="42" spans="1:10" customFormat="1">
      <c r="A42" s="30"/>
      <c r="B42" s="31" t="str">
        <f>B30</f>
        <v>TLA</v>
      </c>
      <c r="C42" s="33"/>
      <c r="D42" s="79">
        <v>0.02</v>
      </c>
      <c r="E42" s="31">
        <f>D42*E30</f>
        <v>15.3</v>
      </c>
      <c r="F42" s="83">
        <v>7</v>
      </c>
      <c r="G42" s="91">
        <f>E42/F42</f>
        <v>2.1857142857142859</v>
      </c>
      <c r="H42" s="31"/>
      <c r="I42" s="31"/>
      <c r="J42" s="38"/>
    </row>
    <row r="43" spans="1:10" customFormat="1">
      <c r="A43" s="30"/>
      <c r="B43" s="31" t="str">
        <f>B31</f>
        <v>TLB</v>
      </c>
      <c r="C43" s="33"/>
      <c r="D43" s="79">
        <v>0.02</v>
      </c>
      <c r="E43" s="31">
        <f>D43*E31</f>
        <v>15.3</v>
      </c>
      <c r="F43" s="83">
        <v>7</v>
      </c>
      <c r="G43" s="91">
        <f t="shared" ref="G43:G44" si="5">E43/F43</f>
        <v>2.1857142857142859</v>
      </c>
      <c r="H43" s="31"/>
      <c r="I43" s="31"/>
      <c r="J43" s="38"/>
    </row>
    <row r="44" spans="1:10" customFormat="1">
      <c r="A44" s="30"/>
      <c r="B44" s="35" t="str">
        <f>B32</f>
        <v>Senior notes</v>
      </c>
      <c r="C44" s="34"/>
      <c r="D44" s="79">
        <v>0.02</v>
      </c>
      <c r="E44" s="35">
        <f>D44*E32</f>
        <v>10.200000000000001</v>
      </c>
      <c r="F44" s="83">
        <v>7</v>
      </c>
      <c r="G44" s="92">
        <f t="shared" si="5"/>
        <v>1.4571428571428573</v>
      </c>
      <c r="H44" s="31"/>
      <c r="I44" s="31"/>
      <c r="J44" s="38"/>
    </row>
    <row r="45" spans="1:10" customFormat="1">
      <c r="A45" s="30"/>
      <c r="B45" s="33" t="s">
        <v>113</v>
      </c>
      <c r="C45" s="33"/>
      <c r="D45" s="31"/>
      <c r="E45" s="33">
        <f>SUM(E41:E44)</f>
        <v>40.800000000000004</v>
      </c>
      <c r="F45" s="33"/>
      <c r="G45" s="33">
        <f>SUM(G41:G44)</f>
        <v>5.8285714285714292</v>
      </c>
      <c r="H45" s="31"/>
      <c r="I45" s="31"/>
      <c r="J45" s="38"/>
    </row>
    <row r="46" spans="1:10" customFormat="1">
      <c r="A46" s="30"/>
      <c r="B46" s="33"/>
      <c r="C46" s="33"/>
      <c r="D46" s="31"/>
      <c r="E46" s="33"/>
      <c r="F46" s="33"/>
      <c r="G46" s="33"/>
      <c r="H46" s="31"/>
      <c r="I46" s="31"/>
      <c r="J46" s="38"/>
    </row>
    <row r="47" spans="1:10" customFormat="1">
      <c r="A47" s="30"/>
      <c r="B47" s="39" t="s">
        <v>115</v>
      </c>
      <c r="C47" s="33"/>
      <c r="D47" s="31"/>
      <c r="E47" s="33"/>
      <c r="F47" s="33"/>
      <c r="G47" s="33"/>
      <c r="H47" s="31"/>
      <c r="I47" s="31"/>
      <c r="J47" s="38"/>
    </row>
    <row r="48" spans="1:10" customFormat="1">
      <c r="A48" s="30"/>
      <c r="B48" s="31" t="s">
        <v>116</v>
      </c>
      <c r="C48" s="79">
        <v>0.1</v>
      </c>
      <c r="D48" s="31"/>
      <c r="E48" s="33"/>
      <c r="F48" s="33"/>
      <c r="G48" s="33"/>
      <c r="H48" s="31"/>
      <c r="I48" s="31"/>
      <c r="J48" s="38"/>
    </row>
    <row r="49" spans="1:10" customFormat="1">
      <c r="A49" s="30"/>
      <c r="B49" s="31" t="s">
        <v>117</v>
      </c>
      <c r="C49" s="83">
        <v>10</v>
      </c>
      <c r="D49" s="31"/>
      <c r="E49" s="33"/>
      <c r="F49" s="33"/>
      <c r="G49" s="33"/>
      <c r="H49" s="31"/>
      <c r="I49" s="31"/>
      <c r="J49" s="38"/>
    </row>
    <row r="50" spans="1:10" customFormat="1">
      <c r="A50" s="30"/>
      <c r="B50" s="31" t="s">
        <v>118</v>
      </c>
      <c r="C50" s="79">
        <v>0.1</v>
      </c>
      <c r="D50" s="31"/>
      <c r="E50" s="31"/>
      <c r="F50" s="31"/>
      <c r="G50" s="31"/>
      <c r="H50" s="31"/>
      <c r="I50" s="31"/>
      <c r="J50" s="38"/>
    </row>
    <row r="51" spans="1:10" customFormat="1">
      <c r="A51" s="30"/>
      <c r="B51" s="31" t="s">
        <v>119</v>
      </c>
      <c r="C51" s="83">
        <v>8</v>
      </c>
      <c r="D51" s="31"/>
      <c r="E51" s="31"/>
      <c r="F51" s="31"/>
      <c r="G51" s="31"/>
      <c r="H51" s="31"/>
      <c r="I51" s="31"/>
      <c r="J51" s="38"/>
    </row>
    <row r="52" spans="1:10" customFormat="1">
      <c r="A52" s="30"/>
      <c r="B52" s="31"/>
      <c r="C52" s="31"/>
      <c r="D52" s="31"/>
      <c r="E52" s="31"/>
      <c r="F52" s="31"/>
      <c r="G52" s="31"/>
      <c r="H52" s="31"/>
      <c r="I52" s="31"/>
      <c r="J52" s="38"/>
    </row>
    <row r="53" spans="1:10" customFormat="1">
      <c r="A53" s="30"/>
      <c r="B53" s="33" t="s">
        <v>258</v>
      </c>
      <c r="C53" s="81">
        <v>8.5</v>
      </c>
      <c r="D53" s="31"/>
      <c r="E53" s="31"/>
      <c r="F53" s="31"/>
      <c r="G53" s="31"/>
      <c r="H53" s="31"/>
      <c r="I53" s="31"/>
      <c r="J53" s="38"/>
    </row>
    <row r="54" spans="1:10" customFormat="1">
      <c r="A54" s="30"/>
      <c r="B54" s="31"/>
      <c r="C54" s="31"/>
      <c r="D54" s="31"/>
      <c r="E54" s="31"/>
      <c r="F54" s="31"/>
      <c r="G54" s="31"/>
      <c r="H54" s="31"/>
      <c r="I54" s="31"/>
      <c r="J54" s="38"/>
    </row>
    <row r="55" spans="1:10" customFormat="1">
      <c r="A55" s="30" t="s">
        <v>75</v>
      </c>
      <c r="B55" s="36" t="s">
        <v>76</v>
      </c>
      <c r="C55" s="37"/>
      <c r="D55" s="37"/>
      <c r="E55" s="37"/>
      <c r="F55" s="37"/>
      <c r="G55" s="37"/>
      <c r="H55" s="37"/>
      <c r="I55" s="37"/>
      <c r="J55" s="37"/>
    </row>
    <row r="56" spans="1:10" customFormat="1">
      <c r="A56" s="30"/>
      <c r="B56" s="31"/>
      <c r="C56" s="31"/>
      <c r="D56" s="31"/>
      <c r="E56" s="31"/>
      <c r="F56" s="31"/>
      <c r="G56" s="31"/>
      <c r="H56" s="31"/>
      <c r="I56" s="31"/>
      <c r="J56" s="61"/>
    </row>
    <row r="57" spans="1:10" customFormat="1">
      <c r="A57" s="30"/>
      <c r="B57" s="39" t="s">
        <v>121</v>
      </c>
      <c r="C57" s="48" t="s">
        <v>63</v>
      </c>
      <c r="D57" s="48" t="s">
        <v>96</v>
      </c>
      <c r="E57" s="31"/>
      <c r="F57" s="31"/>
      <c r="G57" s="4"/>
      <c r="H57" s="39" t="s">
        <v>123</v>
      </c>
      <c r="I57" s="48" t="s">
        <v>63</v>
      </c>
      <c r="J57" s="48" t="s">
        <v>96</v>
      </c>
    </row>
    <row r="58" spans="1:10" customFormat="1">
      <c r="A58" s="30"/>
      <c r="B58" s="31" t="s">
        <v>38</v>
      </c>
      <c r="C58" s="55">
        <f>D58/Instructions!$D$27</f>
        <v>0</v>
      </c>
      <c r="D58" s="56">
        <f>E29</f>
        <v>0</v>
      </c>
      <c r="E58" s="31"/>
      <c r="F58" s="31"/>
      <c r="G58" s="4"/>
      <c r="H58" s="31" t="s">
        <v>125</v>
      </c>
      <c r="I58" s="55">
        <f>J58/Instructions!$D$27</f>
        <v>8.3137254901960791</v>
      </c>
      <c r="J58" s="56">
        <f>C9</f>
        <v>4240</v>
      </c>
    </row>
    <row r="59" spans="1:10" customFormat="1">
      <c r="A59" s="30"/>
      <c r="B59" s="31" t="str">
        <f>B42</f>
        <v>TLA</v>
      </c>
      <c r="C59" s="55">
        <f>D59/Instructions!$D$27</f>
        <v>1.5</v>
      </c>
      <c r="D59" s="56">
        <f>E30</f>
        <v>765</v>
      </c>
      <c r="E59" s="31"/>
      <c r="F59" s="31"/>
      <c r="G59" s="4"/>
      <c r="H59" s="31" t="s">
        <v>49</v>
      </c>
      <c r="I59" s="55">
        <f>J59/Instructions!$D$27</f>
        <v>1.9607843137254902E-2</v>
      </c>
      <c r="J59" s="56">
        <f>C23</f>
        <v>10</v>
      </c>
    </row>
    <row r="60" spans="1:10" customFormat="1">
      <c r="A60" s="30"/>
      <c r="B60" s="31" t="str">
        <f>B43</f>
        <v>TLB</v>
      </c>
      <c r="C60" s="55">
        <f>D60/Instructions!$D$27</f>
        <v>1.5</v>
      </c>
      <c r="D60" s="56">
        <f>E31</f>
        <v>765</v>
      </c>
      <c r="E60" s="31"/>
      <c r="F60" s="31"/>
      <c r="G60" s="4"/>
      <c r="H60" s="31" t="s">
        <v>50</v>
      </c>
      <c r="I60" s="55">
        <f>J60/Instructions!$D$27</f>
        <v>3.9215686274509803E-3</v>
      </c>
      <c r="J60" s="31">
        <f>C24</f>
        <v>2</v>
      </c>
    </row>
    <row r="61" spans="1:10" customFormat="1">
      <c r="A61" s="30"/>
      <c r="B61" s="35" t="str">
        <f>B44</f>
        <v>Senior notes</v>
      </c>
      <c r="C61" s="57">
        <f>D61/Instructions!$D$27</f>
        <v>1</v>
      </c>
      <c r="D61" s="58">
        <f>E32</f>
        <v>510</v>
      </c>
      <c r="E61" s="31"/>
      <c r="F61" s="31"/>
      <c r="G61" s="4"/>
      <c r="H61" s="31" t="s">
        <v>108</v>
      </c>
      <c r="I61" s="55">
        <f>J61/Instructions!$D$27</f>
        <v>0.08</v>
      </c>
      <c r="J61" s="56">
        <f>E45</f>
        <v>40.800000000000004</v>
      </c>
    </row>
    <row r="62" spans="1:10" customFormat="1">
      <c r="A62" s="30"/>
      <c r="B62" s="33" t="s">
        <v>127</v>
      </c>
      <c r="C62" s="31"/>
      <c r="D62" s="33">
        <f>SUM(D58:D61)</f>
        <v>2040</v>
      </c>
      <c r="E62" s="31"/>
      <c r="F62" s="31"/>
      <c r="G62" s="4"/>
      <c r="H62" s="31" t="s">
        <v>48</v>
      </c>
      <c r="I62" s="55">
        <f>J62/Instructions!$D$27</f>
        <v>1.9607843137254902E-2</v>
      </c>
      <c r="J62" s="56">
        <f>C22</f>
        <v>10</v>
      </c>
    </row>
    <row r="63" spans="1:10" customFormat="1">
      <c r="A63" s="30"/>
      <c r="B63" s="31"/>
      <c r="C63" s="31"/>
      <c r="D63" s="31"/>
      <c r="E63" s="31"/>
      <c r="F63" s="31"/>
      <c r="G63" s="4"/>
      <c r="H63" s="31" t="s">
        <v>126</v>
      </c>
      <c r="I63" s="55">
        <f>J63/Instructions!$D$27</f>
        <v>2.9411764705882353E-2</v>
      </c>
      <c r="J63" s="31">
        <f>Instructions!D70-Instructions!D57</f>
        <v>15</v>
      </c>
    </row>
    <row r="64" spans="1:10" customFormat="1">
      <c r="A64" s="30"/>
      <c r="B64" s="31" t="s">
        <v>128</v>
      </c>
      <c r="C64" s="55">
        <f>D64/Instructions!$D$27</f>
        <v>0.89325490196078439</v>
      </c>
      <c r="D64" s="62">
        <f>C18*D66</f>
        <v>455.56000000000006</v>
      </c>
      <c r="E64" s="31"/>
      <c r="F64" s="31"/>
      <c r="G64" s="4"/>
      <c r="H64" s="31"/>
      <c r="I64" s="31"/>
      <c r="J64" s="31"/>
    </row>
    <row r="65" spans="1:10" customFormat="1">
      <c r="A65" s="30"/>
      <c r="B65" s="35" t="s">
        <v>129</v>
      </c>
      <c r="C65" s="57">
        <f>D65/Instructions!$D$27</f>
        <v>3.5730196078431375</v>
      </c>
      <c r="D65" s="63">
        <f>D66-D64</f>
        <v>1822.2400000000002</v>
      </c>
      <c r="E65" s="31"/>
      <c r="F65" s="31"/>
      <c r="G65" s="4"/>
      <c r="H65" s="31"/>
      <c r="I65" s="31"/>
      <c r="J65" s="31"/>
    </row>
    <row r="66" spans="1:10" customFormat="1">
      <c r="A66" s="30"/>
      <c r="B66" s="33" t="s">
        <v>130</v>
      </c>
      <c r="C66" s="31"/>
      <c r="D66" s="66">
        <f>D68-D62</f>
        <v>2277.8000000000002</v>
      </c>
      <c r="E66" s="31"/>
      <c r="F66" s="31"/>
      <c r="G66" s="4"/>
      <c r="H66" s="31"/>
      <c r="I66" s="31"/>
      <c r="J66" s="31"/>
    </row>
    <row r="67" spans="1:10" customFormat="1">
      <c r="A67" s="30"/>
      <c r="B67" s="31"/>
      <c r="C67" s="31"/>
      <c r="D67" s="31"/>
      <c r="E67" s="31"/>
      <c r="F67" s="31"/>
      <c r="G67" s="4"/>
      <c r="H67" s="31"/>
      <c r="I67" s="31"/>
      <c r="J67" s="31"/>
    </row>
    <row r="68" spans="1:10" customFormat="1" ht="19" thickBot="1">
      <c r="A68" s="30"/>
      <c r="B68" s="59" t="s">
        <v>122</v>
      </c>
      <c r="C68" s="59"/>
      <c r="D68" s="59">
        <f>J68</f>
        <v>4317.8</v>
      </c>
      <c r="E68" s="31"/>
      <c r="F68" s="31"/>
      <c r="G68" s="4"/>
      <c r="H68" s="59" t="s">
        <v>124</v>
      </c>
      <c r="I68" s="59"/>
      <c r="J68" s="59">
        <f>SUM(J58:J63)</f>
        <v>4317.8</v>
      </c>
    </row>
    <row r="69" spans="1:10" customFormat="1" ht="19" thickTop="1">
      <c r="A69" s="30"/>
      <c r="B69" s="31"/>
      <c r="C69" s="31"/>
      <c r="D69" s="31"/>
      <c r="E69" s="31"/>
      <c r="F69" s="31"/>
      <c r="G69" s="31"/>
      <c r="H69" s="31"/>
      <c r="I69" s="31"/>
      <c r="J69" s="38"/>
    </row>
    <row r="70" spans="1:10" customFormat="1">
      <c r="A70" s="30" t="s">
        <v>75</v>
      </c>
      <c r="B70" s="36" t="s">
        <v>132</v>
      </c>
      <c r="C70" s="37"/>
      <c r="D70" s="37"/>
      <c r="E70" s="37"/>
      <c r="F70" s="37"/>
      <c r="G70" s="37"/>
      <c r="H70" s="37"/>
      <c r="I70" s="37"/>
      <c r="J70" s="37"/>
    </row>
    <row r="71" spans="1:10" customFormat="1">
      <c r="A71" s="30"/>
      <c r="B71" s="31"/>
      <c r="C71" s="31"/>
      <c r="D71" s="31"/>
      <c r="E71" s="31"/>
      <c r="F71" s="31"/>
      <c r="G71" s="31"/>
      <c r="H71" s="31"/>
      <c r="I71" s="31"/>
      <c r="J71" s="61"/>
    </row>
    <row r="72" spans="1:10" customFormat="1">
      <c r="A72" s="30"/>
      <c r="B72" s="33" t="s">
        <v>84</v>
      </c>
      <c r="C72" s="31"/>
      <c r="D72" s="62">
        <f>C9</f>
        <v>4240</v>
      </c>
      <c r="E72" s="31"/>
      <c r="F72" s="39" t="s">
        <v>140</v>
      </c>
      <c r="G72" s="31"/>
      <c r="H72" s="4"/>
      <c r="I72" s="39" t="s">
        <v>145</v>
      </c>
      <c r="J72" s="38"/>
    </row>
    <row r="73" spans="1:10" customFormat="1">
      <c r="A73" s="30"/>
      <c r="B73" s="31" t="s">
        <v>133</v>
      </c>
      <c r="C73" s="31"/>
      <c r="D73" s="62">
        <f>-Instructions!D73</f>
        <v>-1200</v>
      </c>
      <c r="E73" s="31"/>
      <c r="F73" s="31" t="s">
        <v>141</v>
      </c>
      <c r="G73" s="62">
        <f>-D76</f>
        <v>75</v>
      </c>
      <c r="H73" s="4"/>
      <c r="I73" s="31" t="s">
        <v>141</v>
      </c>
      <c r="J73" s="62">
        <f>D77*-1</f>
        <v>334</v>
      </c>
    </row>
    <row r="74" spans="1:10" customFormat="1">
      <c r="A74" s="30"/>
      <c r="B74" s="35" t="s">
        <v>134</v>
      </c>
      <c r="C74" s="35"/>
      <c r="D74" s="63">
        <f>Instructions!D62</f>
        <v>300</v>
      </c>
      <c r="E74" s="31"/>
      <c r="F74" s="31" t="s">
        <v>142</v>
      </c>
      <c r="G74" s="62">
        <f>G73/C49</f>
        <v>7.5</v>
      </c>
      <c r="H74" s="4"/>
      <c r="I74" s="31" t="s">
        <v>142</v>
      </c>
      <c r="J74" s="62">
        <f>J73/C51</f>
        <v>41.75</v>
      </c>
    </row>
    <row r="75" spans="1:10" customFormat="1">
      <c r="A75" s="30"/>
      <c r="B75" s="33" t="s">
        <v>135</v>
      </c>
      <c r="C75" s="31"/>
      <c r="D75" s="64">
        <f>SUM(D72:D74)</f>
        <v>3340</v>
      </c>
      <c r="E75" s="31"/>
      <c r="F75" s="31" t="s">
        <v>143</v>
      </c>
      <c r="G75" s="62">
        <f>G73*Instructions!D54</f>
        <v>18.75</v>
      </c>
      <c r="H75" s="4"/>
      <c r="I75" s="31" t="s">
        <v>143</v>
      </c>
      <c r="J75" s="62">
        <f>J73*Instructions!D54</f>
        <v>83.5</v>
      </c>
    </row>
    <row r="76" spans="1:10" customFormat="1">
      <c r="B76" s="67" t="s">
        <v>136</v>
      </c>
      <c r="D76" s="62">
        <f>-C48*Instructions!D61</f>
        <v>-75</v>
      </c>
      <c r="F76" s="31" t="s">
        <v>144</v>
      </c>
      <c r="G76" s="62">
        <f>G75/C49</f>
        <v>1.875</v>
      </c>
      <c r="H76" s="4"/>
      <c r="I76" s="31" t="s">
        <v>144</v>
      </c>
      <c r="J76" s="62">
        <f>J75/C51</f>
        <v>10.4375</v>
      </c>
    </row>
    <row r="77" spans="1:10" customFormat="1">
      <c r="B77" s="67" t="s">
        <v>137</v>
      </c>
      <c r="D77" s="62">
        <f>-C50*D75</f>
        <v>-334</v>
      </c>
    </row>
    <row r="78" spans="1:10" customFormat="1">
      <c r="B78" s="68" t="s">
        <v>138</v>
      </c>
      <c r="C78" s="27"/>
      <c r="D78" s="63">
        <f>G75+J75</f>
        <v>102.25</v>
      </c>
    </row>
    <row r="79" spans="1:10" customFormat="1">
      <c r="B79" s="69" t="s">
        <v>139</v>
      </c>
      <c r="D79" s="64">
        <f>SUM(D75:D78)</f>
        <v>3033.25</v>
      </c>
    </row>
    <row r="80" spans="1:10" s="4" customFormat="1" ht="16"/>
    <row r="81" spans="1:15" customFormat="1">
      <c r="A81" s="30" t="s">
        <v>75</v>
      </c>
      <c r="B81" s="36" t="s">
        <v>79</v>
      </c>
      <c r="C81" s="37"/>
      <c r="D81" s="37"/>
      <c r="E81" s="37"/>
      <c r="F81" s="37"/>
      <c r="G81" s="37"/>
      <c r="H81" s="37"/>
      <c r="I81" s="37"/>
      <c r="J81" s="37"/>
      <c r="L81" s="70" t="s">
        <v>146</v>
      </c>
      <c r="M81" s="71" t="s">
        <v>147</v>
      </c>
      <c r="N81" s="71" t="s">
        <v>148</v>
      </c>
      <c r="O81" s="70" t="s">
        <v>149</v>
      </c>
    </row>
    <row r="82" spans="1:15" s="4" customFormat="1" ht="16"/>
    <row r="83" spans="1:15">
      <c r="B83" s="31" t="str">
        <f>Instructions!B57</f>
        <v>Cash</v>
      </c>
      <c r="E83" s="62">
        <f>O83</f>
        <v>10</v>
      </c>
      <c r="F83" s="62">
        <f ca="1">F233</f>
        <v>10</v>
      </c>
      <c r="G83" s="62">
        <f t="shared" ref="G83:J83" ca="1" si="6">G233</f>
        <v>10</v>
      </c>
      <c r="H83" s="62">
        <f t="shared" ca="1" si="6"/>
        <v>10</v>
      </c>
      <c r="I83" s="62">
        <f t="shared" ca="1" si="6"/>
        <v>10</v>
      </c>
      <c r="J83" s="62">
        <f t="shared" ca="1" si="6"/>
        <v>10</v>
      </c>
      <c r="L83" s="62">
        <f>Instructions!D57</f>
        <v>285</v>
      </c>
      <c r="M83" s="62">
        <f>C22</f>
        <v>10</v>
      </c>
      <c r="N83" s="62">
        <f>-L83</f>
        <v>-285</v>
      </c>
      <c r="O83" s="62">
        <f>SUM(L83:N83)</f>
        <v>10</v>
      </c>
    </row>
    <row r="84" spans="1:15">
      <c r="B84" s="31" t="str">
        <f>Instructions!B58</f>
        <v>Accounts Receivable</v>
      </c>
      <c r="E84" s="62">
        <f>O84</f>
        <v>440</v>
      </c>
      <c r="F84" s="139">
        <f>F110</f>
        <v>619.66666666666674</v>
      </c>
      <c r="G84" s="139">
        <f t="shared" ref="G84:J84" si="7">G110</f>
        <v>817.30000000000018</v>
      </c>
      <c r="H84" s="139">
        <f t="shared" si="7"/>
        <v>1034.6966666666669</v>
      </c>
      <c r="I84" s="139">
        <f t="shared" si="7"/>
        <v>1273.8330000000005</v>
      </c>
      <c r="J84" s="139">
        <f t="shared" si="7"/>
        <v>1536.8829666666672</v>
      </c>
      <c r="L84" s="62">
        <f>Instructions!D58</f>
        <v>440</v>
      </c>
      <c r="M84" s="62"/>
      <c r="N84" s="62"/>
      <c r="O84" s="62">
        <f t="shared" ref="O84:O89" si="8">SUM(L84:N84)</f>
        <v>440</v>
      </c>
    </row>
    <row r="85" spans="1:15">
      <c r="B85" s="31" t="str">
        <f>Instructions!B59</f>
        <v>Inventory</v>
      </c>
      <c r="E85" s="62">
        <f>O85</f>
        <v>400</v>
      </c>
      <c r="F85" s="139">
        <f>F111</f>
        <v>563.33333333333337</v>
      </c>
      <c r="G85" s="139">
        <f t="shared" ref="F85:J85" si="9">G111</f>
        <v>743.00000000000011</v>
      </c>
      <c r="H85" s="139">
        <f t="shared" si="9"/>
        <v>940.63333333333344</v>
      </c>
      <c r="I85" s="139">
        <f t="shared" si="9"/>
        <v>1158.0300000000002</v>
      </c>
      <c r="J85" s="139">
        <f t="shared" si="9"/>
        <v>1397.1663333333333</v>
      </c>
      <c r="L85" s="62">
        <f>Instructions!D59</f>
        <v>400</v>
      </c>
      <c r="M85" s="62"/>
      <c r="N85" s="62"/>
      <c r="O85" s="62">
        <f t="shared" si="8"/>
        <v>400</v>
      </c>
    </row>
    <row r="86" spans="1:15">
      <c r="B86" s="31" t="str">
        <f>Instructions!B60</f>
        <v>Prepaid Expenses</v>
      </c>
      <c r="E86" s="62">
        <f>O86</f>
        <v>25</v>
      </c>
      <c r="F86" s="139">
        <f>F112</f>
        <v>35.208333333333336</v>
      </c>
      <c r="G86" s="139">
        <f t="shared" ref="F86:J86" si="10">G112</f>
        <v>46.437500000000007</v>
      </c>
      <c r="H86" s="139">
        <f t="shared" si="10"/>
        <v>58.78958333333334</v>
      </c>
      <c r="I86" s="139">
        <f t="shared" si="10"/>
        <v>72.376875000000013</v>
      </c>
      <c r="J86" s="139">
        <f t="shared" si="10"/>
        <v>87.322895833333334</v>
      </c>
      <c r="L86" s="62">
        <f>Instructions!D60</f>
        <v>25</v>
      </c>
      <c r="M86" s="62"/>
      <c r="N86" s="62"/>
      <c r="O86" s="62">
        <f t="shared" si="8"/>
        <v>25</v>
      </c>
    </row>
    <row r="87" spans="1:15">
      <c r="B87" s="31" t="str">
        <f>Instructions!B61</f>
        <v>PP&amp;E</v>
      </c>
      <c r="E87" s="62">
        <f t="shared" ref="E84:E89" si="11">O87</f>
        <v>825</v>
      </c>
      <c r="F87" s="62">
        <f>E87-F208-F197-F198</f>
        <v>851.875</v>
      </c>
      <c r="G87" s="62">
        <f>F87-G208-G197-G198</f>
        <v>882.1875</v>
      </c>
      <c r="H87" s="62">
        <f>G87-H208-H197-H198</f>
        <v>916.28125</v>
      </c>
      <c r="I87" s="62">
        <f>H87-I208-I197-I198</f>
        <v>954.53437500000007</v>
      </c>
      <c r="J87" s="62">
        <f>I87-J208-J197-J198</f>
        <v>997.36281250000025</v>
      </c>
      <c r="L87" s="62">
        <f>Instructions!D61</f>
        <v>750</v>
      </c>
      <c r="M87" s="62">
        <f>G73</f>
        <v>75</v>
      </c>
      <c r="N87" s="62"/>
      <c r="O87" s="62">
        <f t="shared" si="8"/>
        <v>825</v>
      </c>
    </row>
    <row r="88" spans="1:15">
      <c r="B88" s="31" t="str">
        <f>Instructions!B62</f>
        <v>Goodwill</v>
      </c>
      <c r="E88" s="62">
        <f t="shared" si="11"/>
        <v>3033.25</v>
      </c>
      <c r="F88" s="62">
        <f>E88-F206</f>
        <v>3313.75</v>
      </c>
      <c r="G88" s="62">
        <f>F88-G206</f>
        <v>3313.75</v>
      </c>
      <c r="H88" s="62">
        <f>G88-H206</f>
        <v>3313.75</v>
      </c>
      <c r="I88" s="62">
        <f>H88-I206</f>
        <v>3313.75</v>
      </c>
      <c r="J88" s="62">
        <f>I88-J206</f>
        <v>3313.75</v>
      </c>
      <c r="L88" s="62">
        <f>Instructions!D62</f>
        <v>300</v>
      </c>
      <c r="M88" s="62">
        <f>D79</f>
        <v>3033.25</v>
      </c>
      <c r="N88" s="62">
        <f>-L88</f>
        <v>-300</v>
      </c>
      <c r="O88" s="62">
        <f t="shared" si="8"/>
        <v>3033.25</v>
      </c>
    </row>
    <row r="89" spans="1:15">
      <c r="B89" s="35" t="str">
        <f>Instructions!B63</f>
        <v>Intangible Assets</v>
      </c>
      <c r="C89" s="35"/>
      <c r="D89" s="35"/>
      <c r="E89" s="63">
        <f t="shared" si="11"/>
        <v>334</v>
      </c>
      <c r="F89" s="63">
        <f>E89-F199</f>
        <v>292.25</v>
      </c>
      <c r="G89" s="63">
        <f>F89-G199</f>
        <v>250.5</v>
      </c>
      <c r="H89" s="63">
        <f>G89-H199</f>
        <v>208.75</v>
      </c>
      <c r="I89" s="63">
        <f>H89-I199</f>
        <v>167</v>
      </c>
      <c r="J89" s="63">
        <f>I89-J199</f>
        <v>125.25</v>
      </c>
      <c r="L89" s="63">
        <f>Instructions!D63</f>
        <v>0</v>
      </c>
      <c r="M89" s="63">
        <f>J73</f>
        <v>334</v>
      </c>
      <c r="N89" s="63"/>
      <c r="O89" s="63">
        <f t="shared" si="8"/>
        <v>334</v>
      </c>
    </row>
    <row r="90" spans="1:15">
      <c r="B90" s="33" t="str">
        <f>Instructions!B64</f>
        <v>Total Assets</v>
      </c>
      <c r="C90" s="33"/>
      <c r="E90" s="64">
        <f>SUM(E83:E89)</f>
        <v>5067.25</v>
      </c>
      <c r="F90" s="64">
        <f t="shared" ref="F90:J90" ca="1" si="12">SUM(F83:F89)</f>
        <v>5686.083333333333</v>
      </c>
      <c r="G90" s="64">
        <f t="shared" ca="1" si="12"/>
        <v>6063.1750000000002</v>
      </c>
      <c r="H90" s="64">
        <f t="shared" ca="1" si="12"/>
        <v>6482.900833333334</v>
      </c>
      <c r="I90" s="64">
        <f t="shared" ca="1" si="12"/>
        <v>6949.5242500000004</v>
      </c>
      <c r="J90" s="64">
        <f t="shared" ca="1" si="12"/>
        <v>7467.735008333334</v>
      </c>
      <c r="L90" s="64">
        <f>SUM(L83:L89)</f>
        <v>2200</v>
      </c>
      <c r="M90" s="62"/>
      <c r="N90" s="62"/>
      <c r="O90" s="64">
        <f>SUM(O83:O89)</f>
        <v>5067.25</v>
      </c>
    </row>
    <row r="91" spans="1:15">
      <c r="L91" s="62"/>
      <c r="M91" s="62"/>
      <c r="N91" s="62"/>
      <c r="O91" s="62"/>
    </row>
    <row r="92" spans="1:15">
      <c r="B92" s="31" t="str">
        <f>Instructions!B66</f>
        <v>Revolver</v>
      </c>
      <c r="E92" s="62">
        <f>O92</f>
        <v>0</v>
      </c>
      <c r="F92" s="62">
        <f ca="1">F238</f>
        <v>221.82141722995959</v>
      </c>
      <c r="G92" s="62">
        <f t="shared" ref="G92:J92" ca="1" si="13">G238</f>
        <v>145.74644931716887</v>
      </c>
      <c r="H92" s="62">
        <f t="shared" ca="1" si="13"/>
        <v>44.926111950902964</v>
      </c>
      <c r="I92" s="62">
        <f t="shared" ca="1" si="13"/>
        <v>0</v>
      </c>
      <c r="J92" s="62">
        <f t="shared" ca="1" si="13"/>
        <v>0</v>
      </c>
      <c r="L92" s="62">
        <f>Instructions!D66</f>
        <v>0</v>
      </c>
      <c r="M92" s="62"/>
      <c r="N92" s="62"/>
      <c r="O92" s="62">
        <f>SUM(L92:N92)</f>
        <v>0</v>
      </c>
    </row>
    <row r="93" spans="1:15">
      <c r="B93" s="31" t="s">
        <v>104</v>
      </c>
      <c r="E93" s="62">
        <f t="shared" ref="E93:E101" si="14">O93</f>
        <v>765</v>
      </c>
      <c r="F93" s="62">
        <f ca="1">F254</f>
        <v>726.75</v>
      </c>
      <c r="G93" s="62">
        <f t="shared" ref="G93:J93" ca="1" si="15">G254</f>
        <v>688.5</v>
      </c>
      <c r="H93" s="62">
        <f t="shared" ca="1" si="15"/>
        <v>650.25</v>
      </c>
      <c r="I93" s="62">
        <f t="shared" ca="1" si="15"/>
        <v>527.64919390203954</v>
      </c>
      <c r="J93" s="62">
        <f t="shared" ca="1" si="15"/>
        <v>327.31171601821774</v>
      </c>
      <c r="L93" s="84">
        <v>0</v>
      </c>
      <c r="M93" s="62"/>
      <c r="N93" s="62">
        <f>D59</f>
        <v>765</v>
      </c>
      <c r="O93" s="62">
        <f t="shared" ref="O93:O101" si="16">SUM(L93:N93)</f>
        <v>765</v>
      </c>
    </row>
    <row r="94" spans="1:15">
      <c r="B94" s="31" t="s">
        <v>105</v>
      </c>
      <c r="E94" s="62">
        <f t="shared" si="14"/>
        <v>765</v>
      </c>
      <c r="F94" s="62">
        <f ca="1">F263</f>
        <v>726.75</v>
      </c>
      <c r="G94" s="62">
        <f t="shared" ref="G94:J94" ca="1" si="17">G263</f>
        <v>688.5</v>
      </c>
      <c r="H94" s="62">
        <f t="shared" ca="1" si="17"/>
        <v>650.25</v>
      </c>
      <c r="I94" s="62">
        <f t="shared" ca="1" si="17"/>
        <v>612</v>
      </c>
      <c r="J94" s="62">
        <f t="shared" ca="1" si="17"/>
        <v>573.75</v>
      </c>
      <c r="L94" s="84">
        <v>0</v>
      </c>
      <c r="M94" s="62"/>
      <c r="N94" s="62">
        <f>D60</f>
        <v>765</v>
      </c>
      <c r="O94" s="62">
        <f t="shared" si="16"/>
        <v>765</v>
      </c>
    </row>
    <row r="95" spans="1:15">
      <c r="B95" s="31" t="s">
        <v>106</v>
      </c>
      <c r="E95" s="62">
        <f t="shared" si="14"/>
        <v>510</v>
      </c>
      <c r="F95" s="62">
        <f>F272</f>
        <v>538.04999999999995</v>
      </c>
      <c r="G95" s="62">
        <f t="shared" ref="G95:J95" si="18">G272</f>
        <v>567.64274999999998</v>
      </c>
      <c r="H95" s="62">
        <f t="shared" si="18"/>
        <v>598.86310125</v>
      </c>
      <c r="I95" s="62">
        <f t="shared" si="18"/>
        <v>631.80057181874997</v>
      </c>
      <c r="J95" s="62">
        <f t="shared" si="18"/>
        <v>666.5496032687812</v>
      </c>
      <c r="L95" s="84">
        <v>0</v>
      </c>
      <c r="M95" s="62"/>
      <c r="N95" s="62">
        <f>D61</f>
        <v>510</v>
      </c>
      <c r="O95" s="62">
        <f t="shared" si="16"/>
        <v>510</v>
      </c>
    </row>
    <row r="96" spans="1:15">
      <c r="B96" s="31" t="s">
        <v>150</v>
      </c>
      <c r="E96" s="62">
        <f t="shared" si="14"/>
        <v>-40.800000000000004</v>
      </c>
      <c r="F96" s="62">
        <f>E96+F200</f>
        <v>-34.971428571428575</v>
      </c>
      <c r="G96" s="62">
        <f>F96+G200</f>
        <v>-29.142857142857146</v>
      </c>
      <c r="H96" s="62">
        <f>G96+H200</f>
        <v>-23.314285714285717</v>
      </c>
      <c r="I96" s="62">
        <f>H96+I200</f>
        <v>-17.485714285714288</v>
      </c>
      <c r="J96" s="62">
        <f>I96+J200</f>
        <v>-11.657142857142858</v>
      </c>
      <c r="L96" s="84">
        <v>0</v>
      </c>
      <c r="M96" s="62">
        <f>-E45</f>
        <v>-40.800000000000004</v>
      </c>
      <c r="N96" s="62"/>
      <c r="O96" s="62">
        <f>SUM(L96:N96)</f>
        <v>-40.800000000000004</v>
      </c>
    </row>
    <row r="97" spans="2:15">
      <c r="B97" s="31" t="s">
        <v>151</v>
      </c>
      <c r="E97" s="62">
        <f t="shared" si="14"/>
        <v>102.25</v>
      </c>
      <c r="F97" s="62">
        <f>E97+F202</f>
        <v>89.9375</v>
      </c>
      <c r="G97" s="62">
        <f>F97+G202</f>
        <v>77.625</v>
      </c>
      <c r="H97" s="62">
        <f>G97+H202</f>
        <v>65.3125</v>
      </c>
      <c r="I97" s="62">
        <f>H97+I202</f>
        <v>53</v>
      </c>
      <c r="J97" s="62">
        <f>I97+J202</f>
        <v>40.6875</v>
      </c>
      <c r="L97" s="84">
        <v>0</v>
      </c>
      <c r="M97" s="62"/>
      <c r="N97" s="62">
        <f>D78</f>
        <v>102.25</v>
      </c>
      <c r="O97" s="62">
        <f t="shared" si="16"/>
        <v>102.25</v>
      </c>
    </row>
    <row r="98" spans="2:15">
      <c r="B98" s="31" t="str">
        <f>Instructions!B67</f>
        <v>Accounts Payable</v>
      </c>
      <c r="E98" s="62">
        <f t="shared" si="14"/>
        <v>350</v>
      </c>
      <c r="F98" s="139">
        <f>F115</f>
        <v>492.91666666666669</v>
      </c>
      <c r="G98" s="139">
        <f t="shared" ref="G98:J98" si="19">G115</f>
        <v>650.12500000000011</v>
      </c>
      <c r="H98" s="139">
        <f t="shared" si="19"/>
        <v>823.05416666666679</v>
      </c>
      <c r="I98" s="139">
        <f t="shared" si="19"/>
        <v>1013.2762500000002</v>
      </c>
      <c r="J98" s="139">
        <f t="shared" si="19"/>
        <v>1222.5205416666668</v>
      </c>
      <c r="L98" s="62">
        <f>Instructions!D67</f>
        <v>350</v>
      </c>
      <c r="M98" s="62"/>
      <c r="N98" s="62"/>
      <c r="O98" s="62">
        <f t="shared" si="16"/>
        <v>350</v>
      </c>
    </row>
    <row r="99" spans="2:15">
      <c r="B99" s="31" t="str">
        <f>Instructions!B68</f>
        <v>Accrued Liabilities</v>
      </c>
      <c r="E99" s="62">
        <f t="shared" si="14"/>
        <v>200</v>
      </c>
      <c r="F99" s="139">
        <f>F116</f>
        <v>281.66666666666669</v>
      </c>
      <c r="G99" s="139">
        <f>G116</f>
        <v>371.50000000000006</v>
      </c>
      <c r="H99" s="139">
        <f>H116</f>
        <v>470.31666666666672</v>
      </c>
      <c r="I99" s="139">
        <f>I116</f>
        <v>579.0150000000001</v>
      </c>
      <c r="J99" s="139">
        <f t="shared" ref="F99:J99" si="20">J116</f>
        <v>698.58316666666667</v>
      </c>
      <c r="L99" s="62">
        <f>Instructions!D68</f>
        <v>200</v>
      </c>
      <c r="M99" s="62"/>
      <c r="N99" s="62"/>
      <c r="O99" s="62">
        <f t="shared" si="16"/>
        <v>200</v>
      </c>
    </row>
    <row r="100" spans="2:15">
      <c r="B100" s="31" t="str">
        <f>Instructions!B69</f>
        <v>Deferred Revenue</v>
      </c>
      <c r="E100" s="62">
        <f t="shared" si="14"/>
        <v>150</v>
      </c>
      <c r="F100" s="139">
        <f>F117</f>
        <v>211.25000000000003</v>
      </c>
      <c r="G100" s="139">
        <f t="shared" ref="F100:J100" si="21">G117</f>
        <v>278.62500000000006</v>
      </c>
      <c r="H100" s="139">
        <f t="shared" si="21"/>
        <v>352.73750000000007</v>
      </c>
      <c r="I100" s="139">
        <f>I117</f>
        <v>434.26125000000013</v>
      </c>
      <c r="J100" s="139">
        <f>J117</f>
        <v>523.93737500000009</v>
      </c>
      <c r="L100" s="62">
        <f>Instructions!D69</f>
        <v>150</v>
      </c>
      <c r="M100" s="62"/>
      <c r="N100" s="62"/>
      <c r="O100" s="62">
        <f t="shared" si="16"/>
        <v>150</v>
      </c>
    </row>
    <row r="101" spans="2:15">
      <c r="B101" s="35" t="str">
        <f>Instructions!B70</f>
        <v>Pre-LBO Debt</v>
      </c>
      <c r="C101" s="35"/>
      <c r="D101" s="35"/>
      <c r="E101" s="63">
        <f t="shared" si="14"/>
        <v>0</v>
      </c>
      <c r="F101" s="63">
        <f>E101</f>
        <v>0</v>
      </c>
      <c r="G101" s="63">
        <f>F101</f>
        <v>0</v>
      </c>
      <c r="H101" s="63">
        <f>G101</f>
        <v>0</v>
      </c>
      <c r="I101" s="63">
        <f>H101</f>
        <v>0</v>
      </c>
      <c r="J101" s="63">
        <f>I101</f>
        <v>0</v>
      </c>
      <c r="L101" s="63">
        <f>Instructions!D70</f>
        <v>300</v>
      </c>
      <c r="M101" s="63">
        <f>-L101</f>
        <v>-300</v>
      </c>
      <c r="N101" s="63"/>
      <c r="O101" s="63">
        <f t="shared" si="16"/>
        <v>0</v>
      </c>
    </row>
    <row r="102" spans="2:15">
      <c r="B102" s="33" t="str">
        <f>Instructions!B71</f>
        <v>Total Liabilities</v>
      </c>
      <c r="C102" s="33"/>
      <c r="E102" s="64">
        <f>SUM(E92:E101)</f>
        <v>2801.45</v>
      </c>
      <c r="F102" s="64">
        <f ca="1">SUM(F92:F101)</f>
        <v>3254.1708219918642</v>
      </c>
      <c r="G102" s="64">
        <f ca="1">SUM(G92:G101)</f>
        <v>3439.1213421743114</v>
      </c>
      <c r="H102" s="64">
        <f t="shared" ref="F102:J102" ca="1" si="22">SUM(H92:H101)</f>
        <v>3632.3957608199507</v>
      </c>
      <c r="I102" s="64">
        <f t="shared" ca="1" si="22"/>
        <v>3833.5165514350751</v>
      </c>
      <c r="J102" s="64">
        <f t="shared" ca="1" si="22"/>
        <v>4041.6827597631896</v>
      </c>
      <c r="L102" s="64">
        <f>SUM(L92:L101)</f>
        <v>1000</v>
      </c>
      <c r="M102" s="62"/>
      <c r="N102" s="62"/>
      <c r="O102" s="64">
        <f>SUM(O92:O101)</f>
        <v>2801.45</v>
      </c>
    </row>
    <row r="103" spans="2:15">
      <c r="L103" s="62"/>
      <c r="M103" s="62"/>
      <c r="N103" s="62"/>
      <c r="O103" s="62"/>
    </row>
    <row r="104" spans="2:15">
      <c r="B104" s="35" t="str">
        <f>Instructions!B73</f>
        <v>Equity</v>
      </c>
      <c r="C104" s="35"/>
      <c r="D104" s="35"/>
      <c r="E104" s="63">
        <f>O104</f>
        <v>2265.8000000000002</v>
      </c>
      <c r="F104" s="63">
        <f ca="1">E104+F192</f>
        <v>2431.9125113414693</v>
      </c>
      <c r="G104" s="63">
        <f ca="1">F104+G192</f>
        <v>2624.0536578256888</v>
      </c>
      <c r="H104" s="63">
        <f ca="1">G104+H192</f>
        <v>2850.5050725133833</v>
      </c>
      <c r="I104" s="63">
        <f ca="1">H104+I192</f>
        <v>3116.0076985649252</v>
      </c>
      <c r="J104" s="63">
        <f ca="1">I104+J192</f>
        <v>3426.0522485701445</v>
      </c>
      <c r="L104" s="63">
        <f>Instructions!D73</f>
        <v>1200</v>
      </c>
      <c r="M104" s="63">
        <f>-L104-C23-C24</f>
        <v>-1212</v>
      </c>
      <c r="N104" s="63">
        <f>D66</f>
        <v>2277.8000000000002</v>
      </c>
      <c r="O104" s="63">
        <f>SUM(L104:N104)</f>
        <v>2265.8000000000002</v>
      </c>
    </row>
    <row r="105" spans="2:15">
      <c r="B105" s="33" t="str">
        <f>Instructions!B74</f>
        <v>Total Liabilities + Equity</v>
      </c>
      <c r="C105" s="33"/>
      <c r="E105" s="64">
        <f>E104+E102</f>
        <v>5067.25</v>
      </c>
      <c r="F105" s="64">
        <f ca="1">F104+F102</f>
        <v>5686.0833333333339</v>
      </c>
      <c r="G105" s="64">
        <f ca="1">G104+G102</f>
        <v>6063.1750000000002</v>
      </c>
      <c r="H105" s="64">
        <f ca="1">H104+H102</f>
        <v>6482.900833333334</v>
      </c>
      <c r="I105" s="64">
        <f ca="1">I104+I102</f>
        <v>6949.5242500000004</v>
      </c>
      <c r="J105" s="64">
        <f ca="1">J104+J102</f>
        <v>7467.735008333334</v>
      </c>
      <c r="L105" s="64">
        <f>L104+L102</f>
        <v>2200</v>
      </c>
      <c r="M105" s="62"/>
      <c r="N105" s="62"/>
      <c r="O105" s="64">
        <f>O104+O102</f>
        <v>5067.25</v>
      </c>
    </row>
    <row r="106" spans="2:15">
      <c r="L106" s="62"/>
      <c r="M106" s="62"/>
      <c r="N106" s="62"/>
      <c r="O106" s="62"/>
    </row>
    <row r="107" spans="2:15">
      <c r="B107" s="85" t="str">
        <f>Instructions!B76</f>
        <v>Check</v>
      </c>
      <c r="C107" s="72"/>
      <c r="D107" s="72"/>
      <c r="E107" s="93">
        <f>E90-E105</f>
        <v>0</v>
      </c>
      <c r="F107" s="93">
        <f ca="1">F90-F105</f>
        <v>0</v>
      </c>
      <c r="G107" s="93">
        <f ca="1">G90-G105</f>
        <v>0</v>
      </c>
      <c r="H107" s="93">
        <f ca="1">H90-H105</f>
        <v>0</v>
      </c>
      <c r="I107" s="93">
        <f ca="1">I90-I105</f>
        <v>0</v>
      </c>
      <c r="J107" s="93">
        <f ca="1">J90-J105</f>
        <v>0</v>
      </c>
      <c r="K107" s="94"/>
      <c r="L107" s="74">
        <f>L90-L105</f>
        <v>0</v>
      </c>
      <c r="M107" s="75">
        <f>M90-M105</f>
        <v>0</v>
      </c>
      <c r="N107" s="75">
        <f>N90-N105</f>
        <v>0</v>
      </c>
      <c r="O107" s="76">
        <f>O90-O105</f>
        <v>0</v>
      </c>
    </row>
    <row r="108" spans="2:15" s="4" customFormat="1" ht="16"/>
    <row r="109" spans="2:15" s="4" customFormat="1">
      <c r="B109" s="39" t="s">
        <v>230</v>
      </c>
      <c r="C109" s="31"/>
      <c r="D109" s="31"/>
      <c r="E109" s="31"/>
      <c r="F109" s="31"/>
      <c r="G109" s="31"/>
      <c r="H109" s="31"/>
      <c r="I109" s="31"/>
      <c r="J109" s="31"/>
    </row>
    <row r="110" spans="2:15" s="4" customFormat="1">
      <c r="B110" s="31" t="s">
        <v>231</v>
      </c>
      <c r="C110" s="31"/>
      <c r="D110" s="31"/>
      <c r="E110" s="62">
        <f>E84</f>
        <v>440</v>
      </c>
      <c r="F110" s="139">
        <f>E110*(1+F$121)</f>
        <v>619.66666666666674</v>
      </c>
      <c r="G110" s="139">
        <f>F110*(1+G$121)</f>
        <v>817.30000000000018</v>
      </c>
      <c r="H110" s="139">
        <f>G110*(1+H$121)</f>
        <v>1034.6966666666669</v>
      </c>
      <c r="I110" s="139">
        <f>H110*(1+I$121)</f>
        <v>1273.8330000000005</v>
      </c>
      <c r="J110" s="139">
        <f>I110*(1+J$121)</f>
        <v>1536.8829666666672</v>
      </c>
    </row>
    <row r="111" spans="2:15" s="4" customFormat="1">
      <c r="B111" s="31" t="s">
        <v>32</v>
      </c>
      <c r="C111" s="31"/>
      <c r="D111" s="31"/>
      <c r="E111" s="62">
        <f t="shared" ref="E111:E112" si="23">E85</f>
        <v>400</v>
      </c>
      <c r="F111" s="139">
        <f>E111*(1+F$121)</f>
        <v>563.33333333333337</v>
      </c>
      <c r="G111" s="139">
        <f>F111*(1+G$121)</f>
        <v>743.00000000000011</v>
      </c>
      <c r="H111" s="139">
        <f>G111*(1+H$121)</f>
        <v>940.63333333333344</v>
      </c>
      <c r="I111" s="139">
        <f>H111*(1+I$121)</f>
        <v>1158.0300000000002</v>
      </c>
      <c r="J111" s="139">
        <f t="shared" ref="F111:J112" si="24">I111*(1+J$121)</f>
        <v>1397.1663333333333</v>
      </c>
    </row>
    <row r="112" spans="2:15" s="4" customFormat="1">
      <c r="B112" s="35" t="s">
        <v>232</v>
      </c>
      <c r="C112" s="35"/>
      <c r="D112" s="35"/>
      <c r="E112" s="63">
        <f t="shared" si="23"/>
        <v>25</v>
      </c>
      <c r="F112" s="140">
        <f>E112*(1+F$121)</f>
        <v>35.208333333333336</v>
      </c>
      <c r="G112" s="140">
        <f t="shared" ref="F112:J112" si="25">F112*(1+G$121)</f>
        <v>46.437500000000007</v>
      </c>
      <c r="H112" s="140">
        <f t="shared" si="25"/>
        <v>58.78958333333334</v>
      </c>
      <c r="I112" s="140">
        <f t="shared" si="25"/>
        <v>72.376875000000013</v>
      </c>
      <c r="J112" s="140">
        <f>I112*(1+J$121)</f>
        <v>87.322895833333334</v>
      </c>
    </row>
    <row r="113" spans="1:10" s="4" customFormat="1">
      <c r="B113" s="33" t="s">
        <v>233</v>
      </c>
      <c r="C113" s="31"/>
      <c r="D113" s="31"/>
      <c r="E113" s="64">
        <f>SUM(E110:E112)</f>
        <v>865</v>
      </c>
      <c r="F113" s="128">
        <f>E113*(1+F$121)</f>
        <v>1218.2083333333335</v>
      </c>
      <c r="G113" s="128">
        <f>F113*(1+G$121)</f>
        <v>1606.7375000000004</v>
      </c>
      <c r="H113" s="128">
        <f>G113*(1+H$121)</f>
        <v>2034.1195833333338</v>
      </c>
      <c r="I113" s="128">
        <f>H113*(1+I$121)</f>
        <v>2504.2398750000007</v>
      </c>
      <c r="J113" s="128">
        <f>I113*(1+J$121)</f>
        <v>3021.372195833334</v>
      </c>
    </row>
    <row r="114" spans="1:10" s="4" customFormat="1">
      <c r="B114" s="105" t="s">
        <v>46</v>
      </c>
      <c r="C114" s="31"/>
      <c r="D114" s="31"/>
      <c r="E114" s="31"/>
      <c r="F114" s="139"/>
      <c r="G114" s="139"/>
      <c r="H114" s="139"/>
      <c r="I114" s="139"/>
      <c r="J114" s="139"/>
    </row>
    <row r="115" spans="1:10" s="4" customFormat="1">
      <c r="B115" s="31" t="s">
        <v>234</v>
      </c>
      <c r="C115" s="31"/>
      <c r="D115" s="31"/>
      <c r="E115" s="62">
        <f>E98</f>
        <v>350</v>
      </c>
      <c r="F115" s="139">
        <f>E115*(1+F$121)</f>
        <v>492.91666666666669</v>
      </c>
      <c r="G115" s="139">
        <f>F115*(1+G$121)</f>
        <v>650.12500000000011</v>
      </c>
      <c r="H115" s="139">
        <f>G115*(1+H$121)</f>
        <v>823.05416666666679</v>
      </c>
      <c r="I115" s="139">
        <f>H115*(1+I$121)</f>
        <v>1013.2762500000002</v>
      </c>
      <c r="J115" s="139">
        <f>I115*(1+J$121)</f>
        <v>1222.5205416666668</v>
      </c>
    </row>
    <row r="116" spans="1:10" s="4" customFormat="1">
      <c r="B116" s="31" t="s">
        <v>235</v>
      </c>
      <c r="C116" s="31"/>
      <c r="D116" s="31"/>
      <c r="E116" s="62">
        <f t="shared" ref="E116:E117" si="26">E99</f>
        <v>200</v>
      </c>
      <c r="F116" s="139">
        <f>E116*(1+F$121)</f>
        <v>281.66666666666669</v>
      </c>
      <c r="G116" s="139">
        <f>F116*(1+G$121)</f>
        <v>371.50000000000006</v>
      </c>
      <c r="H116" s="139">
        <f>G116*(1+H$121)</f>
        <v>470.31666666666672</v>
      </c>
      <c r="I116" s="139">
        <f t="shared" ref="F116:J116" si="27">H116*(1+I$121)</f>
        <v>579.0150000000001</v>
      </c>
      <c r="J116" s="139">
        <f t="shared" si="27"/>
        <v>698.58316666666667</v>
      </c>
    </row>
    <row r="117" spans="1:10" s="4" customFormat="1">
      <c r="B117" s="35" t="s">
        <v>236</v>
      </c>
      <c r="C117" s="35"/>
      <c r="D117" s="35"/>
      <c r="E117" s="63">
        <f t="shared" si="26"/>
        <v>150</v>
      </c>
      <c r="F117" s="140">
        <f>E117*(1+F$121)</f>
        <v>211.25000000000003</v>
      </c>
      <c r="G117" s="140">
        <f t="shared" ref="F117:J117" si="28">F117*(1+G$121)</f>
        <v>278.62500000000006</v>
      </c>
      <c r="H117" s="140">
        <f t="shared" si="28"/>
        <v>352.73750000000007</v>
      </c>
      <c r="I117" s="140">
        <f>H117*(1+I$121)</f>
        <v>434.26125000000013</v>
      </c>
      <c r="J117" s="140">
        <f>I117*(1+J$121)</f>
        <v>523.93737500000009</v>
      </c>
    </row>
    <row r="118" spans="1:10" s="4" customFormat="1">
      <c r="B118" s="33" t="s">
        <v>237</v>
      </c>
      <c r="C118" s="31"/>
      <c r="D118" s="31"/>
      <c r="E118" s="64">
        <f>SUM(E115:E117)</f>
        <v>700</v>
      </c>
      <c r="F118" s="128">
        <f>E118*(1+F$121)</f>
        <v>985.83333333333337</v>
      </c>
      <c r="G118" s="128">
        <f>F118*(1+G$121)</f>
        <v>1300.2500000000002</v>
      </c>
      <c r="H118" s="128">
        <f>G118*(1+H$121)</f>
        <v>1646.1083333333336</v>
      </c>
      <c r="I118" s="128">
        <f>H118*(1+I$121)</f>
        <v>2026.5525000000005</v>
      </c>
      <c r="J118" s="128">
        <f>I118*(1+J$121)</f>
        <v>2445.0410833333335</v>
      </c>
    </row>
    <row r="119" spans="1:10" s="4" customFormat="1">
      <c r="B119" s="105" t="s">
        <v>46</v>
      </c>
      <c r="C119" s="31"/>
      <c r="D119" s="31"/>
      <c r="E119" s="31"/>
      <c r="F119" s="139"/>
      <c r="G119" s="139"/>
      <c r="H119" s="139"/>
      <c r="I119" s="139"/>
      <c r="J119" s="139"/>
    </row>
    <row r="120" spans="1:10" s="4" customFormat="1">
      <c r="B120" s="33" t="s">
        <v>238</v>
      </c>
      <c r="C120" s="31"/>
      <c r="D120" s="31"/>
      <c r="E120" s="64">
        <f>E113-E118</f>
        <v>165</v>
      </c>
      <c r="F120" s="64">
        <f>E120+F122</f>
        <v>232.375</v>
      </c>
      <c r="G120" s="64">
        <f>F120+G122</f>
        <v>306.48750000000001</v>
      </c>
      <c r="H120" s="64">
        <f>G120+H122</f>
        <v>388.01125000000002</v>
      </c>
      <c r="I120" s="64">
        <f>H120+I122</f>
        <v>477.68737500000003</v>
      </c>
      <c r="J120" s="64">
        <f>I120+J122</f>
        <v>576.33111250000002</v>
      </c>
    </row>
    <row r="121" spans="1:10" s="4" customFormat="1">
      <c r="B121" s="105" t="s">
        <v>240</v>
      </c>
      <c r="C121" s="31"/>
      <c r="D121" s="31"/>
      <c r="E121" s="64"/>
      <c r="F121" s="102">
        <f>F120/E120-1</f>
        <v>0.40833333333333344</v>
      </c>
      <c r="G121" s="102">
        <f>G120/F120-1</f>
        <v>0.31893491124260365</v>
      </c>
      <c r="H121" s="102">
        <f>H120/G120-1</f>
        <v>0.26599371915657244</v>
      </c>
      <c r="I121" s="102">
        <f>I120/H120-1</f>
        <v>0.23111733229384468</v>
      </c>
      <c r="J121" s="102">
        <f>J120/I120-1</f>
        <v>0.20650271006220322</v>
      </c>
    </row>
    <row r="122" spans="1:10" s="4" customFormat="1">
      <c r="B122" s="105" t="s">
        <v>239</v>
      </c>
      <c r="C122" s="31"/>
      <c r="D122" s="31"/>
      <c r="E122" s="31"/>
      <c r="F122" s="62">
        <f>-F203</f>
        <v>67.375</v>
      </c>
      <c r="G122" s="62">
        <f>-G203</f>
        <v>74.112499999999997</v>
      </c>
      <c r="H122" s="62">
        <f>-H203</f>
        <v>81.523750000000021</v>
      </c>
      <c r="I122" s="62">
        <f>-I203</f>
        <v>89.676125000000027</v>
      </c>
      <c r="J122" s="62">
        <f t="shared" ref="G122:J122" si="29">-J203</f>
        <v>98.643737500000043</v>
      </c>
    </row>
    <row r="123" spans="1:10" s="4" customFormat="1" ht="16"/>
    <row r="124" spans="1:10" customFormat="1">
      <c r="A124" s="30" t="s">
        <v>75</v>
      </c>
      <c r="B124" s="36" t="s">
        <v>152</v>
      </c>
      <c r="C124" s="37"/>
      <c r="D124" s="37"/>
      <c r="E124" s="37"/>
      <c r="F124" s="37"/>
      <c r="G124" s="37"/>
      <c r="H124" s="37"/>
      <c r="I124" s="37"/>
      <c r="J124" s="37"/>
    </row>
    <row r="125" spans="1:10" s="4" customFormat="1" ht="16"/>
    <row r="126" spans="1:10">
      <c r="B126" s="33" t="s">
        <v>170</v>
      </c>
      <c r="C126" s="95">
        <v>1</v>
      </c>
    </row>
    <row r="127" spans="1:10">
      <c r="B127" s="33" t="s">
        <v>171</v>
      </c>
      <c r="C127" s="95">
        <v>1</v>
      </c>
    </row>
    <row r="128" spans="1:10">
      <c r="B128" s="33"/>
      <c r="C128" s="104"/>
    </row>
    <row r="129" spans="2:11">
      <c r="B129" s="33" t="s">
        <v>190</v>
      </c>
      <c r="C129" s="95">
        <v>2021</v>
      </c>
    </row>
    <row r="130" spans="2:11">
      <c r="B130" s="33"/>
      <c r="C130" s="104"/>
    </row>
    <row r="131" spans="2:11">
      <c r="B131" s="97" t="s">
        <v>191</v>
      </c>
      <c r="C131" s="72"/>
      <c r="D131" s="72"/>
      <c r="E131" s="75">
        <f>IF(E1&gt;=$C$129,1,0)</f>
        <v>0</v>
      </c>
      <c r="F131" s="75">
        <f>IF(F1&gt;=$C$129,1,0)</f>
        <v>1</v>
      </c>
      <c r="G131" s="75">
        <f>IF(G1&gt;=$C$129,1,0)</f>
        <v>1</v>
      </c>
      <c r="H131" s="75">
        <f>IF(H1&gt;=$C$129,1,0)</f>
        <v>1</v>
      </c>
      <c r="I131" s="75">
        <f>IF(I1&gt;=$C$129,1,0)</f>
        <v>1</v>
      </c>
      <c r="J131" s="75">
        <f>IF(J1&gt;=$C$129,1,0)</f>
        <v>1</v>
      </c>
      <c r="K131" s="94"/>
    </row>
    <row r="132" spans="2:11">
      <c r="B132" s="104" t="s">
        <v>194</v>
      </c>
      <c r="C132" s="104"/>
      <c r="D132" s="104"/>
      <c r="E132" s="112">
        <f>Instructions!$D$81</f>
        <v>8.5</v>
      </c>
      <c r="F132" s="112">
        <f>E132</f>
        <v>8.5</v>
      </c>
      <c r="G132" s="112">
        <f t="shared" ref="G132:J132" si="30">F132</f>
        <v>8.5</v>
      </c>
      <c r="H132" s="112">
        <f t="shared" si="30"/>
        <v>8.5</v>
      </c>
      <c r="I132" s="112">
        <f t="shared" si="30"/>
        <v>8.5</v>
      </c>
      <c r="J132" s="112">
        <f t="shared" si="30"/>
        <v>8.5</v>
      </c>
      <c r="K132" s="104"/>
    </row>
    <row r="133" spans="2:11">
      <c r="B133" s="31" t="s">
        <v>193</v>
      </c>
      <c r="C133" s="104"/>
      <c r="E133" s="62">
        <f>E132*E173</f>
        <v>297.5</v>
      </c>
      <c r="F133" s="62">
        <f t="shared" ref="F133:J133" si="31">F132*F173</f>
        <v>280.5</v>
      </c>
      <c r="G133" s="62">
        <f t="shared" si="31"/>
        <v>308.54999999999995</v>
      </c>
      <c r="H133" s="62">
        <f t="shared" si="31"/>
        <v>339.40500000000009</v>
      </c>
      <c r="I133" s="62">
        <f t="shared" si="31"/>
        <v>373.34550000000013</v>
      </c>
      <c r="J133" s="62">
        <f>J132*J173</f>
        <v>410.68005000000016</v>
      </c>
    </row>
    <row r="135" spans="2:11">
      <c r="B135" s="34" t="s">
        <v>21</v>
      </c>
      <c r="C135" s="35"/>
      <c r="D135" s="35"/>
      <c r="E135" s="63">
        <f>E136+IF(E131=1,E141,0)</f>
        <v>1125</v>
      </c>
      <c r="F135" s="63">
        <f>F136+IF(F131=1,F141,0)</f>
        <v>1347.5</v>
      </c>
      <c r="G135" s="63">
        <f t="shared" ref="F135:J135" si="32">G136+IF(G131=1,G141,0)</f>
        <v>1482.25</v>
      </c>
      <c r="H135" s="63">
        <f t="shared" si="32"/>
        <v>1630.4750000000004</v>
      </c>
      <c r="I135" s="63">
        <f t="shared" si="32"/>
        <v>1793.5225000000005</v>
      </c>
      <c r="J135" s="63">
        <f>J136+IF(J131=1,J141,0)</f>
        <v>1972.8747500000009</v>
      </c>
    </row>
    <row r="136" spans="2:11">
      <c r="B136" s="96" t="s">
        <v>153</v>
      </c>
      <c r="E136" s="62">
        <f>Instructions!D23</f>
        <v>1125</v>
      </c>
      <c r="F136" s="62">
        <f>E136*(1+F137)</f>
        <v>1237.5</v>
      </c>
      <c r="G136" s="62">
        <f>F136*(1+G137)</f>
        <v>1361.25</v>
      </c>
      <c r="H136" s="62">
        <f>G136*(1+H137)</f>
        <v>1497.3750000000002</v>
      </c>
      <c r="I136" s="62">
        <f>H136*(1+I137)</f>
        <v>1647.1125000000004</v>
      </c>
      <c r="J136" s="62">
        <f>I136*(1+J137)</f>
        <v>1811.8237500000007</v>
      </c>
    </row>
    <row r="137" spans="2:11">
      <c r="B137" s="101" t="s">
        <v>167</v>
      </c>
      <c r="E137" s="62"/>
      <c r="F137" s="47">
        <f>CHOOSE($C$126,F138,F139,F140)</f>
        <v>0.1</v>
      </c>
      <c r="G137" s="47">
        <f t="shared" ref="G137:J137" si="33">CHOOSE($C$126,G138,G139,G140)</f>
        <v>0.1</v>
      </c>
      <c r="H137" s="47">
        <f t="shared" si="33"/>
        <v>0.1</v>
      </c>
      <c r="I137" s="47">
        <f t="shared" si="33"/>
        <v>0.1</v>
      </c>
      <c r="J137" s="47">
        <f t="shared" si="33"/>
        <v>0.1</v>
      </c>
    </row>
    <row r="138" spans="2:11">
      <c r="B138" s="101" t="s">
        <v>23</v>
      </c>
      <c r="E138" s="62"/>
      <c r="F138" s="102">
        <f>Instructions!D37</f>
        <v>0.1</v>
      </c>
      <c r="G138" s="102">
        <f>F138</f>
        <v>0.1</v>
      </c>
      <c r="H138" s="102">
        <f t="shared" ref="H138:J140" si="34">G138</f>
        <v>0.1</v>
      </c>
      <c r="I138" s="102">
        <f t="shared" si="34"/>
        <v>0.1</v>
      </c>
      <c r="J138" s="102">
        <f t="shared" si="34"/>
        <v>0.1</v>
      </c>
    </row>
    <row r="139" spans="2:11">
      <c r="B139" s="101" t="s">
        <v>24</v>
      </c>
      <c r="E139" s="62"/>
      <c r="F139" s="102">
        <f>Instructions!D38</f>
        <v>0.15</v>
      </c>
      <c r="G139" s="102">
        <f>F139</f>
        <v>0.15</v>
      </c>
      <c r="H139" s="102">
        <f t="shared" si="34"/>
        <v>0.15</v>
      </c>
      <c r="I139" s="102">
        <f t="shared" si="34"/>
        <v>0.15</v>
      </c>
      <c r="J139" s="102">
        <f t="shared" si="34"/>
        <v>0.15</v>
      </c>
    </row>
    <row r="140" spans="2:11">
      <c r="B140" s="101" t="s">
        <v>61</v>
      </c>
      <c r="E140" s="62"/>
      <c r="F140" s="102">
        <f>Instructions!D39</f>
        <v>0.2</v>
      </c>
      <c r="G140" s="102">
        <f>F140</f>
        <v>0.2</v>
      </c>
      <c r="H140" s="102">
        <f t="shared" si="34"/>
        <v>0.2</v>
      </c>
      <c r="I140" s="102">
        <f t="shared" si="34"/>
        <v>0.2</v>
      </c>
      <c r="J140" s="102">
        <f t="shared" si="34"/>
        <v>0.2</v>
      </c>
    </row>
    <row r="141" spans="2:11">
      <c r="B141" s="103" t="s">
        <v>161</v>
      </c>
      <c r="C141" s="35"/>
      <c r="D141" s="35"/>
      <c r="E141" s="63">
        <f>Instructions!D84</f>
        <v>100</v>
      </c>
      <c r="F141" s="63">
        <f>E141*(1+F142)</f>
        <v>110.00000000000001</v>
      </c>
      <c r="G141" s="63">
        <f>F141*(1+G142)</f>
        <v>121.00000000000003</v>
      </c>
      <c r="H141" s="63">
        <f>G141*(1+H142)</f>
        <v>133.10000000000005</v>
      </c>
      <c r="I141" s="63">
        <f t="shared" ref="I141" si="35">H141*(1+I142)</f>
        <v>146.41000000000008</v>
      </c>
      <c r="J141" s="63">
        <f>I141*(1+J142)</f>
        <v>161.0510000000001</v>
      </c>
    </row>
    <row r="142" spans="2:11">
      <c r="B142" s="101" t="s">
        <v>167</v>
      </c>
      <c r="E142" s="62"/>
      <c r="F142" s="47">
        <f>CHOOSE($C$127,F143,F144,F145)</f>
        <v>0.1</v>
      </c>
      <c r="G142" s="47">
        <f t="shared" ref="G142:J142" si="36">CHOOSE($C$127,G143,G144,G145)</f>
        <v>0.1</v>
      </c>
      <c r="H142" s="47">
        <f t="shared" si="36"/>
        <v>0.1</v>
      </c>
      <c r="I142" s="47">
        <f t="shared" si="36"/>
        <v>0.1</v>
      </c>
      <c r="J142" s="47">
        <f t="shared" si="36"/>
        <v>0.1</v>
      </c>
    </row>
    <row r="143" spans="2:11">
      <c r="B143" s="101" t="s">
        <v>23</v>
      </c>
      <c r="E143" s="62"/>
      <c r="F143" s="102">
        <f>Instructions!D92</f>
        <v>0.1</v>
      </c>
      <c r="G143" s="102">
        <f>F143</f>
        <v>0.1</v>
      </c>
      <c r="H143" s="102">
        <f t="shared" ref="H143:J145" si="37">G143</f>
        <v>0.1</v>
      </c>
      <c r="I143" s="102">
        <f t="shared" si="37"/>
        <v>0.1</v>
      </c>
      <c r="J143" s="102">
        <f t="shared" si="37"/>
        <v>0.1</v>
      </c>
    </row>
    <row r="144" spans="2:11">
      <c r="B144" s="101" t="s">
        <v>24</v>
      </c>
      <c r="E144" s="62"/>
      <c r="F144" s="102">
        <f>Instructions!D93</f>
        <v>0.15</v>
      </c>
      <c r="G144" s="102">
        <f>F144</f>
        <v>0.15</v>
      </c>
      <c r="H144" s="102">
        <f t="shared" si="37"/>
        <v>0.15</v>
      </c>
      <c r="I144" s="102">
        <f t="shared" si="37"/>
        <v>0.15</v>
      </c>
      <c r="J144" s="102">
        <f t="shared" si="37"/>
        <v>0.15</v>
      </c>
    </row>
    <row r="145" spans="2:11">
      <c r="B145" s="101" t="s">
        <v>61</v>
      </c>
      <c r="E145" s="62"/>
      <c r="F145" s="102">
        <f>Instructions!D94</f>
        <v>0.2</v>
      </c>
      <c r="G145" s="102">
        <f>F145</f>
        <v>0.2</v>
      </c>
      <c r="H145" s="102">
        <f t="shared" si="37"/>
        <v>0.2</v>
      </c>
      <c r="I145" s="102">
        <f t="shared" si="37"/>
        <v>0.2</v>
      </c>
      <c r="J145" s="102">
        <f t="shared" si="37"/>
        <v>0.2</v>
      </c>
    </row>
    <row r="146" spans="2:11">
      <c r="B146" s="101"/>
      <c r="E146" s="62"/>
      <c r="F146" s="62"/>
      <c r="G146" s="62"/>
      <c r="H146" s="62"/>
      <c r="I146" s="62"/>
      <c r="J146" s="62"/>
    </row>
    <row r="147" spans="2:11">
      <c r="B147" s="35" t="s">
        <v>154</v>
      </c>
      <c r="C147" s="35"/>
      <c r="D147" s="35"/>
      <c r="E147" s="63">
        <f>E148+IF(E131=1,E154,0)</f>
        <v>-390</v>
      </c>
      <c r="F147" s="63">
        <f>F148+IF(F131=1,F154,0)</f>
        <v>-617.375</v>
      </c>
      <c r="G147" s="63">
        <f t="shared" ref="F147:J147" si="38">G148+IF(G131=1,G154,0)</f>
        <v>-679.11249999999995</v>
      </c>
      <c r="H147" s="63">
        <f t="shared" si="38"/>
        <v>-747.02375000000006</v>
      </c>
      <c r="I147" s="63">
        <f t="shared" si="38"/>
        <v>-821.72612500000014</v>
      </c>
      <c r="J147" s="63">
        <f>J148+IF(J131=1,J154,0)</f>
        <v>-903.89873750000027</v>
      </c>
    </row>
    <row r="148" spans="2:11">
      <c r="B148" s="96" t="s">
        <v>155</v>
      </c>
      <c r="E148" s="62">
        <f>Instructions!D24</f>
        <v>-390</v>
      </c>
      <c r="F148" s="62">
        <f>-F136*F149</f>
        <v>-556.875</v>
      </c>
      <c r="G148" s="62">
        <f t="shared" ref="G148:J148" si="39">-G136*G149</f>
        <v>-612.56249999999989</v>
      </c>
      <c r="H148" s="62">
        <f t="shared" si="39"/>
        <v>-673.81875000000002</v>
      </c>
      <c r="I148" s="62">
        <f t="shared" si="39"/>
        <v>-741.20062500000006</v>
      </c>
      <c r="J148" s="62">
        <f t="shared" si="39"/>
        <v>-815.32068750000019</v>
      </c>
    </row>
    <row r="149" spans="2:11">
      <c r="B149" s="101" t="s">
        <v>168</v>
      </c>
      <c r="E149" s="62"/>
      <c r="F149" s="47">
        <f>CHOOSE($C$126,F150,F151,F152)</f>
        <v>0.44999999999999996</v>
      </c>
      <c r="G149" s="47">
        <f t="shared" ref="G149:J149" si="40">CHOOSE($C$126,G150,G151,G152)</f>
        <v>0.44999999999999996</v>
      </c>
      <c r="H149" s="47">
        <f t="shared" si="40"/>
        <v>0.44999999999999996</v>
      </c>
      <c r="I149" s="47">
        <f t="shared" si="40"/>
        <v>0.44999999999999996</v>
      </c>
      <c r="J149" s="47">
        <f t="shared" si="40"/>
        <v>0.44999999999999996</v>
      </c>
    </row>
    <row r="150" spans="2:11">
      <c r="B150" s="101" t="s">
        <v>23</v>
      </c>
      <c r="E150" s="62"/>
      <c r="F150" s="102">
        <f>1-Instructions!D42</f>
        <v>0.44999999999999996</v>
      </c>
      <c r="G150" s="102">
        <f>F150</f>
        <v>0.44999999999999996</v>
      </c>
      <c r="H150" s="102">
        <f t="shared" ref="H150:J150" si="41">G150</f>
        <v>0.44999999999999996</v>
      </c>
      <c r="I150" s="102">
        <f t="shared" si="41"/>
        <v>0.44999999999999996</v>
      </c>
      <c r="J150" s="102">
        <f t="shared" si="41"/>
        <v>0.44999999999999996</v>
      </c>
    </row>
    <row r="151" spans="2:11">
      <c r="B151" s="101" t="s">
        <v>24</v>
      </c>
      <c r="E151" s="62"/>
      <c r="F151" s="102">
        <f>1-Instructions!D43</f>
        <v>0.34666666666666668</v>
      </c>
      <c r="G151" s="102">
        <f>F151</f>
        <v>0.34666666666666668</v>
      </c>
      <c r="H151" s="102">
        <f t="shared" ref="H151:J151" si="42">G151</f>
        <v>0.34666666666666668</v>
      </c>
      <c r="I151" s="102">
        <f t="shared" si="42"/>
        <v>0.34666666666666668</v>
      </c>
      <c r="J151" s="102">
        <f t="shared" si="42"/>
        <v>0.34666666666666668</v>
      </c>
    </row>
    <row r="152" spans="2:11">
      <c r="B152" s="101" t="s">
        <v>61</v>
      </c>
      <c r="E152" s="62"/>
      <c r="F152" s="102">
        <f>1-Instructions!D44</f>
        <v>0.30000000000000004</v>
      </c>
      <c r="G152" s="102">
        <f>F152</f>
        <v>0.30000000000000004</v>
      </c>
      <c r="H152" s="102">
        <f t="shared" ref="H152:J152" si="43">G152</f>
        <v>0.30000000000000004</v>
      </c>
      <c r="I152" s="102">
        <f t="shared" si="43"/>
        <v>0.30000000000000004</v>
      </c>
      <c r="J152" s="102">
        <f t="shared" si="43"/>
        <v>0.30000000000000004</v>
      </c>
    </row>
    <row r="153" spans="2:11">
      <c r="B153" s="96"/>
      <c r="E153" s="62"/>
      <c r="F153" s="62"/>
      <c r="G153" s="62"/>
      <c r="H153" s="62"/>
      <c r="I153" s="62"/>
      <c r="J153" s="62"/>
    </row>
    <row r="154" spans="2:11">
      <c r="B154" s="96" t="s">
        <v>156</v>
      </c>
      <c r="E154" s="62">
        <f>Instructions!D85</f>
        <v>-50</v>
      </c>
      <c r="F154" s="62">
        <f>-F141*F155</f>
        <v>-60.500000000000014</v>
      </c>
      <c r="G154" s="62">
        <f t="shared" ref="G154:J154" si="44">-G141*G155</f>
        <v>-66.550000000000026</v>
      </c>
      <c r="H154" s="62">
        <f t="shared" si="44"/>
        <v>-73.205000000000041</v>
      </c>
      <c r="I154" s="62">
        <f t="shared" si="44"/>
        <v>-80.525500000000051</v>
      </c>
      <c r="J154" s="62">
        <f t="shared" si="44"/>
        <v>-88.578050000000061</v>
      </c>
    </row>
    <row r="155" spans="2:11">
      <c r="B155" s="101" t="s">
        <v>168</v>
      </c>
      <c r="E155" s="62"/>
      <c r="F155" s="47">
        <f>CHOOSE($C$127,F156,F157,F158)</f>
        <v>0.55000000000000004</v>
      </c>
      <c r="G155" s="47">
        <f t="shared" ref="G155:J155" si="45">CHOOSE($C$127,G156,G157,G158)</f>
        <v>0.55000000000000004</v>
      </c>
      <c r="H155" s="47">
        <f t="shared" si="45"/>
        <v>0.55000000000000004</v>
      </c>
      <c r="I155" s="47">
        <f t="shared" si="45"/>
        <v>0.55000000000000004</v>
      </c>
      <c r="J155" s="47">
        <f t="shared" si="45"/>
        <v>0.55000000000000004</v>
      </c>
    </row>
    <row r="156" spans="2:11">
      <c r="B156" s="101" t="s">
        <v>23</v>
      </c>
      <c r="E156" s="62"/>
      <c r="F156" s="102">
        <f>1-Instructions!D97</f>
        <v>0.55000000000000004</v>
      </c>
      <c r="G156" s="102">
        <f>F156</f>
        <v>0.55000000000000004</v>
      </c>
      <c r="H156" s="102">
        <f t="shared" ref="H156:J156" si="46">G156</f>
        <v>0.55000000000000004</v>
      </c>
      <c r="I156" s="102">
        <f t="shared" si="46"/>
        <v>0.55000000000000004</v>
      </c>
      <c r="J156" s="102">
        <f t="shared" si="46"/>
        <v>0.55000000000000004</v>
      </c>
    </row>
    <row r="157" spans="2:11">
      <c r="B157" s="101" t="s">
        <v>24</v>
      </c>
      <c r="E157" s="62"/>
      <c r="F157" s="102">
        <f>1-Instructions!D98</f>
        <v>0.5</v>
      </c>
      <c r="G157" s="102">
        <f t="shared" ref="G157:J158" si="47">F157</f>
        <v>0.5</v>
      </c>
      <c r="H157" s="102">
        <f t="shared" si="47"/>
        <v>0.5</v>
      </c>
      <c r="I157" s="102">
        <f t="shared" si="47"/>
        <v>0.5</v>
      </c>
      <c r="J157" s="102">
        <f t="shared" si="47"/>
        <v>0.5</v>
      </c>
    </row>
    <row r="158" spans="2:11">
      <c r="B158" s="101" t="s">
        <v>61</v>
      </c>
      <c r="E158" s="62"/>
      <c r="F158" s="102">
        <f>1-Instructions!D99</f>
        <v>0.44999999999999996</v>
      </c>
      <c r="G158" s="102">
        <f t="shared" si="47"/>
        <v>0.44999999999999996</v>
      </c>
      <c r="H158" s="102">
        <f t="shared" si="47"/>
        <v>0.44999999999999996</v>
      </c>
      <c r="I158" s="102">
        <f t="shared" si="47"/>
        <v>0.44999999999999996</v>
      </c>
      <c r="J158" s="102">
        <f t="shared" si="47"/>
        <v>0.44999999999999996</v>
      </c>
    </row>
    <row r="159" spans="2:11">
      <c r="E159" s="62"/>
      <c r="F159" s="62"/>
      <c r="G159" s="62"/>
      <c r="H159" s="62"/>
      <c r="I159" s="62"/>
      <c r="J159" s="62"/>
    </row>
    <row r="160" spans="2:11">
      <c r="B160" s="97" t="s">
        <v>157</v>
      </c>
      <c r="C160" s="72"/>
      <c r="D160" s="72"/>
      <c r="E160" s="93">
        <f>E135+E147</f>
        <v>735</v>
      </c>
      <c r="F160" s="93">
        <f>F135+F147</f>
        <v>730.125</v>
      </c>
      <c r="G160" s="93">
        <f t="shared" ref="G160:J160" si="48">G135+G147</f>
        <v>803.13750000000005</v>
      </c>
      <c r="H160" s="93">
        <f t="shared" si="48"/>
        <v>883.4512500000003</v>
      </c>
      <c r="I160" s="93">
        <f t="shared" si="48"/>
        <v>971.79637500000035</v>
      </c>
      <c r="J160" s="93">
        <f t="shared" si="48"/>
        <v>1068.9760125000007</v>
      </c>
      <c r="K160" s="94"/>
    </row>
    <row r="161" spans="2:11">
      <c r="B161" s="33"/>
      <c r="E161" s="62"/>
      <c r="F161" s="62"/>
      <c r="G161" s="62"/>
      <c r="H161" s="62"/>
      <c r="I161" s="62"/>
      <c r="J161" s="62"/>
    </row>
    <row r="162" spans="2:11">
      <c r="B162" s="35" t="s">
        <v>158</v>
      </c>
      <c r="C162" s="35"/>
      <c r="D162" s="35"/>
      <c r="E162" s="63">
        <f>E163+IF(E131=1,E169,0)</f>
        <v>-225</v>
      </c>
      <c r="F162" s="63">
        <f>F163+IF(F131=1,F169,0)</f>
        <v>-288.75</v>
      </c>
      <c r="G162" s="63">
        <f>G163+IF(G131=1,G169,0)</f>
        <v>-317.625</v>
      </c>
      <c r="H162" s="63">
        <f>H163+IF(H131=1,H169,0)</f>
        <v>-349.3875000000001</v>
      </c>
      <c r="I162" s="63">
        <f>I163+IF(I131=1,I169,0)</f>
        <v>-384.32625000000007</v>
      </c>
      <c r="J162" s="63">
        <f>J163+IF(J131=1,J169,0)</f>
        <v>-422.75887500000016</v>
      </c>
    </row>
    <row r="163" spans="2:11">
      <c r="B163" s="96" t="s">
        <v>159</v>
      </c>
      <c r="E163" s="62">
        <f>Instructions!D26</f>
        <v>-225</v>
      </c>
      <c r="F163" s="62">
        <f>-F136*F164</f>
        <v>-272.25</v>
      </c>
      <c r="G163" s="62">
        <f t="shared" ref="G163:J163" si="49">-G136*G164</f>
        <v>-299.47500000000002</v>
      </c>
      <c r="H163" s="62">
        <f t="shared" si="49"/>
        <v>-329.42250000000007</v>
      </c>
      <c r="I163" s="62">
        <f t="shared" si="49"/>
        <v>-362.36475000000007</v>
      </c>
      <c r="J163" s="62">
        <f t="shared" si="49"/>
        <v>-398.60122500000017</v>
      </c>
    </row>
    <row r="164" spans="2:11">
      <c r="B164" s="101" t="s">
        <v>169</v>
      </c>
      <c r="E164" s="62"/>
      <c r="F164" s="47">
        <f>CHOOSE($C$126,F165,F166,F167)</f>
        <v>0.22</v>
      </c>
      <c r="G164" s="47">
        <f t="shared" ref="G164:J164" si="50">CHOOSE($C$126,G165,G166,G167)</f>
        <v>0.22</v>
      </c>
      <c r="H164" s="47">
        <f t="shared" si="50"/>
        <v>0.22</v>
      </c>
      <c r="I164" s="47">
        <f t="shared" si="50"/>
        <v>0.22</v>
      </c>
      <c r="J164" s="47">
        <f t="shared" si="50"/>
        <v>0.22</v>
      </c>
    </row>
    <row r="165" spans="2:11">
      <c r="B165" s="101" t="s">
        <v>23</v>
      </c>
      <c r="E165" s="62"/>
      <c r="F165" s="102">
        <f>Instructions!D47</f>
        <v>0.22</v>
      </c>
      <c r="G165" s="102">
        <f>F165</f>
        <v>0.22</v>
      </c>
      <c r="H165" s="102">
        <f t="shared" ref="H165:J167" si="51">G165</f>
        <v>0.22</v>
      </c>
      <c r="I165" s="102">
        <f t="shared" si="51"/>
        <v>0.22</v>
      </c>
      <c r="J165" s="102">
        <f t="shared" si="51"/>
        <v>0.22</v>
      </c>
    </row>
    <row r="166" spans="2:11">
      <c r="B166" s="101" t="s">
        <v>24</v>
      </c>
      <c r="E166" s="62"/>
      <c r="F166" s="102">
        <f>Instructions!D48</f>
        <v>0.2</v>
      </c>
      <c r="G166" s="102">
        <f>F166</f>
        <v>0.2</v>
      </c>
      <c r="H166" s="102">
        <f t="shared" si="51"/>
        <v>0.2</v>
      </c>
      <c r="I166" s="102">
        <f t="shared" si="51"/>
        <v>0.2</v>
      </c>
      <c r="J166" s="102">
        <f t="shared" si="51"/>
        <v>0.2</v>
      </c>
    </row>
    <row r="167" spans="2:11">
      <c r="B167" s="101" t="s">
        <v>61</v>
      </c>
      <c r="E167" s="62"/>
      <c r="F167" s="102">
        <f>Instructions!D49</f>
        <v>0.18</v>
      </c>
      <c r="G167" s="102">
        <f>F167</f>
        <v>0.18</v>
      </c>
      <c r="H167" s="102">
        <f t="shared" si="51"/>
        <v>0.18</v>
      </c>
      <c r="I167" s="102">
        <f t="shared" si="51"/>
        <v>0.18</v>
      </c>
      <c r="J167" s="102">
        <f t="shared" si="51"/>
        <v>0.18</v>
      </c>
    </row>
    <row r="168" spans="2:11">
      <c r="B168" s="96"/>
      <c r="E168" s="62"/>
      <c r="F168" s="62"/>
      <c r="G168" s="62"/>
      <c r="H168" s="62"/>
      <c r="I168" s="62"/>
      <c r="J168" s="62"/>
    </row>
    <row r="169" spans="2:11">
      <c r="B169" s="96" t="s">
        <v>160</v>
      </c>
      <c r="E169" s="62">
        <f>Instructions!D87</f>
        <v>-15</v>
      </c>
      <c r="F169" s="62">
        <f>F141*F170</f>
        <v>-16.5</v>
      </c>
      <c r="G169" s="62">
        <f t="shared" ref="G169:J169" si="52">G141*G170</f>
        <v>-18.150000000000002</v>
      </c>
      <c r="H169" s="62">
        <f t="shared" si="52"/>
        <v>-19.965000000000007</v>
      </c>
      <c r="I169" s="62">
        <f t="shared" si="52"/>
        <v>-21.961500000000012</v>
      </c>
      <c r="J169" s="62">
        <f t="shared" si="52"/>
        <v>-24.157650000000015</v>
      </c>
    </row>
    <row r="170" spans="2:11">
      <c r="B170" s="101" t="s">
        <v>169</v>
      </c>
      <c r="E170" s="102">
        <f>E169/E141</f>
        <v>-0.15</v>
      </c>
      <c r="F170" s="102">
        <f>E170</f>
        <v>-0.15</v>
      </c>
      <c r="G170" s="102">
        <f t="shared" ref="G170:J170" si="53">F170</f>
        <v>-0.15</v>
      </c>
      <c r="H170" s="102">
        <f t="shared" si="53"/>
        <v>-0.15</v>
      </c>
      <c r="I170" s="102">
        <f t="shared" si="53"/>
        <v>-0.15</v>
      </c>
      <c r="J170" s="102">
        <f t="shared" si="53"/>
        <v>-0.15</v>
      </c>
    </row>
    <row r="171" spans="2:11">
      <c r="B171" s="96"/>
      <c r="E171" s="62"/>
      <c r="F171" s="62"/>
      <c r="G171" s="62"/>
      <c r="H171" s="62"/>
      <c r="I171" s="62"/>
      <c r="J171" s="62"/>
    </row>
    <row r="172" spans="2:11">
      <c r="B172" s="97" t="s">
        <v>14</v>
      </c>
      <c r="C172" s="72"/>
      <c r="D172" s="72"/>
      <c r="E172" s="93">
        <f>E160+E162</f>
        <v>510</v>
      </c>
      <c r="F172" s="93">
        <f t="shared" ref="F172:J172" si="54">F160+F162</f>
        <v>441.375</v>
      </c>
      <c r="G172" s="93">
        <f t="shared" si="54"/>
        <v>485.51250000000005</v>
      </c>
      <c r="H172" s="93">
        <f t="shared" si="54"/>
        <v>534.06375000000025</v>
      </c>
      <c r="I172" s="93">
        <f t="shared" si="54"/>
        <v>587.47012500000028</v>
      </c>
      <c r="J172" s="93">
        <f>J160+J162</f>
        <v>646.21713750000049</v>
      </c>
      <c r="K172" s="94"/>
    </row>
    <row r="173" spans="2:11">
      <c r="B173" s="110" t="s">
        <v>192</v>
      </c>
      <c r="C173" s="104"/>
      <c r="D173" s="104"/>
      <c r="E173" s="111">
        <f>E141+E154+E169</f>
        <v>35</v>
      </c>
      <c r="F173" s="111">
        <f t="shared" ref="F173:J173" si="55">F141+F154+F169</f>
        <v>33</v>
      </c>
      <c r="G173" s="111">
        <f t="shared" si="55"/>
        <v>36.299999999999997</v>
      </c>
      <c r="H173" s="111">
        <f t="shared" si="55"/>
        <v>39.930000000000007</v>
      </c>
      <c r="I173" s="111">
        <f t="shared" si="55"/>
        <v>43.923000000000016</v>
      </c>
      <c r="J173" s="111">
        <f t="shared" si="55"/>
        <v>48.315300000000022</v>
      </c>
      <c r="K173" s="104"/>
    </row>
    <row r="174" spans="2:11">
      <c r="B174" s="33"/>
      <c r="E174" s="62"/>
      <c r="F174" s="62"/>
      <c r="G174" s="62"/>
      <c r="H174" s="62"/>
      <c r="I174" s="62"/>
      <c r="J174" s="62"/>
    </row>
    <row r="175" spans="2:11">
      <c r="B175" s="35" t="s">
        <v>162</v>
      </c>
      <c r="C175" s="35"/>
      <c r="D175" s="35"/>
      <c r="E175" s="63">
        <f>E176+E180+E178+E179</f>
        <v>-30</v>
      </c>
      <c r="F175" s="63">
        <f>F176+F180+F178+F179</f>
        <v>-82.25</v>
      </c>
      <c r="G175" s="63">
        <f>G176+G180+G178+G179</f>
        <v>-85.550000000000011</v>
      </c>
      <c r="H175" s="63">
        <f>H176+H180+H178+H179</f>
        <v>-89.18</v>
      </c>
      <c r="I175" s="63">
        <f>I176+I180+I178+I179</f>
        <v>-93.173000000000016</v>
      </c>
      <c r="J175" s="63">
        <f>J176+J180+J178+J179</f>
        <v>-97.565300000000022</v>
      </c>
    </row>
    <row r="176" spans="2:11">
      <c r="B176" s="96" t="s">
        <v>163</v>
      </c>
      <c r="E176" s="62">
        <f>Instructions!D28</f>
        <v>-30</v>
      </c>
      <c r="F176" s="62">
        <f>F177*F136</f>
        <v>-33</v>
      </c>
      <c r="G176" s="62">
        <f t="shared" ref="G176:J176" si="56">G177*G136</f>
        <v>-36.300000000000004</v>
      </c>
      <c r="H176" s="62">
        <f t="shared" si="56"/>
        <v>-39.930000000000007</v>
      </c>
      <c r="I176" s="62">
        <f t="shared" si="56"/>
        <v>-43.923000000000016</v>
      </c>
      <c r="J176" s="62">
        <f>J177*J136</f>
        <v>-48.315300000000022</v>
      </c>
    </row>
    <row r="177" spans="2:11">
      <c r="B177" s="101" t="s">
        <v>169</v>
      </c>
      <c r="E177" s="102">
        <f>E176/E136</f>
        <v>-2.6666666666666668E-2</v>
      </c>
      <c r="F177" s="47">
        <f>E177</f>
        <v>-2.6666666666666668E-2</v>
      </c>
      <c r="G177" s="47">
        <f t="shared" ref="G177:J177" si="57">F177</f>
        <v>-2.6666666666666668E-2</v>
      </c>
      <c r="H177" s="47">
        <f t="shared" si="57"/>
        <v>-2.6666666666666668E-2</v>
      </c>
      <c r="I177" s="47">
        <f t="shared" si="57"/>
        <v>-2.6666666666666668E-2</v>
      </c>
      <c r="J177" s="47">
        <f>I177</f>
        <v>-2.6666666666666668E-2</v>
      </c>
    </row>
    <row r="178" spans="2:11">
      <c r="B178" s="96" t="s">
        <v>195</v>
      </c>
      <c r="E178" s="102"/>
      <c r="F178" s="62">
        <f>-$G$74</f>
        <v>-7.5</v>
      </c>
      <c r="G178" s="62">
        <f t="shared" ref="G178:J178" si="58">-$G$74</f>
        <v>-7.5</v>
      </c>
      <c r="H178" s="62">
        <f t="shared" si="58"/>
        <v>-7.5</v>
      </c>
      <c r="I178" s="62">
        <f t="shared" si="58"/>
        <v>-7.5</v>
      </c>
      <c r="J178" s="62">
        <f>-$G$74</f>
        <v>-7.5</v>
      </c>
    </row>
    <row r="179" spans="2:11">
      <c r="B179" s="103" t="s">
        <v>196</v>
      </c>
      <c r="C179" s="35"/>
      <c r="D179" s="35"/>
      <c r="E179" s="113"/>
      <c r="F179" s="63">
        <f>-$J$74</f>
        <v>-41.75</v>
      </c>
      <c r="G179" s="63">
        <f t="shared" ref="G179:J179" si="59">-$J$74</f>
        <v>-41.75</v>
      </c>
      <c r="H179" s="63">
        <f t="shared" si="59"/>
        <v>-41.75</v>
      </c>
      <c r="I179" s="63">
        <f t="shared" si="59"/>
        <v>-41.75</v>
      </c>
      <c r="J179" s="63">
        <f>-$J$74</f>
        <v>-41.75</v>
      </c>
    </row>
    <row r="180" spans="2:11">
      <c r="B180" s="96" t="s">
        <v>164</v>
      </c>
      <c r="E180" s="62">
        <v>0</v>
      </c>
      <c r="F180" s="62">
        <v>0</v>
      </c>
      <c r="G180" s="62">
        <v>0</v>
      </c>
      <c r="H180" s="62">
        <v>0</v>
      </c>
      <c r="I180" s="62">
        <v>0</v>
      </c>
      <c r="J180" s="62">
        <v>0</v>
      </c>
    </row>
    <row r="181" spans="2:11">
      <c r="B181" s="96"/>
      <c r="E181" s="62"/>
      <c r="F181" s="62"/>
      <c r="G181" s="62"/>
      <c r="H181" s="62"/>
      <c r="I181" s="62"/>
      <c r="J181" s="62"/>
    </row>
    <row r="182" spans="2:11">
      <c r="B182" s="97" t="s">
        <v>16</v>
      </c>
      <c r="C182" s="72"/>
      <c r="D182" s="72"/>
      <c r="E182" s="93">
        <f>E172+E175</f>
        <v>480</v>
      </c>
      <c r="F182" s="93">
        <f>F172+F175</f>
        <v>359.125</v>
      </c>
      <c r="G182" s="93">
        <f>G172+G175</f>
        <v>399.96250000000003</v>
      </c>
      <c r="H182" s="93">
        <f>H172+H175</f>
        <v>444.88375000000025</v>
      </c>
      <c r="I182" s="93">
        <f>I172+I175</f>
        <v>494.29712500000028</v>
      </c>
      <c r="J182" s="93">
        <f>J172+J175</f>
        <v>548.65183750000051</v>
      </c>
    </row>
    <row r="183" spans="2:11">
      <c r="B183" s="96"/>
      <c r="E183" s="62"/>
      <c r="F183" s="62"/>
      <c r="G183" s="62"/>
      <c r="H183" s="62"/>
      <c r="I183" s="62"/>
      <c r="J183" s="62"/>
    </row>
    <row r="184" spans="2:11">
      <c r="B184" s="45" t="s">
        <v>197</v>
      </c>
      <c r="E184" s="62">
        <v>0</v>
      </c>
      <c r="F184" s="62">
        <f>-$G$45</f>
        <v>-5.8285714285714292</v>
      </c>
      <c r="G184" s="62">
        <f>-$G$45</f>
        <v>-5.8285714285714292</v>
      </c>
      <c r="H184" s="62">
        <f>-$G$45</f>
        <v>-5.8285714285714292</v>
      </c>
      <c r="I184" s="62">
        <f t="shared" ref="G184:J184" si="60">-$G$45</f>
        <v>-5.8285714285714292</v>
      </c>
      <c r="J184" s="62">
        <f>-$G$45</f>
        <v>-5.8285714285714292</v>
      </c>
    </row>
    <row r="185" spans="2:11">
      <c r="B185" s="45" t="s">
        <v>165</v>
      </c>
      <c r="E185" s="62">
        <f>Instructions!D30</f>
        <v>-11.25</v>
      </c>
      <c r="F185" s="106">
        <f ca="1">-F277</f>
        <v>-103.76308011613665</v>
      </c>
      <c r="G185" s="106">
        <f ca="1">-G277</f>
        <v>-108.35298325913617</v>
      </c>
      <c r="H185" s="106">
        <f ca="1">-H277</f>
        <v>-105.89960773783619</v>
      </c>
      <c r="I185" s="106">
        <f t="shared" ref="G185:J185" ca="1" si="61">-I277</f>
        <v>-101.52758160062278</v>
      </c>
      <c r="J185" s="106">
        <f ca="1">-J277</f>
        <v>-94.681501281105568</v>
      </c>
    </row>
    <row r="186" spans="2:11">
      <c r="B186" s="45" t="s">
        <v>198</v>
      </c>
      <c r="E186" s="62">
        <v>0</v>
      </c>
      <c r="F186" s="106">
        <f>-F278</f>
        <v>-28.049999999999997</v>
      </c>
      <c r="G186" s="106">
        <f>-G278</f>
        <v>-29.592749999999995</v>
      </c>
      <c r="H186" s="106">
        <f>-H278</f>
        <v>-31.220351249999997</v>
      </c>
      <c r="I186" s="106">
        <f t="shared" ref="G186:J186" si="62">-I278</f>
        <v>-32.937470568749994</v>
      </c>
      <c r="J186" s="106">
        <f>-J278</f>
        <v>-34.749031450031246</v>
      </c>
    </row>
    <row r="187" spans="2:11">
      <c r="E187" s="62"/>
      <c r="F187" s="62"/>
      <c r="G187" s="62"/>
      <c r="H187" s="62"/>
      <c r="I187" s="62"/>
      <c r="J187" s="62"/>
    </row>
    <row r="188" spans="2:11">
      <c r="B188" s="97" t="s">
        <v>18</v>
      </c>
      <c r="C188" s="72"/>
      <c r="D188" s="72"/>
      <c r="E188" s="93">
        <f>E182+E185+E186+E184</f>
        <v>468.75</v>
      </c>
      <c r="F188" s="93">
        <f ca="1">F182+F185+F186+F184</f>
        <v>221.48334845529195</v>
      </c>
      <c r="G188" s="93">
        <f t="shared" ref="G188:J188" ca="1" si="63">G182+G185+G186+G184</f>
        <v>256.18819531229246</v>
      </c>
      <c r="H188" s="93">
        <f t="shared" ca="1" si="63"/>
        <v>301.93521958359258</v>
      </c>
      <c r="I188" s="93">
        <f t="shared" ca="1" si="63"/>
        <v>354.00350140205609</v>
      </c>
      <c r="J188" s="93">
        <f ca="1">J182+J185+J186+J184</f>
        <v>413.3927333402923</v>
      </c>
    </row>
    <row r="189" spans="2:11">
      <c r="E189" s="62"/>
      <c r="F189" s="62"/>
      <c r="G189" s="62"/>
      <c r="H189" s="62"/>
      <c r="I189" s="62"/>
      <c r="J189" s="62"/>
    </row>
    <row r="190" spans="2:11">
      <c r="B190" s="31" t="s">
        <v>28</v>
      </c>
      <c r="E190" s="62">
        <f>Instructions!D32</f>
        <v>-117.1875</v>
      </c>
      <c r="F190" s="62">
        <f ca="1">-F188*Instructions!$D$54</f>
        <v>-55.370837113822986</v>
      </c>
      <c r="G190" s="62">
        <f ca="1">-G188*Instructions!$D$54</f>
        <v>-64.047048828073116</v>
      </c>
      <c r="H190" s="62">
        <f ca="1">-H188*Instructions!$D$54</f>
        <v>-75.483804895898146</v>
      </c>
      <c r="I190" s="62">
        <f ca="1">-I188*Instructions!$D$54</f>
        <v>-88.500875350514022</v>
      </c>
      <c r="J190" s="62">
        <f ca="1">-J188*Instructions!$D$54</f>
        <v>-103.34818333507307</v>
      </c>
    </row>
    <row r="191" spans="2:11">
      <c r="E191" s="62"/>
      <c r="F191" s="62"/>
      <c r="G191" s="62"/>
      <c r="H191" s="62"/>
      <c r="I191" s="62"/>
      <c r="J191" s="62"/>
    </row>
    <row r="192" spans="2:11">
      <c r="B192" s="98" t="s">
        <v>166</v>
      </c>
      <c r="C192" s="99"/>
      <c r="D192" s="99"/>
      <c r="E192" s="100">
        <f>E188+E190</f>
        <v>351.5625</v>
      </c>
      <c r="F192" s="100">
        <f ca="1">F188+F190</f>
        <v>166.11251134146897</v>
      </c>
      <c r="G192" s="100">
        <f t="shared" ref="F192:J192" ca="1" si="64">G188+G190</f>
        <v>192.14114648421935</v>
      </c>
      <c r="H192" s="100">
        <f t="shared" ca="1" si="64"/>
        <v>226.45141468769444</v>
      </c>
      <c r="I192" s="100">
        <f t="shared" ca="1" si="64"/>
        <v>265.50262605154205</v>
      </c>
      <c r="J192" s="100">
        <f t="shared" ca="1" si="64"/>
        <v>310.04455000521921</v>
      </c>
      <c r="K192" s="94"/>
    </row>
    <row r="194" spans="1:10" customFormat="1">
      <c r="A194" s="30" t="s">
        <v>75</v>
      </c>
      <c r="B194" s="36" t="s">
        <v>77</v>
      </c>
      <c r="C194" s="37"/>
      <c r="D194" s="37"/>
      <c r="E194" s="37"/>
      <c r="F194" s="37"/>
      <c r="G194" s="37"/>
      <c r="H194" s="37"/>
      <c r="I194" s="37"/>
      <c r="J194" s="37"/>
    </row>
    <row r="196" spans="1:10">
      <c r="B196" s="31" t="s">
        <v>166</v>
      </c>
      <c r="F196" s="62">
        <f ca="1">F192</f>
        <v>166.11251134146897</v>
      </c>
      <c r="G196" s="62">
        <f t="shared" ref="G196:J196" ca="1" si="65">G192</f>
        <v>192.14114648421935</v>
      </c>
      <c r="H196" s="62">
        <f t="shared" ca="1" si="65"/>
        <v>226.45141468769444</v>
      </c>
      <c r="I196" s="62">
        <f t="shared" ca="1" si="65"/>
        <v>265.50262605154205</v>
      </c>
      <c r="J196" s="62">
        <f t="shared" ca="1" si="65"/>
        <v>310.04455000521921</v>
      </c>
    </row>
    <row r="197" spans="1:10">
      <c r="B197" s="31" t="s">
        <v>172</v>
      </c>
      <c r="F197" s="62">
        <f>-F176</f>
        <v>33</v>
      </c>
      <c r="G197" s="62">
        <f>-G176</f>
        <v>36.300000000000004</v>
      </c>
      <c r="H197" s="62">
        <f>-H176</f>
        <v>39.930000000000007</v>
      </c>
      <c r="I197" s="62">
        <f>-I176</f>
        <v>43.923000000000016</v>
      </c>
      <c r="J197" s="62">
        <f>-J176</f>
        <v>48.315300000000022</v>
      </c>
    </row>
    <row r="198" spans="1:10">
      <c r="B198" s="31" t="s">
        <v>173</v>
      </c>
      <c r="F198" s="62">
        <f>-F178</f>
        <v>7.5</v>
      </c>
      <c r="G198" s="62">
        <f>-G178</f>
        <v>7.5</v>
      </c>
      <c r="H198" s="62">
        <f>-H178</f>
        <v>7.5</v>
      </c>
      <c r="I198" s="62">
        <f>-I178</f>
        <v>7.5</v>
      </c>
      <c r="J198" s="62">
        <f>-J178</f>
        <v>7.5</v>
      </c>
    </row>
    <row r="199" spans="1:10">
      <c r="B199" s="31" t="s">
        <v>174</v>
      </c>
      <c r="F199" s="62">
        <f>-F179</f>
        <v>41.75</v>
      </c>
      <c r="G199" s="62">
        <f>-G179</f>
        <v>41.75</v>
      </c>
      <c r="H199" s="62">
        <f>-H179</f>
        <v>41.75</v>
      </c>
      <c r="I199" s="62">
        <f>-I179</f>
        <v>41.75</v>
      </c>
      <c r="J199" s="62">
        <f>-J179</f>
        <v>41.75</v>
      </c>
    </row>
    <row r="200" spans="1:10">
      <c r="B200" s="31" t="s">
        <v>175</v>
      </c>
      <c r="F200" s="62">
        <f>-F184</f>
        <v>5.8285714285714292</v>
      </c>
      <c r="G200" s="62">
        <f t="shared" ref="G200:J200" si="66">-G184</f>
        <v>5.8285714285714292</v>
      </c>
      <c r="H200" s="62">
        <f t="shared" si="66"/>
        <v>5.8285714285714292</v>
      </c>
      <c r="I200" s="62">
        <f t="shared" si="66"/>
        <v>5.8285714285714292</v>
      </c>
      <c r="J200" s="62">
        <f>-J184</f>
        <v>5.8285714285714292</v>
      </c>
    </row>
    <row r="201" spans="1:10">
      <c r="B201" s="31" t="s">
        <v>176</v>
      </c>
      <c r="F201" s="106">
        <f>F278</f>
        <v>28.049999999999997</v>
      </c>
      <c r="G201" s="106">
        <f t="shared" ref="G201:J201" si="67">G278</f>
        <v>29.592749999999995</v>
      </c>
      <c r="H201" s="106">
        <f t="shared" si="67"/>
        <v>31.220351249999997</v>
      </c>
      <c r="I201" s="106">
        <f t="shared" si="67"/>
        <v>32.937470568749994</v>
      </c>
      <c r="J201" s="106">
        <f>J278</f>
        <v>34.749031450031246</v>
      </c>
    </row>
    <row r="202" spans="1:10">
      <c r="B202" s="31" t="s">
        <v>179</v>
      </c>
      <c r="F202" s="62">
        <f>-$G$76-$J$76</f>
        <v>-12.3125</v>
      </c>
      <c r="G202" s="62">
        <f t="shared" ref="G202:J202" si="68">-$G$76-$J$76</f>
        <v>-12.3125</v>
      </c>
      <c r="H202" s="62">
        <f t="shared" si="68"/>
        <v>-12.3125</v>
      </c>
      <c r="I202" s="62">
        <f t="shared" si="68"/>
        <v>-12.3125</v>
      </c>
      <c r="J202" s="62">
        <f>-$G$76-$J$76</f>
        <v>-12.3125</v>
      </c>
    </row>
    <row r="203" spans="1:10">
      <c r="B203" s="35" t="s">
        <v>177</v>
      </c>
      <c r="C203" s="35"/>
      <c r="D203" s="35"/>
      <c r="E203" s="35"/>
      <c r="F203" s="63">
        <f>-Instructions!$D$52*Model!F135</f>
        <v>-67.375</v>
      </c>
      <c r="G203" s="63">
        <f>-Instructions!$D$52*Model!G135</f>
        <v>-74.112499999999997</v>
      </c>
      <c r="H203" s="63">
        <f>-Instructions!$D$52*Model!H135</f>
        <v>-81.523750000000021</v>
      </c>
      <c r="I203" s="63">
        <f>-Instructions!$D$52*Model!I135</f>
        <v>-89.676125000000027</v>
      </c>
      <c r="J203" s="63">
        <f>-Instructions!$D$52*Model!J135</f>
        <v>-98.643737500000043</v>
      </c>
    </row>
    <row r="204" spans="1:10">
      <c r="B204" s="33" t="s">
        <v>178</v>
      </c>
      <c r="F204" s="64">
        <f ca="1">SUM(F196:F203)</f>
        <v>202.55358277004041</v>
      </c>
      <c r="G204" s="64">
        <f ca="1">SUM(G196:G203)</f>
        <v>226.68746791279074</v>
      </c>
      <c r="H204" s="64">
        <f ca="1">SUM(H196:H203)</f>
        <v>258.84408736626591</v>
      </c>
      <c r="I204" s="64">
        <f ca="1">SUM(I196:I203)</f>
        <v>295.45304304886344</v>
      </c>
      <c r="J204" s="64">
        <f ca="1">SUM(J196:J203)</f>
        <v>337.23121538382185</v>
      </c>
    </row>
    <row r="206" spans="1:10">
      <c r="B206" s="31" t="s">
        <v>181</v>
      </c>
      <c r="F206" s="62">
        <f>-IF(F207=1,F133,0)</f>
        <v>-280.5</v>
      </c>
      <c r="G206" s="62">
        <f t="shared" ref="G206:J206" si="69">-IF(G207=1,G133,0)</f>
        <v>0</v>
      </c>
      <c r="H206" s="62">
        <f t="shared" si="69"/>
        <v>0</v>
      </c>
      <c r="I206" s="62">
        <f t="shared" si="69"/>
        <v>0</v>
      </c>
      <c r="J206" s="62">
        <f t="shared" si="69"/>
        <v>0</v>
      </c>
    </row>
    <row r="207" spans="1:10" outlineLevel="1">
      <c r="B207" s="105" t="s">
        <v>199</v>
      </c>
      <c r="F207" s="62">
        <f>IF(F1=$C$129,1,0)</f>
        <v>1</v>
      </c>
      <c r="G207" s="62">
        <f>IF(G1=$C$129,1,0)</f>
        <v>0</v>
      </c>
      <c r="H207" s="62">
        <f>IF(H1=$C$129,1,0)</f>
        <v>0</v>
      </c>
      <c r="I207" s="62">
        <f>IF(I1=$C$129,1,0)</f>
        <v>0</v>
      </c>
      <c r="J207" s="62">
        <f>IF(J1=$C$129,1,0)</f>
        <v>0</v>
      </c>
    </row>
    <row r="208" spans="1:10">
      <c r="B208" s="35" t="s">
        <v>180</v>
      </c>
      <c r="C208" s="35"/>
      <c r="D208" s="35"/>
      <c r="E208" s="35"/>
      <c r="F208" s="63">
        <f>-Instructions!$D$51*Model!F135</f>
        <v>-67.375</v>
      </c>
      <c r="G208" s="63">
        <f>-Instructions!$D$51*Model!G135</f>
        <v>-74.112499999999997</v>
      </c>
      <c r="H208" s="63">
        <f>-Instructions!$D$51*Model!H135</f>
        <v>-81.523750000000021</v>
      </c>
      <c r="I208" s="63">
        <f>-Instructions!$D$51*Model!I135</f>
        <v>-89.676125000000027</v>
      </c>
      <c r="J208" s="63">
        <f>-Instructions!$D$51*Model!J135</f>
        <v>-98.643737500000043</v>
      </c>
    </row>
    <row r="209" spans="1:11">
      <c r="B209" s="33" t="s">
        <v>182</v>
      </c>
      <c r="F209" s="64">
        <f>F208+F206</f>
        <v>-347.875</v>
      </c>
      <c r="G209" s="64">
        <f t="shared" ref="G209:J209" si="70">G208+G206</f>
        <v>-74.112499999999997</v>
      </c>
      <c r="H209" s="64">
        <f t="shared" si="70"/>
        <v>-81.523750000000021</v>
      </c>
      <c r="I209" s="64">
        <f t="shared" si="70"/>
        <v>-89.676125000000027</v>
      </c>
      <c r="J209" s="64">
        <f t="shared" si="70"/>
        <v>-98.643737500000043</v>
      </c>
    </row>
    <row r="211" spans="1:11">
      <c r="B211" s="31" t="s">
        <v>184</v>
      </c>
      <c r="F211" s="106">
        <f ca="1">F237</f>
        <v>221.82141722995959</v>
      </c>
      <c r="G211" s="106">
        <f t="shared" ref="G211:J211" ca="1" si="71">G237</f>
        <v>-76.074967912790726</v>
      </c>
      <c r="H211" s="106">
        <f t="shared" ca="1" si="71"/>
        <v>-100.8203373662659</v>
      </c>
      <c r="I211" s="106">
        <f t="shared" ca="1" si="71"/>
        <v>-44.926111950902964</v>
      </c>
      <c r="J211" s="106">
        <f t="shared" ca="1" si="71"/>
        <v>0</v>
      </c>
    </row>
    <row r="212" spans="1:11">
      <c r="B212" s="31" t="s">
        <v>185</v>
      </c>
      <c r="F212" s="106">
        <f ca="1">F252+F253</f>
        <v>-38.25</v>
      </c>
      <c r="G212" s="106">
        <f t="shared" ref="G212:J212" ca="1" si="72">G252+G253</f>
        <v>-38.25</v>
      </c>
      <c r="H212" s="106">
        <f t="shared" ca="1" si="72"/>
        <v>-38.25</v>
      </c>
      <c r="I212" s="106">
        <f t="shared" ca="1" si="72"/>
        <v>-122.60080609796046</v>
      </c>
      <c r="J212" s="106">
        <f t="shared" ca="1" si="72"/>
        <v>-200.3374778838218</v>
      </c>
    </row>
    <row r="213" spans="1:11">
      <c r="B213" s="31" t="s">
        <v>186</v>
      </c>
      <c r="F213" s="106">
        <f ca="1">F261+F262</f>
        <v>-38.25</v>
      </c>
      <c r="G213" s="106">
        <f t="shared" ref="G213:J213" ca="1" si="73">G261+G262</f>
        <v>-38.25</v>
      </c>
      <c r="H213" s="106">
        <f t="shared" ca="1" si="73"/>
        <v>-38.25</v>
      </c>
      <c r="I213" s="106">
        <f t="shared" ca="1" si="73"/>
        <v>-38.25</v>
      </c>
      <c r="J213" s="106">
        <f t="shared" ca="1" si="73"/>
        <v>-38.25</v>
      </c>
    </row>
    <row r="214" spans="1:11">
      <c r="B214" s="35" t="s">
        <v>187</v>
      </c>
      <c r="C214" s="35"/>
      <c r="D214" s="35"/>
      <c r="E214" s="35"/>
      <c r="F214" s="114">
        <v>0</v>
      </c>
      <c r="G214" s="114">
        <v>0</v>
      </c>
      <c r="H214" s="114">
        <v>0</v>
      </c>
      <c r="I214" s="114">
        <v>0</v>
      </c>
      <c r="J214" s="114">
        <v>0</v>
      </c>
    </row>
    <row r="215" spans="1:11">
      <c r="B215" s="33" t="s">
        <v>183</v>
      </c>
      <c r="F215" s="64">
        <f ca="1">SUM(F211:F214)</f>
        <v>145.32141722995959</v>
      </c>
      <c r="G215" s="64">
        <f ca="1">SUM(G211:G214)</f>
        <v>-152.57496791279073</v>
      </c>
      <c r="H215" s="64">
        <f ca="1">SUM(H211:H214)</f>
        <v>-177.3203373662659</v>
      </c>
      <c r="I215" s="64">
        <f ca="1">SUM(I211:I214)</f>
        <v>-205.77691804886342</v>
      </c>
      <c r="J215" s="64">
        <f ca="1">SUM(J211:J214)</f>
        <v>-238.5874778838218</v>
      </c>
    </row>
    <row r="217" spans="1:11">
      <c r="B217" s="107" t="s">
        <v>189</v>
      </c>
      <c r="C217" s="108"/>
      <c r="D217" s="108"/>
      <c r="E217" s="108"/>
      <c r="F217" s="115">
        <f ca="1">F204+F209</f>
        <v>-145.32141722995959</v>
      </c>
      <c r="G217" s="115">
        <f ca="1">G204+G209</f>
        <v>152.57496791279073</v>
      </c>
      <c r="H217" s="115">
        <f ca="1">H204+H209</f>
        <v>177.3203373662659</v>
      </c>
      <c r="I217" s="115">
        <f ca="1">I204+I209</f>
        <v>205.77691804886342</v>
      </c>
      <c r="J217" s="115">
        <f ca="1">J204+J209</f>
        <v>238.5874778838218</v>
      </c>
      <c r="K217" s="94"/>
    </row>
    <row r="218" spans="1:11">
      <c r="B218" s="109" t="s">
        <v>188</v>
      </c>
      <c r="C218" s="35"/>
      <c r="D218" s="35"/>
      <c r="E218" s="35"/>
      <c r="F218" s="116">
        <f ca="1">F217+F215</f>
        <v>0</v>
      </c>
      <c r="G218" s="116">
        <f ca="1">G217+G215</f>
        <v>0</v>
      </c>
      <c r="H218" s="116">
        <f ca="1">H217+H215</f>
        <v>0</v>
      </c>
      <c r="I218" s="116">
        <f ca="1">I217+I215</f>
        <v>0</v>
      </c>
      <c r="J218" s="116">
        <f ca="1">J217+J215</f>
        <v>0</v>
      </c>
      <c r="K218" s="94"/>
    </row>
    <row r="220" spans="1:11" customFormat="1">
      <c r="A220" s="30" t="s">
        <v>75</v>
      </c>
      <c r="B220" s="36" t="s">
        <v>78</v>
      </c>
      <c r="C220" s="37"/>
      <c r="D220" s="37"/>
      <c r="E220" s="37"/>
      <c r="F220" s="37"/>
      <c r="G220" s="37"/>
      <c r="H220" s="37"/>
      <c r="I220" s="37"/>
      <c r="J220" s="37"/>
    </row>
    <row r="222" spans="1:11">
      <c r="B222" s="39" t="s">
        <v>202</v>
      </c>
    </row>
    <row r="223" spans="1:11">
      <c r="B223" s="31" t="s">
        <v>189</v>
      </c>
      <c r="F223" s="62">
        <f ca="1">F217</f>
        <v>-145.32141722995959</v>
      </c>
      <c r="G223" s="62">
        <f t="shared" ref="G223:J223" ca="1" si="74">G217</f>
        <v>152.57496791279073</v>
      </c>
      <c r="H223" s="62">
        <f t="shared" ca="1" si="74"/>
        <v>177.3203373662659</v>
      </c>
      <c r="I223" s="62">
        <f t="shared" ca="1" si="74"/>
        <v>205.77691804886342</v>
      </c>
      <c r="J223" s="62">
        <f t="shared" ca="1" si="74"/>
        <v>238.5874778838218</v>
      </c>
    </row>
    <row r="224" spans="1:11">
      <c r="B224" s="35" t="s">
        <v>203</v>
      </c>
      <c r="C224" s="35"/>
      <c r="D224" s="35"/>
      <c r="E224" s="35"/>
      <c r="F224" s="63">
        <f>F252+F261</f>
        <v>-76.5</v>
      </c>
      <c r="G224" s="63">
        <f ca="1">G252+G261</f>
        <v>-76.5</v>
      </c>
      <c r="H224" s="63">
        <f t="shared" ref="G224:J224" ca="1" si="75">H252+H261</f>
        <v>-76.5</v>
      </c>
      <c r="I224" s="63">
        <f t="shared" ca="1" si="75"/>
        <v>-76.5</v>
      </c>
      <c r="J224" s="63">
        <f t="shared" ca="1" si="75"/>
        <v>-76.5</v>
      </c>
    </row>
    <row r="225" spans="2:10">
      <c r="B225" s="33" t="s">
        <v>204</v>
      </c>
      <c r="F225" s="64">
        <f ca="1">SUM(F223:F224)</f>
        <v>-221.82141722995959</v>
      </c>
      <c r="G225" s="64">
        <f t="shared" ref="G225:J225" ca="1" si="76">SUM(G223:G224)</f>
        <v>76.074967912790726</v>
      </c>
      <c r="H225" s="64">
        <f t="shared" ca="1" si="76"/>
        <v>100.8203373662659</v>
      </c>
      <c r="I225" s="64">
        <f t="shared" ca="1" si="76"/>
        <v>129.27691804886342</v>
      </c>
      <c r="J225" s="64">
        <f t="shared" ca="1" si="76"/>
        <v>162.0874778838218</v>
      </c>
    </row>
    <row r="226" spans="2:10">
      <c r="B226" s="35" t="s">
        <v>205</v>
      </c>
      <c r="C226" s="35"/>
      <c r="D226" s="35"/>
      <c r="E226" s="35"/>
      <c r="F226" s="63">
        <f ca="1">F237</f>
        <v>221.82141722995959</v>
      </c>
      <c r="G226" s="63">
        <f t="shared" ref="G226:J226" ca="1" si="77">G237</f>
        <v>-76.074967912790726</v>
      </c>
      <c r="H226" s="63">
        <f t="shared" ca="1" si="77"/>
        <v>-100.8203373662659</v>
      </c>
      <c r="I226" s="63">
        <f t="shared" ca="1" si="77"/>
        <v>-44.926111950902964</v>
      </c>
      <c r="J226" s="63">
        <f t="shared" ca="1" si="77"/>
        <v>0</v>
      </c>
    </row>
    <row r="227" spans="2:10">
      <c r="B227" s="33" t="s">
        <v>206</v>
      </c>
      <c r="F227" s="64">
        <f ca="1">SUM(F225:F226)</f>
        <v>0</v>
      </c>
      <c r="G227" s="64">
        <f t="shared" ref="G227:I227" ca="1" si="78">SUM(G225:G226)</f>
        <v>0</v>
      </c>
      <c r="H227" s="64">
        <f t="shared" ca="1" si="78"/>
        <v>0</v>
      </c>
      <c r="I227" s="64">
        <f t="shared" ca="1" si="78"/>
        <v>84.350806097960458</v>
      </c>
      <c r="J227" s="64">
        <f ca="1">SUM(J225:J226)</f>
        <v>162.0874778838218</v>
      </c>
    </row>
    <row r="228" spans="2:10">
      <c r="B228" s="35" t="s">
        <v>207</v>
      </c>
      <c r="C228" s="35"/>
      <c r="D228" s="35"/>
      <c r="E228" s="35"/>
      <c r="F228" s="63">
        <f ca="1">F253+F262</f>
        <v>0</v>
      </c>
      <c r="G228" s="63">
        <f ca="1">G253+G262</f>
        <v>0</v>
      </c>
      <c r="H228" s="63">
        <f ca="1">H253+H262</f>
        <v>0</v>
      </c>
      <c r="I228" s="63">
        <f ca="1">I253+I262</f>
        <v>-84.350806097960458</v>
      </c>
      <c r="J228" s="63">
        <f ca="1">J253+J262</f>
        <v>-162.0874778838218</v>
      </c>
    </row>
    <row r="229" spans="2:10">
      <c r="B229" s="33" t="s">
        <v>188</v>
      </c>
      <c r="F229" s="64">
        <f ca="1">SUM(F227:F228)</f>
        <v>0</v>
      </c>
      <c r="G229" s="64">
        <f t="shared" ref="G229:H229" ca="1" si="79">SUM(G227:G228)</f>
        <v>0</v>
      </c>
      <c r="H229" s="64">
        <f t="shared" ca="1" si="79"/>
        <v>0</v>
      </c>
      <c r="I229" s="64">
        <f ca="1">SUM(I227:I228)</f>
        <v>0</v>
      </c>
      <c r="J229" s="64">
        <f ca="1">SUM(J227:J228)</f>
        <v>0</v>
      </c>
    </row>
    <row r="231" spans="2:10">
      <c r="B231" s="31" t="s">
        <v>208</v>
      </c>
      <c r="F231" s="95">
        <f>C22</f>
        <v>10</v>
      </c>
      <c r="G231" s="65">
        <f ca="1">F233</f>
        <v>10</v>
      </c>
      <c r="H231" s="65">
        <f ca="1">G233</f>
        <v>10</v>
      </c>
      <c r="I231" s="65">
        <f ca="1">H233</f>
        <v>10</v>
      </c>
      <c r="J231" s="65">
        <f ca="1">I233</f>
        <v>10</v>
      </c>
    </row>
    <row r="232" spans="2:10">
      <c r="B232" s="35" t="s">
        <v>188</v>
      </c>
      <c r="C232" s="35"/>
      <c r="D232" s="35"/>
      <c r="E232" s="35"/>
      <c r="F232" s="63">
        <f ca="1">F229</f>
        <v>0</v>
      </c>
      <c r="G232" s="63">
        <f t="shared" ref="G232:J232" ca="1" si="80">G229</f>
        <v>0</v>
      </c>
      <c r="H232" s="63">
        <f t="shared" ca="1" si="80"/>
        <v>0</v>
      </c>
      <c r="I232" s="63">
        <f t="shared" ca="1" si="80"/>
        <v>0</v>
      </c>
      <c r="J232" s="63">
        <f t="shared" ca="1" si="80"/>
        <v>0</v>
      </c>
    </row>
    <row r="233" spans="2:10">
      <c r="B233" s="33" t="s">
        <v>209</v>
      </c>
      <c r="F233" s="64">
        <f ca="1">SUM(F231:F232)</f>
        <v>10</v>
      </c>
      <c r="G233" s="64">
        <f t="shared" ref="G233:J233" ca="1" si="81">SUM(G231:G232)</f>
        <v>10</v>
      </c>
      <c r="H233" s="64">
        <f t="shared" ca="1" si="81"/>
        <v>10</v>
      </c>
      <c r="I233" s="64">
        <f t="shared" ca="1" si="81"/>
        <v>10</v>
      </c>
      <c r="J233" s="64">
        <f t="shared" ca="1" si="81"/>
        <v>10</v>
      </c>
    </row>
    <row r="235" spans="2:10">
      <c r="B235" s="39" t="s">
        <v>38</v>
      </c>
    </row>
    <row r="236" spans="2:10">
      <c r="B236" s="31" t="s">
        <v>210</v>
      </c>
      <c r="F236" s="65">
        <v>0</v>
      </c>
      <c r="G236" s="65">
        <f ca="1">F238</f>
        <v>221.82141722995959</v>
      </c>
      <c r="H236" s="65">
        <f t="shared" ref="H236:J236" ca="1" si="82">G238</f>
        <v>145.74644931716887</v>
      </c>
      <c r="I236" s="65">
        <f t="shared" ca="1" si="82"/>
        <v>44.926111950902964</v>
      </c>
      <c r="J236" s="65">
        <f t="shared" ca="1" si="82"/>
        <v>0</v>
      </c>
    </row>
    <row r="237" spans="2:10">
      <c r="B237" s="35" t="s">
        <v>211</v>
      </c>
      <c r="C237" s="35"/>
      <c r="D237" s="35"/>
      <c r="E237" s="35"/>
      <c r="F237" s="63">
        <f ca="1">MIN(F241,-MIN(F236,F225))</f>
        <v>221.82141722995959</v>
      </c>
      <c r="G237" s="63">
        <f t="shared" ref="G237:J237" ca="1" si="83">MIN(G241,-MIN(G236,G225))</f>
        <v>-76.074967912790726</v>
      </c>
      <c r="H237" s="63">
        <f t="shared" ca="1" si="83"/>
        <v>-100.8203373662659</v>
      </c>
      <c r="I237" s="63">
        <f t="shared" ca="1" si="83"/>
        <v>-44.926111950902964</v>
      </c>
      <c r="J237" s="63">
        <f t="shared" ca="1" si="83"/>
        <v>0</v>
      </c>
    </row>
    <row r="238" spans="2:10">
      <c r="B238" s="33" t="s">
        <v>212</v>
      </c>
      <c r="F238" s="66">
        <f ca="1">SUM(F236:F237)</f>
        <v>221.82141722995959</v>
      </c>
      <c r="G238" s="66">
        <f t="shared" ref="G238:J238" ca="1" si="84">SUM(G236:G237)</f>
        <v>145.74644931716887</v>
      </c>
      <c r="H238" s="66">
        <f t="shared" ca="1" si="84"/>
        <v>44.926111950902964</v>
      </c>
      <c r="I238" s="66">
        <f t="shared" ca="1" si="84"/>
        <v>0</v>
      </c>
      <c r="J238" s="66">
        <f t="shared" ca="1" si="84"/>
        <v>0</v>
      </c>
    </row>
    <row r="240" spans="2:10">
      <c r="B240" s="31" t="s">
        <v>213</v>
      </c>
      <c r="F240" s="95">
        <v>1000</v>
      </c>
      <c r="G240" s="31">
        <f>F240</f>
        <v>1000</v>
      </c>
      <c r="H240" s="31">
        <f t="shared" ref="H240:J240" si="85">G240</f>
        <v>1000</v>
      </c>
      <c r="I240" s="31">
        <f t="shared" si="85"/>
        <v>1000</v>
      </c>
      <c r="J240" s="31">
        <f t="shared" si="85"/>
        <v>1000</v>
      </c>
    </row>
    <row r="241" spans="2:11">
      <c r="B241" s="31" t="s">
        <v>214</v>
      </c>
      <c r="F241" s="65">
        <f>F240-F236</f>
        <v>1000</v>
      </c>
      <c r="G241" s="65">
        <f t="shared" ref="G241:J241" ca="1" si="86">G240-G236</f>
        <v>778.17858277004041</v>
      </c>
      <c r="H241" s="65">
        <f t="shared" ca="1" si="86"/>
        <v>854.25355068283113</v>
      </c>
      <c r="I241" s="65">
        <f t="shared" ca="1" si="86"/>
        <v>955.07388804909704</v>
      </c>
      <c r="J241" s="65">
        <f t="shared" ca="1" si="86"/>
        <v>1000</v>
      </c>
    </row>
    <row r="242" spans="2:11">
      <c r="B242" s="31" t="s">
        <v>215</v>
      </c>
      <c r="F242" s="65">
        <f ca="1">F241-F238</f>
        <v>778.17858277004041</v>
      </c>
      <c r="G242" s="65">
        <f t="shared" ref="G242:J242" ca="1" si="87">G241-G238</f>
        <v>632.43213345287154</v>
      </c>
      <c r="H242" s="65">
        <f t="shared" ca="1" si="87"/>
        <v>809.32743873192817</v>
      </c>
      <c r="I242" s="65">
        <f t="shared" ca="1" si="87"/>
        <v>955.07388804909704</v>
      </c>
      <c r="J242" s="65">
        <f t="shared" ca="1" si="87"/>
        <v>1000</v>
      </c>
    </row>
    <row r="244" spans="2:11">
      <c r="B244" s="107" t="s">
        <v>216</v>
      </c>
      <c r="C244" s="124"/>
      <c r="D244" s="124"/>
      <c r="E244" s="124"/>
      <c r="F244" s="125">
        <f>$F$29+F38</f>
        <v>4.4999999999999998E-2</v>
      </c>
      <c r="G244" s="125">
        <f>$F$29+G38</f>
        <v>4.7E-2</v>
      </c>
      <c r="H244" s="125">
        <f>$F$29+H38</f>
        <v>4.9000000000000002E-2</v>
      </c>
      <c r="I244" s="125">
        <f>$F$29+I38</f>
        <v>5.1000000000000004E-2</v>
      </c>
      <c r="J244" s="126">
        <f>$F$29+J38</f>
        <v>5.2999999999999999E-2</v>
      </c>
    </row>
    <row r="245" spans="2:11">
      <c r="B245" s="109" t="s">
        <v>217</v>
      </c>
      <c r="C245" s="34"/>
      <c r="D245" s="34"/>
      <c r="E245" s="34"/>
      <c r="F245" s="116">
        <f ca="1">IF(circ="OFF",F244*AVERAGE(F236,F238),0)</f>
        <v>4.9909818876740903</v>
      </c>
      <c r="G245" s="116">
        <f ca="1">IF(circ="OFF",G244*AVERAGE(G236,G238),0)</f>
        <v>8.6378448638575183</v>
      </c>
      <c r="H245" s="116">
        <f ca="1">IF(circ="OFF",H244*AVERAGE(H236,H238),0)</f>
        <v>4.6714777510677603</v>
      </c>
      <c r="I245" s="116">
        <f ca="1">IF(circ="OFF",I244*AVERAGE(I236,I238),0)</f>
        <v>1.1456158547480257</v>
      </c>
      <c r="J245" s="123">
        <f ca="1">IF(circ="OFF",J244*AVERAGE(J236,J238),0)</f>
        <v>0</v>
      </c>
    </row>
    <row r="247" spans="2:11">
      <c r="B247" s="107" t="s">
        <v>103</v>
      </c>
      <c r="C247" s="124"/>
      <c r="D247" s="124"/>
      <c r="E247" s="124"/>
      <c r="F247" s="125">
        <f>$I$29</f>
        <v>2.5000000000000001E-3</v>
      </c>
      <c r="G247" s="125">
        <f t="shared" ref="G247:J247" si="88">$I$29</f>
        <v>2.5000000000000001E-3</v>
      </c>
      <c r="H247" s="125">
        <f t="shared" si="88"/>
        <v>2.5000000000000001E-3</v>
      </c>
      <c r="I247" s="125">
        <f t="shared" si="88"/>
        <v>2.5000000000000001E-3</v>
      </c>
      <c r="J247" s="126">
        <f t="shared" si="88"/>
        <v>2.5000000000000001E-3</v>
      </c>
    </row>
    <row r="248" spans="2:11">
      <c r="B248" s="109" t="s">
        <v>218</v>
      </c>
      <c r="C248" s="34"/>
      <c r="D248" s="34"/>
      <c r="E248" s="34"/>
      <c r="F248" s="116">
        <f ca="1">IF(circ="OFF",F247*AVERAGE(F241,F242),0)</f>
        <v>2.2227232284625509</v>
      </c>
      <c r="G248" s="116">
        <f ca="1">IF(circ="OFF",G247*AVERAGE(G241,G242),0)</f>
        <v>1.7632633952786398</v>
      </c>
      <c r="H248" s="116">
        <f ca="1">IF(circ="OFF",H247*AVERAGE(H241,H242),0)</f>
        <v>2.0794762367684489</v>
      </c>
      <c r="I248" s="116">
        <f ca="1">IF(circ="OFF",I247*AVERAGE(I241,I242),0)</f>
        <v>2.3876847201227425</v>
      </c>
      <c r="J248" s="123">
        <f ca="1">IF(circ="OFF",J247*AVERAGE(J241,J242),0)</f>
        <v>2.5</v>
      </c>
    </row>
    <row r="250" spans="2:11">
      <c r="B250" s="39" t="s">
        <v>104</v>
      </c>
    </row>
    <row r="251" spans="2:11">
      <c r="B251" s="96" t="s">
        <v>210</v>
      </c>
      <c r="F251" s="62">
        <f>E30</f>
        <v>765</v>
      </c>
      <c r="G251" s="62">
        <f ca="1">F254</f>
        <v>726.75</v>
      </c>
      <c r="H251" s="62">
        <f ca="1">G254</f>
        <v>688.5</v>
      </c>
      <c r="I251" s="62">
        <f t="shared" ref="I251:J251" ca="1" si="89">H254</f>
        <v>650.25</v>
      </c>
      <c r="J251" s="62">
        <f t="shared" ca="1" si="89"/>
        <v>527.64919390203954</v>
      </c>
    </row>
    <row r="252" spans="2:11">
      <c r="B252" s="96" t="s">
        <v>224</v>
      </c>
      <c r="F252" s="62">
        <f>-MIN($H$30,F251)</f>
        <v>-38.25</v>
      </c>
      <c r="G252" s="62">
        <f ca="1">-MIN($H$30,G251)</f>
        <v>-38.25</v>
      </c>
      <c r="H252" s="62">
        <f t="shared" ref="H252:J252" ca="1" si="90">-MIN($H$30,H251)</f>
        <v>-38.25</v>
      </c>
      <c r="I252" s="62">
        <f t="shared" ca="1" si="90"/>
        <v>-38.25</v>
      </c>
      <c r="J252" s="62">
        <f t="shared" ca="1" si="90"/>
        <v>-38.25</v>
      </c>
    </row>
    <row r="253" spans="2:11">
      <c r="B253" s="103" t="s">
        <v>225</v>
      </c>
      <c r="C253" s="35"/>
      <c r="D253" s="35"/>
      <c r="E253" s="35"/>
      <c r="F253" s="63">
        <f ca="1">-IF(F227&gt;0,MIN(SUM(F251:F252),F227),0)</f>
        <v>0</v>
      </c>
      <c r="G253" s="63">
        <f ca="1">-IF(G227&gt;0,MIN(SUM(G251:G252),G227),0)</f>
        <v>0</v>
      </c>
      <c r="H253" s="63">
        <f ca="1">-IF(H227&gt;0,MIN(SUM(H251:H252),H227),0)</f>
        <v>0</v>
      </c>
      <c r="I253" s="63">
        <f ca="1">-IF(I227&gt;0,MIN(SUM(I251:I252),I227),0)</f>
        <v>-84.350806097960458</v>
      </c>
      <c r="J253" s="63">
        <f ca="1">-IF(J227&gt;0,MIN(SUM(J251:J252),J227),0)</f>
        <v>-162.0874778838218</v>
      </c>
    </row>
    <row r="254" spans="2:11">
      <c r="B254" s="127" t="s">
        <v>212</v>
      </c>
      <c r="F254" s="64">
        <f ca="1">SUM(F251:F253)</f>
        <v>726.75</v>
      </c>
      <c r="G254" s="64">
        <f t="shared" ref="G254:J254" ca="1" si="91">SUM(G251:G253)</f>
        <v>688.5</v>
      </c>
      <c r="H254" s="64">
        <f t="shared" ca="1" si="91"/>
        <v>650.25</v>
      </c>
      <c r="I254" s="64">
        <f t="shared" ca="1" si="91"/>
        <v>527.64919390203954</v>
      </c>
      <c r="J254" s="64">
        <f t="shared" ca="1" si="91"/>
        <v>327.31171601821774</v>
      </c>
    </row>
    <row r="256" spans="2:11">
      <c r="B256" s="119" t="s">
        <v>216</v>
      </c>
      <c r="C256" s="108"/>
      <c r="D256" s="108"/>
      <c r="E256" s="108"/>
      <c r="F256" s="120">
        <f>$F$30+F38</f>
        <v>4.4999999999999998E-2</v>
      </c>
      <c r="G256" s="120">
        <f t="shared" ref="G256:J256" si="92">$F$30+G38</f>
        <v>4.7E-2</v>
      </c>
      <c r="H256" s="120">
        <f t="shared" si="92"/>
        <v>4.9000000000000002E-2</v>
      </c>
      <c r="I256" s="120">
        <f t="shared" si="92"/>
        <v>5.1000000000000004E-2</v>
      </c>
      <c r="J256" s="120">
        <f t="shared" si="92"/>
        <v>5.2999999999999999E-2</v>
      </c>
      <c r="K256" s="94"/>
    </row>
    <row r="257" spans="2:11">
      <c r="B257" s="122" t="s">
        <v>217</v>
      </c>
      <c r="C257" s="35"/>
      <c r="D257" s="35"/>
      <c r="E257" s="35"/>
      <c r="F257" s="129">
        <f ca="1">IF(circ="OFF",F256*AVERAGE(F251,F254),0)</f>
        <v>33.564374999999998</v>
      </c>
      <c r="G257" s="129">
        <f ca="1">IF(circ="OFF",G256*AVERAGE(G251,G254),0)</f>
        <v>33.258375000000001</v>
      </c>
      <c r="H257" s="129">
        <f ca="1">IF(circ="OFF",H256*AVERAGE(H251,H254),0)</f>
        <v>32.799374999999998</v>
      </c>
      <c r="I257" s="129">
        <f ca="1">IF(circ="OFF",I256*AVERAGE(I251,I254),0)</f>
        <v>30.036429444502012</v>
      </c>
      <c r="J257" s="129">
        <f ca="1">IF(circ="OFF",J256*AVERAGE(J251,J254),0)</f>
        <v>22.65646411288682</v>
      </c>
      <c r="K257" s="94"/>
    </row>
    <row r="259" spans="2:11">
      <c r="B259" s="39" t="s">
        <v>105</v>
      </c>
    </row>
    <row r="260" spans="2:11">
      <c r="B260" s="96" t="s">
        <v>210</v>
      </c>
      <c r="F260" s="62">
        <f>E31</f>
        <v>765</v>
      </c>
      <c r="G260" s="62">
        <f ca="1">F263</f>
        <v>726.75</v>
      </c>
      <c r="H260" s="62">
        <f ca="1">G263</f>
        <v>688.5</v>
      </c>
      <c r="I260" s="62">
        <f t="shared" ref="I260:J260" ca="1" si="93">H263</f>
        <v>650.25</v>
      </c>
      <c r="J260" s="62">
        <f t="shared" ca="1" si="93"/>
        <v>612</v>
      </c>
    </row>
    <row r="261" spans="2:11">
      <c r="B261" s="96" t="s">
        <v>224</v>
      </c>
      <c r="F261" s="62">
        <f>-MIN($H$31,F260)</f>
        <v>-38.25</v>
      </c>
      <c r="G261" s="62">
        <f t="shared" ref="G261:J261" ca="1" si="94">-MIN($H$31,G260)</f>
        <v>-38.25</v>
      </c>
      <c r="H261" s="62">
        <f t="shared" ca="1" si="94"/>
        <v>-38.25</v>
      </c>
      <c r="I261" s="62">
        <f t="shared" ca="1" si="94"/>
        <v>-38.25</v>
      </c>
      <c r="J261" s="62">
        <f t="shared" ca="1" si="94"/>
        <v>-38.25</v>
      </c>
    </row>
    <row r="262" spans="2:11">
      <c r="B262" s="103" t="s">
        <v>225</v>
      </c>
      <c r="C262" s="35"/>
      <c r="D262" s="35"/>
      <c r="E262" s="35"/>
      <c r="F262" s="63">
        <f ca="1">IF(F227&gt;0,MIN(SUM(F260:F261),F227+F253),0)</f>
        <v>0</v>
      </c>
      <c r="G262" s="63">
        <f ca="1">IF(G227&gt;0,MIN(SUM(G260:G261),G227+G253),0)</f>
        <v>0</v>
      </c>
      <c r="H262" s="63">
        <f ca="1">IF(H227&gt;0,MIN(SUM(H260:H261),H227+H253),0)</f>
        <v>0</v>
      </c>
      <c r="I262" s="63">
        <f ca="1">IF(I227&gt;0,MIN(SUM(I260:I261),I227+I253),0)</f>
        <v>0</v>
      </c>
      <c r="J262" s="63">
        <f ca="1">IF(J227&gt;0,MIN(SUM(J260:J261),J227+J253),0)</f>
        <v>0</v>
      </c>
    </row>
    <row r="263" spans="2:11">
      <c r="B263" s="127" t="s">
        <v>212</v>
      </c>
      <c r="F263" s="64">
        <f ca="1">SUM(F260:F262)</f>
        <v>726.75</v>
      </c>
      <c r="G263" s="64">
        <f ca="1">SUM(G260:G262)</f>
        <v>688.5</v>
      </c>
      <c r="H263" s="64">
        <f ca="1">SUM(H260:H262)</f>
        <v>650.25</v>
      </c>
      <c r="I263" s="64">
        <f ca="1">SUM(I260:I262)</f>
        <v>612</v>
      </c>
      <c r="J263" s="64">
        <f ca="1">SUM(J260:J262)</f>
        <v>573.75</v>
      </c>
    </row>
    <row r="264" spans="2:11">
      <c r="B264" s="127"/>
      <c r="F264" s="64"/>
      <c r="G264" s="64"/>
      <c r="H264" s="64"/>
      <c r="I264" s="64"/>
      <c r="J264" s="64"/>
    </row>
    <row r="265" spans="2:11">
      <c r="B265" s="119" t="s">
        <v>216</v>
      </c>
      <c r="C265" s="108"/>
      <c r="D265" s="108"/>
      <c r="E265" s="108"/>
      <c r="F265" s="120">
        <f>$F$31+F38</f>
        <v>0.04</v>
      </c>
      <c r="G265" s="120">
        <f>$F$31+G38</f>
        <v>4.2000000000000003E-2</v>
      </c>
      <c r="H265" s="120">
        <f>$F$31+H38</f>
        <v>4.3999999999999997E-2</v>
      </c>
      <c r="I265" s="120">
        <f>$F$31+I38</f>
        <v>4.5999999999999999E-2</v>
      </c>
      <c r="J265" s="120">
        <f>$F$31+J38</f>
        <v>4.8000000000000001E-2</v>
      </c>
      <c r="K265" s="94"/>
    </row>
    <row r="266" spans="2:11">
      <c r="B266" s="122" t="s">
        <v>217</v>
      </c>
      <c r="C266" s="35"/>
      <c r="D266" s="35"/>
      <c r="E266" s="35"/>
      <c r="F266" s="129">
        <f ca="1">IF(circ="OFF",F265*AVERAGE(F260,F263),0)</f>
        <v>29.835000000000001</v>
      </c>
      <c r="G266" s="129">
        <f ca="1">IF(circ="OFF",G265*AVERAGE(G260,G263),0)</f>
        <v>29.720250000000004</v>
      </c>
      <c r="H266" s="129">
        <f ca="1">IF(circ="OFF",H265*AVERAGE(H260,H263),0)</f>
        <v>29.452499999999997</v>
      </c>
      <c r="I266" s="129">
        <f ca="1">IF(circ="OFF",I265*AVERAGE(I260,I263),0)</f>
        <v>29.031749999999999</v>
      </c>
      <c r="J266" s="129">
        <f ca="1">IF(circ="OFF",J265*AVERAGE(J260,J263),0)</f>
        <v>28.458000000000002</v>
      </c>
      <c r="K266" s="94"/>
    </row>
    <row r="268" spans="2:11">
      <c r="B268" s="39" t="s">
        <v>106</v>
      </c>
    </row>
    <row r="269" spans="2:11">
      <c r="B269" s="96" t="s">
        <v>210</v>
      </c>
      <c r="F269" s="62">
        <f>E32</f>
        <v>510</v>
      </c>
      <c r="G269" s="62">
        <f>F272</f>
        <v>538.04999999999995</v>
      </c>
      <c r="H269" s="62">
        <f>G272</f>
        <v>567.64274999999998</v>
      </c>
      <c r="I269" s="62">
        <f t="shared" ref="I269:J269" si="95">H272</f>
        <v>598.86310125</v>
      </c>
      <c r="J269" s="62">
        <f t="shared" si="95"/>
        <v>631.80057181874997</v>
      </c>
    </row>
    <row r="270" spans="2:11">
      <c r="B270" s="96" t="s">
        <v>224</v>
      </c>
      <c r="F270" s="62">
        <v>0</v>
      </c>
      <c r="G270" s="62">
        <v>0</v>
      </c>
      <c r="H270" s="62">
        <v>0</v>
      </c>
      <c r="I270" s="62">
        <v>0</v>
      </c>
      <c r="J270" s="62">
        <v>0</v>
      </c>
    </row>
    <row r="271" spans="2:11">
      <c r="B271" s="103" t="s">
        <v>226</v>
      </c>
      <c r="C271" s="35"/>
      <c r="D271" s="35"/>
      <c r="E271" s="35"/>
      <c r="F271" s="63">
        <f>$J$32*F269</f>
        <v>28.049999999999997</v>
      </c>
      <c r="G271" s="63">
        <f>$J$32*G269</f>
        <v>29.592749999999995</v>
      </c>
      <c r="H271" s="63">
        <f t="shared" ref="G271:J271" si="96">$J$32*H269</f>
        <v>31.220351249999997</v>
      </c>
      <c r="I271" s="63">
        <f t="shared" si="96"/>
        <v>32.937470568749994</v>
      </c>
      <c r="J271" s="63">
        <f t="shared" si="96"/>
        <v>34.749031450031246</v>
      </c>
    </row>
    <row r="272" spans="2:11">
      <c r="B272" s="127" t="s">
        <v>212</v>
      </c>
      <c r="F272" s="64">
        <f>SUM(F269:F271)</f>
        <v>538.04999999999995</v>
      </c>
      <c r="G272" s="64">
        <f>SUM(G269:G271)</f>
        <v>567.64274999999998</v>
      </c>
      <c r="H272" s="64">
        <f>SUM(H269:H271)</f>
        <v>598.86310125</v>
      </c>
      <c r="I272" s="64">
        <f>SUM(I269:I271)</f>
        <v>631.80057181874997</v>
      </c>
      <c r="J272" s="64">
        <f>SUM(J269:J271)</f>
        <v>666.5496032687812</v>
      </c>
    </row>
    <row r="274" spans="1:10">
      <c r="B274" s="119" t="s">
        <v>216</v>
      </c>
      <c r="C274" s="108"/>
      <c r="D274" s="108"/>
      <c r="E274" s="108"/>
      <c r="F274" s="120">
        <f>$F$32</f>
        <v>6.5000000000000002E-2</v>
      </c>
      <c r="G274" s="120">
        <f t="shared" ref="G274:J274" si="97">$F$32</f>
        <v>6.5000000000000002E-2</v>
      </c>
      <c r="H274" s="120">
        <f t="shared" si="97"/>
        <v>6.5000000000000002E-2</v>
      </c>
      <c r="I274" s="120">
        <f t="shared" si="97"/>
        <v>6.5000000000000002E-2</v>
      </c>
      <c r="J274" s="121">
        <f t="shared" si="97"/>
        <v>6.5000000000000002E-2</v>
      </c>
    </row>
    <row r="275" spans="1:10">
      <c r="B275" s="122" t="s">
        <v>217</v>
      </c>
      <c r="C275" s="35"/>
      <c r="D275" s="35"/>
      <c r="E275" s="35"/>
      <c r="F275" s="129">
        <f>IF(circ="OFF",F274*F269,0)</f>
        <v>33.15</v>
      </c>
      <c r="G275" s="129">
        <f>IF(circ="OFF",G274*G269,0)</f>
        <v>34.97325</v>
      </c>
      <c r="H275" s="129">
        <f>IF(circ="OFF",H274*H269,0)</f>
        <v>36.896778750000003</v>
      </c>
      <c r="I275" s="129">
        <f>IF(circ="OFF",I274*I269,0)</f>
        <v>38.926101581250002</v>
      </c>
      <c r="J275" s="130">
        <f>IF(circ="OFF",J274*J269,0)</f>
        <v>41.067037168218747</v>
      </c>
    </row>
    <row r="277" spans="1:10">
      <c r="B277" s="131" t="s">
        <v>228</v>
      </c>
      <c r="C277" s="132"/>
      <c r="D277" s="132"/>
      <c r="E277" s="132"/>
      <c r="F277" s="133">
        <f ca="1">F275+F266+F257+F248+F245</f>
        <v>103.76308011613665</v>
      </c>
      <c r="G277" s="133">
        <f t="shared" ref="G277:J277" ca="1" si="98">G275+G266+G257+G248+G245</f>
        <v>108.35298325913617</v>
      </c>
      <c r="H277" s="133">
        <f t="shared" ca="1" si="98"/>
        <v>105.89960773783619</v>
      </c>
      <c r="I277" s="133">
        <f t="shared" ca="1" si="98"/>
        <v>101.52758160062278</v>
      </c>
      <c r="J277" s="134">
        <f t="shared" ca="1" si="98"/>
        <v>94.681501281105568</v>
      </c>
    </row>
    <row r="278" spans="1:10">
      <c r="B278" s="135" t="s">
        <v>229</v>
      </c>
      <c r="C278" s="136"/>
      <c r="D278" s="136"/>
      <c r="E278" s="136"/>
      <c r="F278" s="137">
        <f>F271</f>
        <v>28.049999999999997</v>
      </c>
      <c r="G278" s="137">
        <f t="shared" ref="G278:J278" si="99">G271</f>
        <v>29.592749999999995</v>
      </c>
      <c r="H278" s="137">
        <f t="shared" si="99"/>
        <v>31.220351249999997</v>
      </c>
      <c r="I278" s="137">
        <f t="shared" si="99"/>
        <v>32.937470568749994</v>
      </c>
      <c r="J278" s="138">
        <f t="shared" si="99"/>
        <v>34.749031450031246</v>
      </c>
    </row>
    <row r="280" spans="1:10" customFormat="1">
      <c r="A280" s="30" t="s">
        <v>75</v>
      </c>
      <c r="B280" s="36" t="s">
        <v>241</v>
      </c>
      <c r="C280" s="37"/>
      <c r="D280" s="37"/>
      <c r="E280" s="37"/>
      <c r="F280" s="37"/>
      <c r="G280" s="37"/>
      <c r="H280" s="37"/>
      <c r="I280" s="37"/>
      <c r="J280" s="37"/>
    </row>
    <row r="281" spans="1:10">
      <c r="F281" s="142">
        <v>1</v>
      </c>
      <c r="G281" s="142">
        <f>+F281+1</f>
        <v>2</v>
      </c>
      <c r="H281" s="142">
        <f t="shared" ref="H281:J281" si="100">+G281+1</f>
        <v>3</v>
      </c>
      <c r="I281" s="142">
        <f t="shared" si="100"/>
        <v>4</v>
      </c>
      <c r="J281" s="142">
        <f t="shared" si="100"/>
        <v>5</v>
      </c>
    </row>
    <row r="282" spans="1:10">
      <c r="B282" s="31" t="s">
        <v>14</v>
      </c>
      <c r="F282" s="62">
        <f>F172</f>
        <v>441.375</v>
      </c>
      <c r="G282" s="62">
        <f t="shared" ref="G282:J282" si="101">G172</f>
        <v>485.51250000000005</v>
      </c>
      <c r="H282" s="62">
        <f t="shared" si="101"/>
        <v>534.06375000000025</v>
      </c>
      <c r="I282" s="62">
        <f t="shared" si="101"/>
        <v>587.47012500000028</v>
      </c>
      <c r="J282" s="62">
        <f t="shared" si="101"/>
        <v>646.21713750000049</v>
      </c>
    </row>
    <row r="283" spans="1:10">
      <c r="B283" s="35" t="s">
        <v>63</v>
      </c>
      <c r="C283" s="35"/>
      <c r="D283" s="35"/>
      <c r="E283" s="35"/>
      <c r="F283" s="51">
        <f>C53</f>
        <v>8.5</v>
      </c>
      <c r="G283" s="51">
        <f>F283</f>
        <v>8.5</v>
      </c>
      <c r="H283" s="51">
        <f t="shared" ref="H283:J283" si="102">G283</f>
        <v>8.5</v>
      </c>
      <c r="I283" s="51">
        <f t="shared" si="102"/>
        <v>8.5</v>
      </c>
      <c r="J283" s="51">
        <f t="shared" si="102"/>
        <v>8.5</v>
      </c>
    </row>
    <row r="284" spans="1:10">
      <c r="B284" s="33" t="s">
        <v>81</v>
      </c>
      <c r="F284" s="64">
        <f>PRODUCT(F282:F283)</f>
        <v>3751.6875</v>
      </c>
      <c r="G284" s="64">
        <f t="shared" ref="G284:J284" si="103">PRODUCT(G282:G283)</f>
        <v>4126.8562500000007</v>
      </c>
      <c r="H284" s="64">
        <f t="shared" si="103"/>
        <v>4539.5418750000026</v>
      </c>
      <c r="I284" s="64">
        <f t="shared" si="103"/>
        <v>4993.4960625000022</v>
      </c>
      <c r="J284" s="64">
        <f t="shared" si="103"/>
        <v>5492.8456687500038</v>
      </c>
    </row>
    <row r="285" spans="1:10">
      <c r="B285" s="31" t="s">
        <v>242</v>
      </c>
      <c r="F285" s="62">
        <f ca="1">F233</f>
        <v>10</v>
      </c>
      <c r="G285" s="62">
        <f t="shared" ref="G285:J285" ca="1" si="104">G233</f>
        <v>10</v>
      </c>
      <c r="H285" s="62">
        <f t="shared" ca="1" si="104"/>
        <v>10</v>
      </c>
      <c r="I285" s="62">
        <f t="shared" ca="1" si="104"/>
        <v>10</v>
      </c>
      <c r="J285" s="62">
        <f t="shared" ca="1" si="104"/>
        <v>10</v>
      </c>
    </row>
    <row r="286" spans="1:10">
      <c r="B286" s="35" t="s">
        <v>243</v>
      </c>
      <c r="C286" s="35"/>
      <c r="D286" s="35"/>
      <c r="E286" s="35"/>
      <c r="F286" s="63">
        <f ca="1">-F272-F263-F254-F238</f>
        <v>-2213.3714172299597</v>
      </c>
      <c r="G286" s="63">
        <f t="shared" ref="G286:J286" ca="1" si="105">-G272-G263-G254-G238</f>
        <v>-2090.3891993171687</v>
      </c>
      <c r="H286" s="63">
        <f t="shared" ca="1" si="105"/>
        <v>-1944.2892132009029</v>
      </c>
      <c r="I286" s="63">
        <f t="shared" ca="1" si="105"/>
        <v>-1771.4497657207896</v>
      </c>
      <c r="J286" s="63">
        <f t="shared" ca="1" si="105"/>
        <v>-1567.6113192869989</v>
      </c>
    </row>
    <row r="287" spans="1:10">
      <c r="B287" s="33" t="s">
        <v>244</v>
      </c>
      <c r="F287" s="64">
        <f ca="1">SUM(F284:F286)</f>
        <v>1548.3160827700403</v>
      </c>
      <c r="G287" s="64">
        <f t="shared" ref="G287:J287" ca="1" si="106">SUM(G284:G286)</f>
        <v>2046.467050682832</v>
      </c>
      <c r="H287" s="64">
        <f t="shared" ca="1" si="106"/>
        <v>2605.2526617990998</v>
      </c>
      <c r="I287" s="64">
        <f t="shared" ca="1" si="106"/>
        <v>3232.0462967792128</v>
      </c>
      <c r="J287" s="64">
        <f t="shared" ca="1" si="106"/>
        <v>3935.2343494630049</v>
      </c>
    </row>
    <row r="289" spans="1:10">
      <c r="B289" s="31" t="s">
        <v>245</v>
      </c>
      <c r="F289" s="62">
        <f ca="1">F287-D66</f>
        <v>-729.48391722995984</v>
      </c>
      <c r="G289" s="62">
        <f t="shared" ref="G289:J289" ca="1" si="107">G287-E66</f>
        <v>2046.467050682832</v>
      </c>
      <c r="H289" s="62">
        <f t="shared" ca="1" si="107"/>
        <v>2605.2526617990998</v>
      </c>
      <c r="I289" s="62">
        <f t="shared" ca="1" si="107"/>
        <v>3232.0462967792128</v>
      </c>
      <c r="J289" s="62">
        <f t="shared" ca="1" si="107"/>
        <v>3935.2343494630049</v>
      </c>
    </row>
    <row r="290" spans="1:10">
      <c r="B290" s="35" t="s">
        <v>246</v>
      </c>
      <c r="C290" s="35"/>
      <c r="D290" s="35"/>
      <c r="E290" s="35"/>
      <c r="F290" s="46">
        <f>$C$25</f>
        <v>0.05</v>
      </c>
      <c r="G290" s="46">
        <f t="shared" ref="G290:J290" si="108">$C$25</f>
        <v>0.05</v>
      </c>
      <c r="H290" s="46">
        <f t="shared" si="108"/>
        <v>0.05</v>
      </c>
      <c r="I290" s="46">
        <f t="shared" si="108"/>
        <v>0.05</v>
      </c>
      <c r="J290" s="46">
        <f t="shared" si="108"/>
        <v>0.05</v>
      </c>
    </row>
    <row r="291" spans="1:10">
      <c r="B291" s="33" t="s">
        <v>247</v>
      </c>
      <c r="F291" s="64">
        <f ca="1">IF(F289&gt;0,F290*F289,0)</f>
        <v>0</v>
      </c>
      <c r="G291" s="64">
        <f t="shared" ref="G291:J291" ca="1" si="109">IF(G289&gt;0,G290*G289,0)</f>
        <v>102.32335253414161</v>
      </c>
      <c r="H291" s="64">
        <f t="shared" ca="1" si="109"/>
        <v>130.26263308995499</v>
      </c>
      <c r="I291" s="64">
        <f t="shared" ca="1" si="109"/>
        <v>161.60231483896064</v>
      </c>
      <c r="J291" s="64">
        <f t="shared" ca="1" si="109"/>
        <v>196.76171747315027</v>
      </c>
    </row>
    <row r="293" spans="1:10">
      <c r="B293" s="33" t="s">
        <v>248</v>
      </c>
      <c r="F293" s="64">
        <f ca="1">F287-F291</f>
        <v>1548.3160827700403</v>
      </c>
      <c r="G293" s="64">
        <f t="shared" ref="G293:J293" ca="1" si="110">G287-G291</f>
        <v>1944.1436981486904</v>
      </c>
      <c r="H293" s="64">
        <f t="shared" ca="1" si="110"/>
        <v>2474.990028709145</v>
      </c>
      <c r="I293" s="64">
        <f t="shared" ca="1" si="110"/>
        <v>3070.4439819402523</v>
      </c>
      <c r="J293" s="64">
        <f t="shared" ca="1" si="110"/>
        <v>3738.4726319898546</v>
      </c>
    </row>
    <row r="294" spans="1:10">
      <c r="B294" s="35" t="s">
        <v>249</v>
      </c>
      <c r="C294" s="35"/>
      <c r="D294" s="35"/>
      <c r="E294" s="35"/>
      <c r="F294" s="46">
        <f>D64/D66</f>
        <v>0.2</v>
      </c>
      <c r="G294" s="46">
        <f>F294</f>
        <v>0.2</v>
      </c>
      <c r="H294" s="46">
        <f t="shared" ref="H294:J294" si="111">G294</f>
        <v>0.2</v>
      </c>
      <c r="I294" s="46">
        <f t="shared" si="111"/>
        <v>0.2</v>
      </c>
      <c r="J294" s="46">
        <f t="shared" si="111"/>
        <v>0.2</v>
      </c>
    </row>
    <row r="295" spans="1:10">
      <c r="B295" s="33" t="s">
        <v>250</v>
      </c>
      <c r="F295" s="64">
        <f ca="1">(1-F294)*F293</f>
        <v>1238.6528662160324</v>
      </c>
      <c r="G295" s="64">
        <f t="shared" ref="G295:J295" ca="1" si="112">(1-G294)*G293</f>
        <v>1555.3149585189524</v>
      </c>
      <c r="H295" s="64">
        <f t="shared" ca="1" si="112"/>
        <v>1979.9920229673162</v>
      </c>
      <c r="I295" s="64">
        <f t="shared" ca="1" si="112"/>
        <v>2456.3551855522019</v>
      </c>
      <c r="J295" s="64">
        <f t="shared" ca="1" si="112"/>
        <v>2990.778105591884</v>
      </c>
    </row>
    <row r="296" spans="1:10">
      <c r="B296" s="31" t="s">
        <v>251</v>
      </c>
      <c r="E296" s="141">
        <f>D65</f>
        <v>1822.2400000000002</v>
      </c>
    </row>
    <row r="298" spans="1:10">
      <c r="B298" s="131" t="s">
        <v>252</v>
      </c>
      <c r="C298" s="132"/>
      <c r="D298" s="132"/>
      <c r="E298" s="132"/>
      <c r="F298" s="143">
        <f ca="1">F295/$E$296</f>
        <v>0.67974189251472483</v>
      </c>
      <c r="G298" s="143">
        <f t="shared" ref="G298:J298" ca="1" si="113">G295/$E$296</f>
        <v>0.85351817461967261</v>
      </c>
      <c r="H298" s="143">
        <f t="shared" ca="1" si="113"/>
        <v>1.0865703875270634</v>
      </c>
      <c r="I298" s="143">
        <f t="shared" ca="1" si="113"/>
        <v>1.347986645860151</v>
      </c>
      <c r="J298" s="144">
        <f t="shared" ca="1" si="113"/>
        <v>1.6412646553647618</v>
      </c>
    </row>
    <row r="299" spans="1:10">
      <c r="B299" s="135" t="s">
        <v>253</v>
      </c>
      <c r="C299" s="136"/>
      <c r="D299" s="136"/>
      <c r="E299" s="136"/>
      <c r="F299" s="145">
        <f ca="1">F298^(1/F281)-1</f>
        <v>-0.32025810748527517</v>
      </c>
      <c r="G299" s="145">
        <f t="shared" ref="G299:J299" ca="1" si="114">G298^(1/G281)-1</f>
        <v>-7.6139526432874916E-2</v>
      </c>
      <c r="H299" s="145">
        <f t="shared" ca="1" si="114"/>
        <v>2.806195642899767E-2</v>
      </c>
      <c r="I299" s="145">
        <f t="shared" ca="1" si="114"/>
        <v>7.7510218472844228E-2</v>
      </c>
      <c r="J299" s="146">
        <f t="shared" ca="1" si="114"/>
        <v>0.10416944094762903</v>
      </c>
    </row>
    <row r="301" spans="1:10" customFormat="1">
      <c r="A301" s="30" t="s">
        <v>75</v>
      </c>
      <c r="B301" s="36" t="s">
        <v>254</v>
      </c>
      <c r="C301" s="37"/>
      <c r="D301" s="37"/>
      <c r="E301" s="37"/>
      <c r="F301" s="37"/>
      <c r="G301" s="37"/>
      <c r="H301" s="37"/>
      <c r="I301" s="37"/>
      <c r="J301" s="37"/>
    </row>
    <row r="303" spans="1:10">
      <c r="D303" s="97" t="s">
        <v>255</v>
      </c>
      <c r="E303" s="72"/>
      <c r="F303" s="72"/>
      <c r="G303" s="72"/>
      <c r="H303" s="72"/>
      <c r="I303" s="72"/>
      <c r="J303" s="73"/>
    </row>
    <row r="305" spans="2:10">
      <c r="D305" s="31" t="s">
        <v>256</v>
      </c>
    </row>
    <row r="306" spans="2:10">
      <c r="C306" s="147">
        <f ca="1">J298</f>
        <v>1.6412646553647618</v>
      </c>
      <c r="D306" s="52">
        <v>0.17</v>
      </c>
      <c r="E306" s="52">
        <f>+D306+3%</f>
        <v>0.2</v>
      </c>
      <c r="F306" s="52">
        <f t="shared" ref="F306:J306" si="115">+E306+3%</f>
        <v>0.23</v>
      </c>
      <c r="G306" s="52">
        <f t="shared" si="115"/>
        <v>0.26</v>
      </c>
      <c r="H306" s="52">
        <f t="shared" si="115"/>
        <v>0.29000000000000004</v>
      </c>
      <c r="I306" s="52">
        <f t="shared" si="115"/>
        <v>0.32000000000000006</v>
      </c>
      <c r="J306" s="52">
        <f t="shared" si="115"/>
        <v>0.35000000000000009</v>
      </c>
    </row>
    <row r="307" spans="2:10">
      <c r="B307" s="31" t="s">
        <v>257</v>
      </c>
      <c r="C307" s="148">
        <v>7.5</v>
      </c>
      <c r="D307" s="112">
        <f t="dataTable" ref="D307:J317" dt2D="1" dtr="1" r1="C18" r2="C53" ca="1"/>
        <v>1.4410212384655512</v>
      </c>
      <c r="E307" s="112">
        <v>1.3717474542825776</v>
      </c>
      <c r="F307" s="112">
        <v>1.3088285307103653</v>
      </c>
      <c r="G307" s="112">
        <v>1.2514283688580805</v>
      </c>
      <c r="H307" s="112">
        <v>1.1988513798737117</v>
      </c>
      <c r="I307" s="112">
        <v>1.150514158393422</v>
      </c>
      <c r="J307" s="112">
        <v>1.1059237430944873</v>
      </c>
    </row>
    <row r="308" spans="2:10">
      <c r="C308" s="148">
        <f>C307+0.25</f>
        <v>7.75</v>
      </c>
      <c r="D308" s="112">
        <v>1.5118032198132663</v>
      </c>
      <c r="E308" s="112">
        <v>1.4391267545531234</v>
      </c>
      <c r="F308" s="112">
        <v>1.3731172963268565</v>
      </c>
      <c r="G308" s="112">
        <v>1.3128976776358157</v>
      </c>
      <c r="H308" s="112">
        <v>1.2577381427775407</v>
      </c>
      <c r="I308" s="112">
        <v>1.2070266299142443</v>
      </c>
      <c r="J308" s="112">
        <v>1.1602459637989258</v>
      </c>
    </row>
    <row r="309" spans="2:10">
      <c r="C309" s="148">
        <f t="shared" ref="C309:C317" si="116">C308+0.25</f>
        <v>8</v>
      </c>
      <c r="D309" s="112">
        <v>1.5825852011609809</v>
      </c>
      <c r="E309" s="112">
        <v>1.5065060548236695</v>
      </c>
      <c r="F309" s="112">
        <v>1.4374060619433482</v>
      </c>
      <c r="G309" s="112">
        <v>1.3743669864135513</v>
      </c>
      <c r="H309" s="112">
        <v>1.3166249056813699</v>
      </c>
      <c r="I309" s="112">
        <v>1.263539101435067</v>
      </c>
      <c r="J309" s="112">
        <v>1.2145681845033642</v>
      </c>
    </row>
    <row r="310" spans="2:10">
      <c r="C310" s="148">
        <f t="shared" si="116"/>
        <v>8.25</v>
      </c>
      <c r="D310" s="112">
        <v>1.6533671825086957</v>
      </c>
      <c r="E310" s="112">
        <v>1.5738853550942158</v>
      </c>
      <c r="F310" s="112">
        <v>1.5016948275598396</v>
      </c>
      <c r="G310" s="112">
        <v>1.4358362951912866</v>
      </c>
      <c r="H310" s="112">
        <v>1.3755116685851991</v>
      </c>
      <c r="I310" s="112">
        <v>1.3200515729558895</v>
      </c>
      <c r="J310" s="112">
        <v>1.2688904052078027</v>
      </c>
    </row>
    <row r="311" spans="2:10">
      <c r="C311" s="148">
        <f t="shared" si="116"/>
        <v>8.5</v>
      </c>
      <c r="D311" s="112">
        <v>1.7241491638564104</v>
      </c>
      <c r="E311" s="112">
        <v>1.6412646553647618</v>
      </c>
      <c r="F311" s="112">
        <v>1.5659835931763308</v>
      </c>
      <c r="G311" s="112">
        <v>1.497305603969022</v>
      </c>
      <c r="H311" s="112">
        <v>1.4343984314890281</v>
      </c>
      <c r="I311" s="112">
        <v>1.376564044476712</v>
      </c>
      <c r="J311" s="112">
        <v>1.323212625912241</v>
      </c>
    </row>
    <row r="312" spans="2:10">
      <c r="C312" s="148">
        <f t="shared" si="116"/>
        <v>8.75</v>
      </c>
      <c r="D312" s="112">
        <v>1.7949311452041259</v>
      </c>
      <c r="E312" s="112">
        <v>1.7086439556353084</v>
      </c>
      <c r="F312" s="112">
        <v>1.6302723587928225</v>
      </c>
      <c r="G312" s="112">
        <v>1.5587749127467581</v>
      </c>
      <c r="H312" s="112">
        <v>1.493285194392858</v>
      </c>
      <c r="I312" s="112">
        <v>1.4330765159975349</v>
      </c>
      <c r="J312" s="112">
        <v>1.3775348466166799</v>
      </c>
    </row>
    <row r="313" spans="2:10">
      <c r="C313" s="148">
        <f t="shared" si="116"/>
        <v>9</v>
      </c>
      <c r="D313" s="112">
        <v>1.8657131265518403</v>
      </c>
      <c r="E313" s="112">
        <v>1.7760232559058544</v>
      </c>
      <c r="F313" s="112">
        <v>1.6945611244093142</v>
      </c>
      <c r="G313" s="112">
        <v>1.6202442215244937</v>
      </c>
      <c r="H313" s="112">
        <v>1.5521719572966872</v>
      </c>
      <c r="I313" s="112">
        <v>1.4895889875183577</v>
      </c>
      <c r="J313" s="112">
        <v>1.4318570673211184</v>
      </c>
    </row>
    <row r="314" spans="2:10">
      <c r="C314" s="148">
        <f t="shared" si="116"/>
        <v>9.25</v>
      </c>
      <c r="D314" s="112">
        <v>1.9364951078995556</v>
      </c>
      <c r="E314" s="112">
        <v>1.8434025561764007</v>
      </c>
      <c r="F314" s="112">
        <v>1.7588498900258058</v>
      </c>
      <c r="G314" s="112">
        <v>1.681713530302229</v>
      </c>
      <c r="H314" s="112">
        <v>1.6110587202005162</v>
      </c>
      <c r="I314" s="112">
        <v>1.5461014590391802</v>
      </c>
      <c r="J314" s="112">
        <v>1.4861792880255567</v>
      </c>
    </row>
    <row r="315" spans="2:10">
      <c r="C315" s="148">
        <f t="shared" si="116"/>
        <v>9.5</v>
      </c>
      <c r="D315" s="112">
        <v>2.0072770892472693</v>
      </c>
      <c r="E315" s="112">
        <v>1.9107818564469465</v>
      </c>
      <c r="F315" s="112">
        <v>1.8231386556422968</v>
      </c>
      <c r="G315" s="112">
        <v>1.7431828390799642</v>
      </c>
      <c r="H315" s="112">
        <v>1.6699454831043452</v>
      </c>
      <c r="I315" s="112">
        <v>1.6026139305600025</v>
      </c>
      <c r="J315" s="112">
        <v>1.5405015087299951</v>
      </c>
    </row>
    <row r="316" spans="2:10">
      <c r="C316" s="148">
        <f t="shared" si="116"/>
        <v>9.75</v>
      </c>
      <c r="D316" s="112">
        <v>2.0780590705949846</v>
      </c>
      <c r="E316" s="112">
        <v>1.9781611567174926</v>
      </c>
      <c r="F316" s="112">
        <v>1.8874274212587883</v>
      </c>
      <c r="G316" s="112">
        <v>1.8046521478576996</v>
      </c>
      <c r="H316" s="112">
        <v>1.7288322460081744</v>
      </c>
      <c r="I316" s="112">
        <v>1.659126402080825</v>
      </c>
      <c r="J316" s="112">
        <v>1.5948237294344336</v>
      </c>
    </row>
    <row r="317" spans="2:10">
      <c r="C317" s="148">
        <f t="shared" si="116"/>
        <v>10</v>
      </c>
      <c r="D317" s="112">
        <v>2.1488410519427004</v>
      </c>
      <c r="E317" s="112">
        <v>2.0455404569880393</v>
      </c>
      <c r="F317" s="112">
        <v>1.9517161868752801</v>
      </c>
      <c r="G317" s="112">
        <v>1.8661214566354356</v>
      </c>
      <c r="H317" s="112">
        <v>1.7877190089120039</v>
      </c>
      <c r="I317" s="112">
        <v>1.7156388736016481</v>
      </c>
      <c r="J317" s="112">
        <v>1.6491459501388723</v>
      </c>
    </row>
    <row r="320" spans="2:10">
      <c r="D320" s="97" t="s">
        <v>259</v>
      </c>
      <c r="E320" s="72"/>
      <c r="F320" s="72"/>
      <c r="G320" s="72"/>
      <c r="H320" s="72"/>
      <c r="I320" s="72"/>
      <c r="J320" s="73"/>
    </row>
    <row r="322" spans="2:10">
      <c r="D322" s="31" t="s">
        <v>256</v>
      </c>
    </row>
    <row r="323" spans="2:10">
      <c r="C323" s="149">
        <f ca="1">J299</f>
        <v>0.10416944094762903</v>
      </c>
      <c r="D323" s="52">
        <v>0.17</v>
      </c>
      <c r="E323" s="52">
        <f>+D323+3%</f>
        <v>0.2</v>
      </c>
      <c r="F323" s="52">
        <f t="shared" ref="F323:J323" si="117">+E323+3%</f>
        <v>0.23</v>
      </c>
      <c r="G323" s="52">
        <f t="shared" si="117"/>
        <v>0.26</v>
      </c>
      <c r="H323" s="52">
        <f t="shared" si="117"/>
        <v>0.29000000000000004</v>
      </c>
      <c r="I323" s="52">
        <f t="shared" si="117"/>
        <v>0.32000000000000006</v>
      </c>
      <c r="J323" s="52">
        <f t="shared" si="117"/>
        <v>0.35000000000000009</v>
      </c>
    </row>
    <row r="324" spans="2:10">
      <c r="B324" s="31" t="s">
        <v>257</v>
      </c>
      <c r="C324" s="112">
        <v>7.5</v>
      </c>
      <c r="D324" s="47">
        <f t="dataTable" ref="D324:J334" dt2D="1" dtr="1" r1="C18" r2="C53" ca="1"/>
        <v>7.5806282974992811E-2</v>
      </c>
      <c r="E324" s="47">
        <v>6.5258069117893447E-2</v>
      </c>
      <c r="F324" s="47">
        <v>5.530148845760996E-2</v>
      </c>
      <c r="G324" s="47">
        <v>4.587841287421357E-2</v>
      </c>
      <c r="H324" s="47">
        <v>3.693866714755889E-2</v>
      </c>
      <c r="I324" s="47">
        <v>2.8438659242206787E-2</v>
      </c>
      <c r="J324" s="47">
        <v>2.034029118754721E-2</v>
      </c>
    </row>
    <row r="325" spans="2:10">
      <c r="C325" s="112">
        <f>C324+0.25</f>
        <v>7.75</v>
      </c>
      <c r="D325" s="47">
        <v>8.6173125695558239E-2</v>
      </c>
      <c r="E325" s="47">
        <v>7.5523265588785415E-2</v>
      </c>
      <c r="F325" s="47">
        <v>6.5470739861650085E-2</v>
      </c>
      <c r="G325" s="47">
        <v>5.595686025148483E-2</v>
      </c>
      <c r="H325" s="47">
        <v>4.6930968032309561E-2</v>
      </c>
      <c r="I325" s="47">
        <v>3.8349051100701859E-2</v>
      </c>
      <c r="J325" s="47">
        <v>3.0172644360784151E-2</v>
      </c>
    </row>
    <row r="326" spans="2:10">
      <c r="C326" s="112">
        <f t="shared" ref="C326:C334" si="118">C325+0.25</f>
        <v>8</v>
      </c>
      <c r="D326" s="47">
        <v>9.6158661988641425E-2</v>
      </c>
      <c r="E326" s="47">
        <v>8.5410894318058928E-2</v>
      </c>
      <c r="F326" s="47">
        <v>7.5265952512758139E-2</v>
      </c>
      <c r="G326" s="47">
        <v>6.5664608770137578E-2</v>
      </c>
      <c r="H326" s="47">
        <v>5.6555738642376729E-2</v>
      </c>
      <c r="I326" s="47">
        <v>4.7894925408736189E-2</v>
      </c>
      <c r="J326" s="47">
        <v>3.9643350351432405E-2</v>
      </c>
    </row>
    <row r="327" spans="2:10">
      <c r="C327" s="112">
        <f t="shared" si="118"/>
        <v>8.25</v>
      </c>
      <c r="D327" s="47">
        <v>0.10579306677565348</v>
      </c>
      <c r="E327" s="47">
        <v>9.4950834363892733E-2</v>
      </c>
      <c r="F327" s="47">
        <v>8.4716726200397385E-2</v>
      </c>
      <c r="G327" s="47">
        <v>7.5030993915019772E-2</v>
      </c>
      <c r="H327" s="47">
        <v>6.5842063714747434E-2</v>
      </c>
      <c r="I327" s="47">
        <v>5.7105128489490786E-2</v>
      </c>
      <c r="J327" s="47">
        <v>4.8781028334325516E-2</v>
      </c>
    </row>
    <row r="328" spans="2:10">
      <c r="C328" s="112">
        <f t="shared" si="118"/>
        <v>8.5</v>
      </c>
      <c r="D328" s="47">
        <v>0.11510295624804256</v>
      </c>
      <c r="E328" s="47">
        <v>0.10416944094762903</v>
      </c>
      <c r="F328" s="47">
        <v>9.3849169813218669E-2</v>
      </c>
      <c r="G328" s="47">
        <v>8.40818914413759E-2</v>
      </c>
      <c r="H328" s="47">
        <v>7.4815597829173575E-2</v>
      </c>
      <c r="I328" s="47">
        <v>6.6005104626643885E-2</v>
      </c>
      <c r="J328" s="47">
        <v>5.7610922233915396E-2</v>
      </c>
    </row>
    <row r="329" spans="2:10">
      <c r="C329" s="112">
        <f t="shared" si="118"/>
        <v>8.75</v>
      </c>
      <c r="D329" s="47">
        <v>0.12411193453383618</v>
      </c>
      <c r="E329" s="47">
        <v>0.11309008676028487</v>
      </c>
      <c r="F329" s="47">
        <v>0.10268643758617646</v>
      </c>
      <c r="G329" s="47">
        <v>9.2840248833664152E-2</v>
      </c>
      <c r="H329" s="47">
        <v>8.3499092324296642E-2</v>
      </c>
      <c r="I329" s="47">
        <v>7.4617418661250934E-2</v>
      </c>
      <c r="J329" s="47">
        <v>6.6155419205999655E-2</v>
      </c>
    </row>
    <row r="330" spans="2:10">
      <c r="C330" s="112">
        <f t="shared" si="118"/>
        <v>9</v>
      </c>
      <c r="D330" s="47">
        <v>0.13284103839652217</v>
      </c>
      <c r="E330" s="47">
        <v>0.12173360230118679</v>
      </c>
      <c r="F330" s="47">
        <v>0.11124916532347839</v>
      </c>
      <c r="G330" s="47">
        <v>0.10132651763335332</v>
      </c>
      <c r="H330" s="47">
        <v>9.191282393007949E-2</v>
      </c>
      <c r="I330" s="47">
        <v>8.296218111058451E-2</v>
      </c>
      <c r="J330" s="47">
        <v>7.4434471408993952E-2</v>
      </c>
    </row>
    <row r="331" spans="2:10">
      <c r="C331" s="112">
        <f t="shared" si="118"/>
        <v>9.25</v>
      </c>
      <c r="D331" s="47">
        <v>0.14130910209175562</v>
      </c>
      <c r="E331" s="47">
        <v>0.13011863715728222</v>
      </c>
      <c r="F331" s="47">
        <v>0.11955582830114886</v>
      </c>
      <c r="G331" s="47">
        <v>0.10955900814567565</v>
      </c>
      <c r="H331" s="47">
        <v>0.10007494644266934</v>
      </c>
      <c r="I331" s="47">
        <v>9.1057396960244841E-2</v>
      </c>
      <c r="J331" s="47">
        <v>8.2465942049503305E-2</v>
      </c>
    </row>
    <row r="332" spans="2:10">
      <c r="C332" s="112">
        <f t="shared" si="118"/>
        <v>9.5</v>
      </c>
      <c r="D332" s="47">
        <v>0.14953305908101022</v>
      </c>
      <c r="E332" s="47">
        <v>0.13826195875850544</v>
      </c>
      <c r="F332" s="47">
        <v>0.12762303723003887</v>
      </c>
      <c r="G332" s="47">
        <v>0.1175541827599027</v>
      </c>
      <c r="H332" s="47">
        <v>0.10800178153749185</v>
      </c>
      <c r="I332" s="47">
        <v>9.891925409339497E-2</v>
      </c>
      <c r="J332" s="47">
        <v>9.026589154034026E-2</v>
      </c>
    </row>
    <row r="333" spans="2:10">
      <c r="C333" s="112">
        <f t="shared" si="118"/>
        <v>9.75</v>
      </c>
      <c r="D333" s="47">
        <v>0.15752819334851176</v>
      </c>
      <c r="E333" s="47">
        <v>0.14617870123056531</v>
      </c>
      <c r="F333" s="47">
        <v>0.13546578478267501</v>
      </c>
      <c r="G333" s="47">
        <v>0.12532690027488758</v>
      </c>
      <c r="H333" s="47">
        <v>0.11570806100639652</v>
      </c>
      <c r="I333" s="47">
        <v>0.10656236354223769</v>
      </c>
      <c r="J333" s="47">
        <v>9.7848815860160254E-2</v>
      </c>
    </row>
    <row r="334" spans="2:10">
      <c r="C334" s="112">
        <f t="shared" si="118"/>
        <v>10</v>
      </c>
      <c r="D334" s="47">
        <v>0.16530835015226164</v>
      </c>
      <c r="E334" s="47">
        <v>0.15388257407956751</v>
      </c>
      <c r="F334" s="47">
        <v>0.14309765232738392</v>
      </c>
      <c r="G334" s="47">
        <v>0.13289062078720537</v>
      </c>
      <c r="H334" s="47">
        <v>0.12320712989449545</v>
      </c>
      <c r="I334" s="47">
        <v>0.11399996095969822</v>
      </c>
      <c r="J334" s="47">
        <v>0.10522784643866756</v>
      </c>
    </row>
  </sheetData>
  <conditionalFormatting sqref="D307:J317">
    <cfRule type="cellIs" dxfId="3" priority="3" operator="greaterThan">
      <formula>3</formula>
    </cfRule>
    <cfRule type="cellIs" dxfId="2" priority="2" operator="greaterThan">
      <formula>1.5</formula>
    </cfRule>
  </conditionalFormatting>
  <conditionalFormatting sqref="D324:J334">
    <cfRule type="cellIs" dxfId="0" priority="1" operator="greaterThan">
      <formula>0.15</formula>
    </cfRule>
  </conditionalFormatting>
  <dataValidations count="2">
    <dataValidation type="list" allowBlank="1" showInputMessage="1" showErrorMessage="1" sqref="C126:C128 C131:C133" xr:uid="{C5D2B160-C964-A046-8D8C-5CBDDED587E7}">
      <formula1>"1,2,3"</formula1>
    </dataValidation>
    <dataValidation type="list" allowBlank="1" showInputMessage="1" showErrorMessage="1" sqref="N1" xr:uid="{0B61E955-BDF1-E64C-8AAC-492828B7DBFF}">
      <formula1>"ON, 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C4C0-049F-4F41-9F7C-DC15FDF01829}">
  <dimension ref="B2:E111"/>
  <sheetViews>
    <sheetView showGridLines="0" topLeftCell="A26" zoomScale="176" workbookViewId="0">
      <selection activeCell="E40" sqref="E40"/>
    </sheetView>
  </sheetViews>
  <sheetFormatPr baseColWidth="10" defaultRowHeight="16"/>
  <cols>
    <col min="1" max="1" width="2.83203125" style="4" customWidth="1"/>
    <col min="2" max="16384" width="10.83203125" style="4"/>
  </cols>
  <sheetData>
    <row r="2" spans="2:4">
      <c r="B2" s="3" t="s">
        <v>9</v>
      </c>
    </row>
    <row r="3" spans="2:4">
      <c r="B3" s="4" t="s">
        <v>0</v>
      </c>
    </row>
    <row r="4" spans="2:4">
      <c r="B4" s="4" t="s">
        <v>1</v>
      </c>
    </row>
    <row r="5" spans="2:4">
      <c r="B5" s="4" t="s">
        <v>2</v>
      </c>
    </row>
    <row r="6" spans="2:4">
      <c r="B6" s="4" t="s">
        <v>4</v>
      </c>
    </row>
    <row r="7" spans="2:4">
      <c r="B7" s="4" t="s">
        <v>3</v>
      </c>
    </row>
    <row r="8" spans="2:4">
      <c r="B8" s="4" t="s">
        <v>131</v>
      </c>
    </row>
    <row r="10" spans="2:4">
      <c r="B10" s="4" t="s">
        <v>5</v>
      </c>
    </row>
    <row r="11" spans="2:4">
      <c r="B11" s="4" t="s">
        <v>6</v>
      </c>
    </row>
    <row r="12" spans="2:4">
      <c r="B12" s="4" t="s">
        <v>7</v>
      </c>
    </row>
    <row r="13" spans="2:4">
      <c r="B13" s="4" t="s">
        <v>8</v>
      </c>
    </row>
    <row r="15" spans="2:4">
      <c r="B15" s="3" t="s">
        <v>47</v>
      </c>
    </row>
    <row r="16" spans="2:4">
      <c r="B16" s="4" t="s">
        <v>48</v>
      </c>
      <c r="D16" s="86">
        <v>10</v>
      </c>
    </row>
    <row r="17" spans="2:5">
      <c r="B17" s="4" t="s">
        <v>49</v>
      </c>
      <c r="D17" s="86">
        <v>10</v>
      </c>
    </row>
    <row r="18" spans="2:5">
      <c r="B18" s="4" t="s">
        <v>50</v>
      </c>
      <c r="D18" s="86">
        <v>2</v>
      </c>
    </row>
    <row r="19" spans="2:5">
      <c r="B19" s="4" t="s">
        <v>51</v>
      </c>
      <c r="D19" s="87">
        <v>0.05</v>
      </c>
    </row>
    <row r="20" spans="2:5">
      <c r="B20" s="4" t="s">
        <v>52</v>
      </c>
      <c r="D20" s="87">
        <v>0.2</v>
      </c>
    </row>
    <row r="22" spans="2:5">
      <c r="B22" s="3" t="s">
        <v>10</v>
      </c>
    </row>
    <row r="23" spans="2:5">
      <c r="B23" s="4" t="s">
        <v>21</v>
      </c>
      <c r="D23" s="88">
        <v>1125</v>
      </c>
      <c r="E23" s="7"/>
    </row>
    <row r="24" spans="2:5">
      <c r="B24" s="8" t="s">
        <v>11</v>
      </c>
      <c r="C24" s="8"/>
      <c r="D24" s="88">
        <v>-390</v>
      </c>
      <c r="E24" s="7"/>
    </row>
    <row r="25" spans="2:5">
      <c r="B25" s="14" t="s">
        <v>12</v>
      </c>
      <c r="C25" s="14"/>
      <c r="D25" s="7">
        <f>SUM(D23:D24)</f>
        <v>735</v>
      </c>
      <c r="E25" s="7"/>
    </row>
    <row r="26" spans="2:5">
      <c r="B26" s="4" t="s">
        <v>13</v>
      </c>
      <c r="D26" s="88">
        <v>-225</v>
      </c>
      <c r="E26" s="7"/>
    </row>
    <row r="27" spans="2:5">
      <c r="B27" s="18" t="s">
        <v>14</v>
      </c>
      <c r="C27" s="18"/>
      <c r="D27" s="7">
        <f>SUM(D25:D26)</f>
        <v>510</v>
      </c>
      <c r="E27" s="7"/>
    </row>
    <row r="28" spans="2:5">
      <c r="B28" s="8" t="s">
        <v>15</v>
      </c>
      <c r="C28" s="8"/>
      <c r="D28" s="88">
        <v>-30</v>
      </c>
      <c r="E28" s="7"/>
    </row>
    <row r="29" spans="2:5">
      <c r="B29" s="14" t="s">
        <v>16</v>
      </c>
      <c r="C29" s="14"/>
      <c r="D29" s="7">
        <f>SUM(D27:D28)</f>
        <v>480</v>
      </c>
      <c r="E29" s="7"/>
    </row>
    <row r="30" spans="2:5">
      <c r="B30" s="8" t="s">
        <v>17</v>
      </c>
      <c r="C30" s="8"/>
      <c r="D30" s="88">
        <v>-11.25</v>
      </c>
      <c r="E30" s="7"/>
    </row>
    <row r="31" spans="2:5">
      <c r="B31" s="14" t="s">
        <v>18</v>
      </c>
      <c r="C31" s="14"/>
      <c r="D31" s="7">
        <f>SUM(D29:D30)</f>
        <v>468.75</v>
      </c>
      <c r="E31" s="7"/>
    </row>
    <row r="32" spans="2:5">
      <c r="B32" s="8" t="s">
        <v>19</v>
      </c>
      <c r="C32" s="8"/>
      <c r="D32" s="88">
        <v>-117.1875</v>
      </c>
      <c r="E32" s="7"/>
    </row>
    <row r="33" spans="2:5">
      <c r="B33" s="18" t="s">
        <v>20</v>
      </c>
      <c r="C33" s="18"/>
      <c r="D33" s="7">
        <f>SUM(D31:D32)</f>
        <v>351.5625</v>
      </c>
      <c r="E33" s="7"/>
    </row>
    <row r="35" spans="2:5">
      <c r="B35" s="3" t="s">
        <v>22</v>
      </c>
    </row>
    <row r="36" spans="2:5">
      <c r="B36" s="4" t="s">
        <v>25</v>
      </c>
    </row>
    <row r="37" spans="2:5">
      <c r="B37" s="12" t="s">
        <v>23</v>
      </c>
      <c r="D37" s="87">
        <v>0.1</v>
      </c>
    </row>
    <row r="38" spans="2:5">
      <c r="B38" s="12" t="s">
        <v>24</v>
      </c>
      <c r="D38" s="87">
        <v>0.15</v>
      </c>
    </row>
    <row r="39" spans="2:5">
      <c r="B39" s="12" t="s">
        <v>61</v>
      </c>
      <c r="D39" s="87">
        <v>0.2</v>
      </c>
    </row>
    <row r="41" spans="2:5">
      <c r="B41" s="13" t="s">
        <v>26</v>
      </c>
    </row>
    <row r="42" spans="2:5">
      <c r="B42" s="12" t="s">
        <v>23</v>
      </c>
      <c r="D42" s="5">
        <f>55%</f>
        <v>0.55000000000000004</v>
      </c>
    </row>
    <row r="43" spans="2:5">
      <c r="B43" s="12" t="s">
        <v>24</v>
      </c>
      <c r="D43" s="5">
        <f>D25/D23</f>
        <v>0.65333333333333332</v>
      </c>
    </row>
    <row r="44" spans="2:5">
      <c r="B44" s="12" t="s">
        <v>61</v>
      </c>
      <c r="D44" s="87">
        <v>0.7</v>
      </c>
    </row>
    <row r="46" spans="2:5">
      <c r="B46" s="13" t="s">
        <v>27</v>
      </c>
    </row>
    <row r="47" spans="2:5">
      <c r="B47" s="12" t="s">
        <v>23</v>
      </c>
      <c r="D47" s="87">
        <v>0.22</v>
      </c>
    </row>
    <row r="48" spans="2:5">
      <c r="B48" s="12" t="s">
        <v>24</v>
      </c>
      <c r="D48" s="5">
        <f>-D26/D23</f>
        <v>0.2</v>
      </c>
    </row>
    <row r="49" spans="2:5">
      <c r="B49" s="12" t="s">
        <v>61</v>
      </c>
      <c r="D49" s="87">
        <v>0.18</v>
      </c>
    </row>
    <row r="50" spans="2:5">
      <c r="B50" s="12"/>
    </row>
    <row r="51" spans="2:5">
      <c r="B51" s="13" t="s">
        <v>200</v>
      </c>
      <c r="D51" s="87">
        <v>0.05</v>
      </c>
    </row>
    <row r="52" spans="2:5">
      <c r="B52" s="13" t="s">
        <v>201</v>
      </c>
      <c r="D52" s="87">
        <v>0.05</v>
      </c>
    </row>
    <row r="54" spans="2:5">
      <c r="B54" s="13" t="s">
        <v>28</v>
      </c>
      <c r="D54" s="5">
        <f>-D32/D31</f>
        <v>0.25</v>
      </c>
    </row>
    <row r="55" spans="2:5">
      <c r="D55" s="5"/>
    </row>
    <row r="56" spans="2:5">
      <c r="B56" s="3" t="s">
        <v>29</v>
      </c>
    </row>
    <row r="57" spans="2:5">
      <c r="B57" s="4" t="s">
        <v>30</v>
      </c>
      <c r="D57" s="86">
        <v>285</v>
      </c>
      <c r="E57" s="7"/>
    </row>
    <row r="58" spans="2:5">
      <c r="B58" s="4" t="s">
        <v>31</v>
      </c>
      <c r="D58" s="86">
        <v>440</v>
      </c>
      <c r="E58" s="9"/>
    </row>
    <row r="59" spans="2:5">
      <c r="B59" s="4" t="s">
        <v>32</v>
      </c>
      <c r="D59" s="86">
        <v>400</v>
      </c>
      <c r="E59" s="9"/>
    </row>
    <row r="60" spans="2:5">
      <c r="B60" s="4" t="s">
        <v>33</v>
      </c>
      <c r="D60" s="86">
        <v>25</v>
      </c>
      <c r="E60" s="9"/>
    </row>
    <row r="61" spans="2:5">
      <c r="B61" s="4" t="s">
        <v>34</v>
      </c>
      <c r="D61" s="86">
        <v>750</v>
      </c>
      <c r="E61" s="7"/>
    </row>
    <row r="62" spans="2:5">
      <c r="B62" s="4" t="s">
        <v>35</v>
      </c>
      <c r="D62" s="86">
        <v>300</v>
      </c>
      <c r="E62" s="9"/>
    </row>
    <row r="63" spans="2:5">
      <c r="B63" s="8" t="s">
        <v>36</v>
      </c>
      <c r="C63" s="8"/>
      <c r="D63" s="86">
        <v>0</v>
      </c>
      <c r="E63" s="9"/>
    </row>
    <row r="64" spans="2:5">
      <c r="B64" s="14" t="s">
        <v>37</v>
      </c>
      <c r="D64" s="14">
        <f>SUM(D57:D63)</f>
        <v>2200</v>
      </c>
      <c r="E64" s="11"/>
    </row>
    <row r="65" spans="2:5">
      <c r="E65" s="15"/>
    </row>
    <row r="66" spans="2:5">
      <c r="B66" s="4" t="s">
        <v>38</v>
      </c>
      <c r="D66" s="86">
        <v>0</v>
      </c>
      <c r="E66" s="7"/>
    </row>
    <row r="67" spans="2:5">
      <c r="B67" s="4" t="s">
        <v>39</v>
      </c>
      <c r="D67" s="86">
        <v>350</v>
      </c>
      <c r="E67" s="9"/>
    </row>
    <row r="68" spans="2:5">
      <c r="B68" s="4" t="s">
        <v>40</v>
      </c>
      <c r="D68" s="86">
        <v>200</v>
      </c>
      <c r="E68" s="9"/>
    </row>
    <row r="69" spans="2:5">
      <c r="B69" s="4" t="s">
        <v>41</v>
      </c>
      <c r="D69" s="86">
        <v>150</v>
      </c>
      <c r="E69" s="9"/>
    </row>
    <row r="70" spans="2:5">
      <c r="B70" s="8" t="s">
        <v>42</v>
      </c>
      <c r="C70" s="8"/>
      <c r="D70" s="86">
        <v>300</v>
      </c>
      <c r="E70" s="7"/>
    </row>
    <row r="71" spans="2:5">
      <c r="B71" s="14" t="s">
        <v>43</v>
      </c>
      <c r="D71" s="14">
        <f>SUM(D66:D70)</f>
        <v>1000</v>
      </c>
      <c r="E71" s="11"/>
    </row>
    <row r="72" spans="2:5">
      <c r="B72" s="10"/>
      <c r="E72" s="16"/>
    </row>
    <row r="73" spans="2:5">
      <c r="B73" s="8" t="s">
        <v>45</v>
      </c>
      <c r="C73" s="8"/>
      <c r="D73" s="86">
        <v>1200</v>
      </c>
      <c r="E73" s="7"/>
    </row>
    <row r="74" spans="2:5">
      <c r="B74" s="14" t="s">
        <v>44</v>
      </c>
      <c r="D74" s="14">
        <f>D73+D71</f>
        <v>2200</v>
      </c>
      <c r="E74" s="11"/>
    </row>
    <row r="76" spans="2:5">
      <c r="B76" s="24" t="s">
        <v>46</v>
      </c>
      <c r="C76" s="25"/>
      <c r="D76" s="26">
        <f>D64-D74</f>
        <v>0</v>
      </c>
    </row>
    <row r="78" spans="2:5">
      <c r="B78" s="3" t="s">
        <v>53</v>
      </c>
    </row>
    <row r="79" spans="2:5">
      <c r="B79" s="4" t="s">
        <v>55</v>
      </c>
      <c r="D79" s="17" t="s">
        <v>56</v>
      </c>
    </row>
    <row r="80" spans="2:5">
      <c r="B80" s="4" t="s">
        <v>54</v>
      </c>
      <c r="D80" s="86">
        <v>2022</v>
      </c>
    </row>
    <row r="81" spans="2:5">
      <c r="B81" s="4" t="s">
        <v>63</v>
      </c>
      <c r="D81" s="89">
        <v>8.5</v>
      </c>
    </row>
    <row r="83" spans="2:5">
      <c r="B83" s="3" t="s">
        <v>57</v>
      </c>
    </row>
    <row r="84" spans="2:5">
      <c r="B84" s="4" t="s">
        <v>21</v>
      </c>
      <c r="D84" s="90">
        <v>100</v>
      </c>
      <c r="E84" s="2"/>
    </row>
    <row r="85" spans="2:5">
      <c r="B85" s="8" t="s">
        <v>11</v>
      </c>
      <c r="C85" s="20"/>
      <c r="D85" s="90">
        <v>-50</v>
      </c>
      <c r="E85" s="21"/>
    </row>
    <row r="86" spans="2:5">
      <c r="B86" s="14" t="s">
        <v>12</v>
      </c>
      <c r="D86" s="19">
        <f>SUM(D84:D85)</f>
        <v>50</v>
      </c>
      <c r="E86" s="22"/>
    </row>
    <row r="87" spans="2:5">
      <c r="B87" s="8" t="s">
        <v>13</v>
      </c>
      <c r="C87" s="20"/>
      <c r="D87" s="90">
        <v>-15</v>
      </c>
      <c r="E87" s="1"/>
    </row>
    <row r="88" spans="2:5">
      <c r="B88" s="14" t="s">
        <v>14</v>
      </c>
      <c r="C88" s="14"/>
      <c r="D88" s="19">
        <f>SUM(D86:D87)</f>
        <v>35</v>
      </c>
      <c r="E88" s="23"/>
    </row>
    <row r="89" spans="2:5">
      <c r="D89" s="6"/>
    </row>
    <row r="90" spans="2:5">
      <c r="B90" s="3" t="s">
        <v>58</v>
      </c>
      <c r="C90" s="14"/>
      <c r="D90" s="19"/>
    </row>
    <row r="91" spans="2:5">
      <c r="B91" s="4" t="s">
        <v>59</v>
      </c>
      <c r="D91" s="6"/>
    </row>
    <row r="92" spans="2:5">
      <c r="B92" s="12" t="s">
        <v>23</v>
      </c>
      <c r="C92" s="14"/>
      <c r="D92" s="87">
        <v>0.1</v>
      </c>
    </row>
    <row r="93" spans="2:5">
      <c r="B93" s="12" t="s">
        <v>24</v>
      </c>
      <c r="D93" s="87">
        <v>0.15</v>
      </c>
    </row>
    <row r="94" spans="2:5">
      <c r="B94" s="12" t="s">
        <v>61</v>
      </c>
      <c r="D94" s="87">
        <v>0.2</v>
      </c>
    </row>
    <row r="96" spans="2:5">
      <c r="B96" s="4" t="s">
        <v>60</v>
      </c>
    </row>
    <row r="97" spans="2:4">
      <c r="B97" s="12" t="s">
        <v>23</v>
      </c>
      <c r="D97" s="87">
        <v>0.45</v>
      </c>
    </row>
    <row r="98" spans="2:4">
      <c r="B98" s="12" t="s">
        <v>24</v>
      </c>
      <c r="D98" s="5">
        <f>D86/D84</f>
        <v>0.5</v>
      </c>
    </row>
    <row r="99" spans="2:4">
      <c r="B99" s="12" t="s">
        <v>61</v>
      </c>
      <c r="D99" s="87">
        <v>0.55000000000000004</v>
      </c>
    </row>
    <row r="101" spans="2:4">
      <c r="B101" s="3" t="s">
        <v>62</v>
      </c>
    </row>
    <row r="102" spans="2:4">
      <c r="B102" s="4" t="s">
        <v>64</v>
      </c>
    </row>
    <row r="103" spans="2:4">
      <c r="B103" s="4" t="s">
        <v>65</v>
      </c>
    </row>
    <row r="104" spans="2:4">
      <c r="B104" s="4" t="s">
        <v>66</v>
      </c>
    </row>
    <row r="105" spans="2:4">
      <c r="B105" s="4" t="s">
        <v>67</v>
      </c>
    </row>
    <row r="106" spans="2:4">
      <c r="B106" s="4" t="s">
        <v>68</v>
      </c>
    </row>
    <row r="107" spans="2:4">
      <c r="B107" s="4" t="s">
        <v>69</v>
      </c>
    </row>
    <row r="109" spans="2:4">
      <c r="B109" s="3" t="s">
        <v>70</v>
      </c>
    </row>
    <row r="110" spans="2:4">
      <c r="B110" s="4" t="s">
        <v>71</v>
      </c>
    </row>
    <row r="111" spans="2:4">
      <c r="B111" s="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</vt:lpstr>
      <vt:lpstr>Instructions</vt:lpstr>
      <vt:lpstr>circ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Manfredi</dc:creator>
  <cp:lastModifiedBy>Pietro Manfredi</cp:lastModifiedBy>
  <dcterms:created xsi:type="dcterms:W3CDTF">2024-11-09T19:40:09Z</dcterms:created>
  <dcterms:modified xsi:type="dcterms:W3CDTF">2024-11-10T20:11:09Z</dcterms:modified>
</cp:coreProperties>
</file>